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Brsrvfs\arquivos\PROJETOS\Dashboards\Painel Gerencial\"/>
    </mc:Choice>
  </mc:AlternateContent>
  <xr:revisionPtr revIDLastSave="0" documentId="13_ncr:1_{B46B48C0-B8C0-4A58-AE7C-B2731DA81016}" xr6:coauthVersionLast="47" xr6:coauthVersionMax="47" xr10:uidLastSave="{00000000-0000-0000-0000-000000000000}"/>
  <bookViews>
    <workbookView xWindow="-23148" yWindow="-108" windowWidth="23256" windowHeight="14016" tabRatio="659" firstSheet="1" activeTab="1" xr2:uid="{00000000-000D-0000-FFFF-FFFF00000000}"/>
  </bookViews>
  <sheets>
    <sheet name="Passo a Passo" sheetId="162" r:id="rId1"/>
    <sheet name="TOTAIS  20 E 21" sheetId="80" r:id="rId2"/>
    <sheet name="Honorários" sheetId="85" r:id="rId3"/>
    <sheet name="GLOSAS" sheetId="99" r:id="rId4"/>
    <sheet name="Impostos" sheetId="106" r:id="rId5"/>
    <sheet name="Resultado Intercompany" sheetId="164" r:id="rId6"/>
    <sheet name="Cotas" sheetId="163" r:id="rId7"/>
    <sheet name="Pessoas" sheetId="134" r:id="rId8"/>
    <sheet name="DRE" sheetId="132" r:id="rId9"/>
    <sheet name="DRE 2025" sheetId="155" r:id="rId10"/>
    <sheet name="Resumo DRE 2" sheetId="152" r:id="rId11"/>
    <sheet name="Resumo DRE 2 Outros" sheetId="161" r:id="rId12"/>
    <sheet name="Resumo DRE 2 BACKUP" sheetId="160" r:id="rId13"/>
    <sheet name="Resumo DRE Outros 2" sheetId="157" r:id="rId14"/>
    <sheet name="Crescimento" sheetId="107" r:id="rId15"/>
    <sheet name="DRE Transição Omie" sheetId="144" state="hidden" r:id="rId16"/>
    <sheet name="DRE Novo 2" sheetId="142" state="hidden" r:id="rId17"/>
    <sheet name="Aux Antecipação" sheetId="101" r:id="rId18"/>
    <sheet name="Antecipação Consolidado" sheetId="96" r:id="rId19"/>
    <sheet name="Antecipação Lucros GAN" sheetId="94" r:id="rId20"/>
    <sheet name="Antecipação Lucros GAA" sheetId="95" r:id="rId21"/>
    <sheet name="Simulação GAN" sheetId="147" state="hidden" r:id="rId22"/>
    <sheet name="Simulação GAA" sheetId="148" state="hidden" r:id="rId23"/>
    <sheet name="Simulação Cotas" sheetId="137" state="hidden" r:id="rId24"/>
    <sheet name="Simulação Cotas GAN" sheetId="138" state="hidden" r:id="rId25"/>
    <sheet name="Simulação Cotas GAA GAT" sheetId="139" state="hidden" r:id="rId26"/>
    <sheet name="Resultado Orçado" sheetId="82" r:id="rId27"/>
    <sheet name="OKR" sheetId="84" r:id="rId28"/>
    <sheet name="Projeção 2025" sheetId="149" r:id="rId29"/>
    <sheet name="PROJETADO 2023" sheetId="136" state="hidden" r:id="rId30"/>
    <sheet name="DRE (3)" sheetId="156" state="hidden" r:id="rId31"/>
    <sheet name="Resumo DRE 2 (2)" sheetId="158" state="hidden" r:id="rId32"/>
    <sheet name="Projeção Gondim" sheetId="140" r:id="rId33"/>
    <sheet name="Custos Pessoal" sheetId="141" state="hidden" r:id="rId34"/>
    <sheet name="Sucumbências" sheetId="150" state="hidden" r:id="rId35"/>
    <sheet name="Resumo DRE" sheetId="151" state="hidden" r:id="rId36"/>
    <sheet name="Resumo DRE Outros" sheetId="153" state="hidden" r:id="rId37"/>
    <sheet name="DRE Novo" sheetId="143" state="hidden" r:id="rId38"/>
    <sheet name="Planilha4" sheetId="146" state="hidden" r:id="rId39"/>
    <sheet name="DRE (2)" sheetId="145" state="hidden" r:id="rId40"/>
    <sheet name="DRE Novo OBS" sheetId="133" state="hidden" r:id="rId41"/>
    <sheet name="Custos GAN GAA GAT" sheetId="122" state="hidden" r:id="rId42"/>
    <sheet name="Resultados Empresas" sheetId="124" state="hidden" r:id="rId43"/>
    <sheet name="Resultados Empresas (2)" sheetId="135" state="hidden" r:id="rId44"/>
    <sheet name="SIMBA E LASA 2020" sheetId="126" state="hidden" r:id="rId45"/>
    <sheet name="EAT 23" sheetId="128" state="hidden" r:id="rId46"/>
    <sheet name="EAT 23 (2)" sheetId="130" state="hidden" r:id="rId47"/>
    <sheet name="Antecipação Lucros GAN (2)" sheetId="131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xlnm._FilterDatabase" localSheetId="41" hidden="1">'Custos GAN GAA GAT'!$A$1:$L$793</definedName>
    <definedName name="_xlnm._FilterDatabase" localSheetId="8" hidden="1">DRE!$A$1:$AW$53</definedName>
    <definedName name="_xlnm._FilterDatabase" localSheetId="39" hidden="1">'DRE (2)'!#REF!</definedName>
    <definedName name="_xlnm._FilterDatabase" localSheetId="30" hidden="1">'DRE (3)'!$A$1:$AW$54</definedName>
    <definedName name="_xlnm._FilterDatabase" localSheetId="9" hidden="1">'DRE 2025'!$A$1:$I$937</definedName>
    <definedName name="_xlnm._FilterDatabase" localSheetId="16" hidden="1">'DRE Novo 2'!$A$1:$BF$52</definedName>
    <definedName name="_xlnm._FilterDatabase" localSheetId="15" hidden="1">'DRE Transição Omie'!$A$1:$BF$54</definedName>
    <definedName name="_xlnm._FilterDatabase" localSheetId="3" hidden="1">GLOSAS!$A$1:$CC$41</definedName>
    <definedName name="_xlnm._FilterDatabase" localSheetId="42" hidden="1">'Resultados Empresas'!$A$1:$F$145</definedName>
    <definedName name="_xlnm._FilterDatabase" localSheetId="43" hidden="1">'Resultados Empresas (2)'!$A$1:$F$145</definedName>
    <definedName name="_xlnm._FilterDatabase" localSheetId="10" hidden="1">'Resumo DRE 2'!$A$1:$H$73</definedName>
    <definedName name="_xlnm._FilterDatabase" localSheetId="31" hidden="1">'Resumo DRE 2 (2)'!$A$1:$G$241</definedName>
    <definedName name="_xlnm._FilterDatabase" localSheetId="12" hidden="1">'Resumo DRE 2 BACKUP'!$A$1:$H$241</definedName>
    <definedName name="_xlnm._FilterDatabase" localSheetId="11" hidden="1">'Resumo DRE 2 Outros'!$A$1:$G$252</definedName>
    <definedName name="A">#REF!</definedName>
    <definedName name="acum" localSheetId="29">#REF!</definedName>
    <definedName name="acum" localSheetId="1">#REF!</definedName>
    <definedName name="acum">#REF!</definedName>
    <definedName name="COM_INTERCOMPANY" localSheetId="5">'Resultado Intercompany'!$B$1:$C$21</definedName>
    <definedName name="Copia" localSheetId="29">#REF!</definedName>
    <definedName name="Copia" localSheetId="1">#REF!</definedName>
    <definedName name="Copia">#REF!</definedName>
    <definedName name="_xlnm.Criteria" localSheetId="29">#REF!</definedName>
    <definedName name="_xlnm.Criteria" localSheetId="1">#REF!</definedName>
    <definedName name="_xlnm.Criteria">#REF!</definedName>
    <definedName name="d" localSheetId="29">#REF!</definedName>
    <definedName name="d" localSheetId="1">#REF!</definedName>
    <definedName name="d">#REF!</definedName>
    <definedName name="dez" localSheetId="29">#REF!</definedName>
    <definedName name="dez" localSheetId="1">#REF!</definedName>
    <definedName name="dez">#REF!</definedName>
    <definedName name="miguel" localSheetId="29">#REF!</definedName>
    <definedName name="miguel" localSheetId="1">#REF!</definedName>
    <definedName name="miguel">#REF!</definedName>
    <definedName name="NÍVEL">[1]Plan1!$E$1:$E$65536</definedName>
    <definedName name="nov" localSheetId="29">#REF!</definedName>
    <definedName name="nov" localSheetId="1">#REF!</definedName>
    <definedName name="nov">#REF!</definedName>
    <definedName name="O">#REF!</definedName>
    <definedName name="OUT" localSheetId="29">#REF!</definedName>
    <definedName name="OUT" localSheetId="1">#REF!</definedName>
    <definedName name="OUT">#REF!</definedName>
    <definedName name="RECEITA" localSheetId="29">#REF!</definedName>
    <definedName name="RECEITA" localSheetId="1">#REF!</definedName>
    <definedName name="RECEITA">#REF!</definedName>
    <definedName name="sim" localSheetId="29">#REF!</definedName>
    <definedName name="sim" localSheetId="1">#REF!</definedName>
    <definedName name="sim">#REF!</definedName>
    <definedName name="trim" localSheetId="29">#REF!</definedName>
    <definedName name="trim" localSheetId="1">#REF!</definedName>
    <definedName name="trim">#REF!</definedName>
    <definedName name="VALORES">[1]Plan1!$BY$1:$BY$65536</definedName>
  </definedNames>
  <calcPr calcId="181029" calcMode="manual"/>
</workbook>
</file>

<file path=xl/calcChain.xml><?xml version="1.0" encoding="utf-8"?>
<calcChain xmlns="http://schemas.openxmlformats.org/spreadsheetml/2006/main">
  <c r="B4" i="101" l="1"/>
  <c r="B3" i="101"/>
  <c r="B2" i="101"/>
  <c r="B1" i="101"/>
  <c r="D40" i="163"/>
  <c r="C40" i="163"/>
  <c r="CD15" i="99" l="1"/>
  <c r="D39" i="163" l="1"/>
  <c r="C39" i="163"/>
  <c r="CS11" i="106" l="1"/>
  <c r="CS10" i="106"/>
  <c r="CS9" i="106"/>
  <c r="CS7" i="106"/>
  <c r="CS6" i="106"/>
  <c r="CS5" i="106"/>
  <c r="CS4" i="106"/>
  <c r="CS3" i="106"/>
  <c r="CS2" i="106"/>
  <c r="CR11" i="106"/>
  <c r="CR10" i="106"/>
  <c r="CR9" i="106"/>
  <c r="CR7" i="106"/>
  <c r="CR6" i="106"/>
  <c r="CR5" i="106"/>
  <c r="CR4" i="106"/>
  <c r="CR3" i="106"/>
  <c r="CR2" i="106"/>
  <c r="CQ11" i="106"/>
  <c r="CQ10" i="106"/>
  <c r="CQ9" i="106"/>
  <c r="CQ7" i="106"/>
  <c r="CQ6" i="106"/>
  <c r="CQ5" i="106"/>
  <c r="CQ4" i="106"/>
  <c r="CQ3" i="106"/>
  <c r="CQ2" i="106"/>
  <c r="CP11" i="106"/>
  <c r="CP10" i="106"/>
  <c r="CP9" i="106"/>
  <c r="CP7" i="106"/>
  <c r="CP6" i="106"/>
  <c r="CP5" i="106"/>
  <c r="CP4" i="106"/>
  <c r="CP3" i="106"/>
  <c r="CP2" i="106"/>
  <c r="CO11" i="106"/>
  <c r="CO10" i="106"/>
  <c r="CO9" i="106"/>
  <c r="CO7" i="106"/>
  <c r="CO6" i="106"/>
  <c r="CO5" i="106"/>
  <c r="CO4" i="106"/>
  <c r="CO3" i="106"/>
  <c r="CO2" i="106"/>
  <c r="CN11" i="106"/>
  <c r="CN10" i="106"/>
  <c r="CN9" i="106"/>
  <c r="CN7" i="106"/>
  <c r="CN6" i="106"/>
  <c r="CN5" i="106"/>
  <c r="CN4" i="106"/>
  <c r="CN3" i="106"/>
  <c r="CN2" i="106"/>
  <c r="CM11" i="106"/>
  <c r="CM10" i="106"/>
  <c r="CM9" i="106"/>
  <c r="CM7" i="106"/>
  <c r="CM6" i="106"/>
  <c r="CM5" i="106"/>
  <c r="CM4" i="106"/>
  <c r="CM3" i="106"/>
  <c r="CM2" i="106"/>
  <c r="CL11" i="106"/>
  <c r="CL10" i="106"/>
  <c r="CL9" i="106"/>
  <c r="CL7" i="106"/>
  <c r="CL6" i="106"/>
  <c r="CL5" i="106"/>
  <c r="CL4" i="106"/>
  <c r="CL3" i="106"/>
  <c r="CL2" i="106"/>
  <c r="CK11" i="106"/>
  <c r="CK10" i="106"/>
  <c r="CK9" i="106"/>
  <c r="CK7" i="106"/>
  <c r="CK6" i="106"/>
  <c r="CK5" i="106"/>
  <c r="CK4" i="106"/>
  <c r="CK3" i="106"/>
  <c r="CK2" i="106"/>
  <c r="CJ11" i="106"/>
  <c r="CJ10" i="106"/>
  <c r="CJ9" i="106"/>
  <c r="CJ7" i="106"/>
  <c r="CJ6" i="106"/>
  <c r="CJ5" i="106"/>
  <c r="CJ4" i="106"/>
  <c r="CJ3" i="106"/>
  <c r="CJ2" i="106"/>
  <c r="CI11" i="106"/>
  <c r="CI10" i="106"/>
  <c r="CI9" i="106"/>
  <c r="CI7" i="106"/>
  <c r="CI6" i="106"/>
  <c r="CI5" i="106"/>
  <c r="CI4" i="106"/>
  <c r="CI3" i="106"/>
  <c r="CI2" i="106"/>
  <c r="F97" i="85"/>
  <c r="F96" i="85"/>
  <c r="F95" i="85"/>
  <c r="F94" i="85"/>
  <c r="F93" i="85"/>
  <c r="F92" i="85"/>
  <c r="F91" i="85"/>
  <c r="F90" i="85"/>
  <c r="F89" i="85"/>
  <c r="F88" i="85"/>
  <c r="F87" i="85"/>
  <c r="D97" i="85"/>
  <c r="D96" i="85"/>
  <c r="D95" i="85"/>
  <c r="D94" i="85"/>
  <c r="D93" i="85"/>
  <c r="D92" i="85"/>
  <c r="D91" i="85"/>
  <c r="D90" i="85"/>
  <c r="D89" i="85"/>
  <c r="D88" i="85"/>
  <c r="C97" i="85"/>
  <c r="C96" i="85"/>
  <c r="C95" i="85"/>
  <c r="C94" i="85"/>
  <c r="C93" i="85"/>
  <c r="C92" i="85"/>
  <c r="C91" i="85"/>
  <c r="C90" i="85"/>
  <c r="C89" i="85"/>
  <c r="C88" i="85"/>
  <c r="C87" i="85"/>
  <c r="DE25" i="80"/>
  <c r="DD25" i="80"/>
  <c r="DC25" i="80"/>
  <c r="DB25" i="80"/>
  <c r="DA25" i="80"/>
  <c r="CZ25" i="80"/>
  <c r="CY25" i="80"/>
  <c r="CX25" i="80"/>
  <c r="CW25" i="80"/>
  <c r="CV25" i="80"/>
  <c r="CU25" i="80"/>
  <c r="CT25" i="80"/>
  <c r="DE24" i="80"/>
  <c r="DD24" i="80"/>
  <c r="DC24" i="80"/>
  <c r="DB24" i="80"/>
  <c r="DA24" i="80"/>
  <c r="CZ24" i="80"/>
  <c r="CY24" i="80"/>
  <c r="CX24" i="80"/>
  <c r="CW24" i="80"/>
  <c r="CV24" i="80"/>
  <c r="CU24" i="80"/>
  <c r="CT24" i="80"/>
  <c r="DE12" i="80"/>
  <c r="DD12" i="80"/>
  <c r="DC12" i="80"/>
  <c r="DB12" i="80"/>
  <c r="DA12" i="80"/>
  <c r="CZ12" i="80"/>
  <c r="CY12" i="80"/>
  <c r="CX12" i="80"/>
  <c r="CW12" i="80"/>
  <c r="CV12" i="80"/>
  <c r="DE7" i="80"/>
  <c r="DE5" i="80"/>
  <c r="DE4" i="80"/>
  <c r="DE3" i="80"/>
  <c r="DE2" i="80"/>
  <c r="DE20" i="80" s="1"/>
  <c r="DD7" i="80"/>
  <c r="DD5" i="80"/>
  <c r="DD4" i="80"/>
  <c r="DD3" i="80"/>
  <c r="DD2" i="80"/>
  <c r="DC7" i="80"/>
  <c r="DC5" i="80"/>
  <c r="DC4" i="80"/>
  <c r="DC3" i="80"/>
  <c r="DC2" i="80"/>
  <c r="DB7" i="80"/>
  <c r="DB5" i="80"/>
  <c r="DB4" i="80"/>
  <c r="DB3" i="80"/>
  <c r="DB2" i="80"/>
  <c r="DA7" i="80"/>
  <c r="DA5" i="80"/>
  <c r="DA4" i="80"/>
  <c r="DA3" i="80"/>
  <c r="DA2" i="80"/>
  <c r="CZ7" i="80"/>
  <c r="CZ5" i="80"/>
  <c r="CZ4" i="80"/>
  <c r="CZ3" i="80"/>
  <c r="CZ2" i="80"/>
  <c r="CY7" i="80"/>
  <c r="CY5" i="80"/>
  <c r="CY4" i="80"/>
  <c r="CY3" i="80"/>
  <c r="CY2" i="80"/>
  <c r="CY21" i="80" s="1"/>
  <c r="CX7" i="80"/>
  <c r="CX5" i="80"/>
  <c r="CX4" i="80"/>
  <c r="CX3" i="80"/>
  <c r="CX2" i="80"/>
  <c r="CW7" i="80"/>
  <c r="CW5" i="80"/>
  <c r="CW4" i="80"/>
  <c r="CW3" i="80"/>
  <c r="CW2" i="80"/>
  <c r="G89" i="85" s="1"/>
  <c r="CV7" i="80"/>
  <c r="CU7" i="80"/>
  <c r="CT7" i="80"/>
  <c r="CV4" i="80"/>
  <c r="CV3" i="80"/>
  <c r="CV2" i="80"/>
  <c r="G88" i="85" s="1"/>
  <c r="CU2" i="80"/>
  <c r="G87" i="85" s="1"/>
  <c r="CX26" i="80" l="1"/>
  <c r="CU20" i="80"/>
  <c r="DB8" i="80"/>
  <c r="DB9" i="80" s="1"/>
  <c r="CU26" i="80"/>
  <c r="CX8" i="80"/>
  <c r="DC8" i="80"/>
  <c r="DC9" i="80" s="1"/>
  <c r="CY8" i="80"/>
  <c r="CY9" i="80" s="1"/>
  <c r="CZ21" i="80"/>
  <c r="CZ16" i="80"/>
  <c r="CZ18" i="80" s="1"/>
  <c r="CV23" i="80"/>
  <c r="CY26" i="80"/>
  <c r="CZ28" i="80"/>
  <c r="G90" i="85"/>
  <c r="DD8" i="80"/>
  <c r="DA21" i="80"/>
  <c r="CZ20" i="80"/>
  <c r="CW23" i="80"/>
  <c r="CZ26" i="80"/>
  <c r="G91" i="85"/>
  <c r="CW8" i="80"/>
  <c r="CW9" i="80" s="1"/>
  <c r="DB21" i="80"/>
  <c r="DA16" i="80"/>
  <c r="DA18" i="80" s="1"/>
  <c r="CX23" i="80"/>
  <c r="DA26" i="80"/>
  <c r="G92" i="85"/>
  <c r="DC21" i="80"/>
  <c r="DA20" i="80"/>
  <c r="DA28" i="80" s="1"/>
  <c r="CY23" i="80"/>
  <c r="DB26" i="80"/>
  <c r="G93" i="85"/>
  <c r="DD21" i="80"/>
  <c r="DB16" i="80"/>
  <c r="DB18" i="80" s="1"/>
  <c r="CZ23" i="80"/>
  <c r="DC26" i="80"/>
  <c r="G94" i="85"/>
  <c r="CY20" i="80"/>
  <c r="CY28" i="80" s="1"/>
  <c r="CZ8" i="80"/>
  <c r="CV16" i="80"/>
  <c r="DE21" i="80"/>
  <c r="DB20" i="80"/>
  <c r="DA23" i="80"/>
  <c r="DD26" i="80"/>
  <c r="DE28" i="80"/>
  <c r="G95" i="85"/>
  <c r="DE8" i="80"/>
  <c r="DE29" i="80" s="1"/>
  <c r="CV20" i="80"/>
  <c r="CV28" i="80" s="1"/>
  <c r="CW16" i="80"/>
  <c r="CW18" i="80" s="1"/>
  <c r="DC16" i="80"/>
  <c r="DC18" i="80" s="1"/>
  <c r="DB23" i="80"/>
  <c r="DE26" i="80"/>
  <c r="G96" i="85"/>
  <c r="CV26" i="80"/>
  <c r="CW20" i="80"/>
  <c r="CW28" i="80" s="1"/>
  <c r="DC20" i="80"/>
  <c r="DC28" i="80" s="1"/>
  <c r="DC23" i="80"/>
  <c r="CU28" i="80"/>
  <c r="G97" i="85"/>
  <c r="CV21" i="80"/>
  <c r="CX16" i="80"/>
  <c r="CX18" i="80" s="1"/>
  <c r="DD16" i="80"/>
  <c r="DD18" i="80" s="1"/>
  <c r="DD23" i="80"/>
  <c r="CW21" i="80"/>
  <c r="CX20" i="80"/>
  <c r="CX28" i="80" s="1"/>
  <c r="DD20" i="80"/>
  <c r="DD28" i="80" s="1"/>
  <c r="DE23" i="80"/>
  <c r="DA8" i="80"/>
  <c r="CX21" i="80"/>
  <c r="CY16" i="80"/>
  <c r="CY18" i="80" s="1"/>
  <c r="DE16" i="80"/>
  <c r="DE18" i="80" s="1"/>
  <c r="CW26" i="80"/>
  <c r="DE14" i="80"/>
  <c r="DE15" i="80" s="1"/>
  <c r="DE17" i="80" s="1"/>
  <c r="DD14" i="80"/>
  <c r="DD15" i="80" s="1"/>
  <c r="DD17" i="80" s="1"/>
  <c r="DD19" i="80" s="1"/>
  <c r="DC14" i="80"/>
  <c r="DC15" i="80" s="1"/>
  <c r="DC17" i="80" s="1"/>
  <c r="DB14" i="80"/>
  <c r="DB15" i="80" s="1"/>
  <c r="DB17" i="80" s="1"/>
  <c r="DA14" i="80"/>
  <c r="DA15" i="80" s="1"/>
  <c r="DA17" i="80" s="1"/>
  <c r="CZ14" i="80"/>
  <c r="CZ15" i="80" s="1"/>
  <c r="CZ17" i="80" s="1"/>
  <c r="CY14" i="80"/>
  <c r="CY15" i="80" s="1"/>
  <c r="CY17" i="80" s="1"/>
  <c r="CX14" i="80"/>
  <c r="CX15" i="80" s="1"/>
  <c r="CX17" i="80" s="1"/>
  <c r="CW14" i="80"/>
  <c r="CW15" i="80" s="1"/>
  <c r="CW17" i="80" s="1"/>
  <c r="CV14" i="80"/>
  <c r="DD9" i="80"/>
  <c r="CX9" i="80"/>
  <c r="CW19" i="80" l="1"/>
  <c r="CZ29" i="80"/>
  <c r="CX19" i="80"/>
  <c r="DA29" i="80"/>
  <c r="DA30" i="80" s="1"/>
  <c r="DB29" i="80"/>
  <c r="DC19" i="80"/>
  <c r="CY19" i="80"/>
  <c r="DE9" i="80"/>
  <c r="DB19" i="80"/>
  <c r="DA19" i="80"/>
  <c r="DE19" i="80"/>
  <c r="DC29" i="80"/>
  <c r="DC30" i="80" s="1"/>
  <c r="CY29" i="80"/>
  <c r="CY30" i="80" s="1"/>
  <c r="DA9" i="80"/>
  <c r="DB28" i="80"/>
  <c r="CZ30" i="80"/>
  <c r="DD29" i="80"/>
  <c r="DD30" i="80" s="1"/>
  <c r="DE30" i="80"/>
  <c r="CZ9" i="80"/>
  <c r="CX29" i="80"/>
  <c r="CX30" i="80" s="1"/>
  <c r="CZ19" i="80"/>
  <c r="CW29" i="80"/>
  <c r="CW30" i="80" s="1"/>
  <c r="DB30" i="80" l="1"/>
  <c r="E11" i="134"/>
  <c r="F11" i="134" l="1"/>
  <c r="AT51" i="132" l="1"/>
  <c r="AT42" i="132"/>
  <c r="AT41" i="132"/>
  <c r="AT36" i="132"/>
  <c r="AT35" i="132"/>
  <c r="AT34" i="132"/>
  <c r="AT33" i="132"/>
  <c r="AT32" i="132"/>
  <c r="AT31" i="132"/>
  <c r="AT30" i="132"/>
  <c r="AT29" i="132"/>
  <c r="AT28" i="132"/>
  <c r="AT27" i="132"/>
  <c r="AT24" i="132"/>
  <c r="AT23" i="132"/>
  <c r="AT22" i="132"/>
  <c r="AT21" i="132"/>
  <c r="AT19" i="132" s="1"/>
  <c r="AT20" i="132"/>
  <c r="AT18" i="132"/>
  <c r="AT17" i="132"/>
  <c r="AT16" i="132"/>
  <c r="AT15" i="132"/>
  <c r="AT14" i="132"/>
  <c r="AT13" i="132"/>
  <c r="AT12" i="132"/>
  <c r="AT10" i="132"/>
  <c r="AT9" i="132"/>
  <c r="AT8" i="132"/>
  <c r="AT7" i="132"/>
  <c r="AT6" i="132"/>
  <c r="AT5" i="132" s="1"/>
  <c r="AT4" i="132"/>
  <c r="AR51" i="132"/>
  <c r="AR42" i="132"/>
  <c r="AR41" i="132"/>
  <c r="AR36" i="132"/>
  <c r="AR35" i="132"/>
  <c r="AR34" i="132"/>
  <c r="AR33" i="132"/>
  <c r="AR32" i="132"/>
  <c r="AR31" i="132"/>
  <c r="AR30" i="132"/>
  <c r="AR29" i="132"/>
  <c r="AR28" i="132"/>
  <c r="AR27" i="132"/>
  <c r="AR24" i="132"/>
  <c r="AR23" i="132"/>
  <c r="AR22" i="132"/>
  <c r="AR19" i="132" s="1"/>
  <c r="AR21" i="132"/>
  <c r="AR20" i="132"/>
  <c r="AR18" i="132"/>
  <c r="AR17" i="132"/>
  <c r="AR16" i="132"/>
  <c r="AR15" i="132"/>
  <c r="AR14" i="132"/>
  <c r="AR13" i="132"/>
  <c r="AR12" i="132"/>
  <c r="AR10" i="132"/>
  <c r="AR9" i="132"/>
  <c r="AR5" i="132" s="1"/>
  <c r="AR8" i="132"/>
  <c r="AR7" i="132"/>
  <c r="AR6" i="132"/>
  <c r="AR4" i="132"/>
  <c r="AP51" i="132"/>
  <c r="AP42" i="132"/>
  <c r="AP41" i="132"/>
  <c r="AP36" i="132"/>
  <c r="AP35" i="132"/>
  <c r="AP34" i="132"/>
  <c r="AP33" i="132"/>
  <c r="AP32" i="132"/>
  <c r="AP31" i="132"/>
  <c r="AP30" i="132"/>
  <c r="AP29" i="132"/>
  <c r="AP28" i="132"/>
  <c r="AP27" i="132"/>
  <c r="AP24" i="132"/>
  <c r="AP23" i="132"/>
  <c r="AP22" i="132"/>
  <c r="AP21" i="132"/>
  <c r="AP20" i="132"/>
  <c r="AP19" i="132"/>
  <c r="AP18" i="132"/>
  <c r="AP17" i="132"/>
  <c r="AP16" i="132"/>
  <c r="AP15" i="132"/>
  <c r="AP14" i="132"/>
  <c r="AP13" i="132"/>
  <c r="AP12" i="132"/>
  <c r="AP10" i="132"/>
  <c r="AP9" i="132"/>
  <c r="AP8" i="132"/>
  <c r="AP7" i="132"/>
  <c r="AP6" i="132"/>
  <c r="AP5" i="132" s="1"/>
  <c r="AP4" i="132"/>
  <c r="AN51" i="132"/>
  <c r="AN42" i="132"/>
  <c r="AN41" i="132"/>
  <c r="AN36" i="132"/>
  <c r="AN35" i="132"/>
  <c r="AN34" i="132"/>
  <c r="AN33" i="132"/>
  <c r="AN32" i="132"/>
  <c r="AN31" i="132"/>
  <c r="AN30" i="132"/>
  <c r="AN29" i="132"/>
  <c r="AN28" i="132"/>
  <c r="AN27" i="132"/>
  <c r="AN24" i="132"/>
  <c r="AN23" i="132"/>
  <c r="AN22" i="132"/>
  <c r="AN19" i="132" s="1"/>
  <c r="AN21" i="132"/>
  <c r="AN20" i="132"/>
  <c r="AN18" i="132"/>
  <c r="AN17" i="132"/>
  <c r="AN16" i="132"/>
  <c r="AN15" i="132"/>
  <c r="AN14" i="132"/>
  <c r="AN13" i="132"/>
  <c r="AN12" i="132"/>
  <c r="AN10" i="132"/>
  <c r="AN9" i="132"/>
  <c r="AN8" i="132"/>
  <c r="AN5" i="132" s="1"/>
  <c r="AN7" i="132"/>
  <c r="AN6" i="132"/>
  <c r="AN4" i="132"/>
  <c r="AL51" i="132"/>
  <c r="AL42" i="132"/>
  <c r="AL41" i="132"/>
  <c r="AL36" i="132"/>
  <c r="AL35" i="132"/>
  <c r="AL34" i="132"/>
  <c r="AL33" i="132"/>
  <c r="AL32" i="132"/>
  <c r="AL31" i="132"/>
  <c r="AL30" i="132"/>
  <c r="AL29" i="132"/>
  <c r="AL28" i="132"/>
  <c r="AL26" i="132" s="1"/>
  <c r="AL27" i="132"/>
  <c r="AL24" i="132"/>
  <c r="AL23" i="132"/>
  <c r="AL22" i="132"/>
  <c r="AL21" i="132"/>
  <c r="AL20" i="132"/>
  <c r="AL19" i="132" s="1"/>
  <c r="AL18" i="132"/>
  <c r="AL17" i="132"/>
  <c r="AL16" i="132"/>
  <c r="AL15" i="132"/>
  <c r="AL14" i="132"/>
  <c r="AL13" i="132"/>
  <c r="AL12" i="132"/>
  <c r="AL10" i="132"/>
  <c r="AL9" i="132"/>
  <c r="AL8" i="132"/>
  <c r="AL7" i="132"/>
  <c r="AL6" i="132"/>
  <c r="AL5" i="132"/>
  <c r="AL4" i="132"/>
  <c r="AJ51" i="132"/>
  <c r="AJ42" i="132"/>
  <c r="AJ41" i="132"/>
  <c r="AJ36" i="132"/>
  <c r="AJ35" i="132"/>
  <c r="AJ34" i="132"/>
  <c r="AJ33" i="132"/>
  <c r="AJ32" i="132"/>
  <c r="AJ31" i="132"/>
  <c r="AJ30" i="132"/>
  <c r="AJ29" i="132"/>
  <c r="AJ28" i="132"/>
  <c r="AJ27" i="132"/>
  <c r="AJ24" i="132"/>
  <c r="AJ23" i="132"/>
  <c r="AJ22" i="132"/>
  <c r="AJ21" i="132"/>
  <c r="AJ20" i="132"/>
  <c r="AJ18" i="132"/>
  <c r="AJ17" i="132"/>
  <c r="AJ16" i="132"/>
  <c r="AJ15" i="132"/>
  <c r="AJ14" i="132"/>
  <c r="AJ13" i="132"/>
  <c r="AJ12" i="132"/>
  <c r="AJ10" i="132"/>
  <c r="AJ9" i="132"/>
  <c r="AJ8" i="132"/>
  <c r="AJ7" i="132"/>
  <c r="AJ6" i="132"/>
  <c r="AJ5" i="132" s="1"/>
  <c r="AJ4" i="132"/>
  <c r="AN11" i="132" l="1"/>
  <c r="AT26" i="132"/>
  <c r="AT11" i="132"/>
  <c r="AL11" i="132"/>
  <c r="AR26" i="132"/>
  <c r="AR25" i="132" s="1"/>
  <c r="AT3" i="132"/>
  <c r="AN3" i="132"/>
  <c r="AJ26" i="132"/>
  <c r="AL3" i="132"/>
  <c r="AR11" i="132"/>
  <c r="AP26" i="132"/>
  <c r="AP25" i="132" s="1"/>
  <c r="AR3" i="132"/>
  <c r="AJ11" i="132"/>
  <c r="AN26" i="132"/>
  <c r="AP3" i="132"/>
  <c r="AJ3" i="132"/>
  <c r="AP11" i="132"/>
  <c r="AJ19" i="132"/>
  <c r="AT25" i="132"/>
  <c r="AN25" i="132"/>
  <c r="AL25" i="132"/>
  <c r="AJ25" i="132"/>
  <c r="CH11" i="106"/>
  <c r="CH10" i="106"/>
  <c r="CH9" i="106"/>
  <c r="CH7" i="106"/>
  <c r="CH6" i="106"/>
  <c r="CH5" i="106"/>
  <c r="CH4" i="106"/>
  <c r="CH3" i="106"/>
  <c r="CH2" i="106"/>
  <c r="F86" i="85"/>
  <c r="C86" i="85"/>
  <c r="F97" i="82"/>
  <c r="F96" i="82"/>
  <c r="F95" i="82"/>
  <c r="F94" i="82"/>
  <c r="F93" i="82"/>
  <c r="F92" i="82"/>
  <c r="F91" i="82"/>
  <c r="F90" i="82"/>
  <c r="F89" i="82"/>
  <c r="F88" i="82"/>
  <c r="F87" i="82"/>
  <c r="F86" i="82"/>
  <c r="D97" i="82"/>
  <c r="D96" i="82"/>
  <c r="D95" i="82"/>
  <c r="D94" i="82"/>
  <c r="D93" i="82"/>
  <c r="D92" i="82"/>
  <c r="D91" i="82"/>
  <c r="D90" i="82"/>
  <c r="D89" i="82"/>
  <c r="D88" i="82"/>
  <c r="D87" i="82"/>
  <c r="D86" i="82"/>
  <c r="CD36" i="99" l="1"/>
  <c r="CD39" i="99"/>
  <c r="CD38" i="99"/>
  <c r="CD18" i="99"/>
  <c r="CT5" i="80"/>
  <c r="CT4" i="80"/>
  <c r="CT3" i="80"/>
  <c r="CT2" i="80"/>
  <c r="G86" i="85" l="1"/>
  <c r="CT23" i="80"/>
  <c r="CT20" i="80"/>
  <c r="CT21" i="80"/>
  <c r="J11" i="134"/>
  <c r="J5" i="134" l="1"/>
  <c r="D38" i="163" l="1"/>
  <c r="C38" i="163"/>
  <c r="CE46" i="99" l="1"/>
  <c r="CD41" i="99"/>
  <c r="CD40" i="99"/>
  <c r="CD35" i="99"/>
  <c r="CD34" i="99"/>
  <c r="CD33" i="99"/>
  <c r="CD32" i="99"/>
  <c r="CD31" i="99"/>
  <c r="CD30" i="99"/>
  <c r="CD28" i="99"/>
  <c r="CD27" i="99"/>
  <c r="CD26" i="99"/>
  <c r="CD25" i="99"/>
  <c r="CD22" i="99"/>
  <c r="CD21" i="99"/>
  <c r="CD20" i="99"/>
  <c r="CD17" i="99"/>
  <c r="CD13" i="99"/>
  <c r="CD12" i="99"/>
  <c r="CD11" i="99"/>
  <c r="CD10" i="99"/>
  <c r="CD9" i="99"/>
  <c r="CD8" i="99"/>
  <c r="CD7" i="99"/>
  <c r="CD6" i="99"/>
  <c r="CD5" i="99"/>
  <c r="CD4" i="99"/>
  <c r="CD3" i="99"/>
  <c r="CT26" i="80"/>
  <c r="CP37" i="99"/>
  <c r="CP29" i="99"/>
  <c r="CP24" i="99"/>
  <c r="CP23" i="99"/>
  <c r="CP19" i="99"/>
  <c r="CP16" i="99"/>
  <c r="CP14" i="99"/>
  <c r="CP2" i="99"/>
  <c r="D37" i="163"/>
  <c r="C37" i="163"/>
  <c r="CF46" i="99" l="1"/>
  <c r="CE15" i="99"/>
  <c r="CE35" i="99"/>
  <c r="CE20" i="99"/>
  <c r="CE4" i="99"/>
  <c r="CE34" i="99"/>
  <c r="CE18" i="99"/>
  <c r="CE3" i="99"/>
  <c r="CE33" i="99"/>
  <c r="CE17" i="99"/>
  <c r="CE32" i="99"/>
  <c r="CE13" i="99"/>
  <c r="CE12" i="99"/>
  <c r="CE11" i="99"/>
  <c r="CE31" i="99"/>
  <c r="CE30" i="99"/>
  <c r="CE28" i="99"/>
  <c r="CE10" i="99"/>
  <c r="CE22" i="99"/>
  <c r="CE21" i="99"/>
  <c r="CE41" i="99"/>
  <c r="CE27" i="99"/>
  <c r="CE9" i="99"/>
  <c r="CE6" i="99"/>
  <c r="CE40" i="99"/>
  <c r="CE26" i="99"/>
  <c r="CE8" i="99"/>
  <c r="CE39" i="99"/>
  <c r="CE25" i="99"/>
  <c r="CE7" i="99"/>
  <c r="CE5" i="99"/>
  <c r="CE38" i="99"/>
  <c r="CE36" i="99"/>
  <c r="CD43" i="99"/>
  <c r="CT8" i="80"/>
  <c r="CT9" i="80" s="1"/>
  <c r="CT28" i="80"/>
  <c r="D36" i="163"/>
  <c r="C36" i="163"/>
  <c r="CE43" i="99" l="1"/>
  <c r="CT29" i="80"/>
  <c r="CG46" i="99"/>
  <c r="CF15" i="99"/>
  <c r="CF41" i="99"/>
  <c r="CF27" i="99"/>
  <c r="CF9" i="99"/>
  <c r="CF40" i="99"/>
  <c r="CF26" i="99"/>
  <c r="CF8" i="99"/>
  <c r="CF39" i="99"/>
  <c r="CF25" i="99"/>
  <c r="CF7" i="99"/>
  <c r="CF38" i="99"/>
  <c r="CF22" i="99"/>
  <c r="CF6" i="99"/>
  <c r="CF5" i="99"/>
  <c r="CF28" i="99"/>
  <c r="CF36" i="99"/>
  <c r="CF21" i="99"/>
  <c r="CF35" i="99"/>
  <c r="CF20" i="99"/>
  <c r="CF4" i="99"/>
  <c r="CF10" i="99"/>
  <c r="CF34" i="99"/>
  <c r="CF18" i="99"/>
  <c r="CF3" i="99"/>
  <c r="CF33" i="99"/>
  <c r="CF17" i="99"/>
  <c r="CF32" i="99"/>
  <c r="CF13" i="99"/>
  <c r="CF30" i="99"/>
  <c r="CF31" i="99"/>
  <c r="CF12" i="99"/>
  <c r="CF11" i="99"/>
  <c r="E86" i="85"/>
  <c r="CT13" i="80"/>
  <c r="CT30" i="80"/>
  <c r="D35" i="163"/>
  <c r="C35" i="163"/>
  <c r="CF43" i="99" l="1"/>
  <c r="CH46" i="99"/>
  <c r="CG15" i="99"/>
  <c r="CG33" i="99"/>
  <c r="CG17" i="99"/>
  <c r="CG18" i="99"/>
  <c r="CG32" i="99"/>
  <c r="CG13" i="99"/>
  <c r="CG31" i="99"/>
  <c r="CG12" i="99"/>
  <c r="CG30" i="99"/>
  <c r="CG11" i="99"/>
  <c r="CG28" i="99"/>
  <c r="CG10" i="99"/>
  <c r="CG41" i="99"/>
  <c r="CG27" i="99"/>
  <c r="CG9" i="99"/>
  <c r="CG40" i="99"/>
  <c r="CG26" i="99"/>
  <c r="CG8" i="99"/>
  <c r="CG39" i="99"/>
  <c r="CG25" i="99"/>
  <c r="CG7" i="99"/>
  <c r="CG20" i="99"/>
  <c r="CG38" i="99"/>
  <c r="CG22" i="99"/>
  <c r="CG6" i="99"/>
  <c r="CG3" i="99"/>
  <c r="CG36" i="99"/>
  <c r="CG21" i="99"/>
  <c r="CG5" i="99"/>
  <c r="CG35" i="99"/>
  <c r="CG4" i="99"/>
  <c r="CG34" i="99"/>
  <c r="CU13" i="80"/>
  <c r="E87" i="85"/>
  <c r="G11" i="134"/>
  <c r="I11" i="134"/>
  <c r="H11" i="134"/>
  <c r="D34" i="163"/>
  <c r="C34" i="163"/>
  <c r="CG43" i="99" l="1"/>
  <c r="CI46" i="99"/>
  <c r="CH15" i="99"/>
  <c r="CH39" i="99"/>
  <c r="CH25" i="99"/>
  <c r="CH7" i="99"/>
  <c r="CH38" i="99"/>
  <c r="CH22" i="99"/>
  <c r="CH6" i="99"/>
  <c r="CH8" i="99"/>
  <c r="CH36" i="99"/>
  <c r="CH21" i="99"/>
  <c r="CH5" i="99"/>
  <c r="CH26" i="99"/>
  <c r="CH35" i="99"/>
  <c r="CH20" i="99"/>
  <c r="CH4" i="99"/>
  <c r="CH34" i="99"/>
  <c r="CH18" i="99"/>
  <c r="CH3" i="99"/>
  <c r="CH33" i="99"/>
  <c r="CH17" i="99"/>
  <c r="CH32" i="99"/>
  <c r="CH13" i="99"/>
  <c r="CH31" i="99"/>
  <c r="CH12" i="99"/>
  <c r="CH40" i="99"/>
  <c r="CH30" i="99"/>
  <c r="CH11" i="99"/>
  <c r="CH28" i="99"/>
  <c r="CH10" i="99"/>
  <c r="CH27" i="99"/>
  <c r="CH41" i="99"/>
  <c r="CH9" i="99"/>
  <c r="E88" i="85"/>
  <c r="B88" i="85" s="1"/>
  <c r="CV13" i="80"/>
  <c r="CV22" i="80" s="1"/>
  <c r="CG12" i="80"/>
  <c r="CF12" i="80"/>
  <c r="CE12" i="80"/>
  <c r="CD12" i="80"/>
  <c r="CC12" i="80"/>
  <c r="CB12" i="80"/>
  <c r="CA12" i="80"/>
  <c r="BZ12" i="80"/>
  <c r="BY12" i="80"/>
  <c r="BX12" i="80"/>
  <c r="BW12" i="80"/>
  <c r="BV12" i="80"/>
  <c r="BP11" i="99"/>
  <c r="BP10" i="99"/>
  <c r="BP9" i="99"/>
  <c r="BP8" i="99"/>
  <c r="BP7" i="99"/>
  <c r="BP6" i="99"/>
  <c r="BP5" i="99"/>
  <c r="BP4" i="99"/>
  <c r="BP3" i="99"/>
  <c r="BC11" i="99"/>
  <c r="BC10" i="99"/>
  <c r="BC9" i="99"/>
  <c r="BC8" i="99"/>
  <c r="BC7" i="99"/>
  <c r="BC6" i="99"/>
  <c r="BC5" i="99"/>
  <c r="BC4" i="99"/>
  <c r="BC3" i="99"/>
  <c r="AP11" i="99"/>
  <c r="AP10" i="99"/>
  <c r="AP9" i="99"/>
  <c r="AP8" i="99"/>
  <c r="AP7" i="99"/>
  <c r="AP6" i="99"/>
  <c r="AP5" i="99"/>
  <c r="AP4" i="99"/>
  <c r="AP3" i="99"/>
  <c r="AC12" i="99"/>
  <c r="AC11" i="99"/>
  <c r="AC10" i="99"/>
  <c r="AC9" i="99"/>
  <c r="AC8" i="99"/>
  <c r="AC7" i="99"/>
  <c r="AC6" i="99"/>
  <c r="AC5" i="99"/>
  <c r="AC4" i="99"/>
  <c r="AC3" i="99"/>
  <c r="P11" i="99"/>
  <c r="P10" i="99"/>
  <c r="P9" i="99"/>
  <c r="P8" i="99"/>
  <c r="P7" i="99"/>
  <c r="P6" i="99"/>
  <c r="P5" i="99"/>
  <c r="P4" i="99"/>
  <c r="P3" i="99"/>
  <c r="CJ46" i="99" l="1"/>
  <c r="CI15" i="99"/>
  <c r="CI31" i="99"/>
  <c r="CI12" i="99"/>
  <c r="CI30" i="99"/>
  <c r="CI11" i="99"/>
  <c r="CI28" i="99"/>
  <c r="CI10" i="99"/>
  <c r="CI41" i="99"/>
  <c r="CI27" i="99"/>
  <c r="CI9" i="99"/>
  <c r="CI40" i="99"/>
  <c r="CI26" i="99"/>
  <c r="CI8" i="99"/>
  <c r="CI13" i="99"/>
  <c r="CI39" i="99"/>
  <c r="CI25" i="99"/>
  <c r="CI7" i="99"/>
  <c r="CI38" i="99"/>
  <c r="CI22" i="99"/>
  <c r="CI6" i="99"/>
  <c r="CI32" i="99"/>
  <c r="CI36" i="99"/>
  <c r="CI21" i="99"/>
  <c r="CI5" i="99"/>
  <c r="CI35" i="99"/>
  <c r="CI20" i="99"/>
  <c r="CI4" i="99"/>
  <c r="CI34" i="99"/>
  <c r="CI18" i="99"/>
  <c r="CI3" i="99"/>
  <c r="CI17" i="99"/>
  <c r="CI33" i="99"/>
  <c r="CW13" i="80"/>
  <c r="CW22" i="80" s="1"/>
  <c r="CW27" i="80" s="1"/>
  <c r="E89" i="85"/>
  <c r="B89" i="85" s="1"/>
  <c r="CH43" i="99"/>
  <c r="D33" i="163"/>
  <c r="C33" i="163"/>
  <c r="CI43" i="99" l="1"/>
  <c r="CK46" i="99"/>
  <c r="CJ15" i="99"/>
  <c r="CJ36" i="99"/>
  <c r="CJ21" i="99"/>
  <c r="CJ5" i="99"/>
  <c r="CJ22" i="99"/>
  <c r="CJ35" i="99"/>
  <c r="CJ20" i="99"/>
  <c r="CJ4" i="99"/>
  <c r="CJ34" i="99"/>
  <c r="CJ18" i="99"/>
  <c r="CJ3" i="99"/>
  <c r="CJ33" i="99"/>
  <c r="CJ17" i="99"/>
  <c r="CJ38" i="99"/>
  <c r="CJ32" i="99"/>
  <c r="CJ13" i="99"/>
  <c r="CJ31" i="99"/>
  <c r="CJ12" i="99"/>
  <c r="CJ6" i="99"/>
  <c r="CJ30" i="99"/>
  <c r="CJ11" i="99"/>
  <c r="CJ28" i="99"/>
  <c r="CJ10" i="99"/>
  <c r="CJ41" i="99"/>
  <c r="CJ27" i="99"/>
  <c r="CJ9" i="99"/>
  <c r="CJ40" i="99"/>
  <c r="CJ26" i="99"/>
  <c r="CJ8" i="99"/>
  <c r="CJ39" i="99"/>
  <c r="CJ25" i="99"/>
  <c r="CJ7" i="99"/>
  <c r="E90" i="85"/>
  <c r="B90" i="85" s="1"/>
  <c r="CX13" i="80"/>
  <c r="CX22" i="80" s="1"/>
  <c r="CX27" i="80" s="1"/>
  <c r="D32" i="163"/>
  <c r="C32" i="163"/>
  <c r="CL46" i="99" l="1"/>
  <c r="CK15" i="99"/>
  <c r="CK28" i="99"/>
  <c r="CK10" i="99"/>
  <c r="CK41" i="99"/>
  <c r="CK27" i="99"/>
  <c r="CK9" i="99"/>
  <c r="CK40" i="99"/>
  <c r="CK26" i="99"/>
  <c r="CK8" i="99"/>
  <c r="CK39" i="99"/>
  <c r="CK25" i="99"/>
  <c r="CK7" i="99"/>
  <c r="CK38" i="99"/>
  <c r="CK22" i="99"/>
  <c r="CK6" i="99"/>
  <c r="CK36" i="99"/>
  <c r="CK21" i="99"/>
  <c r="CK5" i="99"/>
  <c r="CK35" i="99"/>
  <c r="CK20" i="99"/>
  <c r="CK4" i="99"/>
  <c r="CK34" i="99"/>
  <c r="CK18" i="99"/>
  <c r="CK3" i="99"/>
  <c r="CK11" i="99"/>
  <c r="CK33" i="99"/>
  <c r="CK17" i="99"/>
  <c r="CK32" i="99"/>
  <c r="CK13" i="99"/>
  <c r="CK31" i="99"/>
  <c r="CK12" i="99"/>
  <c r="CK30" i="99"/>
  <c r="CJ43" i="99"/>
  <c r="E91" i="85"/>
  <c r="B91" i="85" s="1"/>
  <c r="CY13" i="80"/>
  <c r="CY22" i="80" s="1"/>
  <c r="CY27" i="80" s="1"/>
  <c r="BP40" i="99"/>
  <c r="BC40" i="99"/>
  <c r="AP40" i="99"/>
  <c r="AC40" i="99"/>
  <c r="P40" i="99"/>
  <c r="CZ13" i="80" l="1"/>
  <c r="CZ22" i="80" s="1"/>
  <c r="CZ27" i="80" s="1"/>
  <c r="E92" i="85"/>
  <c r="B92" i="85" s="1"/>
  <c r="CK43" i="99"/>
  <c r="CM46" i="99"/>
  <c r="CL15" i="99"/>
  <c r="CL34" i="99"/>
  <c r="CL18" i="99"/>
  <c r="CL3" i="99"/>
  <c r="CL20" i="99"/>
  <c r="CL33" i="99"/>
  <c r="CL17" i="99"/>
  <c r="CL32" i="99"/>
  <c r="CL13" i="99"/>
  <c r="CL31" i="99"/>
  <c r="CL12" i="99"/>
  <c r="CL30" i="99"/>
  <c r="CL11" i="99"/>
  <c r="CL28" i="99"/>
  <c r="CL10" i="99"/>
  <c r="CL35" i="99"/>
  <c r="CL41" i="99"/>
  <c r="CL27" i="99"/>
  <c r="CL9" i="99"/>
  <c r="CL4" i="99"/>
  <c r="CL40" i="99"/>
  <c r="CL26" i="99"/>
  <c r="CL8" i="99"/>
  <c r="CL39" i="99"/>
  <c r="CL25" i="99"/>
  <c r="CL7" i="99"/>
  <c r="CL38" i="99"/>
  <c r="CL22" i="99"/>
  <c r="CL6" i="99"/>
  <c r="CL36" i="99"/>
  <c r="CL21" i="99"/>
  <c r="CL5" i="99"/>
  <c r="CG29" i="80"/>
  <c r="CF29" i="80"/>
  <c r="CE29" i="80"/>
  <c r="CD29" i="80"/>
  <c r="CC29" i="80"/>
  <c r="CB29" i="80"/>
  <c r="CA29" i="80"/>
  <c r="BZ29" i="80"/>
  <c r="BY29" i="80"/>
  <c r="BX29" i="80"/>
  <c r="BW29" i="80"/>
  <c r="BV29" i="80"/>
  <c r="BU29" i="80"/>
  <c r="BT29" i="80"/>
  <c r="BS29" i="80"/>
  <c r="BR29" i="80"/>
  <c r="BQ29" i="80"/>
  <c r="BP29" i="80"/>
  <c r="BO29" i="80"/>
  <c r="BN29" i="80"/>
  <c r="BM29" i="80"/>
  <c r="BL29" i="80"/>
  <c r="BK29" i="80"/>
  <c r="BJ29" i="80"/>
  <c r="CG28" i="80"/>
  <c r="CG30" i="80" s="1"/>
  <c r="CF28" i="80"/>
  <c r="CF30" i="80" s="1"/>
  <c r="CE28" i="80"/>
  <c r="CE30" i="80" s="1"/>
  <c r="CD28" i="80"/>
  <c r="CD30" i="80" s="1"/>
  <c r="CC28" i="80"/>
  <c r="CC30" i="80" s="1"/>
  <c r="CB28" i="80"/>
  <c r="CB30" i="80" s="1"/>
  <c r="CA28" i="80"/>
  <c r="CA30" i="80" s="1"/>
  <c r="BZ28" i="80"/>
  <c r="BZ30" i="80" s="1"/>
  <c r="BY28" i="80"/>
  <c r="BY30" i="80" s="1"/>
  <c r="BX28" i="80"/>
  <c r="BX30" i="80" s="1"/>
  <c r="BW28" i="80"/>
  <c r="BV28" i="80"/>
  <c r="BV30" i="80" s="1"/>
  <c r="BU28" i="80"/>
  <c r="BU30" i="80" s="1"/>
  <c r="BT28" i="80"/>
  <c r="BT30" i="80" s="1"/>
  <c r="BS28" i="80"/>
  <c r="BS30" i="80" s="1"/>
  <c r="BR28" i="80"/>
  <c r="BR30" i="80" s="1"/>
  <c r="BQ28" i="80"/>
  <c r="BQ30" i="80" s="1"/>
  <c r="BP28" i="80"/>
  <c r="BP30" i="80" s="1"/>
  <c r="BO28" i="80"/>
  <c r="BO30" i="80" s="1"/>
  <c r="BN28" i="80"/>
  <c r="BN30" i="80" s="1"/>
  <c r="BM28" i="80"/>
  <c r="BM30" i="80" s="1"/>
  <c r="BL28" i="80"/>
  <c r="BL30" i="80" s="1"/>
  <c r="BK28" i="80"/>
  <c r="BK30" i="80" s="1"/>
  <c r="BJ28" i="80"/>
  <c r="BJ30" i="80" s="1"/>
  <c r="BI28" i="80"/>
  <c r="BH28" i="80"/>
  <c r="BG28" i="80"/>
  <c r="BF28" i="80"/>
  <c r="BE28" i="80"/>
  <c r="BD28" i="80"/>
  <c r="BC28" i="80"/>
  <c r="BB28" i="80"/>
  <c r="BA28" i="80"/>
  <c r="AZ28" i="80"/>
  <c r="AY28" i="80"/>
  <c r="AX28" i="80"/>
  <c r="AW28" i="80"/>
  <c r="AV28" i="80"/>
  <c r="AU28" i="80"/>
  <c r="AT28" i="80"/>
  <c r="AS28" i="80"/>
  <c r="AR28" i="80"/>
  <c r="AQ28" i="80"/>
  <c r="AP28" i="80"/>
  <c r="AO28" i="80"/>
  <c r="AN28" i="80"/>
  <c r="AM28" i="80"/>
  <c r="AL28" i="80"/>
  <c r="AK28" i="80"/>
  <c r="AJ28" i="80"/>
  <c r="AI28" i="80"/>
  <c r="AH28" i="80"/>
  <c r="AG28" i="80"/>
  <c r="AF28" i="80"/>
  <c r="AE28" i="80"/>
  <c r="AD28" i="80"/>
  <c r="AC28" i="80"/>
  <c r="AB28" i="80"/>
  <c r="AA28" i="80"/>
  <c r="Z28" i="80"/>
  <c r="Y28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H28" i="80"/>
  <c r="G28" i="80"/>
  <c r="F28" i="80"/>
  <c r="E28" i="80"/>
  <c r="D28" i="80"/>
  <c r="C28" i="80"/>
  <c r="B28" i="80"/>
  <c r="CL43" i="99" l="1"/>
  <c r="BW30" i="80"/>
  <c r="CN46" i="99"/>
  <c r="CM15" i="99"/>
  <c r="CM40" i="99"/>
  <c r="CM26" i="99"/>
  <c r="CM8" i="99"/>
  <c r="CM39" i="99"/>
  <c r="CM25" i="99"/>
  <c r="CM7" i="99"/>
  <c r="CM38" i="99"/>
  <c r="CM22" i="99"/>
  <c r="CM6" i="99"/>
  <c r="CM36" i="99"/>
  <c r="CM21" i="99"/>
  <c r="CM5" i="99"/>
  <c r="CM9" i="99"/>
  <c r="CM35" i="99"/>
  <c r="CM20" i="99"/>
  <c r="CM4" i="99"/>
  <c r="CM34" i="99"/>
  <c r="CM18" i="99"/>
  <c r="CM3" i="99"/>
  <c r="CM33" i="99"/>
  <c r="CM17" i="99"/>
  <c r="CM41" i="99"/>
  <c r="CM32" i="99"/>
  <c r="CM13" i="99"/>
  <c r="CM31" i="99"/>
  <c r="CM12" i="99"/>
  <c r="CM30" i="99"/>
  <c r="CM11" i="99"/>
  <c r="CM28" i="99"/>
  <c r="CM10" i="99"/>
  <c r="CM27" i="99"/>
  <c r="DA13" i="80"/>
  <c r="DA22" i="80" s="1"/>
  <c r="DA27" i="80" s="1"/>
  <c r="E93" i="85"/>
  <c r="B93" i="85" s="1"/>
  <c r="D31" i="163"/>
  <c r="C31" i="163"/>
  <c r="D30" i="163"/>
  <c r="C30" i="163"/>
  <c r="D29" i="163"/>
  <c r="C29" i="163"/>
  <c r="D28" i="163"/>
  <c r="C28" i="163"/>
  <c r="D27" i="163"/>
  <c r="C27" i="163"/>
  <c r="D26" i="163"/>
  <c r="C26" i="163"/>
  <c r="D25" i="163"/>
  <c r="C25" i="163"/>
  <c r="D24" i="163"/>
  <c r="C24" i="163"/>
  <c r="D23" i="163"/>
  <c r="C23" i="163"/>
  <c r="D22" i="163"/>
  <c r="C22" i="163"/>
  <c r="D21" i="163"/>
  <c r="C21" i="163"/>
  <c r="D20" i="163"/>
  <c r="C20" i="163"/>
  <c r="D19" i="163"/>
  <c r="C19" i="163"/>
  <c r="D18" i="163"/>
  <c r="C18" i="163"/>
  <c r="D17" i="163"/>
  <c r="C17" i="163"/>
  <c r="D16" i="163"/>
  <c r="C16" i="163"/>
  <c r="D15" i="163"/>
  <c r="C15" i="163"/>
  <c r="D14" i="163"/>
  <c r="C14" i="163"/>
  <c r="D13" i="163"/>
  <c r="C13" i="163"/>
  <c r="D12" i="163"/>
  <c r="C12" i="163"/>
  <c r="D11" i="163"/>
  <c r="C11" i="163"/>
  <c r="D10" i="163"/>
  <c r="C10" i="163"/>
  <c r="D9" i="163"/>
  <c r="C9" i="163"/>
  <c r="D8" i="163"/>
  <c r="C8" i="163"/>
  <c r="D7" i="163"/>
  <c r="C7" i="163"/>
  <c r="D6" i="163"/>
  <c r="C6" i="163"/>
  <c r="D5" i="163"/>
  <c r="C5" i="163"/>
  <c r="D4" i="163"/>
  <c r="C4" i="163"/>
  <c r="D3" i="163"/>
  <c r="C3" i="163"/>
  <c r="CM43" i="99" l="1"/>
  <c r="CO46" i="99"/>
  <c r="CN15" i="99"/>
  <c r="CN32" i="99"/>
  <c r="CN13" i="99"/>
  <c r="CN31" i="99"/>
  <c r="CN12" i="99"/>
  <c r="CN17" i="99"/>
  <c r="CN30" i="99"/>
  <c r="CN11" i="99"/>
  <c r="CN28" i="99"/>
  <c r="CN10" i="99"/>
  <c r="CN41" i="99"/>
  <c r="CN27" i="99"/>
  <c r="CN9" i="99"/>
  <c r="CN40" i="99"/>
  <c r="CN26" i="99"/>
  <c r="CN8" i="99"/>
  <c r="CN39" i="99"/>
  <c r="CN25" i="99"/>
  <c r="CN7" i="99"/>
  <c r="CN38" i="99"/>
  <c r="CN22" i="99"/>
  <c r="CN6" i="99"/>
  <c r="CN33" i="99"/>
  <c r="CN36" i="99"/>
  <c r="CN21" i="99"/>
  <c r="CN5" i="99"/>
  <c r="CN35" i="99"/>
  <c r="CN20" i="99"/>
  <c r="CN4" i="99"/>
  <c r="CN34" i="99"/>
  <c r="CN18" i="99"/>
  <c r="CN3" i="99"/>
  <c r="DB13" i="80"/>
  <c r="DB22" i="80" s="1"/>
  <c r="DB27" i="80" s="1"/>
  <c r="E94" i="85"/>
  <c r="B94" i="85" s="1"/>
  <c r="I1518" i="155"/>
  <c r="I1559" i="155" s="1"/>
  <c r="I1517" i="155"/>
  <c r="I1558" i="155" s="1"/>
  <c r="I1516" i="155"/>
  <c r="I1515" i="155"/>
  <c r="I1556" i="155" s="1"/>
  <c r="I1514" i="155"/>
  <c r="I1555" i="155" s="1"/>
  <c r="I1513" i="155"/>
  <c r="I1554" i="155" s="1"/>
  <c r="I1511" i="155"/>
  <c r="I1552" i="155" s="1"/>
  <c r="I1510" i="155"/>
  <c r="I1551" i="155" s="1"/>
  <c r="I1509" i="155"/>
  <c r="I1550" i="155" s="1"/>
  <c r="I1508" i="155"/>
  <c r="I1549" i="155" s="1"/>
  <c r="I1507" i="155"/>
  <c r="I1548" i="155" s="1"/>
  <c r="I1506" i="155"/>
  <c r="I1547" i="155" s="1"/>
  <c r="I1505" i="155"/>
  <c r="I1546" i="155" s="1"/>
  <c r="I1504" i="155"/>
  <c r="I1545" i="155" s="1"/>
  <c r="I1503" i="155"/>
  <c r="I1544" i="155" s="1"/>
  <c r="I1501" i="155"/>
  <c r="I1542" i="155" s="1"/>
  <c r="I1500" i="155"/>
  <c r="I1541" i="155" s="1"/>
  <c r="I1499" i="155"/>
  <c r="I1540" i="155" s="1"/>
  <c r="I1498" i="155"/>
  <c r="F401" i="161" s="1"/>
  <c r="I1497" i="155"/>
  <c r="I1538" i="155" s="1"/>
  <c r="I1496" i="155"/>
  <c r="I1537" i="155" s="1"/>
  <c r="I1495" i="155"/>
  <c r="I1536" i="155" s="1"/>
  <c r="I1494" i="155"/>
  <c r="I1535" i="155" s="1"/>
  <c r="I1493" i="155"/>
  <c r="I1534" i="155" s="1"/>
  <c r="I1492" i="155"/>
  <c r="I1533" i="155" s="1"/>
  <c r="I1491" i="155"/>
  <c r="I1490" i="155"/>
  <c r="I1531" i="155" s="1"/>
  <c r="I1489" i="155"/>
  <c r="I1530" i="155" s="1"/>
  <c r="I1488" i="155"/>
  <c r="I1529" i="155" s="1"/>
  <c r="I1487" i="155"/>
  <c r="I1528" i="155" s="1"/>
  <c r="I1486" i="155"/>
  <c r="I1527" i="155" s="1"/>
  <c r="I1485" i="155"/>
  <c r="G118" i="152" s="1"/>
  <c r="I1484" i="155"/>
  <c r="I1440" i="155"/>
  <c r="I1481" i="155" s="1"/>
  <c r="I1439" i="155"/>
  <c r="I1480" i="155" s="1"/>
  <c r="I1438" i="155"/>
  <c r="I1437" i="155"/>
  <c r="I1478" i="155" s="1"/>
  <c r="I1436" i="155"/>
  <c r="I1477" i="155" s="1"/>
  <c r="I1435" i="155"/>
  <c r="I1476" i="155" s="1"/>
  <c r="I1433" i="155"/>
  <c r="I1474" i="155" s="1"/>
  <c r="I1432" i="155"/>
  <c r="I1473" i="155" s="1"/>
  <c r="I1431" i="155"/>
  <c r="I1472" i="155" s="1"/>
  <c r="I1430" i="155"/>
  <c r="I1471" i="155" s="1"/>
  <c r="I1429" i="155"/>
  <c r="I1470" i="155" s="1"/>
  <c r="I1428" i="155"/>
  <c r="I1469" i="155" s="1"/>
  <c r="I1427" i="155"/>
  <c r="I1468" i="155" s="1"/>
  <c r="I1426" i="155"/>
  <c r="I1467" i="155" s="1"/>
  <c r="I1425" i="155"/>
  <c r="I1466" i="155" s="1"/>
  <c r="I1423" i="155"/>
  <c r="I1464" i="155" s="1"/>
  <c r="I1422" i="155"/>
  <c r="I1463" i="155" s="1"/>
  <c r="I1421" i="155"/>
  <c r="I1462" i="155" s="1"/>
  <c r="I1420" i="155"/>
  <c r="F380" i="161" s="1"/>
  <c r="I1419" i="155"/>
  <c r="I1460" i="155" s="1"/>
  <c r="I1418" i="155"/>
  <c r="I1459" i="155" s="1"/>
  <c r="I1417" i="155"/>
  <c r="I1458" i="155" s="1"/>
  <c r="I1416" i="155"/>
  <c r="I1457" i="155" s="1"/>
  <c r="I1415" i="155"/>
  <c r="I1456" i="155" s="1"/>
  <c r="I1414" i="155"/>
  <c r="I1455" i="155" s="1"/>
  <c r="I1413" i="155"/>
  <c r="I1454" i="155" s="1"/>
  <c r="I1412" i="155"/>
  <c r="I1453" i="155" s="1"/>
  <c r="I1411" i="155"/>
  <c r="I1452" i="155" s="1"/>
  <c r="I1410" i="155"/>
  <c r="I1451" i="155" s="1"/>
  <c r="I1409" i="155"/>
  <c r="I1450" i="155" s="1"/>
  <c r="I1408" i="155"/>
  <c r="I1449" i="155" s="1"/>
  <c r="I1407" i="155"/>
  <c r="I1406" i="155"/>
  <c r="I1362" i="155"/>
  <c r="I1403" i="155" s="1"/>
  <c r="I1361" i="155"/>
  <c r="I1402" i="155" s="1"/>
  <c r="I1360" i="155"/>
  <c r="I1359" i="155"/>
  <c r="I1400" i="155" s="1"/>
  <c r="I1358" i="155"/>
  <c r="I1399" i="155" s="1"/>
  <c r="I1357" i="155"/>
  <c r="I1398" i="155" s="1"/>
  <c r="I1355" i="155"/>
  <c r="I1396" i="155" s="1"/>
  <c r="I1354" i="155"/>
  <c r="I1395" i="155" s="1"/>
  <c r="I1353" i="155"/>
  <c r="I1394" i="155" s="1"/>
  <c r="I1352" i="155"/>
  <c r="I1393" i="155" s="1"/>
  <c r="I1351" i="155"/>
  <c r="I1392" i="155" s="1"/>
  <c r="I1350" i="155"/>
  <c r="I1391" i="155" s="1"/>
  <c r="I1349" i="155"/>
  <c r="I1390" i="155" s="1"/>
  <c r="I1348" i="155"/>
  <c r="I1389" i="155" s="1"/>
  <c r="I1347" i="155"/>
  <c r="I1388" i="155" s="1"/>
  <c r="I1345" i="155"/>
  <c r="I1386" i="155" s="1"/>
  <c r="I1344" i="155"/>
  <c r="I1385" i="155" s="1"/>
  <c r="I1343" i="155"/>
  <c r="I1384" i="155" s="1"/>
  <c r="I1342" i="155"/>
  <c r="F359" i="161" s="1"/>
  <c r="I1341" i="155"/>
  <c r="I1382" i="155" s="1"/>
  <c r="I1340" i="155"/>
  <c r="I1381" i="155" s="1"/>
  <c r="I1339" i="155"/>
  <c r="I1380" i="155" s="1"/>
  <c r="I1338" i="155"/>
  <c r="I1379" i="155" s="1"/>
  <c r="I1337" i="155"/>
  <c r="I1378" i="155" s="1"/>
  <c r="I1336" i="155"/>
  <c r="I1335" i="155"/>
  <c r="I1376" i="155" s="1"/>
  <c r="I1334" i="155"/>
  <c r="I1375" i="155" s="1"/>
  <c r="I1333" i="155"/>
  <c r="I1374" i="155" s="1"/>
  <c r="I1332" i="155"/>
  <c r="I1373" i="155" s="1"/>
  <c r="I1331" i="155"/>
  <c r="I1372" i="155" s="1"/>
  <c r="I1330" i="155"/>
  <c r="I1371" i="155" s="1"/>
  <c r="I1329" i="155"/>
  <c r="G106" i="152" s="1"/>
  <c r="I1328" i="155"/>
  <c r="I1284" i="155"/>
  <c r="I1325" i="155" s="1"/>
  <c r="I1283" i="155"/>
  <c r="I1324" i="155" s="1"/>
  <c r="I1282" i="155"/>
  <c r="I1281" i="155"/>
  <c r="I1322" i="155" s="1"/>
  <c r="I1280" i="155"/>
  <c r="I1321" i="155" s="1"/>
  <c r="I1279" i="155"/>
  <c r="I1320" i="155" s="1"/>
  <c r="I1277" i="155"/>
  <c r="I1318" i="155" s="1"/>
  <c r="I1276" i="155"/>
  <c r="I1317" i="155" s="1"/>
  <c r="I1275" i="155"/>
  <c r="I1316" i="155" s="1"/>
  <c r="I1274" i="155"/>
  <c r="I1315" i="155" s="1"/>
  <c r="I1273" i="155"/>
  <c r="I1314" i="155" s="1"/>
  <c r="I1272" i="155"/>
  <c r="I1313" i="155" s="1"/>
  <c r="I1271" i="155"/>
  <c r="I1312" i="155" s="1"/>
  <c r="I1270" i="155"/>
  <c r="I1311" i="155" s="1"/>
  <c r="I1269" i="155"/>
  <c r="I1310" i="155" s="1"/>
  <c r="I1267" i="155"/>
  <c r="I1308" i="155" s="1"/>
  <c r="I1266" i="155"/>
  <c r="I1307" i="155" s="1"/>
  <c r="I1265" i="155"/>
  <c r="I1306" i="155" s="1"/>
  <c r="I1264" i="155"/>
  <c r="F338" i="161" s="1"/>
  <c r="I1263" i="155"/>
  <c r="I1304" i="155" s="1"/>
  <c r="I1262" i="155"/>
  <c r="I1303" i="155" s="1"/>
  <c r="I1261" i="155"/>
  <c r="I1302" i="155" s="1"/>
  <c r="I1260" i="155"/>
  <c r="I1301" i="155" s="1"/>
  <c r="I1259" i="155"/>
  <c r="I1300" i="155" s="1"/>
  <c r="I1258" i="155"/>
  <c r="I1299" i="155" s="1"/>
  <c r="I1257" i="155"/>
  <c r="I1298" i="155" s="1"/>
  <c r="I1256" i="155"/>
  <c r="I1297" i="155" s="1"/>
  <c r="I1255" i="155"/>
  <c r="I1296" i="155" s="1"/>
  <c r="I1254" i="155"/>
  <c r="I1295" i="155" s="1"/>
  <c r="I1253" i="155"/>
  <c r="I1294" i="155" s="1"/>
  <c r="I1252" i="155"/>
  <c r="I1293" i="155" s="1"/>
  <c r="I1251" i="155"/>
  <c r="I1250" i="155"/>
  <c r="I1206" i="155"/>
  <c r="I1247" i="155" s="1"/>
  <c r="I1205" i="155"/>
  <c r="I1246" i="155" s="1"/>
  <c r="I1204" i="155"/>
  <c r="I1203" i="155"/>
  <c r="I1244" i="155" s="1"/>
  <c r="I1202" i="155"/>
  <c r="I1243" i="155" s="1"/>
  <c r="I1201" i="155"/>
  <c r="I1242" i="155" s="1"/>
  <c r="I1199" i="155"/>
  <c r="I1240" i="155" s="1"/>
  <c r="I1198" i="155"/>
  <c r="I1239" i="155" s="1"/>
  <c r="I1197" i="155"/>
  <c r="I1238" i="155" s="1"/>
  <c r="I1196" i="155"/>
  <c r="I1237" i="155" s="1"/>
  <c r="I1195" i="155"/>
  <c r="I1236" i="155" s="1"/>
  <c r="I1194" i="155"/>
  <c r="I1235" i="155" s="1"/>
  <c r="I1193" i="155"/>
  <c r="I1234" i="155" s="1"/>
  <c r="I1192" i="155"/>
  <c r="I1233" i="155" s="1"/>
  <c r="I1191" i="155"/>
  <c r="I1232" i="155" s="1"/>
  <c r="I1189" i="155"/>
  <c r="I1230" i="155" s="1"/>
  <c r="I1188" i="155"/>
  <c r="I1229" i="155" s="1"/>
  <c r="I1187" i="155"/>
  <c r="I1228" i="155" s="1"/>
  <c r="I1186" i="155"/>
  <c r="F317" i="161" s="1"/>
  <c r="I1185" i="155"/>
  <c r="I1226" i="155" s="1"/>
  <c r="I1184" i="155"/>
  <c r="I1225" i="155" s="1"/>
  <c r="I1183" i="155"/>
  <c r="I1224" i="155" s="1"/>
  <c r="I1182" i="155"/>
  <c r="I1223" i="155" s="1"/>
  <c r="I1181" i="155"/>
  <c r="I1222" i="155" s="1"/>
  <c r="I1180" i="155"/>
  <c r="I1221" i="155" s="1"/>
  <c r="I1179" i="155"/>
  <c r="I1178" i="155"/>
  <c r="I1219" i="155" s="1"/>
  <c r="I1177" i="155"/>
  <c r="I1218" i="155" s="1"/>
  <c r="I1176" i="155"/>
  <c r="I1217" i="155" s="1"/>
  <c r="I1175" i="155"/>
  <c r="I1216" i="155" s="1"/>
  <c r="I1174" i="155"/>
  <c r="I1215" i="155" s="1"/>
  <c r="I1173" i="155"/>
  <c r="I1172" i="155"/>
  <c r="I1128" i="155"/>
  <c r="I1169" i="155" s="1"/>
  <c r="I1127" i="155"/>
  <c r="I1168" i="155" s="1"/>
  <c r="I1126" i="155"/>
  <c r="I1125" i="155"/>
  <c r="I1166" i="155" s="1"/>
  <c r="I1124" i="155"/>
  <c r="I1165" i="155" s="1"/>
  <c r="I1123" i="155"/>
  <c r="I1164" i="155" s="1"/>
  <c r="I1121" i="155"/>
  <c r="I1162" i="155" s="1"/>
  <c r="I1120" i="155"/>
  <c r="I1161" i="155" s="1"/>
  <c r="I1119" i="155"/>
  <c r="I1160" i="155" s="1"/>
  <c r="I1118" i="155"/>
  <c r="I1159" i="155" s="1"/>
  <c r="I1117" i="155"/>
  <c r="I1158" i="155" s="1"/>
  <c r="I1116" i="155"/>
  <c r="I1157" i="155" s="1"/>
  <c r="I1115" i="155"/>
  <c r="I1156" i="155" s="1"/>
  <c r="I1114" i="155"/>
  <c r="I1155" i="155" s="1"/>
  <c r="I1113" i="155"/>
  <c r="I1154" i="155" s="1"/>
  <c r="I1111" i="155"/>
  <c r="I1152" i="155" s="1"/>
  <c r="I1110" i="155"/>
  <c r="I1151" i="155" s="1"/>
  <c r="I1109" i="155"/>
  <c r="I1150" i="155" s="1"/>
  <c r="I1108" i="155"/>
  <c r="F296" i="161" s="1"/>
  <c r="I1107" i="155"/>
  <c r="I1148" i="155" s="1"/>
  <c r="I1106" i="155"/>
  <c r="I1147" i="155" s="1"/>
  <c r="I1105" i="155"/>
  <c r="I1146" i="155" s="1"/>
  <c r="I1104" i="155"/>
  <c r="I1145" i="155" s="1"/>
  <c r="I1103" i="155"/>
  <c r="I1144" i="155" s="1"/>
  <c r="I1102" i="155"/>
  <c r="I1143" i="155" s="1"/>
  <c r="I1101" i="155"/>
  <c r="I1100" i="155"/>
  <c r="I1141" i="155" s="1"/>
  <c r="I1099" i="155"/>
  <c r="I1140" i="155" s="1"/>
  <c r="I1098" i="155"/>
  <c r="I1139" i="155" s="1"/>
  <c r="I1097" i="155"/>
  <c r="I1138" i="155" s="1"/>
  <c r="I1096" i="155"/>
  <c r="I1137" i="155" s="1"/>
  <c r="I1095" i="155"/>
  <c r="G88" i="152" s="1"/>
  <c r="I1094" i="155"/>
  <c r="I1050" i="155"/>
  <c r="I1091" i="155" s="1"/>
  <c r="I1049" i="155"/>
  <c r="I1090" i="155" s="1"/>
  <c r="I1048" i="155"/>
  <c r="I1047" i="155"/>
  <c r="I1088" i="155" s="1"/>
  <c r="I1046" i="155"/>
  <c r="I1087" i="155" s="1"/>
  <c r="I1045" i="155"/>
  <c r="I1086" i="155" s="1"/>
  <c r="I1043" i="155"/>
  <c r="I1084" i="155" s="1"/>
  <c r="I1042" i="155"/>
  <c r="I1083" i="155" s="1"/>
  <c r="I1041" i="155"/>
  <c r="I1082" i="155" s="1"/>
  <c r="I1040" i="155"/>
  <c r="I1081" i="155" s="1"/>
  <c r="I1039" i="155"/>
  <c r="I1080" i="155" s="1"/>
  <c r="I1038" i="155"/>
  <c r="I1079" i="155" s="1"/>
  <c r="I1037" i="155"/>
  <c r="I1078" i="155" s="1"/>
  <c r="I1036" i="155"/>
  <c r="I1077" i="155" s="1"/>
  <c r="I1035" i="155"/>
  <c r="I1076" i="155" s="1"/>
  <c r="I1033" i="155"/>
  <c r="I1074" i="155" s="1"/>
  <c r="I1032" i="155"/>
  <c r="I1073" i="155" s="1"/>
  <c r="I1031" i="155"/>
  <c r="I1072" i="155" s="1"/>
  <c r="I1030" i="155"/>
  <c r="F275" i="161" s="1"/>
  <c r="I1029" i="155"/>
  <c r="I1070" i="155" s="1"/>
  <c r="I1028" i="155"/>
  <c r="I1069" i="155" s="1"/>
  <c r="I1027" i="155"/>
  <c r="I1068" i="155" s="1"/>
  <c r="I1026" i="155"/>
  <c r="I1067" i="155" s="1"/>
  <c r="I1025" i="155"/>
  <c r="I1066" i="155" s="1"/>
  <c r="I1024" i="155"/>
  <c r="I1065" i="155" s="1"/>
  <c r="I1023" i="155"/>
  <c r="I1064" i="155" s="1"/>
  <c r="I1022" i="155"/>
  <c r="I1063" i="155" s="1"/>
  <c r="I1021" i="155"/>
  <c r="I1062" i="155" s="1"/>
  <c r="I1020" i="155"/>
  <c r="I1061" i="155" s="1"/>
  <c r="I1019" i="155"/>
  <c r="I1060" i="155" s="1"/>
  <c r="I1018" i="155"/>
  <c r="I1059" i="155" s="1"/>
  <c r="I1017" i="155"/>
  <c r="G82" i="152" s="1"/>
  <c r="I1016" i="155"/>
  <c r="I660" i="155"/>
  <c r="I701" i="155" s="1"/>
  <c r="I659" i="155"/>
  <c r="I700" i="155" s="1"/>
  <c r="I658" i="155"/>
  <c r="I657" i="155"/>
  <c r="I698" i="155" s="1"/>
  <c r="I656" i="155"/>
  <c r="I697" i="155" s="1"/>
  <c r="I655" i="155"/>
  <c r="I696" i="155" s="1"/>
  <c r="I653" i="155"/>
  <c r="I694" i="155" s="1"/>
  <c r="I652" i="155"/>
  <c r="I693" i="155" s="1"/>
  <c r="I651" i="155"/>
  <c r="I692" i="155" s="1"/>
  <c r="I650" i="155"/>
  <c r="I691" i="155" s="1"/>
  <c r="I649" i="155"/>
  <c r="I690" i="155" s="1"/>
  <c r="I648" i="155"/>
  <c r="I689" i="155" s="1"/>
  <c r="I647" i="155"/>
  <c r="I688" i="155" s="1"/>
  <c r="I646" i="155"/>
  <c r="I687" i="155" s="1"/>
  <c r="I645" i="155"/>
  <c r="I686" i="155" s="1"/>
  <c r="I643" i="155"/>
  <c r="I684" i="155" s="1"/>
  <c r="I642" i="155"/>
  <c r="I683" i="155" s="1"/>
  <c r="I641" i="155"/>
  <c r="I682" i="155" s="1"/>
  <c r="I640" i="155"/>
  <c r="I639" i="155"/>
  <c r="I680" i="155" s="1"/>
  <c r="I638" i="155"/>
  <c r="I679" i="155" s="1"/>
  <c r="I637" i="155"/>
  <c r="I678" i="155" s="1"/>
  <c r="I636" i="155"/>
  <c r="I677" i="155" s="1"/>
  <c r="I635" i="155"/>
  <c r="I676" i="155" s="1"/>
  <c r="I634" i="155"/>
  <c r="I675" i="155" s="1"/>
  <c r="I633" i="155"/>
  <c r="I632" i="155"/>
  <c r="I673" i="155" s="1"/>
  <c r="I631" i="155"/>
  <c r="I672" i="155" s="1"/>
  <c r="I630" i="155"/>
  <c r="I671" i="155" s="1"/>
  <c r="I629" i="155"/>
  <c r="I670" i="155" s="1"/>
  <c r="I628" i="155"/>
  <c r="I669" i="155" s="1"/>
  <c r="I627" i="155"/>
  <c r="I668" i="155" s="1"/>
  <c r="I626" i="155"/>
  <c r="I738" i="155"/>
  <c r="I779" i="155" s="1"/>
  <c r="I737" i="155"/>
  <c r="I778" i="155" s="1"/>
  <c r="I736" i="155"/>
  <c r="I735" i="155"/>
  <c r="I776" i="155" s="1"/>
  <c r="I734" i="155"/>
  <c r="I775" i="155" s="1"/>
  <c r="I733" i="155"/>
  <c r="I774" i="155" s="1"/>
  <c r="I731" i="155"/>
  <c r="I772" i="155" s="1"/>
  <c r="I730" i="155"/>
  <c r="I771" i="155" s="1"/>
  <c r="I729" i="155"/>
  <c r="I770" i="155" s="1"/>
  <c r="I728" i="155"/>
  <c r="I769" i="155" s="1"/>
  <c r="I727" i="155"/>
  <c r="I768" i="155" s="1"/>
  <c r="I726" i="155"/>
  <c r="I767" i="155" s="1"/>
  <c r="I725" i="155"/>
  <c r="I766" i="155" s="1"/>
  <c r="I724" i="155"/>
  <c r="I765" i="155" s="1"/>
  <c r="I723" i="155"/>
  <c r="I764" i="155" s="1"/>
  <c r="I721" i="155"/>
  <c r="I762" i="155" s="1"/>
  <c r="I720" i="155"/>
  <c r="I761" i="155" s="1"/>
  <c r="I719" i="155"/>
  <c r="I760" i="155" s="1"/>
  <c r="I718" i="155"/>
  <c r="I717" i="155"/>
  <c r="I758" i="155" s="1"/>
  <c r="I716" i="155"/>
  <c r="I757" i="155" s="1"/>
  <c r="I715" i="155"/>
  <c r="I756" i="155" s="1"/>
  <c r="I714" i="155"/>
  <c r="I755" i="155" s="1"/>
  <c r="I713" i="155"/>
  <c r="I754" i="155" s="1"/>
  <c r="I712" i="155"/>
  <c r="I753" i="155" s="1"/>
  <c r="I711" i="155"/>
  <c r="I752" i="155" s="1"/>
  <c r="I710" i="155"/>
  <c r="I751" i="155" s="1"/>
  <c r="I709" i="155"/>
  <c r="I750" i="155" s="1"/>
  <c r="I708" i="155"/>
  <c r="I749" i="155" s="1"/>
  <c r="I707" i="155"/>
  <c r="I748" i="155" s="1"/>
  <c r="I706" i="155"/>
  <c r="I747" i="155" s="1"/>
  <c r="I705" i="155"/>
  <c r="I746" i="155" s="1"/>
  <c r="I704" i="155"/>
  <c r="I827" i="155"/>
  <c r="I816" i="155"/>
  <c r="I857" i="155" s="1"/>
  <c r="I815" i="155"/>
  <c r="I856" i="155" s="1"/>
  <c r="I814" i="155"/>
  <c r="I813" i="155"/>
  <c r="I854" i="155" s="1"/>
  <c r="I812" i="155"/>
  <c r="I853" i="155" s="1"/>
  <c r="I811" i="155"/>
  <c r="I852" i="155" s="1"/>
  <c r="I809" i="155"/>
  <c r="I850" i="155" s="1"/>
  <c r="I808" i="155"/>
  <c r="I849" i="155" s="1"/>
  <c r="I807" i="155"/>
  <c r="I848" i="155" s="1"/>
  <c r="I806" i="155"/>
  <c r="I847" i="155" s="1"/>
  <c r="I805" i="155"/>
  <c r="I846" i="155" s="1"/>
  <c r="I804" i="155"/>
  <c r="I845" i="155" s="1"/>
  <c r="I803" i="155"/>
  <c r="I844" i="155" s="1"/>
  <c r="I802" i="155"/>
  <c r="I843" i="155" s="1"/>
  <c r="I801" i="155"/>
  <c r="I842" i="155" s="1"/>
  <c r="I799" i="155"/>
  <c r="I840" i="155" s="1"/>
  <c r="I798" i="155"/>
  <c r="I839" i="155" s="1"/>
  <c r="I797" i="155"/>
  <c r="I838" i="155" s="1"/>
  <c r="I796" i="155"/>
  <c r="I795" i="155"/>
  <c r="I836" i="155" s="1"/>
  <c r="I794" i="155"/>
  <c r="I835" i="155" s="1"/>
  <c r="I793" i="155"/>
  <c r="I834" i="155" s="1"/>
  <c r="I792" i="155"/>
  <c r="I833" i="155" s="1"/>
  <c r="I791" i="155"/>
  <c r="I832" i="155" s="1"/>
  <c r="I790" i="155"/>
  <c r="I831" i="155" s="1"/>
  <c r="I789" i="155"/>
  <c r="I830" i="155" s="1"/>
  <c r="I788" i="155"/>
  <c r="I829" i="155" s="1"/>
  <c r="I787" i="155"/>
  <c r="I828" i="155" s="1"/>
  <c r="I786" i="155"/>
  <c r="I785" i="155"/>
  <c r="I826" i="155" s="1"/>
  <c r="I784" i="155"/>
  <c r="I825" i="155" s="1"/>
  <c r="I783" i="155"/>
  <c r="I824" i="155" s="1"/>
  <c r="I782" i="155"/>
  <c r="I894" i="155"/>
  <c r="I935" i="155" s="1"/>
  <c r="I893" i="155"/>
  <c r="I934" i="155" s="1"/>
  <c r="I892" i="155"/>
  <c r="I891" i="155"/>
  <c r="I932" i="155" s="1"/>
  <c r="I890" i="155"/>
  <c r="I931" i="155" s="1"/>
  <c r="I889" i="155"/>
  <c r="I930" i="155" s="1"/>
  <c r="I887" i="155"/>
  <c r="I928" i="155" s="1"/>
  <c r="I886" i="155"/>
  <c r="I927" i="155" s="1"/>
  <c r="I885" i="155"/>
  <c r="I926" i="155" s="1"/>
  <c r="I884" i="155"/>
  <c r="I925" i="155" s="1"/>
  <c r="I883" i="155"/>
  <c r="I924" i="155" s="1"/>
  <c r="I882" i="155"/>
  <c r="I923" i="155" s="1"/>
  <c r="I881" i="155"/>
  <c r="I922" i="155" s="1"/>
  <c r="I880" i="155"/>
  <c r="I921" i="155" s="1"/>
  <c r="I879" i="155"/>
  <c r="I920" i="155" s="1"/>
  <c r="I877" i="155"/>
  <c r="I918" i="155" s="1"/>
  <c r="I876" i="155"/>
  <c r="I917" i="155" s="1"/>
  <c r="I875" i="155"/>
  <c r="I916" i="155" s="1"/>
  <c r="I874" i="155"/>
  <c r="I873" i="155"/>
  <c r="I914" i="155" s="1"/>
  <c r="I872" i="155"/>
  <c r="I913" i="155" s="1"/>
  <c r="I871" i="155"/>
  <c r="I912" i="155" s="1"/>
  <c r="I870" i="155"/>
  <c r="I911" i="155" s="1"/>
  <c r="I869" i="155"/>
  <c r="I910" i="155" s="1"/>
  <c r="I868" i="155"/>
  <c r="I909" i="155" s="1"/>
  <c r="I867" i="155"/>
  <c r="I908" i="155" s="1"/>
  <c r="I866" i="155"/>
  <c r="I907" i="155" s="1"/>
  <c r="I865" i="155"/>
  <c r="I906" i="155" s="1"/>
  <c r="I864" i="155"/>
  <c r="I905" i="155" s="1"/>
  <c r="I863" i="155"/>
  <c r="I904" i="155" s="1"/>
  <c r="I862" i="155"/>
  <c r="I903" i="155" s="1"/>
  <c r="I861" i="155"/>
  <c r="I860" i="155"/>
  <c r="I972" i="155"/>
  <c r="I971" i="155"/>
  <c r="I970" i="155"/>
  <c r="I969" i="155"/>
  <c r="I968" i="155"/>
  <c r="I967" i="155"/>
  <c r="I965" i="155"/>
  <c r="I964" i="155"/>
  <c r="I963" i="155"/>
  <c r="I962" i="155"/>
  <c r="I961" i="155"/>
  <c r="I960" i="155"/>
  <c r="I959" i="155"/>
  <c r="I958" i="155"/>
  <c r="I957" i="155"/>
  <c r="I955" i="155"/>
  <c r="I954" i="155"/>
  <c r="I953" i="155"/>
  <c r="I952" i="155"/>
  <c r="I951" i="155"/>
  <c r="I950" i="155"/>
  <c r="I949" i="155"/>
  <c r="I948" i="155"/>
  <c r="I947" i="155"/>
  <c r="I946" i="155"/>
  <c r="I945" i="155"/>
  <c r="I944" i="155"/>
  <c r="I943" i="155"/>
  <c r="I942" i="155"/>
  <c r="I941" i="155"/>
  <c r="I940" i="155"/>
  <c r="I939" i="155"/>
  <c r="I938" i="155"/>
  <c r="CN43" i="99" l="1"/>
  <c r="CO15" i="99"/>
  <c r="CP15" i="99" s="1"/>
  <c r="CO38" i="99"/>
  <c r="CO22" i="99"/>
  <c r="CP22" i="99" s="1"/>
  <c r="CO6" i="99"/>
  <c r="CP6" i="99" s="1"/>
  <c r="CO7" i="99"/>
  <c r="CP7" i="99" s="1"/>
  <c r="CO36" i="99"/>
  <c r="CP36" i="99" s="1"/>
  <c r="CO21" i="99"/>
  <c r="CP21" i="99" s="1"/>
  <c r="CO5" i="99"/>
  <c r="CP5" i="99" s="1"/>
  <c r="CO35" i="99"/>
  <c r="CP35" i="99" s="1"/>
  <c r="CO20" i="99"/>
  <c r="CP20" i="99" s="1"/>
  <c r="CO4" i="99"/>
  <c r="CP4" i="99" s="1"/>
  <c r="CO34" i="99"/>
  <c r="CP34" i="99" s="1"/>
  <c r="CO18" i="99"/>
  <c r="CP18" i="99" s="1"/>
  <c r="CO3" i="99"/>
  <c r="CO33" i="99"/>
  <c r="CP33" i="99" s="1"/>
  <c r="CO17" i="99"/>
  <c r="CP17" i="99" s="1"/>
  <c r="CO39" i="99"/>
  <c r="CO32" i="99"/>
  <c r="CP32" i="99" s="1"/>
  <c r="CO13" i="99"/>
  <c r="CP13" i="99" s="1"/>
  <c r="CO31" i="99"/>
  <c r="CP31" i="99" s="1"/>
  <c r="CO12" i="99"/>
  <c r="CP12" i="99" s="1"/>
  <c r="CO30" i="99"/>
  <c r="CP30" i="99" s="1"/>
  <c r="CO11" i="99"/>
  <c r="CP11" i="99" s="1"/>
  <c r="CO28" i="99"/>
  <c r="CP28" i="99" s="1"/>
  <c r="CO10" i="99"/>
  <c r="CP10" i="99" s="1"/>
  <c r="CO41" i="99"/>
  <c r="CP41" i="99" s="1"/>
  <c r="CO27" i="99"/>
  <c r="CP27" i="99" s="1"/>
  <c r="CO9" i="99"/>
  <c r="CP9" i="99" s="1"/>
  <c r="CO25" i="99"/>
  <c r="CP25" i="99" s="1"/>
  <c r="CO40" i="99"/>
  <c r="CP40" i="99" s="1"/>
  <c r="CO26" i="99"/>
  <c r="CP26" i="99" s="1"/>
  <c r="CO8" i="99"/>
  <c r="CP8" i="99" s="1"/>
  <c r="E95" i="85"/>
  <c r="B95" i="85" s="1"/>
  <c r="DC13" i="80"/>
  <c r="DC22" i="80" s="1"/>
  <c r="DC27" i="80" s="1"/>
  <c r="G100" i="152"/>
  <c r="F334" i="161"/>
  <c r="G112" i="152"/>
  <c r="G99" i="152"/>
  <c r="G101" i="152"/>
  <c r="F280" i="161"/>
  <c r="G104" i="152"/>
  <c r="F298" i="161"/>
  <c r="F351" i="161"/>
  <c r="F285" i="161"/>
  <c r="G105" i="152"/>
  <c r="F301" i="161"/>
  <c r="F352" i="161"/>
  <c r="F302" i="161"/>
  <c r="F360" i="161"/>
  <c r="G117" i="152"/>
  <c r="F309" i="161"/>
  <c r="F372" i="161"/>
  <c r="F310" i="161"/>
  <c r="F373" i="161"/>
  <c r="F276" i="161"/>
  <c r="F313" i="161"/>
  <c r="F376" i="161"/>
  <c r="F277" i="161"/>
  <c r="F322" i="161"/>
  <c r="F381" i="161"/>
  <c r="F326" i="161"/>
  <c r="F385" i="161"/>
  <c r="G81" i="152"/>
  <c r="G93" i="152"/>
  <c r="F284" i="161"/>
  <c r="F330" i="161"/>
  <c r="F386" i="161"/>
  <c r="F389" i="161"/>
  <c r="F286" i="161"/>
  <c r="F340" i="161"/>
  <c r="F398" i="161"/>
  <c r="F297" i="161"/>
  <c r="F348" i="161"/>
  <c r="F402" i="161"/>
  <c r="F347" i="161"/>
  <c r="G87" i="152"/>
  <c r="I1207" i="155"/>
  <c r="G80" i="152"/>
  <c r="G98" i="152"/>
  <c r="G116" i="152"/>
  <c r="F283" i="161"/>
  <c r="F308" i="161"/>
  <c r="F321" i="161"/>
  <c r="F333" i="161"/>
  <c r="F346" i="161"/>
  <c r="F371" i="161"/>
  <c r="F384" i="161"/>
  <c r="F396" i="161"/>
  <c r="F409" i="161"/>
  <c r="F397" i="161"/>
  <c r="F410" i="161"/>
  <c r="F335" i="161"/>
  <c r="F361" i="161"/>
  <c r="F411" i="161"/>
  <c r="F323" i="161"/>
  <c r="G83" i="152"/>
  <c r="G119" i="152"/>
  <c r="F299" i="161"/>
  <c r="F311" i="161"/>
  <c r="F324" i="161"/>
  <c r="F336" i="161"/>
  <c r="F349" i="161"/>
  <c r="F362" i="161"/>
  <c r="F374" i="161"/>
  <c r="F387" i="161"/>
  <c r="F399" i="161"/>
  <c r="F412" i="161"/>
  <c r="G86" i="152"/>
  <c r="F287" i="161"/>
  <c r="F300" i="161"/>
  <c r="F312" i="161"/>
  <c r="F325" i="161"/>
  <c r="F350" i="161"/>
  <c r="F363" i="161"/>
  <c r="F375" i="161"/>
  <c r="F388" i="161"/>
  <c r="F413" i="161"/>
  <c r="F414" i="161"/>
  <c r="F364" i="161"/>
  <c r="F327" i="161"/>
  <c r="F365" i="161"/>
  <c r="F377" i="161"/>
  <c r="F390" i="161"/>
  <c r="F403" i="161"/>
  <c r="F415" i="161"/>
  <c r="F314" i="161"/>
  <c r="G89" i="152"/>
  <c r="G107" i="152"/>
  <c r="F278" i="161"/>
  <c r="F290" i="161"/>
  <c r="F303" i="161"/>
  <c r="F315" i="161"/>
  <c r="F328" i="161"/>
  <c r="F341" i="161"/>
  <c r="F353" i="161"/>
  <c r="F366" i="161"/>
  <c r="F378" i="161"/>
  <c r="F391" i="161"/>
  <c r="F404" i="161"/>
  <c r="F416" i="161"/>
  <c r="F289" i="161"/>
  <c r="G92" i="152"/>
  <c r="G110" i="152"/>
  <c r="F279" i="161"/>
  <c r="F291" i="161"/>
  <c r="F304" i="161"/>
  <c r="F329" i="161"/>
  <c r="F342" i="161"/>
  <c r="F354" i="161"/>
  <c r="F367" i="161"/>
  <c r="F392" i="161"/>
  <c r="F405" i="161"/>
  <c r="F417" i="161"/>
  <c r="F288" i="161"/>
  <c r="F339" i="161"/>
  <c r="G111" i="152"/>
  <c r="F305" i="161"/>
  <c r="F318" i="161"/>
  <c r="F343" i="161"/>
  <c r="F355" i="161"/>
  <c r="F368" i="161"/>
  <c r="F393" i="161"/>
  <c r="F406" i="161"/>
  <c r="F418" i="161"/>
  <c r="F292" i="161"/>
  <c r="G94" i="152"/>
  <c r="F281" i="161"/>
  <c r="F293" i="161"/>
  <c r="F306" i="161"/>
  <c r="F319" i="161"/>
  <c r="F331" i="161"/>
  <c r="F344" i="161"/>
  <c r="F356" i="161"/>
  <c r="F369" i="161"/>
  <c r="F382" i="161"/>
  <c r="F394" i="161"/>
  <c r="F407" i="161"/>
  <c r="F419" i="161"/>
  <c r="G95" i="152"/>
  <c r="G113" i="152"/>
  <c r="F282" i="161"/>
  <c r="F294" i="161"/>
  <c r="F307" i="161"/>
  <c r="F320" i="161"/>
  <c r="F332" i="161"/>
  <c r="F345" i="161"/>
  <c r="F357" i="161"/>
  <c r="F370" i="161"/>
  <c r="F383" i="161"/>
  <c r="F395" i="161"/>
  <c r="F408" i="161"/>
  <c r="F420" i="161"/>
  <c r="I1502" i="155"/>
  <c r="I1512" i="155" s="1"/>
  <c r="J1512" i="155" s="1"/>
  <c r="I1519" i="155"/>
  <c r="I1520" i="155" s="1"/>
  <c r="J1520" i="155" s="1"/>
  <c r="I1532" i="155"/>
  <c r="I1526" i="155"/>
  <c r="I1441" i="155"/>
  <c r="I1442" i="155" s="1"/>
  <c r="J1442" i="155" s="1"/>
  <c r="I1448" i="155"/>
  <c r="I1424" i="155"/>
  <c r="I1363" i="155"/>
  <c r="J1363" i="155" s="1"/>
  <c r="I1346" i="155"/>
  <c r="J1346" i="155" s="1"/>
  <c r="I1377" i="155"/>
  <c r="I1370" i="155"/>
  <c r="I1285" i="155"/>
  <c r="J1285" i="155" s="1"/>
  <c r="I1268" i="155"/>
  <c r="I1292" i="155"/>
  <c r="I1190" i="155"/>
  <c r="J1190" i="155" s="1"/>
  <c r="J1207" i="155"/>
  <c r="I1208" i="155"/>
  <c r="J1208" i="155" s="1"/>
  <c r="I1220" i="155"/>
  <c r="I1214" i="155"/>
  <c r="I1112" i="155"/>
  <c r="I1122" i="155" s="1"/>
  <c r="J1122" i="155" s="1"/>
  <c r="I1129" i="155"/>
  <c r="J1129" i="155" s="1"/>
  <c r="I1142" i="155"/>
  <c r="I1136" i="155"/>
  <c r="I1051" i="155"/>
  <c r="J1051" i="155" s="1"/>
  <c r="I1034" i="155"/>
  <c r="J1034" i="155" s="1"/>
  <c r="I1058" i="155"/>
  <c r="I895" i="155"/>
  <c r="J895" i="155" s="1"/>
  <c r="I661" i="155"/>
  <c r="J661" i="155" s="1"/>
  <c r="I800" i="155"/>
  <c r="I722" i="155"/>
  <c r="I739" i="155"/>
  <c r="J739" i="155" s="1"/>
  <c r="I644" i="155"/>
  <c r="I817" i="155"/>
  <c r="I674" i="155"/>
  <c r="I902" i="155"/>
  <c r="I878" i="155"/>
  <c r="CO43" i="99" l="1"/>
  <c r="CP3" i="99"/>
  <c r="E96" i="85"/>
  <c r="B96" i="85" s="1"/>
  <c r="DD13" i="80"/>
  <c r="DD22" i="80" s="1"/>
  <c r="DD27" i="80" s="1"/>
  <c r="J1112" i="155"/>
  <c r="I1356" i="155"/>
  <c r="J1356" i="155" s="1"/>
  <c r="I1286" i="155"/>
  <c r="J1286" i="155" s="1"/>
  <c r="I896" i="155"/>
  <c r="J896" i="155" s="1"/>
  <c r="J1502" i="155"/>
  <c r="I1044" i="155"/>
  <c r="J1044" i="155" s="1"/>
  <c r="I1200" i="155"/>
  <c r="J1200" i="155" s="1"/>
  <c r="I1364" i="155"/>
  <c r="J1364" i="155" s="1"/>
  <c r="I1052" i="155"/>
  <c r="J1052" i="155" s="1"/>
  <c r="J1441" i="155"/>
  <c r="J1519" i="155"/>
  <c r="F358" i="161"/>
  <c r="G355" i="161" s="1"/>
  <c r="F421" i="161"/>
  <c r="G411" i="161" s="1"/>
  <c r="F295" i="161"/>
  <c r="G286" i="161" s="1"/>
  <c r="F400" i="161"/>
  <c r="G385" i="161" s="1"/>
  <c r="F316" i="161"/>
  <c r="G315" i="161" s="1"/>
  <c r="F337" i="161"/>
  <c r="G335" i="161" s="1"/>
  <c r="F379" i="161"/>
  <c r="G362" i="161" s="1"/>
  <c r="I1130" i="155"/>
  <c r="J1130" i="155" s="1"/>
  <c r="I1434" i="155"/>
  <c r="J1434" i="155" s="1"/>
  <c r="J1424" i="155"/>
  <c r="J1268" i="155"/>
  <c r="I1278" i="155"/>
  <c r="J1278" i="155" s="1"/>
  <c r="I654" i="155"/>
  <c r="J654" i="155" s="1"/>
  <c r="J644" i="155"/>
  <c r="I818" i="155"/>
  <c r="J818" i="155" s="1"/>
  <c r="J817" i="155"/>
  <c r="I740" i="155"/>
  <c r="J740" i="155" s="1"/>
  <c r="I888" i="155"/>
  <c r="J888" i="155" s="1"/>
  <c r="J878" i="155"/>
  <c r="I732" i="155"/>
  <c r="J732" i="155" s="1"/>
  <c r="J722" i="155"/>
  <c r="I810" i="155"/>
  <c r="J810" i="155" s="1"/>
  <c r="J800" i="155"/>
  <c r="I662" i="155"/>
  <c r="J662" i="155" s="1"/>
  <c r="DE13" i="80" l="1"/>
  <c r="DE22" i="80" s="1"/>
  <c r="DE27" i="80" s="1"/>
  <c r="E97" i="85"/>
  <c r="B97" i="85" s="1"/>
  <c r="G84" i="152"/>
  <c r="G85" i="152" s="1"/>
  <c r="H80" i="152" s="1"/>
  <c r="G102" i="152"/>
  <c r="G103" i="152" s="1"/>
  <c r="H100" i="152" s="1"/>
  <c r="G354" i="161"/>
  <c r="G349" i="161"/>
  <c r="G348" i="161"/>
  <c r="G345" i="161"/>
  <c r="G351" i="161"/>
  <c r="G350" i="161"/>
  <c r="G338" i="161"/>
  <c r="G342" i="161"/>
  <c r="G339" i="161"/>
  <c r="G347" i="161"/>
  <c r="G341" i="161"/>
  <c r="G346" i="161"/>
  <c r="G388" i="161"/>
  <c r="G340" i="161"/>
  <c r="G344" i="161"/>
  <c r="G353" i="161"/>
  <c r="G308" i="161"/>
  <c r="G279" i="161"/>
  <c r="G277" i="161"/>
  <c r="G291" i="161"/>
  <c r="G290" i="161"/>
  <c r="G288" i="161"/>
  <c r="G282" i="161"/>
  <c r="G289" i="161"/>
  <c r="G294" i="161"/>
  <c r="G407" i="161"/>
  <c r="G419" i="161"/>
  <c r="G284" i="161"/>
  <c r="G356" i="161"/>
  <c r="G352" i="161"/>
  <c r="G90" i="152"/>
  <c r="G91" i="152" s="1"/>
  <c r="H86" i="152" s="1"/>
  <c r="G410" i="161"/>
  <c r="G406" i="161"/>
  <c r="G281" i="161"/>
  <c r="G329" i="161"/>
  <c r="G343" i="161"/>
  <c r="G321" i="161"/>
  <c r="G319" i="161"/>
  <c r="G368" i="161"/>
  <c r="G120" i="152"/>
  <c r="G121" i="152" s="1"/>
  <c r="H119" i="152" s="1"/>
  <c r="G403" i="161"/>
  <c r="G413" i="161"/>
  <c r="G409" i="161"/>
  <c r="G402" i="161"/>
  <c r="G304" i="161"/>
  <c r="G416" i="161"/>
  <c r="G408" i="161"/>
  <c r="G332" i="161"/>
  <c r="G325" i="161"/>
  <c r="G390" i="161"/>
  <c r="G96" i="152"/>
  <c r="G97" i="152" s="1"/>
  <c r="H95" i="152" s="1"/>
  <c r="G401" i="161"/>
  <c r="G276" i="161"/>
  <c r="G397" i="161"/>
  <c r="G412" i="161"/>
  <c r="G318" i="161"/>
  <c r="G420" i="161"/>
  <c r="G418" i="161"/>
  <c r="G414" i="161"/>
  <c r="G417" i="161"/>
  <c r="G405" i="161"/>
  <c r="G415" i="161"/>
  <c r="G404" i="161"/>
  <c r="G398" i="161"/>
  <c r="G392" i="161"/>
  <c r="G280" i="161"/>
  <c r="G357" i="161"/>
  <c r="G300" i="161"/>
  <c r="G287" i="161"/>
  <c r="G293" i="161"/>
  <c r="G383" i="161"/>
  <c r="G275" i="161"/>
  <c r="G380" i="161"/>
  <c r="G391" i="161"/>
  <c r="G363" i="161"/>
  <c r="G326" i="161"/>
  <c r="G378" i="161"/>
  <c r="G331" i="161"/>
  <c r="G324" i="161"/>
  <c r="G322" i="161"/>
  <c r="G313" i="161"/>
  <c r="G283" i="161"/>
  <c r="G328" i="161"/>
  <c r="G334" i="161"/>
  <c r="G373" i="161"/>
  <c r="G317" i="161"/>
  <c r="G327" i="161"/>
  <c r="G296" i="161"/>
  <c r="G372" i="161"/>
  <c r="G377" i="161"/>
  <c r="G333" i="161"/>
  <c r="G367" i="161"/>
  <c r="G323" i="161"/>
  <c r="G302" i="161"/>
  <c r="G320" i="161"/>
  <c r="G330" i="161"/>
  <c r="G336" i="161"/>
  <c r="G394" i="161"/>
  <c r="G278" i="161"/>
  <c r="G364" i="161"/>
  <c r="G114" i="152"/>
  <c r="G115" i="152" s="1"/>
  <c r="H112" i="152" s="1"/>
  <c r="G292" i="161"/>
  <c r="G303" i="161"/>
  <c r="G360" i="161"/>
  <c r="G384" i="161"/>
  <c r="G285" i="161"/>
  <c r="G365" i="161"/>
  <c r="G382" i="161"/>
  <c r="G298" i="161"/>
  <c r="G389" i="161"/>
  <c r="G361" i="161"/>
  <c r="G395" i="161"/>
  <c r="G311" i="161"/>
  <c r="G359" i="161"/>
  <c r="G374" i="161"/>
  <c r="G309" i="161"/>
  <c r="G381" i="161"/>
  <c r="G393" i="161"/>
  <c r="G310" i="161"/>
  <c r="G305" i="161"/>
  <c r="G376" i="161"/>
  <c r="G387" i="161"/>
  <c r="G386" i="161"/>
  <c r="G399" i="161"/>
  <c r="G306" i="161"/>
  <c r="G297" i="161"/>
  <c r="G299" i="161"/>
  <c r="G312" i="161"/>
  <c r="G108" i="152"/>
  <c r="G307" i="161"/>
  <c r="G301" i="161"/>
  <c r="G314" i="161"/>
  <c r="G396" i="161"/>
  <c r="G369" i="161"/>
  <c r="G371" i="161"/>
  <c r="G370" i="161"/>
  <c r="G375" i="161"/>
  <c r="G366" i="161"/>
  <c r="H81" i="152" l="1"/>
  <c r="H82" i="152"/>
  <c r="H99" i="152"/>
  <c r="H102" i="152"/>
  <c r="H101" i="152"/>
  <c r="H98" i="152"/>
  <c r="H84" i="152"/>
  <c r="H83" i="152"/>
  <c r="H85" i="152" s="1"/>
  <c r="G421" i="161"/>
  <c r="G400" i="161"/>
  <c r="G379" i="161"/>
  <c r="H103" i="152"/>
  <c r="G358" i="161"/>
  <c r="G337" i="161"/>
  <c r="G316" i="161"/>
  <c r="H93" i="152"/>
  <c r="H94" i="152"/>
  <c r="H89" i="152"/>
  <c r="H90" i="152"/>
  <c r="H120" i="152"/>
  <c r="H88" i="152"/>
  <c r="H87" i="152"/>
  <c r="H118" i="152"/>
  <c r="H117" i="152"/>
  <c r="H96" i="152"/>
  <c r="H92" i="152"/>
  <c r="H116" i="152"/>
  <c r="G295" i="161"/>
  <c r="H111" i="152"/>
  <c r="H114" i="152"/>
  <c r="H113" i="152"/>
  <c r="H110" i="152"/>
  <c r="G109" i="152"/>
  <c r="H108" i="152" s="1"/>
  <c r="AH51" i="132"/>
  <c r="AH42" i="132"/>
  <c r="AH41" i="132"/>
  <c r="AH36" i="132"/>
  <c r="AH35" i="132"/>
  <c r="AH34" i="132"/>
  <c r="AH33" i="132"/>
  <c r="AH32" i="132"/>
  <c r="AH31" i="132"/>
  <c r="AH30" i="132"/>
  <c r="AH29" i="132"/>
  <c r="AH28" i="132"/>
  <c r="AH27" i="132"/>
  <c r="AH24" i="132"/>
  <c r="AH23" i="132"/>
  <c r="AH19" i="132" s="1"/>
  <c r="AH22" i="132"/>
  <c r="AH21" i="132"/>
  <c r="AH20" i="132"/>
  <c r="AH18" i="132"/>
  <c r="AH17" i="132"/>
  <c r="AH16" i="132"/>
  <c r="AH15" i="132"/>
  <c r="AH14" i="132"/>
  <c r="AH13" i="132"/>
  <c r="AH12" i="132"/>
  <c r="AH10" i="132"/>
  <c r="AH9" i="132"/>
  <c r="AH8" i="132"/>
  <c r="AH7" i="132"/>
  <c r="AH6" i="132"/>
  <c r="AH5" i="132"/>
  <c r="AH4" i="132"/>
  <c r="AH3" i="132" l="1"/>
  <c r="H121" i="152"/>
  <c r="H115" i="152"/>
  <c r="H91" i="152"/>
  <c r="H97" i="152"/>
  <c r="H107" i="152"/>
  <c r="H106" i="152"/>
  <c r="H105" i="152"/>
  <c r="H104" i="152"/>
  <c r="AH26" i="132"/>
  <c r="AH25" i="132" s="1"/>
  <c r="AH11" i="132"/>
  <c r="H109" i="152" l="1"/>
  <c r="F273" i="161"/>
  <c r="F272" i="161"/>
  <c r="F271" i="161"/>
  <c r="F270" i="161"/>
  <c r="F269" i="161"/>
  <c r="F268" i="161"/>
  <c r="F267" i="161"/>
  <c r="F266" i="161"/>
  <c r="F265" i="161"/>
  <c r="F264" i="161"/>
  <c r="F263" i="161"/>
  <c r="F262" i="161"/>
  <c r="F261" i="161"/>
  <c r="F260" i="161"/>
  <c r="F259" i="161"/>
  <c r="F258" i="161"/>
  <c r="F257" i="161"/>
  <c r="F256" i="161"/>
  <c r="F255" i="161"/>
  <c r="F254" i="161"/>
  <c r="G77" i="152"/>
  <c r="G76" i="152"/>
  <c r="G75" i="152"/>
  <c r="G74" i="152"/>
  <c r="I956" i="155"/>
  <c r="I966" i="155" s="1"/>
  <c r="J966" i="155" s="1"/>
  <c r="I1013" i="155"/>
  <c r="I1012" i="155"/>
  <c r="I1010" i="155"/>
  <c r="I1009" i="155"/>
  <c r="I1008" i="155"/>
  <c r="I1006" i="155"/>
  <c r="I1005" i="155"/>
  <c r="I1004" i="155"/>
  <c r="I1003" i="155"/>
  <c r="I1002" i="155"/>
  <c r="I1001" i="155"/>
  <c r="I1000" i="155"/>
  <c r="I999" i="155"/>
  <c r="I998" i="155"/>
  <c r="I996" i="155"/>
  <c r="I995" i="155"/>
  <c r="I994" i="155"/>
  <c r="I992" i="155"/>
  <c r="I991" i="155"/>
  <c r="I990" i="155"/>
  <c r="I989" i="155"/>
  <c r="I988" i="155"/>
  <c r="I987" i="155"/>
  <c r="I986" i="155"/>
  <c r="I985" i="155"/>
  <c r="I984" i="155"/>
  <c r="I983" i="155"/>
  <c r="I982" i="155"/>
  <c r="I981" i="155"/>
  <c r="I980" i="155"/>
  <c r="I973" i="155"/>
  <c r="J973" i="155" s="1"/>
  <c r="F274" i="161" l="1"/>
  <c r="G262" i="161" s="1"/>
  <c r="G78" i="152"/>
  <c r="G272" i="161"/>
  <c r="I974" i="155"/>
  <c r="J974" i="155" s="1"/>
  <c r="J956" i="155"/>
  <c r="AF51" i="132"/>
  <c r="AF42" i="132"/>
  <c r="AF41" i="132"/>
  <c r="AF36" i="132"/>
  <c r="AF35" i="132"/>
  <c r="AF34" i="132"/>
  <c r="AF33" i="132"/>
  <c r="AF32" i="132"/>
  <c r="AF31" i="132"/>
  <c r="AF30" i="132"/>
  <c r="AF29" i="132"/>
  <c r="AF28" i="132"/>
  <c r="AF27" i="132"/>
  <c r="AF24" i="132"/>
  <c r="AF23" i="132"/>
  <c r="AF22" i="132"/>
  <c r="AF21" i="132"/>
  <c r="AF20" i="132"/>
  <c r="AF18" i="132"/>
  <c r="AF17" i="132"/>
  <c r="AF16" i="132"/>
  <c r="AF15" i="132"/>
  <c r="AF14" i="132"/>
  <c r="AF13" i="132"/>
  <c r="AF12" i="132"/>
  <c r="AF10" i="132"/>
  <c r="AF9" i="132"/>
  <c r="AF8" i="132"/>
  <c r="AF7" i="132"/>
  <c r="AF6" i="132"/>
  <c r="AF4" i="132"/>
  <c r="AF19" i="132" l="1"/>
  <c r="AF11" i="132"/>
  <c r="G268" i="161"/>
  <c r="G271" i="161"/>
  <c r="G270" i="161"/>
  <c r="G269" i="161"/>
  <c r="G267" i="161"/>
  <c r="G261" i="161"/>
  <c r="G259" i="161"/>
  <c r="G258" i="161"/>
  <c r="G257" i="161"/>
  <c r="G254" i="161"/>
  <c r="G255" i="161"/>
  <c r="G273" i="161"/>
  <c r="G266" i="161"/>
  <c r="AF5" i="132"/>
  <c r="AF3" i="132" s="1"/>
  <c r="AF26" i="132"/>
  <c r="AF25" i="132" s="1"/>
  <c r="G256" i="161"/>
  <c r="G260" i="161"/>
  <c r="G265" i="161"/>
  <c r="G264" i="161"/>
  <c r="G263" i="161"/>
  <c r="G79" i="152"/>
  <c r="G274" i="161" l="1"/>
  <c r="H75" i="152"/>
  <c r="H74" i="152"/>
  <c r="H76" i="152"/>
  <c r="H77" i="152"/>
  <c r="H78" i="152"/>
  <c r="H79" i="152" l="1"/>
  <c r="F252" i="161" l="1"/>
  <c r="F251" i="161"/>
  <c r="F250" i="161"/>
  <c r="F249" i="161"/>
  <c r="F248" i="161"/>
  <c r="F247" i="161"/>
  <c r="F246" i="161"/>
  <c r="F245" i="161"/>
  <c r="F244" i="161"/>
  <c r="F243" i="161"/>
  <c r="F242" i="161"/>
  <c r="F241" i="161"/>
  <c r="F240" i="161"/>
  <c r="F239" i="161"/>
  <c r="F238" i="161"/>
  <c r="F237" i="161"/>
  <c r="F236" i="161"/>
  <c r="F235" i="161"/>
  <c r="F234" i="161"/>
  <c r="F233" i="161"/>
  <c r="F231" i="161"/>
  <c r="F230" i="161"/>
  <c r="F229" i="161"/>
  <c r="F228" i="161"/>
  <c r="F227" i="161"/>
  <c r="F226" i="161"/>
  <c r="F225" i="161"/>
  <c r="F224" i="161"/>
  <c r="F223" i="161"/>
  <c r="F222" i="161"/>
  <c r="F221" i="161"/>
  <c r="F220" i="161"/>
  <c r="F219" i="161"/>
  <c r="F218" i="161"/>
  <c r="F217" i="161"/>
  <c r="F216" i="161"/>
  <c r="F215" i="161"/>
  <c r="F214" i="161"/>
  <c r="F213" i="161"/>
  <c r="F212" i="161"/>
  <c r="F210" i="161"/>
  <c r="F209" i="161"/>
  <c r="F208" i="161"/>
  <c r="F207" i="161"/>
  <c r="F206" i="161"/>
  <c r="F205" i="161"/>
  <c r="F204" i="161"/>
  <c r="F203" i="161"/>
  <c r="F202" i="161"/>
  <c r="F201" i="161"/>
  <c r="F200" i="161"/>
  <c r="F199" i="161"/>
  <c r="F198" i="161"/>
  <c r="F197" i="161"/>
  <c r="F196" i="161"/>
  <c r="F195" i="161"/>
  <c r="F194" i="161"/>
  <c r="F193" i="161"/>
  <c r="F192" i="161"/>
  <c r="F191" i="161"/>
  <c r="F189" i="161"/>
  <c r="F188" i="161"/>
  <c r="F187" i="161"/>
  <c r="F186" i="161"/>
  <c r="F185" i="161"/>
  <c r="F184" i="161"/>
  <c r="F183" i="161"/>
  <c r="F182" i="161"/>
  <c r="F181" i="161"/>
  <c r="F180" i="161"/>
  <c r="F179" i="161"/>
  <c r="F178" i="161"/>
  <c r="F177" i="161"/>
  <c r="F176" i="161"/>
  <c r="F175" i="161"/>
  <c r="F174" i="161"/>
  <c r="F173" i="161"/>
  <c r="F172" i="161"/>
  <c r="F171" i="161"/>
  <c r="F170" i="161"/>
  <c r="F168" i="161"/>
  <c r="F167" i="161"/>
  <c r="F166" i="161"/>
  <c r="F165" i="161"/>
  <c r="F164" i="161"/>
  <c r="F163" i="161"/>
  <c r="F162" i="161"/>
  <c r="F161" i="161"/>
  <c r="F160" i="161"/>
  <c r="F159" i="161"/>
  <c r="F158" i="161"/>
  <c r="F157" i="161"/>
  <c r="F156" i="161"/>
  <c r="F155" i="161"/>
  <c r="F154" i="161"/>
  <c r="F153" i="161"/>
  <c r="F152" i="161"/>
  <c r="F151" i="161"/>
  <c r="F150" i="161"/>
  <c r="F149" i="161"/>
  <c r="F147" i="161"/>
  <c r="F146" i="161"/>
  <c r="F145" i="161"/>
  <c r="F144" i="161"/>
  <c r="F143" i="161"/>
  <c r="F142" i="161"/>
  <c r="F141" i="161"/>
  <c r="F140" i="161"/>
  <c r="F139" i="161"/>
  <c r="F138" i="161"/>
  <c r="F137" i="161"/>
  <c r="F136" i="161"/>
  <c r="F135" i="161"/>
  <c r="F134" i="161"/>
  <c r="F133" i="161"/>
  <c r="F132" i="161"/>
  <c r="F131" i="161"/>
  <c r="F130" i="161"/>
  <c r="F129" i="161"/>
  <c r="F128" i="161"/>
  <c r="F126" i="161"/>
  <c r="F125" i="161"/>
  <c r="F124" i="161"/>
  <c r="F123" i="161"/>
  <c r="F122" i="161"/>
  <c r="F121" i="161"/>
  <c r="F120" i="161"/>
  <c r="F119" i="161"/>
  <c r="F118" i="161"/>
  <c r="F117" i="161"/>
  <c r="F116" i="161"/>
  <c r="F115" i="161"/>
  <c r="F114" i="161"/>
  <c r="F113" i="161"/>
  <c r="F112" i="161"/>
  <c r="F111" i="161"/>
  <c r="F110" i="161"/>
  <c r="F109" i="161"/>
  <c r="F108" i="161"/>
  <c r="F107" i="161"/>
  <c r="F105" i="161"/>
  <c r="F104" i="161"/>
  <c r="F103" i="161"/>
  <c r="F102" i="161"/>
  <c r="F101" i="161"/>
  <c r="F100" i="161"/>
  <c r="F99" i="161"/>
  <c r="F98" i="161"/>
  <c r="F97" i="161"/>
  <c r="F96" i="161"/>
  <c r="F95" i="161"/>
  <c r="F94" i="161"/>
  <c r="F93" i="161"/>
  <c r="F92" i="161"/>
  <c r="F91" i="161"/>
  <c r="F90" i="161"/>
  <c r="F89" i="161"/>
  <c r="F88" i="161"/>
  <c r="F87" i="161"/>
  <c r="F86" i="161"/>
  <c r="F84" i="161"/>
  <c r="F83" i="161"/>
  <c r="F82" i="161"/>
  <c r="F81" i="161"/>
  <c r="F80" i="161"/>
  <c r="F79" i="161"/>
  <c r="F78" i="161"/>
  <c r="F77" i="161"/>
  <c r="F76" i="161"/>
  <c r="F75" i="161"/>
  <c r="F74" i="161"/>
  <c r="F73" i="161"/>
  <c r="F72" i="161"/>
  <c r="F71" i="161"/>
  <c r="F70" i="161"/>
  <c r="F69" i="161"/>
  <c r="F68" i="161"/>
  <c r="F67" i="161"/>
  <c r="F66" i="161"/>
  <c r="F65" i="161"/>
  <c r="F63" i="161"/>
  <c r="F62" i="161"/>
  <c r="F61" i="161"/>
  <c r="F60" i="161"/>
  <c r="F59" i="161"/>
  <c r="F58" i="161"/>
  <c r="F57" i="161"/>
  <c r="F56" i="161"/>
  <c r="F55" i="161"/>
  <c r="F54" i="161"/>
  <c r="F53" i="161"/>
  <c r="F52" i="161"/>
  <c r="F51" i="161"/>
  <c r="F50" i="161"/>
  <c r="F49" i="161"/>
  <c r="F48" i="161"/>
  <c r="F47" i="161"/>
  <c r="F46" i="161"/>
  <c r="F45" i="161"/>
  <c r="F44" i="161"/>
  <c r="F42" i="161"/>
  <c r="F41" i="161"/>
  <c r="F40" i="161"/>
  <c r="F39" i="161"/>
  <c r="F38" i="161"/>
  <c r="F37" i="161"/>
  <c r="F36" i="161"/>
  <c r="F35" i="161"/>
  <c r="F34" i="161"/>
  <c r="F33" i="161"/>
  <c r="F32" i="161"/>
  <c r="F31" i="161"/>
  <c r="F30" i="161"/>
  <c r="F29" i="161"/>
  <c r="F28" i="161"/>
  <c r="F27" i="161"/>
  <c r="F26" i="161"/>
  <c r="F25" i="161"/>
  <c r="F24" i="161"/>
  <c r="F23" i="161"/>
  <c r="F21" i="161"/>
  <c r="F20" i="161"/>
  <c r="F19" i="161"/>
  <c r="F18" i="161"/>
  <c r="F17" i="161"/>
  <c r="F16" i="161"/>
  <c r="F15" i="161"/>
  <c r="F14" i="161"/>
  <c r="F13" i="161"/>
  <c r="F12" i="161"/>
  <c r="F11" i="161"/>
  <c r="F10" i="161"/>
  <c r="F9" i="161"/>
  <c r="F8" i="161"/>
  <c r="F7" i="161"/>
  <c r="F6" i="161"/>
  <c r="F5" i="161"/>
  <c r="F4" i="161"/>
  <c r="F3" i="161"/>
  <c r="F2" i="161"/>
  <c r="G71" i="152"/>
  <c r="G70" i="152"/>
  <c r="G69" i="152"/>
  <c r="G68" i="152"/>
  <c r="G65" i="152"/>
  <c r="G64" i="152"/>
  <c r="G63" i="152"/>
  <c r="G62" i="152"/>
  <c r="G59" i="152"/>
  <c r="G58" i="152"/>
  <c r="G57" i="152"/>
  <c r="G56" i="152"/>
  <c r="G53" i="152"/>
  <c r="G52" i="152"/>
  <c r="G51" i="152"/>
  <c r="G50" i="152"/>
  <c r="G47" i="152"/>
  <c r="G46" i="152"/>
  <c r="G45" i="152"/>
  <c r="G44" i="152"/>
  <c r="G41" i="152"/>
  <c r="G40" i="152"/>
  <c r="G39" i="152"/>
  <c r="G38" i="152"/>
  <c r="G35" i="152"/>
  <c r="G34" i="152"/>
  <c r="G33" i="152"/>
  <c r="G32" i="152"/>
  <c r="G29" i="152"/>
  <c r="G28" i="152"/>
  <c r="G27" i="152"/>
  <c r="G26" i="152"/>
  <c r="G23" i="152"/>
  <c r="G22" i="152"/>
  <c r="G21" i="152"/>
  <c r="G20" i="152"/>
  <c r="G17" i="152"/>
  <c r="G16" i="152"/>
  <c r="G15" i="152"/>
  <c r="G14" i="152"/>
  <c r="G11" i="152"/>
  <c r="G10" i="152"/>
  <c r="G9" i="152"/>
  <c r="G8" i="152"/>
  <c r="G5" i="152"/>
  <c r="G4" i="152"/>
  <c r="G3" i="152"/>
  <c r="G2" i="152"/>
  <c r="G259" i="160"/>
  <c r="G257" i="160"/>
  <c r="G256" i="160"/>
  <c r="G255" i="160"/>
  <c r="G254" i="160"/>
  <c r="G253" i="160"/>
  <c r="G251" i="160"/>
  <c r="G250" i="160"/>
  <c r="G249" i="160"/>
  <c r="G248" i="160"/>
  <c r="G247" i="160"/>
  <c r="G245" i="160"/>
  <c r="H245" i="160" s="1"/>
  <c r="G244" i="160"/>
  <c r="G243" i="160"/>
  <c r="G242" i="160"/>
  <c r="G240" i="160"/>
  <c r="G239" i="160"/>
  <c r="G238" i="160"/>
  <c r="G237" i="160"/>
  <c r="G236" i="160"/>
  <c r="G235" i="160"/>
  <c r="G234" i="160"/>
  <c r="G233" i="160"/>
  <c r="G232" i="160"/>
  <c r="G231" i="160"/>
  <c r="G230" i="160"/>
  <c r="G229" i="160"/>
  <c r="G228" i="160"/>
  <c r="G227" i="160"/>
  <c r="G226" i="160"/>
  <c r="G225" i="160"/>
  <c r="G224" i="160"/>
  <c r="G223" i="160"/>
  <c r="G222" i="160"/>
  <c r="G221" i="160"/>
  <c r="G219" i="160"/>
  <c r="G218" i="160"/>
  <c r="G217" i="160"/>
  <c r="G216" i="160"/>
  <c r="G215" i="160"/>
  <c r="G214" i="160"/>
  <c r="G213" i="160"/>
  <c r="G212" i="160"/>
  <c r="G211" i="160"/>
  <c r="G210" i="160"/>
  <c r="G209" i="160"/>
  <c r="G208" i="160"/>
  <c r="G207" i="160"/>
  <c r="G206" i="160"/>
  <c r="G205" i="160"/>
  <c r="G204" i="160"/>
  <c r="G203" i="160"/>
  <c r="G202" i="160"/>
  <c r="G201" i="160"/>
  <c r="G200" i="160"/>
  <c r="G198" i="160"/>
  <c r="G197" i="160"/>
  <c r="G196" i="160"/>
  <c r="G195" i="160"/>
  <c r="G194" i="160"/>
  <c r="G193" i="160"/>
  <c r="G192" i="160"/>
  <c r="G191" i="160"/>
  <c r="G190" i="160"/>
  <c r="G189" i="160"/>
  <c r="G188" i="160"/>
  <c r="G187" i="160"/>
  <c r="G186" i="160"/>
  <c r="G185" i="160"/>
  <c r="G184" i="160"/>
  <c r="G183" i="160"/>
  <c r="G182" i="160"/>
  <c r="G181" i="160"/>
  <c r="G180" i="160"/>
  <c r="G179" i="160"/>
  <c r="G177" i="160"/>
  <c r="G176" i="160"/>
  <c r="G175" i="160"/>
  <c r="G174" i="160"/>
  <c r="G173" i="160"/>
  <c r="G172" i="160"/>
  <c r="G171" i="160"/>
  <c r="G170" i="160"/>
  <c r="G169" i="160"/>
  <c r="G168" i="160"/>
  <c r="G167" i="160"/>
  <c r="G166" i="160"/>
  <c r="G165" i="160"/>
  <c r="G164" i="160"/>
  <c r="G163" i="160"/>
  <c r="G162" i="160"/>
  <c r="G161" i="160"/>
  <c r="G160" i="160"/>
  <c r="G159" i="160"/>
  <c r="G158" i="160"/>
  <c r="G156" i="160"/>
  <c r="G155" i="160"/>
  <c r="G154" i="160"/>
  <c r="G153" i="160"/>
  <c r="G152" i="160"/>
  <c r="G151" i="160"/>
  <c r="G150" i="160"/>
  <c r="G149" i="160"/>
  <c r="G148" i="160"/>
  <c r="G147" i="160"/>
  <c r="G146" i="160"/>
  <c r="G145" i="160"/>
  <c r="G144" i="160"/>
  <c r="G143" i="160"/>
  <c r="G142" i="160"/>
  <c r="G141" i="160"/>
  <c r="G140" i="160"/>
  <c r="G139" i="160"/>
  <c r="G138" i="160"/>
  <c r="G137" i="160"/>
  <c r="G135" i="160"/>
  <c r="G134" i="160"/>
  <c r="G133" i="160"/>
  <c r="G132" i="160"/>
  <c r="G131" i="160"/>
  <c r="G130" i="160"/>
  <c r="G129" i="160"/>
  <c r="G128" i="160"/>
  <c r="G127" i="160"/>
  <c r="G126" i="160"/>
  <c r="G125" i="160"/>
  <c r="G124" i="160"/>
  <c r="G123" i="160"/>
  <c r="G122" i="160"/>
  <c r="G121" i="160"/>
  <c r="G120" i="160"/>
  <c r="G119" i="160"/>
  <c r="G118" i="160"/>
  <c r="G117" i="160"/>
  <c r="G116" i="160"/>
  <c r="G114" i="160"/>
  <c r="G113" i="160"/>
  <c r="G112" i="160"/>
  <c r="G111" i="160"/>
  <c r="G110" i="160"/>
  <c r="G109" i="160"/>
  <c r="G108" i="160"/>
  <c r="G107" i="160"/>
  <c r="G106" i="160"/>
  <c r="G105" i="160"/>
  <c r="G104" i="160"/>
  <c r="G103" i="160"/>
  <c r="G102" i="160"/>
  <c r="G101" i="160"/>
  <c r="G100" i="160"/>
  <c r="G99" i="160"/>
  <c r="G98" i="160"/>
  <c r="G97" i="160"/>
  <c r="G96" i="160"/>
  <c r="G95" i="160"/>
  <c r="G93" i="160"/>
  <c r="G92" i="160"/>
  <c r="G91" i="160"/>
  <c r="G90" i="160"/>
  <c r="G89" i="160"/>
  <c r="G88" i="160"/>
  <c r="G87" i="160"/>
  <c r="G86" i="160"/>
  <c r="G85" i="160"/>
  <c r="G84" i="160"/>
  <c r="G83" i="160"/>
  <c r="G82" i="160"/>
  <c r="G81" i="160"/>
  <c r="G80" i="160"/>
  <c r="G79" i="160"/>
  <c r="G78" i="160"/>
  <c r="G77" i="160"/>
  <c r="G76" i="160"/>
  <c r="G75" i="160"/>
  <c r="G74" i="160"/>
  <c r="G67" i="160"/>
  <c r="G65" i="160"/>
  <c r="G64" i="160"/>
  <c r="H64" i="160" s="1"/>
  <c r="I64" i="160" s="1"/>
  <c r="G63" i="160"/>
  <c r="G62" i="160"/>
  <c r="G61" i="160"/>
  <c r="G59" i="160"/>
  <c r="H59" i="160" s="1"/>
  <c r="I59" i="160" s="1"/>
  <c r="G58" i="160"/>
  <c r="G57" i="160"/>
  <c r="G56" i="160"/>
  <c r="G55" i="160"/>
  <c r="G53" i="160"/>
  <c r="G52" i="160"/>
  <c r="G51" i="160"/>
  <c r="G50" i="160"/>
  <c r="G49" i="160"/>
  <c r="G47" i="160"/>
  <c r="G46" i="160"/>
  <c r="G45" i="160"/>
  <c r="G44" i="160"/>
  <c r="G43" i="160"/>
  <c r="G41" i="160"/>
  <c r="G40" i="160"/>
  <c r="G39" i="160"/>
  <c r="G38" i="160"/>
  <c r="G37" i="160"/>
  <c r="G35" i="160"/>
  <c r="H35" i="160" s="1"/>
  <c r="I35" i="160" s="1"/>
  <c r="G34" i="160"/>
  <c r="G33" i="160"/>
  <c r="H33" i="160" s="1"/>
  <c r="I33" i="160" s="1"/>
  <c r="G32" i="160"/>
  <c r="G31" i="160"/>
  <c r="G29" i="160"/>
  <c r="G28" i="160"/>
  <c r="G27" i="160"/>
  <c r="G26" i="160"/>
  <c r="G25" i="160"/>
  <c r="G23" i="160"/>
  <c r="H23" i="160" s="1"/>
  <c r="I23" i="160" s="1"/>
  <c r="G22" i="160"/>
  <c r="H22" i="160" s="1"/>
  <c r="I22" i="160" s="1"/>
  <c r="G21" i="160"/>
  <c r="G20" i="160"/>
  <c r="G19" i="160"/>
  <c r="H15" i="160" s="1"/>
  <c r="I15" i="160" s="1"/>
  <c r="H17" i="160"/>
  <c r="I17" i="160" s="1"/>
  <c r="H16" i="160"/>
  <c r="I16" i="160" s="1"/>
  <c r="G13" i="160"/>
  <c r="H8" i="160" s="1"/>
  <c r="I8" i="160" s="1"/>
  <c r="G7" i="160"/>
  <c r="H3" i="160" s="1"/>
  <c r="I3" i="160" s="1"/>
  <c r="I583" i="155"/>
  <c r="I505" i="155"/>
  <c r="I427" i="155"/>
  <c r="I349" i="155"/>
  <c r="I271" i="155"/>
  <c r="I193" i="155"/>
  <c r="I115" i="155"/>
  <c r="I566" i="155"/>
  <c r="I488" i="155"/>
  <c r="I410" i="155"/>
  <c r="I332" i="155"/>
  <c r="I254" i="155"/>
  <c r="I176" i="155"/>
  <c r="I98" i="155"/>
  <c r="I37" i="155"/>
  <c r="I20" i="155"/>
  <c r="H62" i="160" l="1"/>
  <c r="I62" i="160" s="1"/>
  <c r="H65" i="160"/>
  <c r="I65" i="160" s="1"/>
  <c r="H41" i="160"/>
  <c r="I41" i="160" s="1"/>
  <c r="H248" i="160"/>
  <c r="H21" i="160"/>
  <c r="I21" i="160" s="1"/>
  <c r="H63" i="160"/>
  <c r="I63" i="160" s="1"/>
  <c r="H40" i="160"/>
  <c r="I40" i="160" s="1"/>
  <c r="G54" i="160"/>
  <c r="H54" i="160" s="1"/>
  <c r="I54" i="160" s="1"/>
  <c r="G60" i="160"/>
  <c r="H60" i="160" s="1"/>
  <c r="I60" i="160" s="1"/>
  <c r="H44" i="160"/>
  <c r="I44" i="160" s="1"/>
  <c r="H58" i="160"/>
  <c r="I58" i="160" s="1"/>
  <c r="H254" i="160"/>
  <c r="H57" i="160"/>
  <c r="I57" i="160" s="1"/>
  <c r="G30" i="160"/>
  <c r="H30" i="160" s="1"/>
  <c r="I30" i="160" s="1"/>
  <c r="G241" i="160"/>
  <c r="H45" i="160"/>
  <c r="I45" i="160" s="1"/>
  <c r="H32" i="160"/>
  <c r="I32" i="160" s="1"/>
  <c r="G66" i="160"/>
  <c r="H66" i="160" s="1"/>
  <c r="I66" i="160" s="1"/>
  <c r="H186" i="160"/>
  <c r="H250" i="160"/>
  <c r="H14" i="160"/>
  <c r="I14" i="160" s="1"/>
  <c r="H38" i="160"/>
  <c r="I38" i="160" s="1"/>
  <c r="H47" i="160"/>
  <c r="I47" i="160" s="1"/>
  <c r="G94" i="160"/>
  <c r="H84" i="160" s="1"/>
  <c r="G220" i="160"/>
  <c r="H222" i="160" s="1"/>
  <c r="H251" i="160"/>
  <c r="H39" i="160"/>
  <c r="I39" i="160" s="1"/>
  <c r="G48" i="160"/>
  <c r="H48" i="160" s="1"/>
  <c r="I48" i="160" s="1"/>
  <c r="G157" i="160"/>
  <c r="H156" i="160" s="1"/>
  <c r="H188" i="160"/>
  <c r="G70" i="160"/>
  <c r="H26" i="160"/>
  <c r="I26" i="160" s="1"/>
  <c r="G69" i="160"/>
  <c r="H50" i="160"/>
  <c r="I50" i="160" s="1"/>
  <c r="H20" i="160"/>
  <c r="I20" i="160" s="1"/>
  <c r="H29" i="160"/>
  <c r="I29" i="160" s="1"/>
  <c r="H51" i="160"/>
  <c r="I51" i="160" s="1"/>
  <c r="G199" i="160"/>
  <c r="H198" i="160" s="1"/>
  <c r="G246" i="160"/>
  <c r="H246" i="160" s="1"/>
  <c r="H183" i="160"/>
  <c r="H52" i="160"/>
  <c r="I52" i="160" s="1"/>
  <c r="H243" i="160"/>
  <c r="H53" i="160"/>
  <c r="I53" i="160" s="1"/>
  <c r="H143" i="160"/>
  <c r="H181" i="160"/>
  <c r="F64" i="161"/>
  <c r="G52" i="161" s="1"/>
  <c r="H249" i="160"/>
  <c r="F85" i="161"/>
  <c r="G82" i="161" s="1"/>
  <c r="F106" i="161"/>
  <c r="G96" i="161" s="1"/>
  <c r="F127" i="161"/>
  <c r="G117" i="161" s="1"/>
  <c r="F148" i="161"/>
  <c r="G42" i="152" s="1"/>
  <c r="F169" i="161"/>
  <c r="G167" i="161" s="1"/>
  <c r="G48" i="152"/>
  <c r="F190" i="161"/>
  <c r="G185" i="161" s="1"/>
  <c r="F211" i="161"/>
  <c r="G192" i="161" s="1"/>
  <c r="F232" i="161"/>
  <c r="G216" i="161" s="1"/>
  <c r="F253" i="161"/>
  <c r="G239" i="161" s="1"/>
  <c r="H242" i="160"/>
  <c r="G252" i="160"/>
  <c r="H252" i="160" s="1"/>
  <c r="H255" i="160"/>
  <c r="F22" i="161"/>
  <c r="G7" i="161" s="1"/>
  <c r="H244" i="160"/>
  <c r="F43" i="161"/>
  <c r="G27" i="161" s="1"/>
  <c r="H237" i="160"/>
  <c r="H139" i="160"/>
  <c r="H151" i="160"/>
  <c r="H189" i="160"/>
  <c r="H153" i="160"/>
  <c r="H147" i="160"/>
  <c r="H152" i="160"/>
  <c r="H196" i="160"/>
  <c r="H184" i="160"/>
  <c r="H195" i="160"/>
  <c r="H191" i="160"/>
  <c r="H142" i="160"/>
  <c r="H154" i="160"/>
  <c r="H180" i="160"/>
  <c r="H256" i="160"/>
  <c r="H11" i="160"/>
  <c r="I11" i="160" s="1"/>
  <c r="H27" i="160"/>
  <c r="I27" i="160" s="1"/>
  <c r="G36" i="160"/>
  <c r="H36" i="160" s="1"/>
  <c r="I36" i="160" s="1"/>
  <c r="G68" i="160"/>
  <c r="H5" i="160"/>
  <c r="I5" i="160" s="1"/>
  <c r="H18" i="160"/>
  <c r="I18" i="160" s="1"/>
  <c r="G115" i="160"/>
  <c r="H99" i="160" s="1"/>
  <c r="H257" i="160"/>
  <c r="H12" i="160"/>
  <c r="I12" i="160" s="1"/>
  <c r="G258" i="160"/>
  <c r="H258" i="160" s="1"/>
  <c r="G24" i="160"/>
  <c r="G42" i="160"/>
  <c r="H42" i="160" s="1"/>
  <c r="I42" i="160" s="1"/>
  <c r="H56" i="160"/>
  <c r="I56" i="160" s="1"/>
  <c r="H4" i="160"/>
  <c r="I4" i="160" s="1"/>
  <c r="H6" i="160"/>
  <c r="I6" i="160" s="1"/>
  <c r="H28" i="160"/>
  <c r="I28" i="160" s="1"/>
  <c r="H46" i="160"/>
  <c r="I46" i="160" s="1"/>
  <c r="G73" i="160"/>
  <c r="G136" i="160"/>
  <c r="H130" i="160" s="1"/>
  <c r="H179" i="160"/>
  <c r="H2" i="160"/>
  <c r="I2" i="160" s="1"/>
  <c r="H34" i="160"/>
  <c r="I34" i="160" s="1"/>
  <c r="H9" i="160"/>
  <c r="I9" i="160" s="1"/>
  <c r="G178" i="160"/>
  <c r="H161" i="160" s="1"/>
  <c r="G71" i="160"/>
  <c r="H10" i="160"/>
  <c r="I10" i="160" s="1"/>
  <c r="H138" i="160"/>
  <c r="H137" i="160" l="1"/>
  <c r="H206" i="160"/>
  <c r="H227" i="160"/>
  <c r="H239" i="160"/>
  <c r="H218" i="160"/>
  <c r="H230" i="160"/>
  <c r="H202" i="160"/>
  <c r="H83" i="160"/>
  <c r="H232" i="160"/>
  <c r="H89" i="160"/>
  <c r="H216" i="160"/>
  <c r="H210" i="160"/>
  <c r="H214" i="160"/>
  <c r="H217" i="160"/>
  <c r="H229" i="160"/>
  <c r="H150" i="160"/>
  <c r="G24" i="152"/>
  <c r="G25" i="152" s="1"/>
  <c r="H74" i="160"/>
  <c r="H87" i="160"/>
  <c r="H76" i="160"/>
  <c r="H148" i="160"/>
  <c r="H82" i="160"/>
  <c r="H90" i="160"/>
  <c r="H145" i="160"/>
  <c r="H85" i="160"/>
  <c r="H190" i="160"/>
  <c r="H91" i="160"/>
  <c r="H194" i="160"/>
  <c r="H88" i="160"/>
  <c r="H78" i="160"/>
  <c r="H79" i="160"/>
  <c r="H75" i="160"/>
  <c r="H140" i="160"/>
  <c r="H192" i="160"/>
  <c r="H146" i="160"/>
  <c r="H77" i="160"/>
  <c r="H193" i="160"/>
  <c r="H209" i="160"/>
  <c r="H228" i="160"/>
  <c r="H238" i="160"/>
  <c r="H201" i="160"/>
  <c r="H215" i="160"/>
  <c r="H226" i="160"/>
  <c r="H207" i="160"/>
  <c r="H114" i="160"/>
  <c r="H213" i="160"/>
  <c r="H236" i="160"/>
  <c r="H112" i="160"/>
  <c r="H70" i="160"/>
  <c r="I70" i="160" s="1"/>
  <c r="H100" i="160"/>
  <c r="H204" i="160"/>
  <c r="H233" i="160"/>
  <c r="H155" i="160"/>
  <c r="H149" i="160"/>
  <c r="H102" i="160"/>
  <c r="H235" i="160"/>
  <c r="H71" i="160"/>
  <c r="I71" i="160" s="1"/>
  <c r="H141" i="160"/>
  <c r="H225" i="160"/>
  <c r="H111" i="160"/>
  <c r="H223" i="160"/>
  <c r="H200" i="160"/>
  <c r="H205" i="160"/>
  <c r="H231" i="160"/>
  <c r="H69" i="160"/>
  <c r="I69" i="160" s="1"/>
  <c r="H212" i="160"/>
  <c r="H211" i="160"/>
  <c r="H124" i="160"/>
  <c r="H92" i="160"/>
  <c r="H182" i="160"/>
  <c r="H144" i="160"/>
  <c r="H197" i="160"/>
  <c r="H240" i="160"/>
  <c r="H86" i="160"/>
  <c r="H219" i="160"/>
  <c r="H80" i="160"/>
  <c r="H93" i="160"/>
  <c r="H81" i="160"/>
  <c r="H185" i="160"/>
  <c r="H224" i="160"/>
  <c r="H234" i="160"/>
  <c r="H203" i="160"/>
  <c r="H113" i="160"/>
  <c r="H221" i="160"/>
  <c r="H208" i="160"/>
  <c r="H187" i="160"/>
  <c r="G2" i="161"/>
  <c r="G60" i="152"/>
  <c r="G61" i="152" s="1"/>
  <c r="H58" i="152" s="1"/>
  <c r="G187" i="161"/>
  <c r="G75" i="161"/>
  <c r="G10" i="161"/>
  <c r="G17" i="161"/>
  <c r="G65" i="161"/>
  <c r="G36" i="152"/>
  <c r="G37" i="152" s="1"/>
  <c r="G188" i="161"/>
  <c r="G208" i="161"/>
  <c r="G54" i="152"/>
  <c r="G55" i="152" s="1"/>
  <c r="G179" i="161"/>
  <c r="G100" i="161"/>
  <c r="G93" i="161"/>
  <c r="G48" i="161"/>
  <c r="G240" i="161"/>
  <c r="G84" i="161"/>
  <c r="G205" i="161"/>
  <c r="G53" i="161"/>
  <c r="G252" i="161"/>
  <c r="G92" i="161"/>
  <c r="G46" i="161"/>
  <c r="G59" i="161"/>
  <c r="G183" i="161"/>
  <c r="G86" i="161"/>
  <c r="G83" i="161"/>
  <c r="G202" i="161"/>
  <c r="G58" i="161"/>
  <c r="G172" i="161"/>
  <c r="G206" i="161"/>
  <c r="G227" i="161"/>
  <c r="G60" i="161"/>
  <c r="G189" i="161"/>
  <c r="G68" i="161"/>
  <c r="G45" i="161"/>
  <c r="G5" i="161"/>
  <c r="G74" i="161"/>
  <c r="G73" i="161"/>
  <c r="G30" i="152"/>
  <c r="G31" i="152" s="1"/>
  <c r="G177" i="161"/>
  <c r="G78" i="161"/>
  <c r="G220" i="161"/>
  <c r="G180" i="161"/>
  <c r="G170" i="161"/>
  <c r="G51" i="161"/>
  <c r="G6" i="152"/>
  <c r="G7" i="152" s="1"/>
  <c r="G69" i="161"/>
  <c r="G54" i="161"/>
  <c r="G29" i="161"/>
  <c r="G14" i="161"/>
  <c r="G38" i="161"/>
  <c r="G160" i="161"/>
  <c r="G155" i="161"/>
  <c r="G166" i="161"/>
  <c r="G163" i="161"/>
  <c r="G88" i="161"/>
  <c r="G154" i="161"/>
  <c r="G36" i="161"/>
  <c r="G62" i="161"/>
  <c r="G162" i="161"/>
  <c r="G47" i="161"/>
  <c r="G56" i="161"/>
  <c r="G203" i="161"/>
  <c r="G26" i="161"/>
  <c r="G39" i="161"/>
  <c r="G13" i="161"/>
  <c r="G15" i="161"/>
  <c r="G4" i="161"/>
  <c r="G164" i="161"/>
  <c r="G20" i="161"/>
  <c r="G175" i="161"/>
  <c r="G152" i="161"/>
  <c r="G101" i="161"/>
  <c r="G199" i="161"/>
  <c r="G157" i="161"/>
  <c r="G50" i="161"/>
  <c r="G99" i="161"/>
  <c r="G6" i="161"/>
  <c r="G33" i="161"/>
  <c r="G181" i="161"/>
  <c r="G191" i="161"/>
  <c r="G12" i="152"/>
  <c r="G13" i="152" s="1"/>
  <c r="G89" i="161"/>
  <c r="G174" i="161"/>
  <c r="G81" i="161"/>
  <c r="G25" i="161"/>
  <c r="G61" i="161"/>
  <c r="G156" i="161"/>
  <c r="G19" i="161"/>
  <c r="G80" i="161"/>
  <c r="G178" i="161"/>
  <c r="G32" i="161"/>
  <c r="G173" i="161"/>
  <c r="G182" i="161"/>
  <c r="G57" i="161"/>
  <c r="G18" i="152"/>
  <c r="G19" i="152" s="1"/>
  <c r="G76" i="161"/>
  <c r="G149" i="161"/>
  <c r="G44" i="161"/>
  <c r="G150" i="161"/>
  <c r="G49" i="161"/>
  <c r="G55" i="161"/>
  <c r="G18" i="161"/>
  <c r="G42" i="161"/>
  <c r="G165" i="161"/>
  <c r="G63" i="161"/>
  <c r="G168" i="161"/>
  <c r="G11" i="161"/>
  <c r="G161" i="161"/>
  <c r="G28" i="161"/>
  <c r="G104" i="161"/>
  <c r="G72" i="152"/>
  <c r="G73" i="152" s="1"/>
  <c r="H69" i="152" s="1"/>
  <c r="G153" i="161"/>
  <c r="G113" i="161"/>
  <c r="G235" i="161"/>
  <c r="G245" i="161"/>
  <c r="G144" i="161"/>
  <c r="G147" i="161"/>
  <c r="G111" i="161"/>
  <c r="G122" i="161"/>
  <c r="G143" i="161"/>
  <c r="G141" i="161"/>
  <c r="G136" i="161"/>
  <c r="G120" i="161"/>
  <c r="G137" i="161"/>
  <c r="G233" i="161"/>
  <c r="G222" i="161"/>
  <c r="G124" i="161"/>
  <c r="G132" i="161"/>
  <c r="G146" i="161"/>
  <c r="G226" i="161"/>
  <c r="G110" i="161"/>
  <c r="G195" i="161"/>
  <c r="G247" i="161"/>
  <c r="G234" i="161"/>
  <c r="G129" i="161"/>
  <c r="G97" i="161"/>
  <c r="G94" i="161"/>
  <c r="G209" i="161"/>
  <c r="G221" i="161"/>
  <c r="G116" i="161"/>
  <c r="G140" i="161"/>
  <c r="G251" i="161"/>
  <c r="G215" i="161"/>
  <c r="G246" i="161"/>
  <c r="G201" i="161"/>
  <c r="G91" i="161"/>
  <c r="G194" i="161"/>
  <c r="G248" i="161"/>
  <c r="G197" i="161"/>
  <c r="G193" i="161"/>
  <c r="G103" i="161"/>
  <c r="G128" i="161"/>
  <c r="G237" i="161"/>
  <c r="G112" i="161"/>
  <c r="G107" i="161"/>
  <c r="G244" i="161"/>
  <c r="G212" i="161"/>
  <c r="G87" i="161"/>
  <c r="G23" i="161"/>
  <c r="G250" i="161"/>
  <c r="G71" i="161"/>
  <c r="G236" i="161"/>
  <c r="G72" i="161"/>
  <c r="G231" i="161"/>
  <c r="G184" i="161"/>
  <c r="G158" i="161"/>
  <c r="G130" i="161"/>
  <c r="G242" i="161"/>
  <c r="G66" i="161"/>
  <c r="G115" i="161"/>
  <c r="G135" i="161"/>
  <c r="G123" i="161"/>
  <c r="G138" i="161"/>
  <c r="G98" i="161"/>
  <c r="G218" i="161"/>
  <c r="G176" i="161"/>
  <c r="G249" i="161"/>
  <c r="G238" i="161"/>
  <c r="G8" i="161"/>
  <c r="G105" i="161"/>
  <c r="G223" i="161"/>
  <c r="G118" i="161"/>
  <c r="G159" i="161"/>
  <c r="G145" i="161"/>
  <c r="G67" i="161"/>
  <c r="G229" i="161"/>
  <c r="G3" i="161"/>
  <c r="G102" i="161"/>
  <c r="G109" i="161"/>
  <c r="G214" i="161"/>
  <c r="G66" i="152"/>
  <c r="G67" i="152" s="1"/>
  <c r="G225" i="161"/>
  <c r="G24" i="161"/>
  <c r="G171" i="161"/>
  <c r="G210" i="161"/>
  <c r="G34" i="161"/>
  <c r="G30" i="161"/>
  <c r="G134" i="161"/>
  <c r="G108" i="161"/>
  <c r="G16" i="161"/>
  <c r="G217" i="161"/>
  <c r="G241" i="161"/>
  <c r="G90" i="161"/>
  <c r="G119" i="161"/>
  <c r="G131" i="161"/>
  <c r="G126" i="161"/>
  <c r="G37" i="161"/>
  <c r="G79" i="161"/>
  <c r="G151" i="161"/>
  <c r="G31" i="161"/>
  <c r="G213" i="161"/>
  <c r="G224" i="161"/>
  <c r="G95" i="161"/>
  <c r="G243" i="161"/>
  <c r="G198" i="161"/>
  <c r="G21" i="161"/>
  <c r="G230" i="161"/>
  <c r="G121" i="161"/>
  <c r="G70" i="161"/>
  <c r="G40" i="161"/>
  <c r="G204" i="161"/>
  <c r="G228" i="161"/>
  <c r="G77" i="161"/>
  <c r="G133" i="161"/>
  <c r="G139" i="161"/>
  <c r="G196" i="161"/>
  <c r="G142" i="161"/>
  <c r="G114" i="161"/>
  <c r="G12" i="161"/>
  <c r="G35" i="161"/>
  <c r="G207" i="161"/>
  <c r="G41" i="161"/>
  <c r="G125" i="161"/>
  <c r="G219" i="161"/>
  <c r="G200" i="161"/>
  <c r="G186" i="161"/>
  <c r="G9" i="161"/>
  <c r="G49" i="152"/>
  <c r="H47" i="152" s="1"/>
  <c r="G43" i="152"/>
  <c r="H38" i="152" s="1"/>
  <c r="H175" i="160"/>
  <c r="H169" i="160"/>
  <c r="H163" i="160"/>
  <c r="H174" i="160"/>
  <c r="H168" i="160"/>
  <c r="H162" i="160"/>
  <c r="H177" i="160"/>
  <c r="H171" i="160"/>
  <c r="H165" i="160"/>
  <c r="H159" i="160"/>
  <c r="H176" i="160"/>
  <c r="H170" i="160"/>
  <c r="H164" i="160"/>
  <c r="H158" i="160"/>
  <c r="H135" i="160"/>
  <c r="H166" i="160"/>
  <c r="H109" i="160"/>
  <c r="H103" i="160"/>
  <c r="H97" i="160"/>
  <c r="H110" i="160"/>
  <c r="H104" i="160"/>
  <c r="H98" i="160"/>
  <c r="H123" i="160"/>
  <c r="H160" i="160"/>
  <c r="H129" i="160"/>
  <c r="H96" i="160"/>
  <c r="H108" i="160"/>
  <c r="H173" i="160"/>
  <c r="H120" i="160"/>
  <c r="H131" i="160"/>
  <c r="H125" i="160"/>
  <c r="H119" i="160"/>
  <c r="H134" i="160"/>
  <c r="H128" i="160"/>
  <c r="H122" i="160"/>
  <c r="H116" i="160"/>
  <c r="H132" i="160"/>
  <c r="H126" i="160"/>
  <c r="H133" i="160"/>
  <c r="H127" i="160"/>
  <c r="H121" i="160"/>
  <c r="H101" i="160"/>
  <c r="H172" i="160"/>
  <c r="H106" i="160"/>
  <c r="H68" i="160"/>
  <c r="I68" i="160" s="1"/>
  <c r="H117" i="160"/>
  <c r="H118" i="160"/>
  <c r="H24" i="160"/>
  <c r="I24" i="160" s="1"/>
  <c r="G72" i="160"/>
  <c r="H72" i="160" s="1"/>
  <c r="I72" i="160" s="1"/>
  <c r="H167" i="160"/>
  <c r="H95" i="160"/>
  <c r="H107" i="160"/>
  <c r="H105" i="160"/>
  <c r="G64" i="161" l="1"/>
  <c r="H46" i="152"/>
  <c r="H63" i="152"/>
  <c r="H64" i="152"/>
  <c r="G190" i="161"/>
  <c r="H70" i="152"/>
  <c r="G22" i="161"/>
  <c r="G211" i="161"/>
  <c r="G85" i="161"/>
  <c r="H71" i="152"/>
  <c r="H72" i="152"/>
  <c r="H68" i="152"/>
  <c r="G106" i="161"/>
  <c r="G169" i="161"/>
  <c r="G127" i="161"/>
  <c r="G148" i="161"/>
  <c r="G43" i="161"/>
  <c r="G253" i="161"/>
  <c r="G232" i="161"/>
  <c r="H56" i="152"/>
  <c r="H60" i="152"/>
  <c r="H66" i="152"/>
  <c r="H65" i="152"/>
  <c r="H62" i="152"/>
  <c r="H57" i="152"/>
  <c r="H44" i="152"/>
  <c r="H45" i="152"/>
  <c r="H48" i="152"/>
  <c r="H59" i="152"/>
  <c r="H51" i="152"/>
  <c r="H50" i="152"/>
  <c r="H53" i="152"/>
  <c r="H52" i="152"/>
  <c r="H54" i="152"/>
  <c r="H40" i="152"/>
  <c r="H41" i="152"/>
  <c r="H42" i="152"/>
  <c r="H39" i="152"/>
  <c r="H32" i="152"/>
  <c r="H33" i="152"/>
  <c r="H34" i="152"/>
  <c r="H35" i="152"/>
  <c r="H36" i="152"/>
  <c r="H27" i="152"/>
  <c r="H26" i="152"/>
  <c r="H29" i="152"/>
  <c r="H28" i="152"/>
  <c r="H30" i="152"/>
  <c r="H21" i="152"/>
  <c r="H20" i="152"/>
  <c r="H23" i="152"/>
  <c r="H22" i="152"/>
  <c r="H24" i="152"/>
  <c r="H15" i="152"/>
  <c r="H14" i="152"/>
  <c r="H17" i="152"/>
  <c r="H16" i="152"/>
  <c r="H18" i="152"/>
  <c r="H9" i="152"/>
  <c r="H8" i="152"/>
  <c r="H10" i="152"/>
  <c r="H11" i="152"/>
  <c r="H12" i="152"/>
  <c r="H2" i="152"/>
  <c r="H3" i="152"/>
  <c r="H5" i="152"/>
  <c r="H4" i="152"/>
  <c r="H6" i="152"/>
  <c r="H73" i="152" l="1"/>
  <c r="H67" i="152"/>
  <c r="H43" i="152"/>
  <c r="H7" i="152"/>
  <c r="H25" i="152"/>
  <c r="H49" i="152"/>
  <c r="H31" i="152"/>
  <c r="H55" i="152"/>
  <c r="H37" i="152"/>
  <c r="H13" i="152"/>
  <c r="H19" i="152"/>
  <c r="H61" i="152"/>
  <c r="AD51" i="132" l="1"/>
  <c r="AD42" i="132"/>
  <c r="AD41" i="132"/>
  <c r="AD36" i="132"/>
  <c r="AD35" i="132"/>
  <c r="AD34" i="132"/>
  <c r="AD33" i="132"/>
  <c r="AD32" i="132"/>
  <c r="AD31" i="132"/>
  <c r="AD30" i="132"/>
  <c r="AD29" i="132"/>
  <c r="AD28" i="132"/>
  <c r="AD27" i="132"/>
  <c r="AD24" i="132"/>
  <c r="AD23" i="132"/>
  <c r="AD22" i="132"/>
  <c r="AD21" i="132"/>
  <c r="AD20" i="132"/>
  <c r="AD18" i="132"/>
  <c r="AD17" i="132"/>
  <c r="AD16" i="132"/>
  <c r="AD15" i="132"/>
  <c r="AD14" i="132"/>
  <c r="AD13" i="132"/>
  <c r="AD12" i="132"/>
  <c r="AD10" i="132"/>
  <c r="AD9" i="132"/>
  <c r="AD8" i="132"/>
  <c r="AD7" i="132"/>
  <c r="AD6" i="132"/>
  <c r="AD5" i="132"/>
  <c r="AD4" i="132"/>
  <c r="AD3" i="132" s="1"/>
  <c r="CG21" i="80"/>
  <c r="CF21" i="80"/>
  <c r="CE21" i="80"/>
  <c r="AD19" i="132" l="1"/>
  <c r="AD26" i="132"/>
  <c r="AD11" i="132"/>
  <c r="AD25" i="132"/>
  <c r="X51" i="132" l="1"/>
  <c r="F255" i="158" l="1"/>
  <c r="G255" i="158" s="1"/>
  <c r="F254" i="158"/>
  <c r="F253" i="158"/>
  <c r="G253" i="158" s="1"/>
  <c r="F252" i="158"/>
  <c r="G252" i="158" s="1"/>
  <c r="F250" i="158"/>
  <c r="G250" i="158" s="1"/>
  <c r="F249" i="158"/>
  <c r="G249" i="158" s="1"/>
  <c r="F248" i="158"/>
  <c r="G248" i="158" s="1"/>
  <c r="F247" i="158"/>
  <c r="G247" i="158" s="1"/>
  <c r="F245" i="158"/>
  <c r="G245" i="158" s="1"/>
  <c r="F244" i="158"/>
  <c r="G244" i="158" s="1"/>
  <c r="F243" i="158"/>
  <c r="G243" i="158" s="1"/>
  <c r="F242" i="158"/>
  <c r="G242" i="158" s="1"/>
  <c r="F240" i="158"/>
  <c r="F239" i="158"/>
  <c r="F238" i="158"/>
  <c r="F237" i="158"/>
  <c r="F236" i="158"/>
  <c r="F235" i="158"/>
  <c r="F234" i="158"/>
  <c r="F233" i="158"/>
  <c r="F232" i="158"/>
  <c r="F231" i="158"/>
  <c r="F230" i="158"/>
  <c r="F229" i="158"/>
  <c r="F228" i="158"/>
  <c r="F227" i="158"/>
  <c r="F226" i="158"/>
  <c r="F225" i="158"/>
  <c r="F224" i="158"/>
  <c r="F223" i="158"/>
  <c r="F222" i="158"/>
  <c r="F221" i="158"/>
  <c r="F219" i="158"/>
  <c r="F218" i="158"/>
  <c r="F217" i="158"/>
  <c r="F216" i="158"/>
  <c r="F215" i="158"/>
  <c r="F214" i="158"/>
  <c r="F213" i="158"/>
  <c r="F212" i="158"/>
  <c r="F211" i="158"/>
  <c r="F210" i="158"/>
  <c r="F209" i="158"/>
  <c r="F208" i="158"/>
  <c r="F207" i="158"/>
  <c r="F206" i="158"/>
  <c r="F205" i="158"/>
  <c r="F204" i="158"/>
  <c r="F203" i="158"/>
  <c r="F202" i="158"/>
  <c r="F201" i="158"/>
  <c r="F200" i="158"/>
  <c r="F198" i="158"/>
  <c r="F197" i="158"/>
  <c r="F196" i="158"/>
  <c r="F195" i="158"/>
  <c r="F194" i="158"/>
  <c r="F193" i="158"/>
  <c r="F192" i="158"/>
  <c r="F191" i="158"/>
  <c r="F190" i="158"/>
  <c r="F189" i="158"/>
  <c r="F188" i="158"/>
  <c r="F187" i="158"/>
  <c r="F186" i="158"/>
  <c r="F185" i="158"/>
  <c r="F184" i="158"/>
  <c r="F183" i="158"/>
  <c r="F182" i="158"/>
  <c r="F181" i="158"/>
  <c r="F180" i="158"/>
  <c r="F179" i="158"/>
  <c r="F177" i="158"/>
  <c r="F176" i="158"/>
  <c r="F175" i="158"/>
  <c r="F174" i="158"/>
  <c r="F173" i="158"/>
  <c r="F172" i="158"/>
  <c r="F171" i="158"/>
  <c r="F170" i="158"/>
  <c r="F169" i="158"/>
  <c r="F168" i="158"/>
  <c r="F167" i="158"/>
  <c r="F166" i="158"/>
  <c r="F165" i="158"/>
  <c r="F164" i="158"/>
  <c r="F163" i="158"/>
  <c r="F162" i="158"/>
  <c r="F161" i="158"/>
  <c r="F160" i="158"/>
  <c r="F159" i="158"/>
  <c r="F158" i="158"/>
  <c r="F156" i="158"/>
  <c r="F155" i="158"/>
  <c r="F154" i="158"/>
  <c r="F153" i="158"/>
  <c r="F152" i="158"/>
  <c r="F151" i="158"/>
  <c r="F150" i="158"/>
  <c r="F149" i="158"/>
  <c r="F148" i="158"/>
  <c r="F147" i="158"/>
  <c r="F146" i="158"/>
  <c r="F145" i="158"/>
  <c r="F144" i="158"/>
  <c r="F143" i="158"/>
  <c r="F142" i="158"/>
  <c r="F141" i="158"/>
  <c r="F140" i="158"/>
  <c r="F139" i="158"/>
  <c r="F138" i="158"/>
  <c r="F137" i="158"/>
  <c r="F135" i="158"/>
  <c r="F134" i="158"/>
  <c r="F133" i="158"/>
  <c r="F132" i="158"/>
  <c r="F131" i="158"/>
  <c r="F130" i="158"/>
  <c r="F129" i="158"/>
  <c r="F128" i="158"/>
  <c r="F127" i="158"/>
  <c r="F126" i="158"/>
  <c r="F125" i="158"/>
  <c r="F124" i="158"/>
  <c r="F123" i="158"/>
  <c r="F122" i="158"/>
  <c r="F121" i="158"/>
  <c r="F120" i="158"/>
  <c r="F119" i="158"/>
  <c r="F118" i="158"/>
  <c r="F117" i="158"/>
  <c r="F116" i="158"/>
  <c r="F114" i="158"/>
  <c r="F113" i="158"/>
  <c r="F112" i="158"/>
  <c r="F111" i="158"/>
  <c r="F110" i="158"/>
  <c r="F109" i="158"/>
  <c r="F108" i="158"/>
  <c r="F107" i="158"/>
  <c r="F106" i="158"/>
  <c r="F105" i="158"/>
  <c r="F104" i="158"/>
  <c r="F103" i="158"/>
  <c r="F102" i="158"/>
  <c r="F101" i="158"/>
  <c r="F100" i="158"/>
  <c r="F99" i="158"/>
  <c r="F98" i="158"/>
  <c r="F97" i="158"/>
  <c r="F96" i="158"/>
  <c r="F95" i="158"/>
  <c r="F93" i="158"/>
  <c r="F92" i="158"/>
  <c r="F91" i="158"/>
  <c r="F90" i="158"/>
  <c r="F89" i="158"/>
  <c r="F88" i="158"/>
  <c r="F87" i="158"/>
  <c r="F86" i="158"/>
  <c r="F85" i="158"/>
  <c r="F84" i="158"/>
  <c r="F83" i="158"/>
  <c r="F82" i="158"/>
  <c r="F81" i="158"/>
  <c r="F80" i="158"/>
  <c r="F79" i="158"/>
  <c r="F78" i="158"/>
  <c r="F77" i="158"/>
  <c r="F76" i="158"/>
  <c r="F75" i="158"/>
  <c r="F74" i="158"/>
  <c r="F67" i="158"/>
  <c r="F65" i="158"/>
  <c r="F64" i="158"/>
  <c r="F63" i="158"/>
  <c r="F62" i="158"/>
  <c r="F61" i="158"/>
  <c r="G58" i="158" s="1"/>
  <c r="H58" i="158" s="1"/>
  <c r="F59" i="158"/>
  <c r="F58" i="158"/>
  <c r="F57" i="158"/>
  <c r="G57" i="158" s="1"/>
  <c r="H57" i="158" s="1"/>
  <c r="F56" i="158"/>
  <c r="F55" i="158"/>
  <c r="F53" i="158"/>
  <c r="G53" i="158" s="1"/>
  <c r="H53" i="158" s="1"/>
  <c r="F52" i="158"/>
  <c r="G52" i="158" s="1"/>
  <c r="H52" i="158" s="1"/>
  <c r="F51" i="158"/>
  <c r="G51" i="158" s="1"/>
  <c r="H51" i="158" s="1"/>
  <c r="F50" i="158"/>
  <c r="G50" i="158" s="1"/>
  <c r="H50" i="158" s="1"/>
  <c r="F49" i="158"/>
  <c r="F47" i="158"/>
  <c r="F46" i="158"/>
  <c r="F45" i="158"/>
  <c r="F44" i="158"/>
  <c r="F43" i="158"/>
  <c r="F41" i="158"/>
  <c r="F40" i="158"/>
  <c r="F39" i="158"/>
  <c r="F38" i="158"/>
  <c r="F37" i="158"/>
  <c r="F35" i="158"/>
  <c r="F34" i="158"/>
  <c r="F33" i="158"/>
  <c r="F32" i="158"/>
  <c r="F31" i="158"/>
  <c r="F29" i="158"/>
  <c r="F28" i="158"/>
  <c r="F27" i="158"/>
  <c r="F26" i="158"/>
  <c r="F25" i="158"/>
  <c r="F23" i="158"/>
  <c r="F22" i="158"/>
  <c r="F21" i="158"/>
  <c r="F20" i="158"/>
  <c r="F19" i="158"/>
  <c r="G14" i="158" s="1"/>
  <c r="H14" i="158" s="1"/>
  <c r="F13" i="158"/>
  <c r="G10" i="158" s="1"/>
  <c r="H10" i="158" s="1"/>
  <c r="F7" i="158"/>
  <c r="G6" i="158" s="1"/>
  <c r="H6" i="158" s="1"/>
  <c r="E63" i="157"/>
  <c r="E62" i="157"/>
  <c r="E61" i="157"/>
  <c r="E60" i="157"/>
  <c r="E59" i="157"/>
  <c r="E58" i="157"/>
  <c r="E57" i="157"/>
  <c r="E56" i="157"/>
  <c r="E55" i="157"/>
  <c r="E54" i="157"/>
  <c r="E53" i="157"/>
  <c r="E52" i="157"/>
  <c r="E51" i="157"/>
  <c r="E50" i="157"/>
  <c r="E49" i="157"/>
  <c r="E48" i="157"/>
  <c r="E47" i="157"/>
  <c r="E46" i="157"/>
  <c r="E45" i="157"/>
  <c r="E44" i="157"/>
  <c r="E42" i="157"/>
  <c r="E41" i="157"/>
  <c r="E40" i="157"/>
  <c r="E39" i="157"/>
  <c r="E38" i="157"/>
  <c r="E37" i="157"/>
  <c r="E36" i="157"/>
  <c r="E35" i="157"/>
  <c r="E34" i="157"/>
  <c r="E33" i="157"/>
  <c r="E32" i="157"/>
  <c r="E31" i="157"/>
  <c r="E30" i="157"/>
  <c r="E29" i="157"/>
  <c r="E28" i="157"/>
  <c r="E27" i="157"/>
  <c r="E26" i="157"/>
  <c r="E25" i="157"/>
  <c r="E24" i="157"/>
  <c r="E23" i="157"/>
  <c r="E21" i="157"/>
  <c r="E20" i="157"/>
  <c r="E19" i="157"/>
  <c r="E18" i="157"/>
  <c r="E17" i="157"/>
  <c r="E16" i="157"/>
  <c r="E15" i="157"/>
  <c r="E14" i="157"/>
  <c r="E13" i="157"/>
  <c r="E12" i="157"/>
  <c r="E11" i="157"/>
  <c r="E10" i="157"/>
  <c r="E9" i="157"/>
  <c r="E8" i="157"/>
  <c r="E7" i="157"/>
  <c r="E6" i="157"/>
  <c r="E5" i="157"/>
  <c r="E4" i="157"/>
  <c r="E3" i="157"/>
  <c r="E2" i="157"/>
  <c r="AU46" i="132"/>
  <c r="AU54" i="156"/>
  <c r="AU53" i="156"/>
  <c r="AU52" i="156"/>
  <c r="AB52" i="156"/>
  <c r="Z52" i="156"/>
  <c r="X52" i="156"/>
  <c r="T52" i="156"/>
  <c r="R52" i="156"/>
  <c r="P52" i="156"/>
  <c r="N52" i="156"/>
  <c r="L52" i="156"/>
  <c r="J52" i="156"/>
  <c r="H52" i="156"/>
  <c r="F52" i="156"/>
  <c r="AU51" i="156"/>
  <c r="U51" i="156"/>
  <c r="AU50" i="156"/>
  <c r="U50" i="156"/>
  <c r="AW49" i="156"/>
  <c r="AU49" i="156"/>
  <c r="U49" i="156"/>
  <c r="AW48" i="156"/>
  <c r="AU48" i="156"/>
  <c r="U48" i="156"/>
  <c r="AW46" i="156"/>
  <c r="AU46" i="156"/>
  <c r="U46" i="156"/>
  <c r="AW45" i="156"/>
  <c r="AU45" i="156"/>
  <c r="U45" i="156"/>
  <c r="AW44" i="156"/>
  <c r="AU44" i="156"/>
  <c r="AU43" i="156"/>
  <c r="AB43" i="156"/>
  <c r="Z43" i="156"/>
  <c r="X43" i="156"/>
  <c r="U43" i="156"/>
  <c r="V43" i="156" s="1"/>
  <c r="AW43" i="156" s="1"/>
  <c r="T43" i="156"/>
  <c r="R43" i="156"/>
  <c r="P43" i="156"/>
  <c r="N43" i="156"/>
  <c r="L43" i="156"/>
  <c r="J43" i="156"/>
  <c r="H43" i="156"/>
  <c r="F43" i="156"/>
  <c r="AU42" i="156"/>
  <c r="AB42" i="156"/>
  <c r="Z42" i="156"/>
  <c r="X42" i="156"/>
  <c r="U42" i="156"/>
  <c r="T42" i="156"/>
  <c r="R42" i="156"/>
  <c r="P42" i="156"/>
  <c r="N42" i="156"/>
  <c r="L42" i="156"/>
  <c r="J42" i="156"/>
  <c r="H42" i="156"/>
  <c r="F42" i="156"/>
  <c r="AU41" i="156"/>
  <c r="U41" i="156"/>
  <c r="AU40" i="156"/>
  <c r="AV40" i="156" s="1"/>
  <c r="U40" i="156"/>
  <c r="AU39" i="156"/>
  <c r="U39" i="156"/>
  <c r="AU38" i="156"/>
  <c r="AV38" i="156" s="1"/>
  <c r="U38" i="156"/>
  <c r="AU37" i="156"/>
  <c r="AB37" i="156"/>
  <c r="Z37" i="156"/>
  <c r="X37" i="156"/>
  <c r="U37" i="156"/>
  <c r="T37" i="156"/>
  <c r="R37" i="156"/>
  <c r="P37" i="156"/>
  <c r="N37" i="156"/>
  <c r="L37" i="156"/>
  <c r="J37" i="156"/>
  <c r="H37" i="156"/>
  <c r="F37" i="156"/>
  <c r="AU36" i="156"/>
  <c r="AB36" i="156"/>
  <c r="Z36" i="156"/>
  <c r="X36" i="156"/>
  <c r="U36" i="156"/>
  <c r="T36" i="156"/>
  <c r="R36" i="156"/>
  <c r="P36" i="156"/>
  <c r="N36" i="156"/>
  <c r="L36" i="156"/>
  <c r="J36" i="156"/>
  <c r="H36" i="156"/>
  <c r="F36" i="156"/>
  <c r="AU35" i="156"/>
  <c r="AB35" i="156"/>
  <c r="Z35" i="156"/>
  <c r="X35" i="156"/>
  <c r="U35" i="156"/>
  <c r="T35" i="156"/>
  <c r="R35" i="156"/>
  <c r="P35" i="156"/>
  <c r="N35" i="156"/>
  <c r="L35" i="156"/>
  <c r="J35" i="156"/>
  <c r="H35" i="156"/>
  <c r="F35" i="156"/>
  <c r="AU34" i="156"/>
  <c r="AB34" i="156"/>
  <c r="Z34" i="156"/>
  <c r="X34" i="156"/>
  <c r="U34" i="156"/>
  <c r="T34" i="156"/>
  <c r="R34" i="156"/>
  <c r="P34" i="156"/>
  <c r="N34" i="156"/>
  <c r="L34" i="156"/>
  <c r="J34" i="156"/>
  <c r="H34" i="156"/>
  <c r="F34" i="156"/>
  <c r="AU33" i="156"/>
  <c r="AB33" i="156"/>
  <c r="Z33" i="156"/>
  <c r="X33" i="156"/>
  <c r="U33" i="156"/>
  <c r="T33" i="156"/>
  <c r="R33" i="156"/>
  <c r="P33" i="156"/>
  <c r="N33" i="156"/>
  <c r="L33" i="156"/>
  <c r="J33" i="156"/>
  <c r="H33" i="156"/>
  <c r="F33" i="156"/>
  <c r="AU32" i="156"/>
  <c r="AB32" i="156"/>
  <c r="Z32" i="156"/>
  <c r="X32" i="156"/>
  <c r="U32" i="156"/>
  <c r="T32" i="156"/>
  <c r="R32" i="156"/>
  <c r="P32" i="156"/>
  <c r="N32" i="156"/>
  <c r="L32" i="156"/>
  <c r="J32" i="156"/>
  <c r="H32" i="156"/>
  <c r="F32" i="156"/>
  <c r="AV31" i="156"/>
  <c r="AU31" i="156"/>
  <c r="AB31" i="156"/>
  <c r="Z31" i="156"/>
  <c r="X31" i="156"/>
  <c r="U31" i="156"/>
  <c r="T31" i="156"/>
  <c r="R31" i="156"/>
  <c r="P31" i="156"/>
  <c r="N31" i="156"/>
  <c r="L31" i="156"/>
  <c r="J31" i="156"/>
  <c r="H31" i="156"/>
  <c r="F31" i="156"/>
  <c r="AU30" i="156"/>
  <c r="AB30" i="156"/>
  <c r="Z30" i="156"/>
  <c r="X30" i="156"/>
  <c r="U30" i="156"/>
  <c r="T30" i="156"/>
  <c r="R30" i="156"/>
  <c r="P30" i="156"/>
  <c r="N30" i="156"/>
  <c r="L30" i="156"/>
  <c r="J30" i="156"/>
  <c r="H30" i="156"/>
  <c r="F30" i="156"/>
  <c r="AU29" i="156"/>
  <c r="AV29" i="156" s="1"/>
  <c r="AB29" i="156"/>
  <c r="Z29" i="156"/>
  <c r="X29" i="156"/>
  <c r="U29" i="156"/>
  <c r="T29" i="156"/>
  <c r="R29" i="156"/>
  <c r="P29" i="156"/>
  <c r="N29" i="156"/>
  <c r="L29" i="156"/>
  <c r="J29" i="156"/>
  <c r="H29" i="156"/>
  <c r="F29" i="156"/>
  <c r="AU28" i="156"/>
  <c r="AV28" i="156" s="1"/>
  <c r="AB28" i="156"/>
  <c r="Z28" i="156"/>
  <c r="X28" i="156"/>
  <c r="U28" i="156"/>
  <c r="T28" i="156"/>
  <c r="R28" i="156"/>
  <c r="P28" i="156"/>
  <c r="N28" i="156"/>
  <c r="L28" i="156"/>
  <c r="J28" i="156"/>
  <c r="H28" i="156"/>
  <c r="F28" i="156"/>
  <c r="AU27" i="156"/>
  <c r="U27" i="156"/>
  <c r="AU26" i="156"/>
  <c r="U26" i="156"/>
  <c r="V28" i="156" s="1"/>
  <c r="AU25" i="156"/>
  <c r="AB25" i="156"/>
  <c r="Z25" i="156"/>
  <c r="X25" i="156"/>
  <c r="U25" i="156"/>
  <c r="T25" i="156"/>
  <c r="R25" i="156"/>
  <c r="P25" i="156"/>
  <c r="N25" i="156"/>
  <c r="L25" i="156"/>
  <c r="J25" i="156"/>
  <c r="H25" i="156"/>
  <c r="F25" i="156"/>
  <c r="AU24" i="156"/>
  <c r="AB24" i="156"/>
  <c r="Z24" i="156"/>
  <c r="X24" i="156"/>
  <c r="U24" i="156"/>
  <c r="T24" i="156"/>
  <c r="R24" i="156"/>
  <c r="P24" i="156"/>
  <c r="N24" i="156"/>
  <c r="L24" i="156"/>
  <c r="J24" i="156"/>
  <c r="F24" i="156"/>
  <c r="AU23" i="156"/>
  <c r="AB23" i="156"/>
  <c r="Z23" i="156"/>
  <c r="X23" i="156"/>
  <c r="U23" i="156"/>
  <c r="T23" i="156"/>
  <c r="R23" i="156"/>
  <c r="P23" i="156"/>
  <c r="N23" i="156"/>
  <c r="L23" i="156"/>
  <c r="J23" i="156"/>
  <c r="H23" i="156"/>
  <c r="F23" i="156"/>
  <c r="AU22" i="156"/>
  <c r="AB22" i="156"/>
  <c r="Z22" i="156"/>
  <c r="X22" i="156"/>
  <c r="V22" i="156"/>
  <c r="U22" i="156"/>
  <c r="T22" i="156"/>
  <c r="R22" i="156"/>
  <c r="P22" i="156"/>
  <c r="N22" i="156"/>
  <c r="L22" i="156"/>
  <c r="J22" i="156"/>
  <c r="H22" i="156"/>
  <c r="F22" i="156"/>
  <c r="AU21" i="156"/>
  <c r="AB21" i="156"/>
  <c r="Z21" i="156"/>
  <c r="X21" i="156"/>
  <c r="U21" i="156"/>
  <c r="T21" i="156"/>
  <c r="R21" i="156"/>
  <c r="P21" i="156"/>
  <c r="N21" i="156"/>
  <c r="L21" i="156"/>
  <c r="J21" i="156"/>
  <c r="H21" i="156"/>
  <c r="F21" i="156"/>
  <c r="AU20" i="156"/>
  <c r="AB20" i="156"/>
  <c r="Z20" i="156"/>
  <c r="X20" i="156"/>
  <c r="U20" i="156"/>
  <c r="T20" i="156"/>
  <c r="R20" i="156"/>
  <c r="P20" i="156"/>
  <c r="N20" i="156"/>
  <c r="L20" i="156"/>
  <c r="J20" i="156"/>
  <c r="H20" i="156"/>
  <c r="F20" i="156"/>
  <c r="AU19" i="156"/>
  <c r="U19" i="156"/>
  <c r="AU18" i="156"/>
  <c r="AB18" i="156"/>
  <c r="Z18" i="156"/>
  <c r="X18" i="156"/>
  <c r="U18" i="156"/>
  <c r="T18" i="156"/>
  <c r="R18" i="156"/>
  <c r="P18" i="156"/>
  <c r="N18" i="156"/>
  <c r="L18" i="156"/>
  <c r="J18" i="156"/>
  <c r="H18" i="156"/>
  <c r="F18" i="156"/>
  <c r="H24" i="156" s="1"/>
  <c r="AU17" i="156"/>
  <c r="AB17" i="156"/>
  <c r="Z17" i="156"/>
  <c r="X17" i="156"/>
  <c r="U17" i="156"/>
  <c r="T17" i="156"/>
  <c r="R17" i="156"/>
  <c r="P17" i="156"/>
  <c r="N17" i="156"/>
  <c r="L17" i="156"/>
  <c r="J17" i="156"/>
  <c r="H17" i="156"/>
  <c r="F17" i="156"/>
  <c r="AU16" i="156"/>
  <c r="AV16" i="156" s="1"/>
  <c r="AB16" i="156"/>
  <c r="Z16" i="156"/>
  <c r="X16" i="156"/>
  <c r="U16" i="156"/>
  <c r="V16" i="156" s="1"/>
  <c r="T16" i="156"/>
  <c r="R16" i="156"/>
  <c r="P16" i="156"/>
  <c r="N16" i="156"/>
  <c r="L16" i="156"/>
  <c r="J16" i="156"/>
  <c r="H16" i="156"/>
  <c r="F16" i="156"/>
  <c r="AU15" i="156"/>
  <c r="AB15" i="156"/>
  <c r="Z15" i="156"/>
  <c r="X15" i="156"/>
  <c r="U15" i="156"/>
  <c r="T15" i="156"/>
  <c r="R15" i="156"/>
  <c r="P15" i="156"/>
  <c r="N15" i="156"/>
  <c r="L15" i="156"/>
  <c r="J15" i="156"/>
  <c r="H15" i="156"/>
  <c r="F15" i="156"/>
  <c r="AU14" i="156"/>
  <c r="AB14" i="156"/>
  <c r="Z14" i="156"/>
  <c r="X14" i="156"/>
  <c r="U14" i="156"/>
  <c r="T14" i="156"/>
  <c r="R14" i="156"/>
  <c r="P14" i="156"/>
  <c r="N14" i="156"/>
  <c r="L14" i="156"/>
  <c r="J14" i="156"/>
  <c r="H14" i="156"/>
  <c r="F14" i="156"/>
  <c r="AU13" i="156"/>
  <c r="AB13" i="156"/>
  <c r="Z13" i="156"/>
  <c r="X13" i="156"/>
  <c r="U13" i="156"/>
  <c r="T13" i="156"/>
  <c r="R13" i="156"/>
  <c r="P13" i="156"/>
  <c r="N13" i="156"/>
  <c r="L13" i="156"/>
  <c r="J13" i="156"/>
  <c r="H13" i="156"/>
  <c r="F13" i="156"/>
  <c r="AU12" i="156"/>
  <c r="AB12" i="156"/>
  <c r="Z12" i="156"/>
  <c r="X12" i="156"/>
  <c r="U12" i="156"/>
  <c r="T12" i="156"/>
  <c r="R12" i="156"/>
  <c r="P12" i="156"/>
  <c r="N12" i="156"/>
  <c r="L12" i="156"/>
  <c r="J12" i="156"/>
  <c r="H12" i="156"/>
  <c r="F12" i="156"/>
  <c r="AU11" i="156"/>
  <c r="U11" i="156"/>
  <c r="AU10" i="156"/>
  <c r="AB10" i="156"/>
  <c r="Z10" i="156"/>
  <c r="X10" i="156"/>
  <c r="U10" i="156"/>
  <c r="T10" i="156"/>
  <c r="R10" i="156"/>
  <c r="P10" i="156"/>
  <c r="N10" i="156"/>
  <c r="L10" i="156"/>
  <c r="J10" i="156"/>
  <c r="H10" i="156"/>
  <c r="F10" i="156"/>
  <c r="AU9" i="156"/>
  <c r="AB9" i="156"/>
  <c r="Z9" i="156"/>
  <c r="X9" i="156"/>
  <c r="U9" i="156"/>
  <c r="V9" i="156" s="1"/>
  <c r="T9" i="156"/>
  <c r="R9" i="156"/>
  <c r="P9" i="156"/>
  <c r="N9" i="156"/>
  <c r="L9" i="156"/>
  <c r="J9" i="156"/>
  <c r="H9" i="156"/>
  <c r="F9" i="156"/>
  <c r="AU8" i="156"/>
  <c r="AB8" i="156"/>
  <c r="Z8" i="156"/>
  <c r="X8" i="156"/>
  <c r="U8" i="156"/>
  <c r="T8" i="156"/>
  <c r="R8" i="156"/>
  <c r="P8" i="156"/>
  <c r="N8" i="156"/>
  <c r="L8" i="156"/>
  <c r="J8" i="156"/>
  <c r="H8" i="156"/>
  <c r="F8" i="156"/>
  <c r="AU7" i="156"/>
  <c r="AB7" i="156"/>
  <c r="Z7" i="156"/>
  <c r="X7" i="156"/>
  <c r="U7" i="156"/>
  <c r="T7" i="156"/>
  <c r="R7" i="156"/>
  <c r="P7" i="156"/>
  <c r="N7" i="156"/>
  <c r="L7" i="156"/>
  <c r="J7" i="156"/>
  <c r="H7" i="156"/>
  <c r="F7" i="156"/>
  <c r="AU6" i="156"/>
  <c r="AB6" i="156"/>
  <c r="AB5" i="156" s="1"/>
  <c r="AB3" i="156" s="1"/>
  <c r="Z6" i="156"/>
  <c r="X6" i="156"/>
  <c r="U6" i="156"/>
  <c r="T6" i="156"/>
  <c r="R6" i="156"/>
  <c r="P6" i="156"/>
  <c r="N6" i="156"/>
  <c r="L6" i="156"/>
  <c r="J6" i="156"/>
  <c r="H6" i="156"/>
  <c r="F6" i="156"/>
  <c r="AU5" i="156"/>
  <c r="U5" i="156"/>
  <c r="AU4" i="156"/>
  <c r="AB4" i="156"/>
  <c r="Z4" i="156"/>
  <c r="X4" i="156"/>
  <c r="U4" i="156"/>
  <c r="T4" i="156"/>
  <c r="R4" i="156"/>
  <c r="P4" i="156"/>
  <c r="N4" i="156"/>
  <c r="L4" i="156"/>
  <c r="J4" i="156"/>
  <c r="H4" i="156"/>
  <c r="F4" i="156"/>
  <c r="AU3" i="156"/>
  <c r="AV7" i="156" s="1"/>
  <c r="U3" i="156"/>
  <c r="AU2" i="156"/>
  <c r="U2" i="156"/>
  <c r="AB51" i="132"/>
  <c r="AB42" i="132"/>
  <c r="AB41" i="132"/>
  <c r="AB36" i="132"/>
  <c r="AB35" i="132"/>
  <c r="AB34" i="132"/>
  <c r="AB33" i="132"/>
  <c r="AB32" i="132"/>
  <c r="AB31" i="132"/>
  <c r="AB30" i="132"/>
  <c r="AB29" i="132"/>
  <c r="AB28" i="132"/>
  <c r="AB27" i="132"/>
  <c r="AB24" i="132"/>
  <c r="AB23" i="132"/>
  <c r="AB22" i="132"/>
  <c r="AB21" i="132"/>
  <c r="AB20" i="132"/>
  <c r="AB18" i="132"/>
  <c r="AB17" i="132"/>
  <c r="AB16" i="132"/>
  <c r="AB15" i="132"/>
  <c r="AB14" i="132"/>
  <c r="AB13" i="132"/>
  <c r="AB12" i="132"/>
  <c r="AB10" i="132"/>
  <c r="AB9" i="132"/>
  <c r="AB8" i="132"/>
  <c r="AB7" i="132"/>
  <c r="AB6" i="132"/>
  <c r="AB4" i="132"/>
  <c r="V21" i="156" l="1"/>
  <c r="AW21" i="156" s="1"/>
  <c r="G17" i="158"/>
  <c r="H17" i="158" s="1"/>
  <c r="G18" i="158"/>
  <c r="H18" i="158" s="1"/>
  <c r="AV39" i="156"/>
  <c r="G35" i="158"/>
  <c r="H35" i="158" s="1"/>
  <c r="J19" i="156"/>
  <c r="V42" i="156"/>
  <c r="AV22" i="156"/>
  <c r="V17" i="156"/>
  <c r="AW17" i="156" s="1"/>
  <c r="AV33" i="156"/>
  <c r="V37" i="156"/>
  <c r="AV41" i="156"/>
  <c r="G2" i="158"/>
  <c r="H2" i="158" s="1"/>
  <c r="G40" i="158"/>
  <c r="H40" i="158" s="1"/>
  <c r="AV34" i="156"/>
  <c r="G27" i="158"/>
  <c r="H27" i="158" s="1"/>
  <c r="V10" i="156"/>
  <c r="P11" i="156"/>
  <c r="G15" i="158"/>
  <c r="H15" i="158" s="1"/>
  <c r="H5" i="156"/>
  <c r="H3" i="156" s="1"/>
  <c r="AV42" i="156"/>
  <c r="G34" i="158"/>
  <c r="H34" i="158" s="1"/>
  <c r="G11" i="158"/>
  <c r="H11" i="158" s="1"/>
  <c r="F24" i="158"/>
  <c r="G24" i="158" s="1"/>
  <c r="H24" i="158" s="1"/>
  <c r="R27" i="156"/>
  <c r="R26" i="156" s="1"/>
  <c r="X19" i="156"/>
  <c r="T19" i="156"/>
  <c r="Z27" i="156"/>
  <c r="Z26" i="156" s="1"/>
  <c r="X11" i="156"/>
  <c r="V13" i="156"/>
  <c r="V31" i="156"/>
  <c r="G26" i="158"/>
  <c r="H26" i="158" s="1"/>
  <c r="N11" i="156"/>
  <c r="V52" i="156"/>
  <c r="V4" i="156"/>
  <c r="P5" i="156"/>
  <c r="P3" i="156" s="1"/>
  <c r="N5" i="156"/>
  <c r="N3" i="156" s="1"/>
  <c r="Z19" i="156"/>
  <c r="AV37" i="156"/>
  <c r="AV13" i="156"/>
  <c r="AB11" i="156"/>
  <c r="V15" i="156"/>
  <c r="AW15" i="156" s="1"/>
  <c r="V23" i="156"/>
  <c r="AW23" i="156" s="1"/>
  <c r="H27" i="156"/>
  <c r="H26" i="156" s="1"/>
  <c r="F27" i="156"/>
  <c r="AB27" i="156"/>
  <c r="AB26" i="156" s="1"/>
  <c r="G16" i="158"/>
  <c r="H16" i="158" s="1"/>
  <c r="G28" i="158"/>
  <c r="H28" i="158" s="1"/>
  <c r="F42" i="158"/>
  <c r="G42" i="158" s="1"/>
  <c r="H42" i="158" s="1"/>
  <c r="V25" i="156"/>
  <c r="X5" i="156"/>
  <c r="X3" i="156" s="1"/>
  <c r="V7" i="156"/>
  <c r="AW7" i="156" s="1"/>
  <c r="G45" i="158"/>
  <c r="H45" i="158" s="1"/>
  <c r="V8" i="156"/>
  <c r="AW8" i="156" s="1"/>
  <c r="J5" i="156"/>
  <c r="J3" i="156" s="1"/>
  <c r="J11" i="156"/>
  <c r="AV20" i="156"/>
  <c r="AB19" i="156"/>
  <c r="AW22" i="156"/>
  <c r="L27" i="156"/>
  <c r="L26" i="156" s="1"/>
  <c r="G4" i="158"/>
  <c r="H4" i="158" s="1"/>
  <c r="G38" i="158"/>
  <c r="H38" i="158" s="1"/>
  <c r="T26" i="156"/>
  <c r="AV8" i="156"/>
  <c r="AW10" i="156"/>
  <c r="F19" i="156"/>
  <c r="AV21" i="156"/>
  <c r="T27" i="156"/>
  <c r="N27" i="156"/>
  <c r="N26" i="156" s="1"/>
  <c r="V34" i="156"/>
  <c r="AW34" i="156" s="1"/>
  <c r="G5" i="158"/>
  <c r="H5" i="158" s="1"/>
  <c r="G39" i="158"/>
  <c r="H39" i="158" s="1"/>
  <c r="G65" i="158"/>
  <c r="H65" i="158" s="1"/>
  <c r="AV9" i="156"/>
  <c r="AV14" i="156"/>
  <c r="AW16" i="156"/>
  <c r="H19" i="156"/>
  <c r="V24" i="156"/>
  <c r="AW24" i="156" s="1"/>
  <c r="P27" i="156"/>
  <c r="P26" i="156" s="1"/>
  <c r="AV32" i="156"/>
  <c r="V39" i="156"/>
  <c r="AW39" i="156" s="1"/>
  <c r="F30" i="158"/>
  <c r="G30" i="158" s="1"/>
  <c r="H30" i="158" s="1"/>
  <c r="G62" i="158"/>
  <c r="H62" i="158" s="1"/>
  <c r="G32" i="158"/>
  <c r="H32" i="158" s="1"/>
  <c r="G63" i="158"/>
  <c r="H63" i="158" s="1"/>
  <c r="H11" i="156"/>
  <c r="AV15" i="156"/>
  <c r="L19" i="156"/>
  <c r="V35" i="156"/>
  <c r="AW35" i="156" s="1"/>
  <c r="AV43" i="156"/>
  <c r="R5" i="156"/>
  <c r="R3" i="156" s="1"/>
  <c r="L5" i="156"/>
  <c r="L3" i="156" s="1"/>
  <c r="R11" i="156"/>
  <c r="V18" i="156"/>
  <c r="AW18" i="156" s="1"/>
  <c r="N19" i="156"/>
  <c r="X27" i="156"/>
  <c r="V36" i="156"/>
  <c r="AW36" i="156" s="1"/>
  <c r="V40" i="156"/>
  <c r="AW40" i="156" s="1"/>
  <c r="F68" i="158"/>
  <c r="G68" i="158" s="1"/>
  <c r="H68" i="158" s="1"/>
  <c r="G64" i="158"/>
  <c r="H64" i="158" s="1"/>
  <c r="V33" i="156"/>
  <c r="AW33" i="156" s="1"/>
  <c r="AV23" i="156"/>
  <c r="V29" i="156"/>
  <c r="AW29" i="156" s="1"/>
  <c r="G21" i="158"/>
  <c r="H21" i="158" s="1"/>
  <c r="G33" i="158"/>
  <c r="H33" i="158" s="1"/>
  <c r="V6" i="156"/>
  <c r="AW6" i="156" s="1"/>
  <c r="T5" i="156"/>
  <c r="T3" i="156" s="1"/>
  <c r="V12" i="156"/>
  <c r="AW12" i="156" s="1"/>
  <c r="T11" i="156"/>
  <c r="R19" i="156"/>
  <c r="AV24" i="156"/>
  <c r="V30" i="156"/>
  <c r="AW30" i="156" s="1"/>
  <c r="V41" i="156"/>
  <c r="AW41" i="156" s="1"/>
  <c r="AW42" i="156"/>
  <c r="G9" i="158"/>
  <c r="H9" i="158" s="1"/>
  <c r="F70" i="158"/>
  <c r="G44" i="158"/>
  <c r="H44" i="158" s="1"/>
  <c r="F66" i="158"/>
  <c r="G66" i="158" s="1"/>
  <c r="H66" i="158" s="1"/>
  <c r="AW13" i="156"/>
  <c r="V38" i="156"/>
  <c r="AW38" i="156" s="1"/>
  <c r="P19" i="156"/>
  <c r="AW37" i="156"/>
  <c r="G22" i="158"/>
  <c r="H22" i="158" s="1"/>
  <c r="AW31" i="156"/>
  <c r="AW25" i="156"/>
  <c r="F73" i="158"/>
  <c r="AV17" i="156"/>
  <c r="Z5" i="156"/>
  <c r="Z3" i="156" s="1"/>
  <c r="Z11" i="156"/>
  <c r="AV18" i="156"/>
  <c r="V20" i="156"/>
  <c r="AW20" i="156" s="1"/>
  <c r="J27" i="156"/>
  <c r="J26" i="156" s="1"/>
  <c r="F26" i="156"/>
  <c r="AV36" i="156"/>
  <c r="F71" i="158"/>
  <c r="G46" i="158"/>
  <c r="H46" i="158" s="1"/>
  <c r="G56" i="158"/>
  <c r="H56" i="158" s="1"/>
  <c r="F5" i="156"/>
  <c r="F3" i="156" s="1"/>
  <c r="AV6" i="156"/>
  <c r="AW9" i="156"/>
  <c r="F11" i="156"/>
  <c r="AV12" i="156"/>
  <c r="V14" i="156"/>
  <c r="AW14" i="156" s="1"/>
  <c r="L11" i="156"/>
  <c r="AV35" i="156"/>
  <c r="AV30" i="156"/>
  <c r="AV27" i="156" s="1"/>
  <c r="V32" i="156"/>
  <c r="AW32" i="156" s="1"/>
  <c r="G3" i="158"/>
  <c r="H3" i="158" s="1"/>
  <c r="F48" i="158"/>
  <c r="G48" i="158" s="1"/>
  <c r="H48" i="158" s="1"/>
  <c r="AB5" i="132"/>
  <c r="AB3" i="132" s="1"/>
  <c r="AB19" i="132"/>
  <c r="F256" i="158"/>
  <c r="G256" i="158" s="1"/>
  <c r="F251" i="158"/>
  <c r="G251" i="158" s="1"/>
  <c r="F115" i="158"/>
  <c r="G96" i="158" s="1"/>
  <c r="F157" i="158"/>
  <c r="G156" i="158" s="1"/>
  <c r="F94" i="158"/>
  <c r="G82" i="158" s="1"/>
  <c r="F136" i="158"/>
  <c r="G135" i="158" s="1"/>
  <c r="F199" i="158"/>
  <c r="G183" i="158" s="1"/>
  <c r="E22" i="157"/>
  <c r="F13" i="157" s="1"/>
  <c r="E43" i="157"/>
  <c r="F25" i="157" s="1"/>
  <c r="E64" i="157"/>
  <c r="F51" i="157" s="1"/>
  <c r="F220" i="158"/>
  <c r="G207" i="158" s="1"/>
  <c r="G12" i="158"/>
  <c r="H12" i="158" s="1"/>
  <c r="G23" i="158"/>
  <c r="H23" i="158" s="1"/>
  <c r="G41" i="158"/>
  <c r="H41" i="158" s="1"/>
  <c r="G59" i="158"/>
  <c r="H59" i="158" s="1"/>
  <c r="F69" i="158"/>
  <c r="G69" i="158" s="1"/>
  <c r="H69" i="158" s="1"/>
  <c r="F60" i="158"/>
  <c r="G60" i="158" s="1"/>
  <c r="H60" i="158" s="1"/>
  <c r="F178" i="158"/>
  <c r="G174" i="158" s="1"/>
  <c r="F246" i="158"/>
  <c r="G246" i="158" s="1"/>
  <c r="G20" i="158"/>
  <c r="H20" i="158" s="1"/>
  <c r="G8" i="158"/>
  <c r="H8" i="158" s="1"/>
  <c r="G29" i="158"/>
  <c r="H29" i="158" s="1"/>
  <c r="G47" i="158"/>
  <c r="H47" i="158" s="1"/>
  <c r="F241" i="158"/>
  <c r="G254" i="158"/>
  <c r="F54" i="158"/>
  <c r="G54" i="158" s="1"/>
  <c r="H54" i="158" s="1"/>
  <c r="F36" i="158"/>
  <c r="G36" i="158" s="1"/>
  <c r="H36" i="158" s="1"/>
  <c r="X26" i="156"/>
  <c r="V11" i="156"/>
  <c r="AW11" i="156" s="1"/>
  <c r="AV10" i="156"/>
  <c r="AW28" i="156"/>
  <c r="AV52" i="156"/>
  <c r="AV4" i="156"/>
  <c r="AV25" i="156"/>
  <c r="AB11" i="132"/>
  <c r="AW4" i="156"/>
  <c r="AB26" i="132"/>
  <c r="AB25" i="132" s="1"/>
  <c r="AV5" i="156" l="1"/>
  <c r="AV3" i="156" s="1"/>
  <c r="V19" i="156"/>
  <c r="AW19" i="156" s="1"/>
  <c r="V5" i="156"/>
  <c r="V3" i="156" s="1"/>
  <c r="AW3" i="156" s="1"/>
  <c r="G104" i="158"/>
  <c r="AV26" i="156"/>
  <c r="G153" i="158"/>
  <c r="G70" i="158"/>
  <c r="H70" i="158" s="1"/>
  <c r="G144" i="158"/>
  <c r="G141" i="158"/>
  <c r="G99" i="158"/>
  <c r="AV11" i="156"/>
  <c r="G102" i="158"/>
  <c r="G111" i="158"/>
  <c r="G152" i="158"/>
  <c r="G112" i="158"/>
  <c r="G95" i="158"/>
  <c r="G143" i="158"/>
  <c r="G100" i="158"/>
  <c r="G146" i="158"/>
  <c r="G71" i="158"/>
  <c r="H71" i="158" s="1"/>
  <c r="G107" i="158"/>
  <c r="G142" i="158"/>
  <c r="G114" i="158"/>
  <c r="G101" i="158"/>
  <c r="G97" i="158"/>
  <c r="G147" i="158"/>
  <c r="G138" i="158"/>
  <c r="G105" i="158"/>
  <c r="G140" i="158"/>
  <c r="G154" i="158"/>
  <c r="V27" i="156"/>
  <c r="G103" i="158"/>
  <c r="G151" i="158"/>
  <c r="G109" i="158"/>
  <c r="G108" i="158"/>
  <c r="G139" i="158"/>
  <c r="AV19" i="156"/>
  <c r="G150" i="158"/>
  <c r="G106" i="158"/>
  <c r="G110" i="158"/>
  <c r="G113" i="158"/>
  <c r="G98" i="158"/>
  <c r="G162" i="158"/>
  <c r="G149" i="158"/>
  <c r="G172" i="158"/>
  <c r="G131" i="158"/>
  <c r="G119" i="158"/>
  <c r="G123" i="158"/>
  <c r="G118" i="158"/>
  <c r="G134" i="158"/>
  <c r="G116" i="158"/>
  <c r="G126" i="158"/>
  <c r="G128" i="158"/>
  <c r="G132" i="158"/>
  <c r="G124" i="158"/>
  <c r="G155" i="158"/>
  <c r="G86" i="158"/>
  <c r="G84" i="158"/>
  <c r="G85" i="158"/>
  <c r="G122" i="158"/>
  <c r="G133" i="158"/>
  <c r="G79" i="158"/>
  <c r="G83" i="158"/>
  <c r="G121" i="158"/>
  <c r="G184" i="158"/>
  <c r="G89" i="158"/>
  <c r="G195" i="158"/>
  <c r="G198" i="158"/>
  <c r="G78" i="158"/>
  <c r="G196" i="158"/>
  <c r="G189" i="158"/>
  <c r="G130" i="158"/>
  <c r="G127" i="158"/>
  <c r="G120" i="158"/>
  <c r="G181" i="158"/>
  <c r="G90" i="158"/>
  <c r="G129" i="158"/>
  <c r="G125" i="158"/>
  <c r="G117" i="158"/>
  <c r="G91" i="158"/>
  <c r="G137" i="158"/>
  <c r="F7" i="157"/>
  <c r="F10" i="157"/>
  <c r="G176" i="158"/>
  <c r="G179" i="158"/>
  <c r="G160" i="158"/>
  <c r="G164" i="158"/>
  <c r="F19" i="157"/>
  <c r="G165" i="158"/>
  <c r="G180" i="158"/>
  <c r="G188" i="158"/>
  <c r="G170" i="158"/>
  <c r="F2" i="157"/>
  <c r="F6" i="157"/>
  <c r="G197" i="158"/>
  <c r="F8" i="157"/>
  <c r="G159" i="158"/>
  <c r="F4" i="157"/>
  <c r="G185" i="158"/>
  <c r="G187" i="158"/>
  <c r="G171" i="158"/>
  <c r="G168" i="158"/>
  <c r="F18" i="157"/>
  <c r="G182" i="158"/>
  <c r="G169" i="158"/>
  <c r="G194" i="158"/>
  <c r="G81" i="158"/>
  <c r="G88" i="158"/>
  <c r="G87" i="158"/>
  <c r="F15" i="157"/>
  <c r="G190" i="158"/>
  <c r="G148" i="158"/>
  <c r="G145" i="158"/>
  <c r="G186" i="158"/>
  <c r="G177" i="158"/>
  <c r="F5" i="157"/>
  <c r="G175" i="158"/>
  <c r="G158" i="158"/>
  <c r="G92" i="158"/>
  <c r="G192" i="158"/>
  <c r="G80" i="158"/>
  <c r="G76" i="158"/>
  <c r="G93" i="158"/>
  <c r="F11" i="157"/>
  <c r="F3" i="157"/>
  <c r="F16" i="157"/>
  <c r="G193" i="158"/>
  <c r="G191" i="158"/>
  <c r="G77" i="158"/>
  <c r="G163" i="158"/>
  <c r="G74" i="158"/>
  <c r="G166" i="158"/>
  <c r="G75" i="158"/>
  <c r="F9" i="157"/>
  <c r="F14" i="157"/>
  <c r="F12" i="157"/>
  <c r="F21" i="157"/>
  <c r="F17" i="157"/>
  <c r="F39" i="157"/>
  <c r="F31" i="157"/>
  <c r="F33" i="157"/>
  <c r="F20" i="157"/>
  <c r="F45" i="157"/>
  <c r="F61" i="157"/>
  <c r="F29" i="157"/>
  <c r="F48" i="157"/>
  <c r="F42" i="157"/>
  <c r="F32" i="157"/>
  <c r="F30" i="157"/>
  <c r="F55" i="157"/>
  <c r="F54" i="157"/>
  <c r="F56" i="157"/>
  <c r="F49" i="157"/>
  <c r="F38" i="157"/>
  <c r="F36" i="157"/>
  <c r="F41" i="157"/>
  <c r="F35" i="157"/>
  <c r="F23" i="157"/>
  <c r="F62" i="157"/>
  <c r="F53" i="157"/>
  <c r="F40" i="157"/>
  <c r="F57" i="157"/>
  <c r="F27" i="157"/>
  <c r="F60" i="157"/>
  <c r="F44" i="157"/>
  <c r="F52" i="157"/>
  <c r="F24" i="157"/>
  <c r="F26" i="157"/>
  <c r="F63" i="157"/>
  <c r="F50" i="157"/>
  <c r="F46" i="157"/>
  <c r="F47" i="157"/>
  <c r="F59" i="157"/>
  <c r="F37" i="157"/>
  <c r="F34" i="157"/>
  <c r="F28" i="157"/>
  <c r="F58" i="157"/>
  <c r="G212" i="158"/>
  <c r="G229" i="158"/>
  <c r="G233" i="158"/>
  <c r="G208" i="158"/>
  <c r="G211" i="158"/>
  <c r="G235" i="158"/>
  <c r="G223" i="158"/>
  <c r="G237" i="158"/>
  <c r="G231" i="158"/>
  <c r="G225" i="158"/>
  <c r="G236" i="158"/>
  <c r="G230" i="158"/>
  <c r="G224" i="158"/>
  <c r="G216" i="158"/>
  <c r="G210" i="158"/>
  <c r="G204" i="158"/>
  <c r="G215" i="158"/>
  <c r="G209" i="158"/>
  <c r="G203" i="158"/>
  <c r="G238" i="158"/>
  <c r="G232" i="158"/>
  <c r="G218" i="158"/>
  <c r="G226" i="158"/>
  <c r="F72" i="158"/>
  <c r="G72" i="158" s="1"/>
  <c r="H72" i="158" s="1"/>
  <c r="G239" i="158"/>
  <c r="G202" i="158"/>
  <c r="G221" i="158"/>
  <c r="G213" i="158"/>
  <c r="G201" i="158"/>
  <c r="G217" i="158"/>
  <c r="G227" i="158"/>
  <c r="G234" i="158"/>
  <c r="G200" i="158"/>
  <c r="G206" i="158"/>
  <c r="G240" i="158"/>
  <c r="G228" i="158"/>
  <c r="G173" i="158"/>
  <c r="G167" i="158"/>
  <c r="G161" i="158"/>
  <c r="G205" i="158"/>
  <c r="G214" i="158"/>
  <c r="G222" i="158"/>
  <c r="G219" i="158"/>
  <c r="AW5" i="156" l="1"/>
  <c r="V26" i="156"/>
  <c r="AW26" i="156" s="1"/>
  <c r="AW27" i="156"/>
  <c r="F85" i="107" l="1"/>
  <c r="H85" i="107" s="1"/>
  <c r="F84" i="107"/>
  <c r="H84" i="107" s="1"/>
  <c r="F83" i="107"/>
  <c r="H83" i="107" s="1"/>
  <c r="F82" i="107"/>
  <c r="H82" i="107" s="1"/>
  <c r="F81" i="107"/>
  <c r="H81" i="107" s="1"/>
  <c r="F80" i="107"/>
  <c r="H80" i="107" s="1"/>
  <c r="F79" i="107"/>
  <c r="H79" i="107" s="1"/>
  <c r="F78" i="107"/>
  <c r="H78" i="107" s="1"/>
  <c r="F77" i="107"/>
  <c r="H77" i="107" s="1"/>
  <c r="F76" i="107"/>
  <c r="H76" i="107" s="1"/>
  <c r="F75" i="107"/>
  <c r="H75" i="107" s="1"/>
  <c r="F74" i="107"/>
  <c r="H74" i="107" s="1"/>
  <c r="E85" i="107"/>
  <c r="E84" i="107"/>
  <c r="E83" i="107"/>
  <c r="E82" i="107"/>
  <c r="E81" i="107"/>
  <c r="E80" i="107"/>
  <c r="E79" i="107"/>
  <c r="E78" i="107"/>
  <c r="E77" i="107"/>
  <c r="E76" i="107"/>
  <c r="E75" i="107"/>
  <c r="E74" i="107"/>
  <c r="D85" i="107"/>
  <c r="D84" i="107"/>
  <c r="D83" i="107"/>
  <c r="D82" i="107"/>
  <c r="D81" i="107"/>
  <c r="D80" i="107"/>
  <c r="D79" i="107"/>
  <c r="D78" i="107"/>
  <c r="D77" i="107"/>
  <c r="D76" i="107"/>
  <c r="D75" i="107"/>
  <c r="D74" i="107"/>
  <c r="C85" i="107"/>
  <c r="C84" i="107"/>
  <c r="C83" i="107"/>
  <c r="C82" i="107"/>
  <c r="C81" i="107"/>
  <c r="C80" i="107"/>
  <c r="C79" i="107"/>
  <c r="C78" i="107"/>
  <c r="C77" i="107"/>
  <c r="C76" i="107"/>
  <c r="C75" i="107"/>
  <c r="C74" i="107"/>
  <c r="I78" i="107" l="1"/>
  <c r="I79" i="107"/>
  <c r="I80" i="107"/>
  <c r="I81" i="107"/>
  <c r="I82" i="107"/>
  <c r="I75" i="107"/>
  <c r="I77" i="107"/>
  <c r="I83" i="107"/>
  <c r="I74" i="107"/>
  <c r="I76" i="107"/>
  <c r="I84" i="107"/>
  <c r="I85" i="107"/>
  <c r="AU53" i="132" l="1"/>
  <c r="AU52" i="132"/>
  <c r="AU50" i="132"/>
  <c r="AU49" i="132"/>
  <c r="AU48" i="132"/>
  <c r="AU47" i="132"/>
  <c r="AU45" i="132"/>
  <c r="AU43" i="132"/>
  <c r="AU42" i="132"/>
  <c r="AU41" i="132"/>
  <c r="AU40" i="132"/>
  <c r="AU39" i="132"/>
  <c r="AU38" i="132"/>
  <c r="AU37" i="132"/>
  <c r="AU36" i="132"/>
  <c r="AU35" i="132"/>
  <c r="AU34" i="132"/>
  <c r="AU33" i="132"/>
  <c r="AU32" i="132"/>
  <c r="AU31" i="132"/>
  <c r="AU30" i="132"/>
  <c r="AU29" i="132"/>
  <c r="AU28" i="132"/>
  <c r="AU27" i="132"/>
  <c r="AU26" i="132"/>
  <c r="AU25" i="132"/>
  <c r="AU23" i="132"/>
  <c r="AU22" i="132"/>
  <c r="AU21" i="132"/>
  <c r="AU20" i="132"/>
  <c r="AU19" i="132"/>
  <c r="AU17" i="132"/>
  <c r="AU16" i="132"/>
  <c r="AU15" i="132"/>
  <c r="AU14" i="132"/>
  <c r="AU13" i="132"/>
  <c r="AU12" i="132"/>
  <c r="AU10" i="132"/>
  <c r="AU9" i="132"/>
  <c r="AU8" i="132"/>
  <c r="AU7" i="132"/>
  <c r="AU6" i="132"/>
  <c r="AU4" i="132"/>
  <c r="AU2" i="132"/>
  <c r="U17" i="132"/>
  <c r="U16" i="132"/>
  <c r="U15" i="132"/>
  <c r="T18" i="132"/>
  <c r="T17" i="132"/>
  <c r="T16" i="132"/>
  <c r="T15" i="132"/>
  <c r="T14" i="132"/>
  <c r="T13" i="132"/>
  <c r="T12" i="132"/>
  <c r="R18" i="132"/>
  <c r="R17" i="132"/>
  <c r="R16" i="132"/>
  <c r="R15" i="132"/>
  <c r="R14" i="132"/>
  <c r="R13" i="132"/>
  <c r="R12" i="132"/>
  <c r="P18" i="132"/>
  <c r="P17" i="132"/>
  <c r="P16" i="132"/>
  <c r="P15" i="132"/>
  <c r="P14" i="132"/>
  <c r="P13" i="132"/>
  <c r="P12" i="132"/>
  <c r="N18" i="132"/>
  <c r="N17" i="132"/>
  <c r="N16" i="132"/>
  <c r="N15" i="132"/>
  <c r="N14" i="132"/>
  <c r="N13" i="132"/>
  <c r="N12" i="132"/>
  <c r="L18" i="132"/>
  <c r="L17" i="132"/>
  <c r="L16" i="132"/>
  <c r="L15" i="132"/>
  <c r="L14" i="132"/>
  <c r="L13" i="132"/>
  <c r="L12" i="132"/>
  <c r="J18" i="132"/>
  <c r="J17" i="132"/>
  <c r="J16" i="132"/>
  <c r="J15" i="132"/>
  <c r="J14" i="132"/>
  <c r="J13" i="132"/>
  <c r="J12" i="132"/>
  <c r="H18" i="132"/>
  <c r="H17" i="132"/>
  <c r="H16" i="132"/>
  <c r="H15" i="132"/>
  <c r="H14" i="132"/>
  <c r="H13" i="132"/>
  <c r="H12" i="132"/>
  <c r="F18" i="132"/>
  <c r="F17" i="132"/>
  <c r="F16" i="132"/>
  <c r="F15" i="132"/>
  <c r="F14" i="132"/>
  <c r="F13" i="132"/>
  <c r="F12" i="132"/>
  <c r="X17" i="132"/>
  <c r="X16" i="132"/>
  <c r="X15" i="132"/>
  <c r="Z51" i="132"/>
  <c r="Z42" i="132"/>
  <c r="Z41" i="132"/>
  <c r="Z36" i="132"/>
  <c r="Z35" i="132"/>
  <c r="Z34" i="132"/>
  <c r="Z33" i="132"/>
  <c r="Z32" i="132"/>
  <c r="Z31" i="132"/>
  <c r="Z30" i="132"/>
  <c r="Z29" i="132"/>
  <c r="Z28" i="132"/>
  <c r="Z27" i="132"/>
  <c r="Z23" i="132"/>
  <c r="Z22" i="132"/>
  <c r="Z21" i="132"/>
  <c r="Z20" i="132"/>
  <c r="X36" i="132"/>
  <c r="X35" i="132"/>
  <c r="X34" i="132"/>
  <c r="X33" i="132"/>
  <c r="X32" i="132"/>
  <c r="X31" i="132"/>
  <c r="X30" i="132"/>
  <c r="X29" i="132"/>
  <c r="X28" i="132"/>
  <c r="X27" i="132"/>
  <c r="X24" i="132"/>
  <c r="X23" i="132"/>
  <c r="X22" i="132"/>
  <c r="X21" i="132"/>
  <c r="X20" i="132"/>
  <c r="X18" i="132"/>
  <c r="X14" i="132"/>
  <c r="X13" i="132"/>
  <c r="X12" i="132"/>
  <c r="X10" i="132"/>
  <c r="X9" i="132"/>
  <c r="X8" i="132"/>
  <c r="X7" i="132"/>
  <c r="X6" i="132"/>
  <c r="X4" i="132"/>
  <c r="AV37" i="132" l="1"/>
  <c r="AV38" i="132"/>
  <c r="AV35" i="132"/>
  <c r="AV39" i="132"/>
  <c r="AV29" i="132"/>
  <c r="AV30" i="132"/>
  <c r="AV31" i="132"/>
  <c r="AV32" i="132"/>
  <c r="AV33" i="132"/>
  <c r="AV22" i="132"/>
  <c r="AV34" i="132"/>
  <c r="X5" i="132"/>
  <c r="X3" i="132" s="1"/>
  <c r="Z26" i="132"/>
  <c r="Z25" i="132" s="1"/>
  <c r="AV51" i="132"/>
  <c r="AV36" i="132"/>
  <c r="X11" i="132"/>
  <c r="AV27" i="132"/>
  <c r="AV21" i="132"/>
  <c r="AV28" i="132"/>
  <c r="AV40" i="132"/>
  <c r="AV23" i="132"/>
  <c r="AV20" i="132"/>
  <c r="X26" i="132"/>
  <c r="X25" i="132" s="1"/>
  <c r="Z19" i="132"/>
  <c r="X19" i="132"/>
  <c r="AV19" i="132" l="1"/>
  <c r="AV26" i="132"/>
  <c r="AV25" i="132" s="1"/>
  <c r="AU18" i="132" l="1"/>
  <c r="AU5" i="132"/>
  <c r="AU44" i="132"/>
  <c r="AU3" i="132" l="1"/>
  <c r="Z17" i="132"/>
  <c r="Z16" i="132"/>
  <c r="AU11" i="132"/>
  <c r="Z15" i="132"/>
  <c r="AV42" i="132"/>
  <c r="AV41" i="132"/>
  <c r="AV18" i="132"/>
  <c r="Z7" i="132"/>
  <c r="Z10" i="132"/>
  <c r="Z8" i="132"/>
  <c r="Z6" i="132"/>
  <c r="Z4" i="132"/>
  <c r="Z9" i="132"/>
  <c r="X42" i="132"/>
  <c r="X41" i="132"/>
  <c r="Z12" i="132"/>
  <c r="Z14" i="132"/>
  <c r="Z13" i="132"/>
  <c r="Z18" i="132"/>
  <c r="AV16" i="132" l="1"/>
  <c r="AV15" i="132"/>
  <c r="AV12" i="132"/>
  <c r="AV17" i="132"/>
  <c r="AV13" i="132"/>
  <c r="AV14" i="132"/>
  <c r="Z24" i="132"/>
  <c r="AU24" i="132"/>
  <c r="AV24" i="132" s="1"/>
  <c r="AV4" i="132"/>
  <c r="AV8" i="132"/>
  <c r="AV7" i="132"/>
  <c r="AV6" i="132"/>
  <c r="AV10" i="132"/>
  <c r="AV9" i="132"/>
  <c r="Z11" i="132"/>
  <c r="Z5" i="132"/>
  <c r="Z3" i="132" s="1"/>
  <c r="B74" i="107" l="1"/>
  <c r="AV11" i="132"/>
  <c r="AV5" i="132"/>
  <c r="AV3" i="132" s="1"/>
  <c r="B76" i="107" l="1"/>
  <c r="B80" i="107"/>
  <c r="B85" i="107"/>
  <c r="B79" i="107"/>
  <c r="B77" i="107"/>
  <c r="B78" i="107"/>
  <c r="B75" i="107"/>
  <c r="B81" i="107"/>
  <c r="B82" i="107"/>
  <c r="B83" i="107"/>
  <c r="B84" i="107"/>
  <c r="BP33" i="99" l="1"/>
  <c r="BP32" i="99"/>
  <c r="BC33" i="99"/>
  <c r="BC32" i="99"/>
  <c r="AP33" i="99"/>
  <c r="AP32" i="99"/>
  <c r="AC33" i="99"/>
  <c r="AC32" i="99"/>
  <c r="P33" i="99"/>
  <c r="P32" i="99"/>
  <c r="BP31" i="99"/>
  <c r="BC31" i="99"/>
  <c r="AP31" i="99"/>
  <c r="AC31" i="99"/>
  <c r="P31" i="99"/>
  <c r="BP30" i="99"/>
  <c r="BC30" i="99"/>
  <c r="AP30" i="99"/>
  <c r="AC30" i="99"/>
  <c r="P30" i="99"/>
  <c r="I5" i="134" l="1"/>
  <c r="BR46" i="99" l="1"/>
  <c r="CC37" i="99"/>
  <c r="CC29" i="99"/>
  <c r="CC24" i="99"/>
  <c r="CC23" i="99"/>
  <c r="CC19" i="99"/>
  <c r="CC16" i="99"/>
  <c r="CC14" i="99"/>
  <c r="I623" i="155"/>
  <c r="I622" i="155"/>
  <c r="I620" i="155"/>
  <c r="I619" i="155"/>
  <c r="I618" i="155"/>
  <c r="I616" i="155"/>
  <c r="I615" i="155"/>
  <c r="I614" i="155"/>
  <c r="I613" i="155"/>
  <c r="I612" i="155"/>
  <c r="I611" i="155"/>
  <c r="I610" i="155"/>
  <c r="I609" i="155"/>
  <c r="I608" i="155"/>
  <c r="I606" i="155"/>
  <c r="I605" i="155"/>
  <c r="I604" i="155"/>
  <c r="I602" i="155"/>
  <c r="I601" i="155"/>
  <c r="I600" i="155"/>
  <c r="I599" i="155"/>
  <c r="I598" i="155"/>
  <c r="I597" i="155"/>
  <c r="I596" i="155"/>
  <c r="I595" i="155"/>
  <c r="I594" i="155"/>
  <c r="I593" i="155"/>
  <c r="I592" i="155"/>
  <c r="I591" i="155"/>
  <c r="I590" i="155"/>
  <c r="I585" i="155"/>
  <c r="I589" i="155" s="1"/>
  <c r="I584" i="155"/>
  <c r="J584" i="155" s="1"/>
  <c r="I576" i="155"/>
  <c r="J576" i="155" s="1"/>
  <c r="I545" i="155"/>
  <c r="I544" i="155"/>
  <c r="I542" i="155"/>
  <c r="I541" i="155"/>
  <c r="I540" i="155"/>
  <c r="I538" i="155"/>
  <c r="I537" i="155"/>
  <c r="I536" i="155"/>
  <c r="I535" i="155"/>
  <c r="I534" i="155"/>
  <c r="I533" i="155"/>
  <c r="I532" i="155"/>
  <c r="I531" i="155"/>
  <c r="I530" i="155"/>
  <c r="I528" i="155"/>
  <c r="I527" i="155"/>
  <c r="I526" i="155"/>
  <c r="I524" i="155"/>
  <c r="I523" i="155"/>
  <c r="I522" i="155"/>
  <c r="I521" i="155"/>
  <c r="I520" i="155"/>
  <c r="I519" i="155"/>
  <c r="I518" i="155"/>
  <c r="I517" i="155"/>
  <c r="I516" i="155"/>
  <c r="I515" i="155"/>
  <c r="I514" i="155"/>
  <c r="I513" i="155"/>
  <c r="I512" i="155"/>
  <c r="I507" i="155"/>
  <c r="I511" i="155" s="1"/>
  <c r="I506" i="155"/>
  <c r="J506" i="155" s="1"/>
  <c r="I498" i="155"/>
  <c r="J498" i="155" s="1"/>
  <c r="I467" i="155"/>
  <c r="I466" i="155"/>
  <c r="I464" i="155"/>
  <c r="I463" i="155"/>
  <c r="I462" i="155"/>
  <c r="I460" i="155"/>
  <c r="I459" i="155"/>
  <c r="I458" i="155"/>
  <c r="I457" i="155"/>
  <c r="I456" i="155"/>
  <c r="I455" i="155"/>
  <c r="I454" i="155"/>
  <c r="I453" i="155"/>
  <c r="I452" i="155"/>
  <c r="I450" i="155"/>
  <c r="I449" i="155"/>
  <c r="I448" i="155"/>
  <c r="I446" i="155"/>
  <c r="I445" i="155"/>
  <c r="I444" i="155"/>
  <c r="I443" i="155"/>
  <c r="I442" i="155"/>
  <c r="I441" i="155"/>
  <c r="I440" i="155"/>
  <c r="I439" i="155"/>
  <c r="I438" i="155"/>
  <c r="I437" i="155"/>
  <c r="I436" i="155"/>
  <c r="I435" i="155"/>
  <c r="I434" i="155"/>
  <c r="I429" i="155"/>
  <c r="I431" i="155" s="1"/>
  <c r="I465" i="155" s="1"/>
  <c r="I428" i="155"/>
  <c r="J428" i="155" s="1"/>
  <c r="I420" i="155"/>
  <c r="J420" i="155" s="1"/>
  <c r="I389" i="155"/>
  <c r="I388" i="155"/>
  <c r="I386" i="155"/>
  <c r="I385" i="155"/>
  <c r="I384" i="155"/>
  <c r="I382" i="155"/>
  <c r="I381" i="155"/>
  <c r="I380" i="155"/>
  <c r="I379" i="155"/>
  <c r="I378" i="155"/>
  <c r="I377" i="155"/>
  <c r="I376" i="155"/>
  <c r="I375" i="155"/>
  <c r="I374" i="155"/>
  <c r="I372" i="155"/>
  <c r="I371" i="155"/>
  <c r="I370" i="155"/>
  <c r="I368" i="155"/>
  <c r="I367" i="155"/>
  <c r="I366" i="155"/>
  <c r="I365" i="155"/>
  <c r="I364" i="155"/>
  <c r="I363" i="155"/>
  <c r="I362" i="155"/>
  <c r="I361" i="155"/>
  <c r="I360" i="155"/>
  <c r="I359" i="155"/>
  <c r="I358" i="155"/>
  <c r="I357" i="155"/>
  <c r="I356" i="155"/>
  <c r="I351" i="155"/>
  <c r="I355" i="155" s="1"/>
  <c r="I350" i="155"/>
  <c r="J350" i="155" s="1"/>
  <c r="I342" i="155"/>
  <c r="J342" i="155" s="1"/>
  <c r="I311" i="155"/>
  <c r="I310" i="155"/>
  <c r="I308" i="155"/>
  <c r="I307" i="155"/>
  <c r="I306" i="155"/>
  <c r="I304" i="155"/>
  <c r="I303" i="155"/>
  <c r="I302" i="155"/>
  <c r="I301" i="155"/>
  <c r="I300" i="155"/>
  <c r="I299" i="155"/>
  <c r="I298" i="155"/>
  <c r="I297" i="155"/>
  <c r="I296" i="155"/>
  <c r="I294" i="155"/>
  <c r="I293" i="155"/>
  <c r="I292" i="155"/>
  <c r="I290" i="155"/>
  <c r="I289" i="155"/>
  <c r="I288" i="155"/>
  <c r="I287" i="155"/>
  <c r="I286" i="155"/>
  <c r="I285" i="155"/>
  <c r="I284" i="155"/>
  <c r="I283" i="155"/>
  <c r="I282" i="155"/>
  <c r="I281" i="155"/>
  <c r="I280" i="155"/>
  <c r="I279" i="155"/>
  <c r="I278" i="155"/>
  <c r="I273" i="155"/>
  <c r="I277" i="155" s="1"/>
  <c r="I272" i="155"/>
  <c r="J272" i="155" s="1"/>
  <c r="I264" i="155"/>
  <c r="J264" i="155" s="1"/>
  <c r="I233" i="155"/>
  <c r="I232" i="155"/>
  <c r="I230" i="155"/>
  <c r="I229" i="155"/>
  <c r="I228" i="155"/>
  <c r="I226" i="155"/>
  <c r="I225" i="155"/>
  <c r="I224" i="155"/>
  <c r="I223" i="155"/>
  <c r="I222" i="155"/>
  <c r="I221" i="155"/>
  <c r="I220" i="155"/>
  <c r="I219" i="155"/>
  <c r="I218" i="155"/>
  <c r="I216" i="155"/>
  <c r="I215" i="155"/>
  <c r="I214" i="155"/>
  <c r="I212" i="155"/>
  <c r="I211" i="155"/>
  <c r="I210" i="155"/>
  <c r="I209" i="155"/>
  <c r="I208" i="155"/>
  <c r="I207" i="155"/>
  <c r="I206" i="155"/>
  <c r="I205" i="155"/>
  <c r="I204" i="155"/>
  <c r="I203" i="155"/>
  <c r="I202" i="155"/>
  <c r="I201" i="155"/>
  <c r="I200" i="155"/>
  <c r="I195" i="155"/>
  <c r="I197" i="155" s="1"/>
  <c r="I231" i="155" s="1"/>
  <c r="I194" i="155"/>
  <c r="J194" i="155" s="1"/>
  <c r="I186" i="155"/>
  <c r="J186" i="155" s="1"/>
  <c r="I155" i="155"/>
  <c r="I154" i="155"/>
  <c r="I152" i="155"/>
  <c r="I151" i="155"/>
  <c r="I150" i="155"/>
  <c r="I148" i="155"/>
  <c r="I147" i="155"/>
  <c r="I146" i="155"/>
  <c r="I145" i="155"/>
  <c r="I144" i="155"/>
  <c r="I143" i="155"/>
  <c r="I142" i="155"/>
  <c r="I141" i="155"/>
  <c r="I140" i="155"/>
  <c r="I138" i="155"/>
  <c r="I137" i="155"/>
  <c r="I136" i="155"/>
  <c r="I134" i="155"/>
  <c r="I133" i="155"/>
  <c r="I132" i="155"/>
  <c r="I131" i="155"/>
  <c r="I130" i="155"/>
  <c r="I129" i="155"/>
  <c r="I128" i="155"/>
  <c r="I127" i="155"/>
  <c r="I126" i="155"/>
  <c r="I125" i="155"/>
  <c r="I124" i="155"/>
  <c r="I123" i="155"/>
  <c r="I122" i="155"/>
  <c r="I117" i="155"/>
  <c r="I121" i="155" s="1"/>
  <c r="I116" i="155"/>
  <c r="J116" i="155" s="1"/>
  <c r="I108" i="155"/>
  <c r="J108" i="155" s="1"/>
  <c r="I39" i="155"/>
  <c r="J76" i="107" l="1"/>
  <c r="J82" i="107"/>
  <c r="J77" i="107"/>
  <c r="J81" i="107"/>
  <c r="J85" i="107"/>
  <c r="J78" i="107"/>
  <c r="J74" i="107"/>
  <c r="J79" i="107"/>
  <c r="J75" i="107"/>
  <c r="J80" i="107"/>
  <c r="BS46" i="99"/>
  <c r="BQ43" i="99"/>
  <c r="J427" i="155"/>
  <c r="J254" i="155"/>
  <c r="J505" i="155"/>
  <c r="J271" i="155"/>
  <c r="J488" i="155"/>
  <c r="J349" i="155"/>
  <c r="J176" i="155"/>
  <c r="J583" i="155"/>
  <c r="J115" i="155"/>
  <c r="J332" i="155"/>
  <c r="J410" i="155"/>
  <c r="J566" i="155"/>
  <c r="J98" i="155"/>
  <c r="J193" i="155"/>
  <c r="I509" i="155"/>
  <c r="I587" i="155"/>
  <c r="I275" i="155"/>
  <c r="I353" i="155"/>
  <c r="I433" i="155"/>
  <c r="I199" i="155"/>
  <c r="I119" i="155"/>
  <c r="I41" i="155"/>
  <c r="I664" i="155" l="1"/>
  <c r="I681" i="155" s="1"/>
  <c r="J83" i="107"/>
  <c r="J84" i="107"/>
  <c r="BT46" i="99"/>
  <c r="I621" i="155"/>
  <c r="I543" i="155"/>
  <c r="I309" i="155"/>
  <c r="I387" i="155"/>
  <c r="I153" i="155"/>
  <c r="BU46" i="99" l="1"/>
  <c r="I77" i="155"/>
  <c r="I76" i="155"/>
  <c r="I75" i="155"/>
  <c r="I74" i="155"/>
  <c r="I73" i="155"/>
  <c r="I72" i="155"/>
  <c r="I70" i="155"/>
  <c r="I69" i="155"/>
  <c r="I68" i="155"/>
  <c r="I67" i="155"/>
  <c r="I66" i="155"/>
  <c r="I65" i="155"/>
  <c r="I64" i="155"/>
  <c r="I63" i="155"/>
  <c r="I62" i="155"/>
  <c r="I60" i="155"/>
  <c r="I59" i="155"/>
  <c r="I58" i="155"/>
  <c r="I56" i="155"/>
  <c r="I55" i="155"/>
  <c r="I54" i="155"/>
  <c r="I53" i="155"/>
  <c r="I52" i="155"/>
  <c r="I51" i="155"/>
  <c r="I50" i="155"/>
  <c r="I49" i="155"/>
  <c r="I48" i="155"/>
  <c r="I47" i="155"/>
  <c r="I46" i="155"/>
  <c r="I45" i="155"/>
  <c r="I44" i="155"/>
  <c r="I43" i="155"/>
  <c r="J37" i="155"/>
  <c r="J20" i="155"/>
  <c r="BV46" i="99" l="1"/>
  <c r="I38" i="155"/>
  <c r="J38" i="155" s="1"/>
  <c r="I30" i="155"/>
  <c r="J30" i="155" s="1"/>
  <c r="T51" i="132"/>
  <c r="T42" i="132"/>
  <c r="T41" i="132"/>
  <c r="T36" i="132"/>
  <c r="T35" i="132"/>
  <c r="T34" i="132"/>
  <c r="T33" i="132"/>
  <c r="T32" i="132"/>
  <c r="T31" i="132"/>
  <c r="T30" i="132"/>
  <c r="T29" i="132"/>
  <c r="T28" i="132"/>
  <c r="T27" i="132"/>
  <c r="T24" i="132"/>
  <c r="T23" i="132"/>
  <c r="T22" i="132"/>
  <c r="T21" i="132"/>
  <c r="T20" i="132"/>
  <c r="T11" i="132"/>
  <c r="T10" i="132"/>
  <c r="T9" i="132"/>
  <c r="T8" i="132"/>
  <c r="T7" i="132"/>
  <c r="T6" i="132"/>
  <c r="T4" i="132"/>
  <c r="H4" i="132"/>
  <c r="H6" i="132"/>
  <c r="H7" i="132"/>
  <c r="H8" i="132"/>
  <c r="H9" i="132"/>
  <c r="H10" i="132"/>
  <c r="H20" i="132"/>
  <c r="H21" i="132"/>
  <c r="H22" i="132"/>
  <c r="H23" i="132"/>
  <c r="H24" i="132"/>
  <c r="H27" i="132"/>
  <c r="H28" i="132"/>
  <c r="H29" i="132"/>
  <c r="H30" i="132"/>
  <c r="H31" i="132"/>
  <c r="H32" i="132"/>
  <c r="H33" i="132"/>
  <c r="H34" i="132"/>
  <c r="H35" i="132"/>
  <c r="H36" i="132"/>
  <c r="H41" i="132"/>
  <c r="H42" i="132"/>
  <c r="H51" i="132"/>
  <c r="T19" i="132" l="1"/>
  <c r="T5" i="132"/>
  <c r="T26" i="132"/>
  <c r="H11" i="132"/>
  <c r="H26" i="132"/>
  <c r="H25" i="132" s="1"/>
  <c r="H5" i="132"/>
  <c r="H3" i="132" s="1"/>
  <c r="T3" i="132"/>
  <c r="BW46" i="99"/>
  <c r="T25" i="132"/>
  <c r="BX46" i="99" l="1"/>
  <c r="B23" i="149"/>
  <c r="C28" i="149"/>
  <c r="E8" i="153"/>
  <c r="E105" i="153"/>
  <c r="E84" i="153"/>
  <c r="E63" i="153"/>
  <c r="E42" i="153"/>
  <c r="E126" i="153"/>
  <c r="E147" i="153"/>
  <c r="E129" i="153"/>
  <c r="E130" i="153"/>
  <c r="E131" i="153"/>
  <c r="E132" i="153"/>
  <c r="E133" i="153"/>
  <c r="E134" i="153"/>
  <c r="E135" i="153"/>
  <c r="E136" i="153"/>
  <c r="E138" i="153"/>
  <c r="E139" i="153"/>
  <c r="E140" i="153"/>
  <c r="E141" i="153"/>
  <c r="E142" i="153"/>
  <c r="E143" i="153"/>
  <c r="E144" i="153"/>
  <c r="E145" i="153"/>
  <c r="E146" i="153"/>
  <c r="E148" i="153"/>
  <c r="E128" i="153"/>
  <c r="E108" i="153"/>
  <c r="E109" i="153"/>
  <c r="E110" i="153"/>
  <c r="E111" i="153"/>
  <c r="E112" i="153"/>
  <c r="E113" i="153"/>
  <c r="E114" i="153"/>
  <c r="E115" i="153"/>
  <c r="E117" i="153"/>
  <c r="E118" i="153"/>
  <c r="E119" i="153"/>
  <c r="E120" i="153"/>
  <c r="E121" i="153"/>
  <c r="E122" i="153"/>
  <c r="E123" i="153"/>
  <c r="E124" i="153"/>
  <c r="E125" i="153"/>
  <c r="E127" i="153"/>
  <c r="E107" i="153"/>
  <c r="E87" i="153"/>
  <c r="E88" i="153"/>
  <c r="E89" i="153"/>
  <c r="E90" i="153"/>
  <c r="E91" i="153"/>
  <c r="E92" i="153"/>
  <c r="E93" i="153"/>
  <c r="E94" i="153"/>
  <c r="E95" i="153"/>
  <c r="E96" i="153"/>
  <c r="E97" i="153"/>
  <c r="E98" i="153"/>
  <c r="E99" i="153"/>
  <c r="E100" i="153"/>
  <c r="E101" i="153"/>
  <c r="E102" i="153"/>
  <c r="E103" i="153"/>
  <c r="E104" i="153"/>
  <c r="E106" i="153"/>
  <c r="E86" i="153"/>
  <c r="E66" i="153"/>
  <c r="E67" i="153"/>
  <c r="E68" i="153"/>
  <c r="E69" i="153"/>
  <c r="E70" i="153"/>
  <c r="E71" i="153"/>
  <c r="E72" i="153"/>
  <c r="E73" i="153"/>
  <c r="E74" i="153"/>
  <c r="E75" i="153"/>
  <c r="E76" i="153"/>
  <c r="E77" i="153"/>
  <c r="E78" i="153"/>
  <c r="E79" i="153"/>
  <c r="E80" i="153"/>
  <c r="E81" i="153"/>
  <c r="E82" i="153"/>
  <c r="E83" i="153"/>
  <c r="E85" i="153"/>
  <c r="E65" i="153"/>
  <c r="E45" i="153"/>
  <c r="E46" i="153"/>
  <c r="E47" i="153"/>
  <c r="E48" i="153"/>
  <c r="E49" i="153"/>
  <c r="E50" i="153"/>
  <c r="E51" i="153"/>
  <c r="E52" i="153"/>
  <c r="E53" i="153"/>
  <c r="E54" i="153"/>
  <c r="E55" i="153"/>
  <c r="E56" i="153"/>
  <c r="E57" i="153"/>
  <c r="E58" i="153"/>
  <c r="E59" i="153"/>
  <c r="E60" i="153"/>
  <c r="E61" i="153"/>
  <c r="E62" i="153"/>
  <c r="E64" i="153"/>
  <c r="E44" i="153"/>
  <c r="E24" i="153"/>
  <c r="E25" i="153"/>
  <c r="E26" i="153"/>
  <c r="E27" i="153"/>
  <c r="E28" i="153"/>
  <c r="E29" i="153"/>
  <c r="E30" i="153"/>
  <c r="E31" i="153"/>
  <c r="E32" i="153"/>
  <c r="E33" i="153"/>
  <c r="E34" i="153"/>
  <c r="E35" i="153"/>
  <c r="E36" i="153"/>
  <c r="E37" i="153"/>
  <c r="E38" i="153"/>
  <c r="E39" i="153"/>
  <c r="E40" i="153"/>
  <c r="E41" i="153"/>
  <c r="E43" i="153"/>
  <c r="E23" i="153"/>
  <c r="E21" i="153"/>
  <c r="E22" i="153"/>
  <c r="E20" i="153"/>
  <c r="E19" i="153"/>
  <c r="E18" i="153"/>
  <c r="E17" i="153"/>
  <c r="E16" i="153"/>
  <c r="E15" i="153"/>
  <c r="E14" i="153"/>
  <c r="E13" i="153"/>
  <c r="E12" i="153"/>
  <c r="E11" i="153"/>
  <c r="E10" i="153"/>
  <c r="E9" i="153"/>
  <c r="E7" i="153"/>
  <c r="E6" i="153"/>
  <c r="E5" i="153"/>
  <c r="E4" i="153"/>
  <c r="E3" i="153"/>
  <c r="E2" i="153"/>
  <c r="V7" i="151"/>
  <c r="V5" i="151"/>
  <c r="V4" i="151"/>
  <c r="V3" i="151"/>
  <c r="V2" i="151"/>
  <c r="BY46" i="99" l="1"/>
  <c r="R23" i="132"/>
  <c r="R34" i="132"/>
  <c r="R22" i="132"/>
  <c r="R21" i="132"/>
  <c r="R6" i="132"/>
  <c r="BU16" i="80"/>
  <c r="BT16" i="80"/>
  <c r="BS16" i="80"/>
  <c r="BR16" i="80"/>
  <c r="BQ16" i="80"/>
  <c r="BP16" i="80"/>
  <c r="BO16" i="80"/>
  <c r="BN16" i="80"/>
  <c r="BM16" i="80"/>
  <c r="BL16" i="80"/>
  <c r="BK16" i="80"/>
  <c r="BJ16" i="80"/>
  <c r="BI16" i="80"/>
  <c r="BI18" i="80" s="1"/>
  <c r="BH16" i="80"/>
  <c r="BH18" i="80" s="1"/>
  <c r="BG16" i="80"/>
  <c r="BG18" i="80" s="1"/>
  <c r="BF16" i="80"/>
  <c r="BF18" i="80" s="1"/>
  <c r="BE16" i="80"/>
  <c r="BE18" i="80" s="1"/>
  <c r="BD16" i="80"/>
  <c r="BD18" i="80" s="1"/>
  <c r="BC16" i="80"/>
  <c r="BB16" i="80"/>
  <c r="BA16" i="80"/>
  <c r="BA18" i="80" s="1"/>
  <c r="AZ16" i="80"/>
  <c r="AZ18" i="80" s="1"/>
  <c r="AY16" i="80"/>
  <c r="AY18" i="80" s="1"/>
  <c r="AX16" i="80"/>
  <c r="AW16" i="80"/>
  <c r="AW18" i="80" s="1"/>
  <c r="AV16" i="80"/>
  <c r="AV18" i="80" s="1"/>
  <c r="AU16" i="80"/>
  <c r="AU18" i="80" s="1"/>
  <c r="AT16" i="80"/>
  <c r="AT18" i="80" s="1"/>
  <c r="AS16" i="80"/>
  <c r="AS18" i="80" s="1"/>
  <c r="AR16" i="80"/>
  <c r="AR18" i="80" s="1"/>
  <c r="AQ16" i="80"/>
  <c r="AQ18" i="80" s="1"/>
  <c r="AP16" i="80"/>
  <c r="AP18" i="80" s="1"/>
  <c r="AO16" i="80"/>
  <c r="AO18" i="80" s="1"/>
  <c r="AN16" i="80"/>
  <c r="AN18" i="80" s="1"/>
  <c r="AM16" i="80"/>
  <c r="AM18" i="80" s="1"/>
  <c r="AL16" i="80"/>
  <c r="AL18" i="80" s="1"/>
  <c r="AK16" i="80"/>
  <c r="AK18" i="80" s="1"/>
  <c r="AJ16" i="80"/>
  <c r="AJ18" i="80" s="1"/>
  <c r="AI16" i="80"/>
  <c r="AI18" i="80" s="1"/>
  <c r="AH16" i="80"/>
  <c r="AH18" i="80" s="1"/>
  <c r="AG16" i="80"/>
  <c r="AG18" i="80" s="1"/>
  <c r="AF16" i="80"/>
  <c r="AF18" i="80" s="1"/>
  <c r="AE16" i="80"/>
  <c r="AE18" i="80" s="1"/>
  <c r="AD16" i="80"/>
  <c r="AD18" i="80" s="1"/>
  <c r="AC16" i="80"/>
  <c r="AC18" i="80" s="1"/>
  <c r="AB16" i="80"/>
  <c r="AB18" i="80" s="1"/>
  <c r="AA16" i="80"/>
  <c r="AA18" i="80" s="1"/>
  <c r="Z16" i="80"/>
  <c r="Z18" i="80" s="1"/>
  <c r="BU14" i="80"/>
  <c r="BU15" i="80" s="1"/>
  <c r="BU17" i="80" s="1"/>
  <c r="BU19" i="80" s="1"/>
  <c r="BT14" i="80"/>
  <c r="BT15" i="80" s="1"/>
  <c r="BT17" i="80" s="1"/>
  <c r="BT19" i="80" s="1"/>
  <c r="BS14" i="80"/>
  <c r="BS15" i="80" s="1"/>
  <c r="BS17" i="80" s="1"/>
  <c r="BS19" i="80" s="1"/>
  <c r="BR14" i="80"/>
  <c r="BR15" i="80" s="1"/>
  <c r="BR17" i="80" s="1"/>
  <c r="BR19" i="80" s="1"/>
  <c r="BQ14" i="80"/>
  <c r="BQ15" i="80" s="1"/>
  <c r="BQ17" i="80" s="1"/>
  <c r="BQ19" i="80" s="1"/>
  <c r="BP14" i="80"/>
  <c r="BP15" i="80" s="1"/>
  <c r="BP17" i="80" s="1"/>
  <c r="BO14" i="80"/>
  <c r="BO15" i="80" s="1"/>
  <c r="BO17" i="80" s="1"/>
  <c r="BO19" i="80" s="1"/>
  <c r="BN14" i="80"/>
  <c r="BN15" i="80" s="1"/>
  <c r="BN17" i="80" s="1"/>
  <c r="BN19" i="80" s="1"/>
  <c r="BM14" i="80"/>
  <c r="BM15" i="80" s="1"/>
  <c r="BM17" i="80" s="1"/>
  <c r="BM19" i="80" s="1"/>
  <c r="BL14" i="80"/>
  <c r="BL15" i="80" s="1"/>
  <c r="BL17" i="80" s="1"/>
  <c r="BK14" i="80"/>
  <c r="BK15" i="80" s="1"/>
  <c r="BK17" i="80" s="1"/>
  <c r="BJ14" i="80"/>
  <c r="BJ15" i="80" s="1"/>
  <c r="BJ17" i="80" s="1"/>
  <c r="BI14" i="80"/>
  <c r="BI15" i="80" s="1"/>
  <c r="BI17" i="80" s="1"/>
  <c r="BI19" i="80" s="1"/>
  <c r="BH14" i="80"/>
  <c r="BH15" i="80" s="1"/>
  <c r="BH17" i="80" s="1"/>
  <c r="BH19" i="80" s="1"/>
  <c r="BG14" i="80"/>
  <c r="BG15" i="80" s="1"/>
  <c r="BG17" i="80" s="1"/>
  <c r="BG19" i="80" s="1"/>
  <c r="BF14" i="80"/>
  <c r="BF15" i="80" s="1"/>
  <c r="BF17" i="80" s="1"/>
  <c r="BF19" i="80" s="1"/>
  <c r="BE14" i="80"/>
  <c r="BE15" i="80" s="1"/>
  <c r="BE17" i="80" s="1"/>
  <c r="BE19" i="80" s="1"/>
  <c r="BD14" i="80"/>
  <c r="BD15" i="80" s="1"/>
  <c r="BD17" i="80" s="1"/>
  <c r="BD19" i="80" s="1"/>
  <c r="BC14" i="80"/>
  <c r="BB14" i="80"/>
  <c r="BA14" i="80"/>
  <c r="BA15" i="80" s="1"/>
  <c r="BA17" i="80" s="1"/>
  <c r="BA19" i="80" s="1"/>
  <c r="AZ14" i="80"/>
  <c r="AZ15" i="80" s="1"/>
  <c r="AZ17" i="80" s="1"/>
  <c r="AZ19" i="80" s="1"/>
  <c r="AY14" i="80"/>
  <c r="AY15" i="80" s="1"/>
  <c r="AY17" i="80" s="1"/>
  <c r="AY19" i="80" s="1"/>
  <c r="AX14" i="80"/>
  <c r="AW14" i="80"/>
  <c r="AW15" i="80" s="1"/>
  <c r="AW17" i="80" s="1"/>
  <c r="AW19" i="80" s="1"/>
  <c r="AV14" i="80"/>
  <c r="AV15" i="80" s="1"/>
  <c r="AV17" i="80" s="1"/>
  <c r="AV19" i="80" s="1"/>
  <c r="AU14" i="80"/>
  <c r="AU15" i="80" s="1"/>
  <c r="AU17" i="80" s="1"/>
  <c r="AU19" i="80" s="1"/>
  <c r="AT14" i="80"/>
  <c r="AT15" i="80" s="1"/>
  <c r="AT17" i="80" s="1"/>
  <c r="AS14" i="80"/>
  <c r="AS15" i="80" s="1"/>
  <c r="AS17" i="80" s="1"/>
  <c r="AS19" i="80" s="1"/>
  <c r="AR14" i="80"/>
  <c r="AR15" i="80" s="1"/>
  <c r="AR17" i="80" s="1"/>
  <c r="AR19" i="80" s="1"/>
  <c r="AQ14" i="80"/>
  <c r="AQ15" i="80" s="1"/>
  <c r="AQ17" i="80" s="1"/>
  <c r="AQ19" i="80" s="1"/>
  <c r="AP14" i="80"/>
  <c r="AP15" i="80" s="1"/>
  <c r="AP17" i="80" s="1"/>
  <c r="AP19" i="80" s="1"/>
  <c r="AO14" i="80"/>
  <c r="AO15" i="80" s="1"/>
  <c r="AO17" i="80" s="1"/>
  <c r="AO19" i="80" s="1"/>
  <c r="AN14" i="80"/>
  <c r="AN15" i="80" s="1"/>
  <c r="AN17" i="80" s="1"/>
  <c r="AN19" i="80" s="1"/>
  <c r="AM14" i="80"/>
  <c r="AM15" i="80" s="1"/>
  <c r="AM17" i="80" s="1"/>
  <c r="AM19" i="80" s="1"/>
  <c r="AL14" i="80"/>
  <c r="AL15" i="80" s="1"/>
  <c r="AL17" i="80" s="1"/>
  <c r="AL19" i="80" s="1"/>
  <c r="AK14" i="80"/>
  <c r="AK15" i="80" s="1"/>
  <c r="AK17" i="80" s="1"/>
  <c r="AK19" i="80" s="1"/>
  <c r="AJ14" i="80"/>
  <c r="AJ15" i="80" s="1"/>
  <c r="AJ17" i="80" s="1"/>
  <c r="AJ19" i="80" s="1"/>
  <c r="AI14" i="80"/>
  <c r="AI15" i="80" s="1"/>
  <c r="AI17" i="80" s="1"/>
  <c r="AI19" i="80" s="1"/>
  <c r="AH14" i="80"/>
  <c r="AH15" i="80" s="1"/>
  <c r="AH17" i="80" s="1"/>
  <c r="AH19" i="80" s="1"/>
  <c r="AG14" i="80"/>
  <c r="AG15" i="80" s="1"/>
  <c r="AG17" i="80" s="1"/>
  <c r="AG19" i="80" s="1"/>
  <c r="AF14" i="80"/>
  <c r="AF15" i="80" s="1"/>
  <c r="AF17" i="80" s="1"/>
  <c r="AF19" i="80" s="1"/>
  <c r="AE14" i="80"/>
  <c r="AE15" i="80" s="1"/>
  <c r="AE17" i="80" s="1"/>
  <c r="AE19" i="80" s="1"/>
  <c r="AD14" i="80"/>
  <c r="AD15" i="80" s="1"/>
  <c r="AD17" i="80" s="1"/>
  <c r="AD19" i="80" s="1"/>
  <c r="AC14" i="80"/>
  <c r="AC15" i="80" s="1"/>
  <c r="AC17" i="80" s="1"/>
  <c r="AC19" i="80" s="1"/>
  <c r="AB14" i="80"/>
  <c r="AB15" i="80" s="1"/>
  <c r="AB17" i="80" s="1"/>
  <c r="AA14" i="80"/>
  <c r="AA15" i="80" s="1"/>
  <c r="AA17" i="80" s="1"/>
  <c r="AA19" i="80" s="1"/>
  <c r="Z14" i="80"/>
  <c r="Z15" i="80" s="1"/>
  <c r="Z17" i="80" s="1"/>
  <c r="Z19" i="80" s="1"/>
  <c r="AB43" i="99"/>
  <c r="AA43" i="99"/>
  <c r="Z43" i="99"/>
  <c r="Y43" i="99"/>
  <c r="X43" i="99"/>
  <c r="V43" i="99"/>
  <c r="U43" i="99"/>
  <c r="T43" i="99"/>
  <c r="S43" i="99"/>
  <c r="R43" i="99"/>
  <c r="Q43" i="99"/>
  <c r="O43" i="99"/>
  <c r="N43" i="99"/>
  <c r="M43" i="99"/>
  <c r="L43" i="99"/>
  <c r="K43" i="99"/>
  <c r="J43" i="99"/>
  <c r="I43" i="99"/>
  <c r="H43" i="99"/>
  <c r="G43" i="99"/>
  <c r="F43" i="99"/>
  <c r="E43" i="99"/>
  <c r="D43" i="99"/>
  <c r="C43" i="99"/>
  <c r="AB19" i="80" l="1"/>
  <c r="BK19" i="80"/>
  <c r="BJ19" i="80"/>
  <c r="BL19" i="80"/>
  <c r="AT19" i="80"/>
  <c r="BP19" i="80"/>
  <c r="BZ46" i="99"/>
  <c r="R27" i="132"/>
  <c r="E116" i="153"/>
  <c r="E137" i="153"/>
  <c r="R35" i="132"/>
  <c r="P20" i="132"/>
  <c r="R28" i="132"/>
  <c r="R29" i="132"/>
  <c r="P10" i="132"/>
  <c r="P9" i="132"/>
  <c r="P8" i="132"/>
  <c r="P7" i="132"/>
  <c r="P4" i="132"/>
  <c r="P6" i="132"/>
  <c r="R8" i="132"/>
  <c r="R30" i="132"/>
  <c r="R4" i="132"/>
  <c r="P21" i="132"/>
  <c r="P23" i="132"/>
  <c r="R31" i="132"/>
  <c r="R7" i="132"/>
  <c r="R10" i="132"/>
  <c r="R32" i="132"/>
  <c r="R9" i="132"/>
  <c r="P22" i="132"/>
  <c r="R20" i="132"/>
  <c r="R19" i="132" s="1"/>
  <c r="R33" i="132"/>
  <c r="CA46" i="99" l="1"/>
  <c r="P5" i="132"/>
  <c r="P3" i="132" s="1"/>
  <c r="P27" i="132"/>
  <c r="P28" i="132"/>
  <c r="P35" i="132"/>
  <c r="P33" i="132"/>
  <c r="P32" i="132"/>
  <c r="P31" i="132"/>
  <c r="P30" i="132"/>
  <c r="P29" i="132"/>
  <c r="R26" i="132"/>
  <c r="R25" i="132" s="1"/>
  <c r="R24" i="132"/>
  <c r="R5" i="132"/>
  <c r="R3" i="132" s="1"/>
  <c r="P34" i="132"/>
  <c r="R41" i="132"/>
  <c r="R42" i="132"/>
  <c r="P42" i="132"/>
  <c r="P41" i="132"/>
  <c r="R11" i="132"/>
  <c r="P19" i="132"/>
  <c r="P11" i="132" l="1"/>
  <c r="CB46" i="99"/>
  <c r="R36" i="132"/>
  <c r="R51" i="132"/>
  <c r="P24" i="132"/>
  <c r="P26" i="132"/>
  <c r="P25" i="132" s="1"/>
  <c r="F34" i="149"/>
  <c r="F35" i="149"/>
  <c r="F36" i="149"/>
  <c r="F37" i="149"/>
  <c r="CC35" i="99" l="1"/>
  <c r="CC10" i="99"/>
  <c r="CC9" i="99"/>
  <c r="CC8" i="99"/>
  <c r="CC7" i="99"/>
  <c r="CC6" i="99"/>
  <c r="CC5" i="99"/>
  <c r="CC4" i="99"/>
  <c r="CC11" i="99"/>
  <c r="CC3" i="99"/>
  <c r="CC33" i="99"/>
  <c r="CC32" i="99"/>
  <c r="CC31" i="99"/>
  <c r="CC30" i="99"/>
  <c r="CC15" i="99"/>
  <c r="CC13" i="99"/>
  <c r="CC12" i="99"/>
  <c r="CC41" i="99"/>
  <c r="CC36" i="99"/>
  <c r="CC34" i="99"/>
  <c r="CC28" i="99"/>
  <c r="CC27" i="99"/>
  <c r="CC22" i="99"/>
  <c r="CC20" i="99"/>
  <c r="CC18" i="99"/>
  <c r="CC17" i="99"/>
  <c r="P51" i="132"/>
  <c r="P36" i="132"/>
  <c r="G5" i="150"/>
  <c r="G4" i="150"/>
  <c r="G3" i="150"/>
  <c r="E5" i="150"/>
  <c r="E4" i="150"/>
  <c r="E3" i="150"/>
  <c r="B5" i="150"/>
  <c r="B4" i="150"/>
  <c r="B3" i="150"/>
  <c r="B2" i="150"/>
  <c r="N51" i="132"/>
  <c r="N42" i="132"/>
  <c r="N41" i="132"/>
  <c r="N36" i="132"/>
  <c r="N35" i="132"/>
  <c r="N34" i="132"/>
  <c r="N33" i="132"/>
  <c r="N32" i="132"/>
  <c r="N31" i="132"/>
  <c r="N30" i="132"/>
  <c r="N29" i="132"/>
  <c r="N28" i="132"/>
  <c r="N27" i="132"/>
  <c r="N24" i="132"/>
  <c r="N23" i="132"/>
  <c r="N22" i="132"/>
  <c r="N21" i="132"/>
  <c r="N20" i="132"/>
  <c r="N10" i="132"/>
  <c r="N9" i="132"/>
  <c r="N8" i="132"/>
  <c r="N7" i="132"/>
  <c r="N6" i="132"/>
  <c r="N4" i="132"/>
  <c r="CC2" i="99" l="1"/>
  <c r="C4" i="150"/>
  <c r="C5" i="150"/>
  <c r="C3" i="150"/>
  <c r="N5" i="132"/>
  <c r="N3" i="132" s="1"/>
  <c r="N19" i="132"/>
  <c r="N11" i="132"/>
  <c r="N26" i="132"/>
  <c r="N25" i="132" s="1"/>
  <c r="B37" i="149" l="1"/>
  <c r="B36" i="149"/>
  <c r="B35" i="149"/>
  <c r="B34" i="149"/>
  <c r="C35" i="149" l="1"/>
  <c r="C36" i="149"/>
  <c r="C34" i="149"/>
  <c r="C30" i="149"/>
  <c r="C29" i="149"/>
  <c r="B25" i="149"/>
  <c r="B26" i="149" s="1"/>
  <c r="S4" i="148" l="1"/>
  <c r="P4" i="148"/>
  <c r="M4" i="148"/>
  <c r="S3" i="148"/>
  <c r="P3" i="148"/>
  <c r="M3" i="148"/>
  <c r="M4" i="147"/>
  <c r="S3" i="147"/>
  <c r="S5" i="147" s="1"/>
  <c r="P3" i="147"/>
  <c r="P5" i="147" s="1"/>
  <c r="G4" i="147" s="1"/>
  <c r="H4" i="147" s="1"/>
  <c r="M3" i="147"/>
  <c r="D73" i="107"/>
  <c r="D72" i="107"/>
  <c r="D71" i="107"/>
  <c r="D70" i="107"/>
  <c r="C73" i="107"/>
  <c r="C72" i="107"/>
  <c r="C71" i="107"/>
  <c r="C70" i="107"/>
  <c r="U50" i="132"/>
  <c r="U49" i="132"/>
  <c r="U48" i="132"/>
  <c r="U47" i="132"/>
  <c r="U45" i="132"/>
  <c r="U44" i="132"/>
  <c r="U42" i="132"/>
  <c r="U41" i="132"/>
  <c r="U40" i="132"/>
  <c r="U39" i="132"/>
  <c r="U38" i="132"/>
  <c r="U37" i="132"/>
  <c r="U36" i="132"/>
  <c r="U35" i="132"/>
  <c r="U34" i="132"/>
  <c r="U33" i="132"/>
  <c r="U32" i="132"/>
  <c r="U31" i="132"/>
  <c r="U30" i="132"/>
  <c r="U29" i="132"/>
  <c r="U28" i="132"/>
  <c r="U27" i="132"/>
  <c r="U26" i="132"/>
  <c r="U25" i="132"/>
  <c r="U24" i="132"/>
  <c r="U23" i="132"/>
  <c r="U22" i="132"/>
  <c r="U21" i="132"/>
  <c r="U20" i="132"/>
  <c r="U19" i="132"/>
  <c r="U18" i="132"/>
  <c r="U14" i="132"/>
  <c r="U13" i="132"/>
  <c r="U12" i="132"/>
  <c r="U11" i="132"/>
  <c r="U10" i="132"/>
  <c r="U9" i="132"/>
  <c r="U8" i="132"/>
  <c r="U7" i="132"/>
  <c r="U6" i="132"/>
  <c r="U5" i="132"/>
  <c r="U4" i="132"/>
  <c r="U3" i="132"/>
  <c r="U2" i="132"/>
  <c r="L51" i="132"/>
  <c r="L42" i="132"/>
  <c r="L41" i="132"/>
  <c r="L36" i="132"/>
  <c r="L35" i="132"/>
  <c r="L34" i="132"/>
  <c r="L33" i="132"/>
  <c r="L32" i="132"/>
  <c r="L31" i="132"/>
  <c r="L30" i="132"/>
  <c r="L29" i="132"/>
  <c r="L28" i="132"/>
  <c r="L27" i="132"/>
  <c r="L24" i="132"/>
  <c r="L23" i="132"/>
  <c r="L22" i="132"/>
  <c r="L21" i="132"/>
  <c r="L20" i="132"/>
  <c r="L10" i="132"/>
  <c r="L9" i="132"/>
  <c r="L8" i="132"/>
  <c r="L7" i="132"/>
  <c r="L6" i="132"/>
  <c r="L4" i="132"/>
  <c r="J35" i="132"/>
  <c r="J34" i="132"/>
  <c r="J33" i="132"/>
  <c r="J32" i="132"/>
  <c r="J31" i="132"/>
  <c r="J30" i="132"/>
  <c r="J29" i="132"/>
  <c r="J28" i="132"/>
  <c r="J27" i="132"/>
  <c r="J23" i="132"/>
  <c r="J22" i="132"/>
  <c r="J21" i="132"/>
  <c r="J20" i="132"/>
  <c r="J10" i="132"/>
  <c r="J9" i="132"/>
  <c r="J8" i="132"/>
  <c r="J7" i="132"/>
  <c r="F6" i="132"/>
  <c r="J6" i="132"/>
  <c r="J51" i="132"/>
  <c r="J42" i="132"/>
  <c r="J41" i="132"/>
  <c r="J36" i="132"/>
  <c r="J24" i="132"/>
  <c r="J4" i="132"/>
  <c r="M5" i="147" l="1"/>
  <c r="E13" i="147" s="1"/>
  <c r="F13" i="147" s="1"/>
  <c r="M5" i="148"/>
  <c r="E6" i="148" s="1"/>
  <c r="F6" i="148" s="1"/>
  <c r="P5" i="148"/>
  <c r="G4" i="148" s="1"/>
  <c r="H4" i="148" s="1"/>
  <c r="S5" i="148"/>
  <c r="I2" i="148" s="1"/>
  <c r="J2" i="148" s="1"/>
  <c r="V16" i="132"/>
  <c r="V15" i="132"/>
  <c r="V17" i="132"/>
  <c r="J26" i="132"/>
  <c r="J25" i="132" s="1"/>
  <c r="J11" i="132"/>
  <c r="I3" i="147"/>
  <c r="J3" i="147" s="1"/>
  <c r="I8" i="147"/>
  <c r="J8" i="147" s="1"/>
  <c r="V37" i="132"/>
  <c r="J19" i="132"/>
  <c r="V51" i="132"/>
  <c r="J5" i="132"/>
  <c r="J3" i="132" s="1"/>
  <c r="L19" i="132"/>
  <c r="L5" i="132"/>
  <c r="L3" i="132" s="1"/>
  <c r="L26" i="132"/>
  <c r="L25" i="132" s="1"/>
  <c r="V40" i="132"/>
  <c r="L11" i="132"/>
  <c r="V38" i="132"/>
  <c r="V39" i="132"/>
  <c r="G9" i="148"/>
  <c r="H9" i="148" s="1"/>
  <c r="G10" i="148"/>
  <c r="H10" i="148" s="1"/>
  <c r="I14" i="147"/>
  <c r="J14" i="147" s="1"/>
  <c r="I13" i="147"/>
  <c r="J13" i="147" s="1"/>
  <c r="I11" i="147"/>
  <c r="J11" i="147" s="1"/>
  <c r="I10" i="147"/>
  <c r="J10" i="147" s="1"/>
  <c r="I12" i="147"/>
  <c r="J12" i="147" s="1"/>
  <c r="I9" i="147"/>
  <c r="J9" i="147" s="1"/>
  <c r="I6" i="147"/>
  <c r="J6" i="147" s="1"/>
  <c r="I5" i="147"/>
  <c r="J5" i="147" s="1"/>
  <c r="I7" i="147"/>
  <c r="J7" i="147" s="1"/>
  <c r="I4" i="147"/>
  <c r="J4" i="147" s="1"/>
  <c r="I2" i="147"/>
  <c r="J2" i="147" s="1"/>
  <c r="G5" i="147"/>
  <c r="H5" i="147" s="1"/>
  <c r="G3" i="147"/>
  <c r="H3" i="147" s="1"/>
  <c r="G6" i="147"/>
  <c r="H6" i="147" s="1"/>
  <c r="G2" i="147"/>
  <c r="H2" i="147" s="1"/>
  <c r="G7" i="147"/>
  <c r="H7" i="147" s="1"/>
  <c r="G8" i="147"/>
  <c r="H8" i="147" s="1"/>
  <c r="G9" i="147"/>
  <c r="H9" i="147" s="1"/>
  <c r="G10" i="147"/>
  <c r="H10" i="147" s="1"/>
  <c r="G11" i="147"/>
  <c r="H11" i="147" s="1"/>
  <c r="G14" i="147"/>
  <c r="H14" i="147" s="1"/>
  <c r="G12" i="147"/>
  <c r="H12" i="147" s="1"/>
  <c r="G13" i="147"/>
  <c r="H13" i="147" s="1"/>
  <c r="E6" i="147" l="1"/>
  <c r="F6" i="147" s="1"/>
  <c r="E7" i="147"/>
  <c r="F7" i="147" s="1"/>
  <c r="E14" i="148"/>
  <c r="F14" i="148" s="1"/>
  <c r="G3" i="148"/>
  <c r="H3" i="148" s="1"/>
  <c r="G13" i="148"/>
  <c r="H13" i="148" s="1"/>
  <c r="G12" i="148"/>
  <c r="H12" i="148" s="1"/>
  <c r="G2" i="148"/>
  <c r="H2" i="148" s="1"/>
  <c r="G14" i="148"/>
  <c r="H14" i="148" s="1"/>
  <c r="E13" i="148"/>
  <c r="F13" i="148" s="1"/>
  <c r="E12" i="148"/>
  <c r="F12" i="148" s="1"/>
  <c r="E11" i="148"/>
  <c r="F11" i="148" s="1"/>
  <c r="E14" i="147"/>
  <c r="F14" i="147" s="1"/>
  <c r="E10" i="148"/>
  <c r="F10" i="148" s="1"/>
  <c r="E2" i="148"/>
  <c r="F2" i="148" s="1"/>
  <c r="E9" i="148"/>
  <c r="F9" i="148" s="1"/>
  <c r="E3" i="147"/>
  <c r="F3" i="147" s="1"/>
  <c r="E8" i="148"/>
  <c r="F8" i="148" s="1"/>
  <c r="E10" i="147"/>
  <c r="F10" i="147" s="1"/>
  <c r="E9" i="147"/>
  <c r="F9" i="147" s="1"/>
  <c r="E11" i="147"/>
  <c r="F11" i="147" s="1"/>
  <c r="E4" i="147"/>
  <c r="F4" i="147" s="1"/>
  <c r="E8" i="147"/>
  <c r="F8" i="147" s="1"/>
  <c r="E12" i="147"/>
  <c r="F12" i="147" s="1"/>
  <c r="E5" i="148"/>
  <c r="F5" i="148" s="1"/>
  <c r="E2" i="147"/>
  <c r="F2" i="147" s="1"/>
  <c r="E4" i="148"/>
  <c r="F4" i="148" s="1"/>
  <c r="E7" i="148"/>
  <c r="F7" i="148" s="1"/>
  <c r="E5" i="147"/>
  <c r="F5" i="147" s="1"/>
  <c r="E3" i="148"/>
  <c r="F3" i="148" s="1"/>
  <c r="G7" i="148"/>
  <c r="H7" i="148" s="1"/>
  <c r="G6" i="148"/>
  <c r="H6" i="148" s="1"/>
  <c r="G5" i="148"/>
  <c r="H5" i="148" s="1"/>
  <c r="I11" i="148"/>
  <c r="J11" i="148" s="1"/>
  <c r="I14" i="148"/>
  <c r="J14" i="148" s="1"/>
  <c r="I8" i="148"/>
  <c r="J8" i="148" s="1"/>
  <c r="I13" i="148"/>
  <c r="J13" i="148" s="1"/>
  <c r="G11" i="148"/>
  <c r="H11" i="148" s="1"/>
  <c r="I7" i="148"/>
  <c r="J7" i="148" s="1"/>
  <c r="I5" i="148"/>
  <c r="J5" i="148" s="1"/>
  <c r="I12" i="148"/>
  <c r="J12" i="148" s="1"/>
  <c r="I10" i="148"/>
  <c r="J10" i="148" s="1"/>
  <c r="I4" i="148"/>
  <c r="J4" i="148" s="1"/>
  <c r="I9" i="148"/>
  <c r="J9" i="148" s="1"/>
  <c r="I6" i="148"/>
  <c r="J6" i="148" s="1"/>
  <c r="G8" i="148"/>
  <c r="H8" i="148" s="1"/>
  <c r="I3" i="148"/>
  <c r="J3" i="148" s="1"/>
  <c r="F73" i="107"/>
  <c r="H73" i="107" s="1"/>
  <c r="F72" i="107"/>
  <c r="F71" i="107"/>
  <c r="F70" i="107"/>
  <c r="H70" i="107" s="1"/>
  <c r="F69" i="107"/>
  <c r="F68" i="107"/>
  <c r="F67" i="107"/>
  <c r="F66" i="107"/>
  <c r="E73" i="107"/>
  <c r="E72" i="107"/>
  <c r="E71" i="107"/>
  <c r="E70" i="107"/>
  <c r="E69" i="107"/>
  <c r="E67" i="107"/>
  <c r="E68" i="107"/>
  <c r="E66" i="107"/>
  <c r="H65" i="107"/>
  <c r="E65" i="107"/>
  <c r="I70" i="107" l="1"/>
  <c r="H66" i="107"/>
  <c r="I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F64" i="107"/>
  <c r="F63" i="107"/>
  <c r="F62" i="107"/>
  <c r="F61" i="107"/>
  <c r="F60" i="107"/>
  <c r="F59" i="107"/>
  <c r="F58" i="107"/>
  <c r="F57" i="107"/>
  <c r="F56" i="107"/>
  <c r="F55" i="107"/>
  <c r="F54" i="107"/>
  <c r="F53" i="107"/>
  <c r="F52" i="107"/>
  <c r="F51" i="107"/>
  <c r="F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F49" i="107"/>
  <c r="F48" i="107"/>
  <c r="F47" i="107"/>
  <c r="F46" i="107"/>
  <c r="F45" i="107"/>
  <c r="F44" i="107"/>
  <c r="F43" i="107"/>
  <c r="F42" i="107"/>
  <c r="F41" i="107"/>
  <c r="F40" i="107"/>
  <c r="F39" i="107"/>
  <c r="F38" i="107"/>
  <c r="D64" i="107"/>
  <c r="D63" i="107"/>
  <c r="D62" i="107"/>
  <c r="C64" i="107"/>
  <c r="C63" i="107"/>
  <c r="C62" i="107"/>
  <c r="D61" i="107"/>
  <c r="D60" i="107"/>
  <c r="D59" i="107"/>
  <c r="D58" i="107"/>
  <c r="D57" i="107"/>
  <c r="D56" i="107"/>
  <c r="D55" i="107"/>
  <c r="D54" i="107"/>
  <c r="D53" i="107"/>
  <c r="D52" i="107"/>
  <c r="D51" i="107"/>
  <c r="D50" i="107"/>
  <c r="C61" i="107"/>
  <c r="C60" i="107"/>
  <c r="C59" i="107"/>
  <c r="C58" i="107"/>
  <c r="C57" i="107"/>
  <c r="C56" i="107"/>
  <c r="C55" i="107"/>
  <c r="C54" i="107"/>
  <c r="C53" i="107"/>
  <c r="C52" i="107"/>
  <c r="C51" i="107"/>
  <c r="C50" i="107"/>
  <c r="D49" i="107"/>
  <c r="D48" i="107"/>
  <c r="D47" i="107"/>
  <c r="D46" i="107"/>
  <c r="D45" i="107"/>
  <c r="D44" i="107"/>
  <c r="C49" i="107"/>
  <c r="C48" i="107"/>
  <c r="C47" i="107"/>
  <c r="C46" i="107"/>
  <c r="C45" i="107"/>
  <c r="C44" i="107"/>
  <c r="D43" i="107"/>
  <c r="D42" i="107"/>
  <c r="D41" i="107"/>
  <c r="D40" i="107"/>
  <c r="C43" i="107"/>
  <c r="C42" i="107"/>
  <c r="C41" i="107"/>
  <c r="C40" i="107"/>
  <c r="D39" i="107"/>
  <c r="C39" i="107"/>
  <c r="D38" i="107"/>
  <c r="C38" i="107"/>
  <c r="F51" i="132"/>
  <c r="V42" i="132"/>
  <c r="V4" i="132"/>
  <c r="F35" i="132"/>
  <c r="F34" i="132"/>
  <c r="F33" i="132"/>
  <c r="F32" i="132"/>
  <c r="F31" i="132"/>
  <c r="F30" i="132"/>
  <c r="F29" i="132"/>
  <c r="F28" i="132"/>
  <c r="F27" i="132"/>
  <c r="F23" i="132"/>
  <c r="F22" i="132"/>
  <c r="F21" i="132"/>
  <c r="F20" i="132"/>
  <c r="H19" i="132"/>
  <c r="F10" i="132"/>
  <c r="F9" i="132"/>
  <c r="F8" i="132"/>
  <c r="F7" i="132"/>
  <c r="F42" i="132"/>
  <c r="F41" i="132"/>
  <c r="F36" i="132"/>
  <c r="F24" i="132"/>
  <c r="F4" i="132"/>
  <c r="F5" i="132" l="1"/>
  <c r="F3" i="132" s="1"/>
  <c r="F11" i="132"/>
  <c r="V18" i="132"/>
  <c r="V29" i="132"/>
  <c r="V30" i="132"/>
  <c r="V31" i="132"/>
  <c r="V32" i="132"/>
  <c r="V33" i="132"/>
  <c r="V34" i="132"/>
  <c r="V7" i="132"/>
  <c r="V6" i="132"/>
  <c r="V23" i="132"/>
  <c r="V8" i="132"/>
  <c r="V14" i="132"/>
  <c r="V21" i="132"/>
  <c r="V9" i="132"/>
  <c r="V35" i="132"/>
  <c r="V22" i="132"/>
  <c r="V36" i="132"/>
  <c r="V10" i="132"/>
  <c r="V24" i="132"/>
  <c r="V12" i="132"/>
  <c r="V13" i="132"/>
  <c r="V27" i="132"/>
  <c r="V28" i="132"/>
  <c r="V41" i="132"/>
  <c r="V20" i="132"/>
  <c r="F19" i="132"/>
  <c r="F26" i="132"/>
  <c r="F25" i="132" s="1"/>
  <c r="V5" i="132" l="1"/>
  <c r="V26" i="132"/>
  <c r="V19" i="132"/>
  <c r="V11" i="132"/>
  <c r="H174" i="144"/>
  <c r="H173" i="144"/>
  <c r="H172" i="144"/>
  <c r="H171" i="144"/>
  <c r="H170" i="144"/>
  <c r="H169" i="144"/>
  <c r="H168" i="144"/>
  <c r="H167" i="144"/>
  <c r="H166" i="144"/>
  <c r="AT165" i="144"/>
  <c r="AS165" i="144"/>
  <c r="AR165" i="144"/>
  <c r="AQ165" i="144"/>
  <c r="AP165" i="144"/>
  <c r="AO165" i="144"/>
  <c r="AN165" i="144"/>
  <c r="AM165" i="144"/>
  <c r="AL165" i="144"/>
  <c r="AK165" i="144"/>
  <c r="AJ165" i="144"/>
  <c r="AI165" i="144"/>
  <c r="H165" i="144"/>
  <c r="H164" i="144"/>
  <c r="H163" i="144"/>
  <c r="H162" i="144"/>
  <c r="H161" i="144"/>
  <c r="H160" i="144"/>
  <c r="H159" i="144"/>
  <c r="H158" i="144"/>
  <c r="H157" i="144"/>
  <c r="H156" i="144"/>
  <c r="H155" i="144"/>
  <c r="H154" i="144"/>
  <c r="H153" i="144"/>
  <c r="H152" i="144"/>
  <c r="H151" i="144"/>
  <c r="H150" i="144"/>
  <c r="H149" i="144"/>
  <c r="H148" i="144"/>
  <c r="AT147" i="144"/>
  <c r="AT161" i="144" s="1"/>
  <c r="AS147" i="144"/>
  <c r="AR147" i="144"/>
  <c r="AQ147" i="144"/>
  <c r="AQ157" i="144" s="1"/>
  <c r="AP147" i="144"/>
  <c r="AO147" i="144"/>
  <c r="AN147" i="144"/>
  <c r="AN157" i="144" s="1"/>
  <c r="AM147" i="144"/>
  <c r="AL147" i="144"/>
  <c r="AK147" i="144"/>
  <c r="AK157" i="144" s="1"/>
  <c r="AJ147" i="144"/>
  <c r="AI147" i="144"/>
  <c r="H147" i="144"/>
  <c r="H146" i="144"/>
  <c r="H145" i="144"/>
  <c r="H144" i="144"/>
  <c r="H143" i="144"/>
  <c r="H142" i="144"/>
  <c r="H141" i="144"/>
  <c r="H140" i="144"/>
  <c r="AT139" i="144"/>
  <c r="AS139" i="144"/>
  <c r="AS166" i="144" s="1"/>
  <c r="AS167" i="144" s="1"/>
  <c r="AR139" i="144"/>
  <c r="AQ139" i="144"/>
  <c r="AP139" i="144"/>
  <c r="AO139" i="144"/>
  <c r="AO166" i="144" s="1"/>
  <c r="AO167" i="144" s="1"/>
  <c r="AN139" i="144"/>
  <c r="AM139" i="144"/>
  <c r="AM166" i="144" s="1"/>
  <c r="AM167" i="144" s="1"/>
  <c r="AL139" i="144"/>
  <c r="AK139" i="144"/>
  <c r="AJ139" i="144"/>
  <c r="AI139" i="144"/>
  <c r="AI166" i="144" s="1"/>
  <c r="AI167" i="144" s="1"/>
  <c r="H139" i="144"/>
  <c r="H138" i="144"/>
  <c r="H137" i="144"/>
  <c r="H136" i="144"/>
  <c r="H135" i="144"/>
  <c r="H134" i="144"/>
  <c r="H133" i="144"/>
  <c r="H132" i="144"/>
  <c r="H131" i="144"/>
  <c r="H130" i="144"/>
  <c r="H129" i="144"/>
  <c r="H128" i="144"/>
  <c r="H127" i="144"/>
  <c r="H126" i="144"/>
  <c r="AT125" i="144"/>
  <c r="AS125" i="144"/>
  <c r="AR125" i="144"/>
  <c r="AQ125" i="144"/>
  <c r="AP125" i="144"/>
  <c r="AO125" i="144"/>
  <c r="AN125" i="144"/>
  <c r="AM125" i="144"/>
  <c r="AL125" i="144"/>
  <c r="AK125" i="144"/>
  <c r="AJ125" i="144"/>
  <c r="AI125" i="144"/>
  <c r="H125" i="144"/>
  <c r="H124" i="144"/>
  <c r="H123" i="144"/>
  <c r="H122" i="144"/>
  <c r="H121" i="144"/>
  <c r="H120" i="144"/>
  <c r="H119" i="144"/>
  <c r="H118" i="144"/>
  <c r="H117" i="144"/>
  <c r="H116" i="144"/>
  <c r="H115" i="144"/>
  <c r="H114" i="144"/>
  <c r="H113" i="144"/>
  <c r="H112" i="144"/>
  <c r="H111" i="144"/>
  <c r="H110" i="144"/>
  <c r="H109" i="144"/>
  <c r="H108" i="144"/>
  <c r="AT107" i="144"/>
  <c r="AT117" i="144" s="1"/>
  <c r="AS107" i="144"/>
  <c r="AR107" i="144"/>
  <c r="AQ107" i="144"/>
  <c r="AQ117" i="144" s="1"/>
  <c r="AP107" i="144"/>
  <c r="AO107" i="144"/>
  <c r="AN107" i="144"/>
  <c r="AN121" i="144" s="1"/>
  <c r="AM107" i="144"/>
  <c r="AL107" i="144"/>
  <c r="AK107" i="144"/>
  <c r="AK117" i="144" s="1"/>
  <c r="AJ107" i="144"/>
  <c r="AI107" i="144"/>
  <c r="H107" i="144"/>
  <c r="H106" i="144"/>
  <c r="H105" i="144"/>
  <c r="H104" i="144"/>
  <c r="H103" i="144"/>
  <c r="H102" i="144"/>
  <c r="H101" i="144"/>
  <c r="H100" i="144"/>
  <c r="AT99" i="144"/>
  <c r="AS99" i="144"/>
  <c r="AS126" i="144" s="1"/>
  <c r="AS127" i="144" s="1"/>
  <c r="AR99" i="144"/>
  <c r="AQ99" i="144"/>
  <c r="AQ126" i="144" s="1"/>
  <c r="AQ127" i="144" s="1"/>
  <c r="AP99" i="144"/>
  <c r="AO99" i="144"/>
  <c r="AN99" i="144"/>
  <c r="AM99" i="144"/>
  <c r="AM126" i="144" s="1"/>
  <c r="AM127" i="144" s="1"/>
  <c r="AL99" i="144"/>
  <c r="AK99" i="144"/>
  <c r="AJ99" i="144"/>
  <c r="AI99" i="144"/>
  <c r="H99" i="144"/>
  <c r="H98" i="144"/>
  <c r="H97" i="144"/>
  <c r="H96" i="144"/>
  <c r="H95" i="144"/>
  <c r="H94" i="144"/>
  <c r="H93" i="144"/>
  <c r="H92" i="144"/>
  <c r="H91" i="144"/>
  <c r="H90" i="144"/>
  <c r="H89" i="144"/>
  <c r="H88" i="144"/>
  <c r="H87" i="144"/>
  <c r="H86" i="144"/>
  <c r="AT85" i="144"/>
  <c r="AS85" i="144"/>
  <c r="AR85" i="144"/>
  <c r="AQ85" i="144"/>
  <c r="AP85" i="144"/>
  <c r="AO85" i="144"/>
  <c r="AN85" i="144"/>
  <c r="AM85" i="144"/>
  <c r="AL85" i="144"/>
  <c r="AK85" i="144"/>
  <c r="AJ85" i="144"/>
  <c r="AI85" i="144"/>
  <c r="H85" i="144"/>
  <c r="H84" i="144"/>
  <c r="H83" i="144"/>
  <c r="H82" i="144"/>
  <c r="H81" i="144"/>
  <c r="H80" i="144"/>
  <c r="H79" i="144"/>
  <c r="H78" i="144"/>
  <c r="H77" i="144"/>
  <c r="H76" i="144"/>
  <c r="H75" i="144"/>
  <c r="H74" i="144"/>
  <c r="H73" i="144"/>
  <c r="H72" i="144"/>
  <c r="H71" i="144"/>
  <c r="H70" i="144"/>
  <c r="H69" i="144"/>
  <c r="H68" i="144"/>
  <c r="AT67" i="144"/>
  <c r="AT81" i="144" s="1"/>
  <c r="AS67" i="144"/>
  <c r="AR67" i="144"/>
  <c r="AQ67" i="144"/>
  <c r="AQ77" i="144" s="1"/>
  <c r="AP67" i="144"/>
  <c r="AO67" i="144"/>
  <c r="AN67" i="144"/>
  <c r="AN77" i="144" s="1"/>
  <c r="AM67" i="144"/>
  <c r="AL67" i="144"/>
  <c r="AK67" i="144"/>
  <c r="AK77" i="144" s="1"/>
  <c r="AJ67" i="144"/>
  <c r="AI67" i="144"/>
  <c r="H67" i="144"/>
  <c r="H66" i="144"/>
  <c r="H65" i="144"/>
  <c r="H64" i="144"/>
  <c r="H63" i="144"/>
  <c r="H62" i="144"/>
  <c r="H61" i="144"/>
  <c r="H60" i="144"/>
  <c r="AT59" i="144"/>
  <c r="AS59" i="144"/>
  <c r="AR59" i="144"/>
  <c r="AQ59" i="144"/>
  <c r="AP59" i="144"/>
  <c r="AO59" i="144"/>
  <c r="AO86" i="144" s="1"/>
  <c r="AO87" i="144" s="1"/>
  <c r="AN59" i="144"/>
  <c r="AM59" i="144"/>
  <c r="AL59" i="144"/>
  <c r="AK59" i="144"/>
  <c r="AK86" i="144" s="1"/>
  <c r="AK87" i="144" s="1"/>
  <c r="AJ59" i="144"/>
  <c r="AI59" i="144"/>
  <c r="AI86" i="144" s="1"/>
  <c r="AI87" i="144" s="1"/>
  <c r="H59" i="144"/>
  <c r="H58" i="144"/>
  <c r="H57" i="144"/>
  <c r="H56" i="144"/>
  <c r="H55" i="144"/>
  <c r="BH53" i="144"/>
  <c r="BS53" i="144" s="1"/>
  <c r="BG53" i="144"/>
  <c r="BF53" i="144"/>
  <c r="BE53" i="144"/>
  <c r="BD53" i="144"/>
  <c r="BC53" i="144"/>
  <c r="BB53" i="144"/>
  <c r="BA53" i="144"/>
  <c r="AZ53" i="144"/>
  <c r="AY53" i="144"/>
  <c r="AX53" i="144"/>
  <c r="AW53" i="144"/>
  <c r="AV53" i="144"/>
  <c r="AU53" i="144"/>
  <c r="H53" i="144"/>
  <c r="BW52" i="144"/>
  <c r="BX52" i="144" s="1"/>
  <c r="BV52" i="144"/>
  <c r="BU52" i="144"/>
  <c r="BT52" i="144"/>
  <c r="BS52" i="144"/>
  <c r="H52" i="144"/>
  <c r="BW51" i="144"/>
  <c r="BX51" i="144" s="1"/>
  <c r="BV51" i="144"/>
  <c r="BU51" i="144"/>
  <c r="BT51" i="144"/>
  <c r="BS51" i="144"/>
  <c r="H51" i="144"/>
  <c r="BW45" i="144"/>
  <c r="BX45" i="144" s="1"/>
  <c r="BV45" i="144"/>
  <c r="BU45" i="144"/>
  <c r="BT45" i="144"/>
  <c r="BS45" i="144"/>
  <c r="H45" i="144"/>
  <c r="BW40" i="144"/>
  <c r="BX40" i="144" s="1"/>
  <c r="BV40" i="144"/>
  <c r="BU40" i="144"/>
  <c r="BT40" i="144"/>
  <c r="BS40" i="144"/>
  <c r="H40" i="144"/>
  <c r="BW39" i="144"/>
  <c r="BX39" i="144" s="1"/>
  <c r="BV39" i="144"/>
  <c r="BU39" i="144"/>
  <c r="BT39" i="144"/>
  <c r="BS39" i="144"/>
  <c r="H39" i="144"/>
  <c r="BI35" i="144"/>
  <c r="BH35" i="144"/>
  <c r="BG35" i="144"/>
  <c r="BF35" i="144"/>
  <c r="BE35" i="144"/>
  <c r="BD35" i="144"/>
  <c r="BC35" i="144"/>
  <c r="BB35" i="144"/>
  <c r="BA35" i="144"/>
  <c r="AZ35" i="144"/>
  <c r="AY35" i="144"/>
  <c r="AX35" i="144"/>
  <c r="AW35" i="144"/>
  <c r="AV35" i="144"/>
  <c r="AU35" i="144"/>
  <c r="AT35" i="144"/>
  <c r="AS35" i="144"/>
  <c r="AR35" i="144"/>
  <c r="AQ35" i="144"/>
  <c r="AP35" i="144"/>
  <c r="AO35" i="144"/>
  <c r="AN35" i="144"/>
  <c r="AM35" i="144"/>
  <c r="AL35" i="144"/>
  <c r="AK35" i="144"/>
  <c r="AJ35" i="144"/>
  <c r="AI35" i="144"/>
  <c r="AH35" i="144"/>
  <c r="AG35" i="144"/>
  <c r="AF35" i="144"/>
  <c r="AE35" i="144"/>
  <c r="AD35" i="144"/>
  <c r="AC35" i="144"/>
  <c r="AB35" i="144"/>
  <c r="AA35" i="144"/>
  <c r="Z35" i="144"/>
  <c r="Y35" i="144"/>
  <c r="X35" i="144"/>
  <c r="W35" i="144"/>
  <c r="V35" i="144"/>
  <c r="U35" i="144"/>
  <c r="T35" i="144"/>
  <c r="S35" i="144"/>
  <c r="R35" i="144"/>
  <c r="Q35" i="144"/>
  <c r="P35" i="144"/>
  <c r="O35" i="144"/>
  <c r="N35" i="144"/>
  <c r="M35" i="144"/>
  <c r="L35" i="144"/>
  <c r="K35" i="144"/>
  <c r="J35" i="144"/>
  <c r="I35" i="144"/>
  <c r="H35" i="144"/>
  <c r="H34" i="144"/>
  <c r="BW32" i="144"/>
  <c r="BX32" i="144" s="1"/>
  <c r="BV32" i="144"/>
  <c r="BU32" i="144"/>
  <c r="BT32" i="144"/>
  <c r="H32" i="144"/>
  <c r="BW31" i="144"/>
  <c r="BX31" i="144" s="1"/>
  <c r="BV31" i="144"/>
  <c r="BU31" i="144"/>
  <c r="BT31" i="144"/>
  <c r="H31" i="144"/>
  <c r="BW30" i="144"/>
  <c r="BX30" i="144" s="1"/>
  <c r="BV30" i="144"/>
  <c r="BU30" i="144"/>
  <c r="BT30" i="144"/>
  <c r="H30" i="144"/>
  <c r="BW29" i="144"/>
  <c r="BX29" i="144" s="1"/>
  <c r="BV29" i="144"/>
  <c r="BU29" i="144"/>
  <c r="BT29" i="144"/>
  <c r="H29" i="144"/>
  <c r="BW28" i="144"/>
  <c r="BX28" i="144" s="1"/>
  <c r="BV28" i="144"/>
  <c r="BU28" i="144"/>
  <c r="BT28" i="144"/>
  <c r="H28" i="144"/>
  <c r="BW27" i="144"/>
  <c r="BX27" i="144" s="1"/>
  <c r="BU27" i="144"/>
  <c r="BW26" i="144"/>
  <c r="BX26" i="144" s="1"/>
  <c r="BV26" i="144"/>
  <c r="BU26" i="144"/>
  <c r="BT26" i="144"/>
  <c r="H26" i="144"/>
  <c r="BW25" i="144"/>
  <c r="BX25" i="144" s="1"/>
  <c r="BV25" i="144"/>
  <c r="BU25" i="144"/>
  <c r="BT25" i="144"/>
  <c r="H25" i="144"/>
  <c r="BI24" i="144"/>
  <c r="BI23" i="144" s="1"/>
  <c r="BH24" i="144"/>
  <c r="BH23" i="144" s="1"/>
  <c r="BG24" i="144"/>
  <c r="BG23" i="144" s="1"/>
  <c r="BF24" i="144"/>
  <c r="BE24" i="144"/>
  <c r="BE23" i="144" s="1"/>
  <c r="BD24" i="144"/>
  <c r="BC24" i="144"/>
  <c r="BC23" i="144" s="1"/>
  <c r="BB24" i="144"/>
  <c r="BA24" i="144"/>
  <c r="BA23" i="144" s="1"/>
  <c r="AZ24" i="144"/>
  <c r="AY24" i="144"/>
  <c r="AY23" i="144" s="1"/>
  <c r="AX24" i="144"/>
  <c r="AW24" i="144"/>
  <c r="AW23" i="144" s="1"/>
  <c r="AV24" i="144"/>
  <c r="AV23" i="144" s="1"/>
  <c r="AU24" i="144"/>
  <c r="AU23" i="144" s="1"/>
  <c r="AT24" i="144"/>
  <c r="AS24" i="144"/>
  <c r="AS23" i="144" s="1"/>
  <c r="AR24" i="144"/>
  <c r="AQ24" i="144"/>
  <c r="AQ23" i="144" s="1"/>
  <c r="AP24" i="144"/>
  <c r="AP23" i="144" s="1"/>
  <c r="AO24" i="144"/>
  <c r="AO23" i="144" s="1"/>
  <c r="AN24" i="144"/>
  <c r="AM24" i="144"/>
  <c r="AM23" i="144" s="1"/>
  <c r="AL24" i="144"/>
  <c r="AK24" i="144"/>
  <c r="AK23" i="144" s="1"/>
  <c r="AJ24" i="144"/>
  <c r="AJ23" i="144" s="1"/>
  <c r="AI24" i="144"/>
  <c r="AI23" i="144" s="1"/>
  <c r="AH24" i="144"/>
  <c r="AG24" i="144"/>
  <c r="AG23" i="144" s="1"/>
  <c r="AF24" i="144"/>
  <c r="AE24" i="144"/>
  <c r="AE23" i="144" s="1"/>
  <c r="AD24" i="144"/>
  <c r="AD23" i="144" s="1"/>
  <c r="AC24" i="144"/>
  <c r="AC23" i="144" s="1"/>
  <c r="AB24" i="144"/>
  <c r="AA24" i="144"/>
  <c r="AA23" i="144" s="1"/>
  <c r="Z24" i="144"/>
  <c r="Y24" i="144"/>
  <c r="Y23" i="144" s="1"/>
  <c r="X24" i="144"/>
  <c r="X23" i="144" s="1"/>
  <c r="W24" i="144"/>
  <c r="W23" i="144" s="1"/>
  <c r="V24" i="144"/>
  <c r="U24" i="144"/>
  <c r="U23" i="144" s="1"/>
  <c r="T24" i="144"/>
  <c r="S24" i="144"/>
  <c r="S23" i="144" s="1"/>
  <c r="R24" i="144"/>
  <c r="R23" i="144" s="1"/>
  <c r="Q24" i="144"/>
  <c r="Q23" i="144" s="1"/>
  <c r="P24" i="144"/>
  <c r="O24" i="144"/>
  <c r="O23" i="144" s="1"/>
  <c r="N24" i="144"/>
  <c r="M24" i="144"/>
  <c r="M23" i="144" s="1"/>
  <c r="L24" i="144"/>
  <c r="L23" i="144" s="1"/>
  <c r="K24" i="144"/>
  <c r="K23" i="144" s="1"/>
  <c r="J24" i="144"/>
  <c r="I24" i="144"/>
  <c r="I23" i="144" s="1"/>
  <c r="BF23" i="144"/>
  <c r="BD23" i="144"/>
  <c r="BB23" i="144"/>
  <c r="AZ23" i="144"/>
  <c r="AX23" i="144"/>
  <c r="AT23" i="144"/>
  <c r="AR23" i="144"/>
  <c r="AN23" i="144"/>
  <c r="AL23" i="144"/>
  <c r="AH23" i="144"/>
  <c r="AF23" i="144"/>
  <c r="AB23" i="144"/>
  <c r="Z23" i="144"/>
  <c r="V23" i="144"/>
  <c r="T23" i="144"/>
  <c r="P23" i="144"/>
  <c r="N23" i="144"/>
  <c r="J23" i="144"/>
  <c r="H23" i="144"/>
  <c r="H22" i="144"/>
  <c r="H21" i="144"/>
  <c r="BW20" i="144"/>
  <c r="BX20" i="144" s="1"/>
  <c r="BV20" i="144"/>
  <c r="BU20" i="144"/>
  <c r="BT20" i="144"/>
  <c r="H20" i="144"/>
  <c r="BW18" i="144"/>
  <c r="BX18" i="144" s="1"/>
  <c r="BV18" i="144"/>
  <c r="BU18" i="144"/>
  <c r="BT18" i="144"/>
  <c r="H18" i="144"/>
  <c r="BW17" i="144"/>
  <c r="BX17" i="144" s="1"/>
  <c r="BV17" i="144"/>
  <c r="BU17" i="144"/>
  <c r="BT17" i="144"/>
  <c r="H17" i="144"/>
  <c r="BI16" i="144"/>
  <c r="BH16" i="144"/>
  <c r="BG16" i="144"/>
  <c r="BF16" i="144"/>
  <c r="BE16" i="144"/>
  <c r="BD16" i="144"/>
  <c r="BC16" i="144"/>
  <c r="BB16" i="144"/>
  <c r="BA16" i="144"/>
  <c r="AZ16" i="144"/>
  <c r="AY16" i="144"/>
  <c r="AX16" i="144"/>
  <c r="AW16" i="144"/>
  <c r="AV16" i="144"/>
  <c r="AU16" i="144"/>
  <c r="AT16" i="144"/>
  <c r="AS16" i="144"/>
  <c r="AR16" i="144"/>
  <c r="AQ16" i="144"/>
  <c r="AP16" i="144"/>
  <c r="AO16" i="144"/>
  <c r="AN16" i="144"/>
  <c r="AM16" i="144"/>
  <c r="AL16" i="144"/>
  <c r="AK16" i="144"/>
  <c r="AJ16" i="144"/>
  <c r="AI16" i="144"/>
  <c r="AH16" i="144"/>
  <c r="AG16" i="144"/>
  <c r="AF16" i="144"/>
  <c r="AE16" i="144"/>
  <c r="AD16" i="144"/>
  <c r="AC16" i="144"/>
  <c r="AB16" i="144"/>
  <c r="AA16" i="144"/>
  <c r="Z16" i="144"/>
  <c r="Y16" i="144"/>
  <c r="X16" i="144"/>
  <c r="W16" i="144"/>
  <c r="V16" i="144"/>
  <c r="U16" i="144"/>
  <c r="T16" i="144"/>
  <c r="S16" i="144"/>
  <c r="R16" i="144"/>
  <c r="Q16" i="144"/>
  <c r="P16" i="144"/>
  <c r="O16" i="144"/>
  <c r="N16" i="144"/>
  <c r="M16" i="144"/>
  <c r="L16" i="144"/>
  <c r="K16" i="144"/>
  <c r="J16" i="144"/>
  <c r="I16" i="144"/>
  <c r="H16" i="144"/>
  <c r="BW13" i="144"/>
  <c r="BX13" i="144" s="1"/>
  <c r="BV13" i="144"/>
  <c r="BU13" i="144"/>
  <c r="BT13" i="144"/>
  <c r="H13" i="144"/>
  <c r="H12" i="144"/>
  <c r="BW7" i="144"/>
  <c r="BX7" i="144" s="1"/>
  <c r="BV7" i="144"/>
  <c r="BU7" i="144"/>
  <c r="BT7" i="144"/>
  <c r="H7" i="144"/>
  <c r="BI5" i="144"/>
  <c r="BI3" i="144" s="1"/>
  <c r="BH5" i="144"/>
  <c r="BG5" i="144"/>
  <c r="BG3" i="144" s="1"/>
  <c r="BF5" i="144"/>
  <c r="BF3" i="144" s="1"/>
  <c r="BE5" i="144"/>
  <c r="BE3" i="144" s="1"/>
  <c r="BD5" i="144"/>
  <c r="BD3" i="144" s="1"/>
  <c r="BD12" i="144" s="1"/>
  <c r="BD11" i="144" s="1"/>
  <c r="BC5" i="144"/>
  <c r="BC3" i="144" s="1"/>
  <c r="BB5" i="144"/>
  <c r="BA5" i="144"/>
  <c r="BA3" i="144" s="1"/>
  <c r="AZ5" i="144"/>
  <c r="AY5" i="144"/>
  <c r="AX5" i="144"/>
  <c r="AW5" i="144"/>
  <c r="AW3" i="144" s="1"/>
  <c r="AV5" i="144"/>
  <c r="AV3" i="144" s="1"/>
  <c r="AU5" i="144"/>
  <c r="AU3" i="144" s="1"/>
  <c r="AT5" i="144"/>
  <c r="AS5" i="144"/>
  <c r="AS3" i="144" s="1"/>
  <c r="AR5" i="144"/>
  <c r="AR3" i="144" s="1"/>
  <c r="AR12" i="144" s="1"/>
  <c r="AR11" i="144" s="1"/>
  <c r="AQ5" i="144"/>
  <c r="AQ3" i="144" s="1"/>
  <c r="AP5" i="144"/>
  <c r="AO5" i="144"/>
  <c r="AO3" i="144" s="1"/>
  <c r="AN5" i="144"/>
  <c r="AM5" i="144"/>
  <c r="AL5" i="144"/>
  <c r="AK5" i="144"/>
  <c r="AK3" i="144" s="1"/>
  <c r="AJ5" i="144"/>
  <c r="AI5" i="144"/>
  <c r="AI3" i="144" s="1"/>
  <c r="AH5" i="144"/>
  <c r="AH3" i="144" s="1"/>
  <c r="AG5" i="144"/>
  <c r="AG3" i="144" s="1"/>
  <c r="AF5" i="144"/>
  <c r="AF3" i="144" s="1"/>
  <c r="AF12" i="144" s="1"/>
  <c r="AF11" i="144" s="1"/>
  <c r="AE5" i="144"/>
  <c r="AE3" i="144" s="1"/>
  <c r="AD5" i="144"/>
  <c r="AC5" i="144"/>
  <c r="AC3" i="144" s="1"/>
  <c r="AB5" i="144"/>
  <c r="AA5" i="144"/>
  <c r="Z5" i="144"/>
  <c r="Y5" i="144"/>
  <c r="Y3" i="144" s="1"/>
  <c r="X5" i="144"/>
  <c r="W5" i="144"/>
  <c r="W3" i="144" s="1"/>
  <c r="V5" i="144"/>
  <c r="V3" i="144" s="1"/>
  <c r="U5" i="144"/>
  <c r="U3" i="144" s="1"/>
  <c r="T5" i="144"/>
  <c r="T3" i="144" s="1"/>
  <c r="T12" i="144" s="1"/>
  <c r="T11" i="144" s="1"/>
  <c r="S5" i="144"/>
  <c r="S3" i="144" s="1"/>
  <c r="R5" i="144"/>
  <c r="Q5" i="144"/>
  <c r="Q3" i="144" s="1"/>
  <c r="P5" i="144"/>
  <c r="O5" i="144"/>
  <c r="N5" i="144"/>
  <c r="M5" i="144"/>
  <c r="M3" i="144" s="1"/>
  <c r="L5" i="144"/>
  <c r="K5" i="144"/>
  <c r="K3" i="144" s="1"/>
  <c r="J5" i="144"/>
  <c r="J3" i="144" s="1"/>
  <c r="I5" i="144"/>
  <c r="I3" i="144" s="1"/>
  <c r="BH3" i="144"/>
  <c r="BB3" i="144"/>
  <c r="BB12" i="144" s="1"/>
  <c r="BB11" i="144" s="1"/>
  <c r="BB22" i="144" s="1"/>
  <c r="BB34" i="144" s="1"/>
  <c r="AZ3" i="144"/>
  <c r="AY3" i="144"/>
  <c r="AX3" i="144"/>
  <c r="AT3" i="144"/>
  <c r="AT12" i="144" s="1"/>
  <c r="AT11" i="144" s="1"/>
  <c r="AT22" i="144" s="1"/>
  <c r="AT34" i="144" s="1"/>
  <c r="AP3" i="144"/>
  <c r="AP12" i="144" s="1"/>
  <c r="AP11" i="144" s="1"/>
  <c r="AP22" i="144" s="1"/>
  <c r="AN3" i="144"/>
  <c r="AM3" i="144"/>
  <c r="AL3" i="144"/>
  <c r="AJ3" i="144"/>
  <c r="AD3" i="144"/>
  <c r="AD12" i="144" s="1"/>
  <c r="AD11" i="144" s="1"/>
  <c r="AD22" i="144" s="1"/>
  <c r="AB3" i="144"/>
  <c r="AA3" i="144"/>
  <c r="Z3" i="144"/>
  <c r="X3" i="144"/>
  <c r="R3" i="144"/>
  <c r="R12" i="144" s="1"/>
  <c r="R11" i="144" s="1"/>
  <c r="R22" i="144" s="1"/>
  <c r="P3" i="144"/>
  <c r="O3" i="144"/>
  <c r="N3" i="144"/>
  <c r="N42" i="144" s="1"/>
  <c r="L3" i="144"/>
  <c r="BZ2" i="144" a="1"/>
  <c r="BZ2" i="144" s="1"/>
  <c r="BW2" i="144"/>
  <c r="BX2" i="144" s="1"/>
  <c r="BV2" i="144"/>
  <c r="BU2" i="144"/>
  <c r="BT2" i="144"/>
  <c r="H2" i="144"/>
  <c r="G162" i="143"/>
  <c r="G161" i="143"/>
  <c r="G160" i="143"/>
  <c r="G159" i="143"/>
  <c r="G158" i="143"/>
  <c r="G157" i="143"/>
  <c r="G156" i="143"/>
  <c r="G155" i="143"/>
  <c r="G154" i="143"/>
  <c r="AS153" i="143"/>
  <c r="AR153" i="143"/>
  <c r="AQ153" i="143"/>
  <c r="AP153" i="143"/>
  <c r="AO153" i="143"/>
  <c r="AN153" i="143"/>
  <c r="AM153" i="143"/>
  <c r="AL153" i="143"/>
  <c r="AK153" i="143"/>
  <c r="AJ153" i="143"/>
  <c r="AI153" i="143"/>
  <c r="AH153" i="143"/>
  <c r="G153" i="143"/>
  <c r="G152" i="143"/>
  <c r="G151" i="143"/>
  <c r="G150" i="143"/>
  <c r="G149" i="143"/>
  <c r="G148" i="143"/>
  <c r="G147" i="143"/>
  <c r="G146" i="143"/>
  <c r="G145" i="143"/>
  <c r="G144" i="143"/>
  <c r="G143" i="143"/>
  <c r="G142" i="143"/>
  <c r="G141" i="143"/>
  <c r="G140" i="143"/>
  <c r="G139" i="143"/>
  <c r="G138" i="143"/>
  <c r="G137" i="143"/>
  <c r="G136" i="143"/>
  <c r="AS135" i="143"/>
  <c r="AR135" i="143"/>
  <c r="AQ135" i="143"/>
  <c r="AP135" i="143"/>
  <c r="AP145" i="143" s="1"/>
  <c r="AO135" i="143"/>
  <c r="AN135" i="143"/>
  <c r="AM135" i="143"/>
  <c r="AL135" i="143"/>
  <c r="AK135" i="143"/>
  <c r="AJ135" i="143"/>
  <c r="AJ145" i="143" s="1"/>
  <c r="AI135" i="143"/>
  <c r="AH135" i="143"/>
  <c r="AH149" i="143" s="1"/>
  <c r="G135" i="143"/>
  <c r="G134" i="143"/>
  <c r="G133" i="143"/>
  <c r="G132" i="143"/>
  <c r="G131" i="143"/>
  <c r="G130" i="143"/>
  <c r="G129" i="143"/>
  <c r="G128" i="143"/>
  <c r="AS127" i="143"/>
  <c r="AS154" i="143" s="1"/>
  <c r="AS155" i="143" s="1"/>
  <c r="AR127" i="143"/>
  <c r="AQ127" i="143"/>
  <c r="AQ154" i="143" s="1"/>
  <c r="AQ155" i="143" s="1"/>
  <c r="AP127" i="143"/>
  <c r="AO127" i="143"/>
  <c r="AN127" i="143"/>
  <c r="AN154" i="143" s="1"/>
  <c r="AN155" i="143" s="1"/>
  <c r="AM127" i="143"/>
  <c r="AL127" i="143"/>
  <c r="AK127" i="143"/>
  <c r="AK154" i="143" s="1"/>
  <c r="AK155" i="143" s="1"/>
  <c r="AJ127" i="143"/>
  <c r="AI127" i="143"/>
  <c r="AH127" i="143"/>
  <c r="AH154" i="143" s="1"/>
  <c r="AH155" i="143" s="1"/>
  <c r="G127" i="143"/>
  <c r="G126" i="143"/>
  <c r="G125" i="143"/>
  <c r="G124" i="143"/>
  <c r="G123" i="143"/>
  <c r="G122" i="143"/>
  <c r="G121" i="143"/>
  <c r="G120" i="143"/>
  <c r="G119" i="143"/>
  <c r="G118" i="143"/>
  <c r="G117" i="143"/>
  <c r="G116" i="143"/>
  <c r="G115" i="143"/>
  <c r="G114" i="143"/>
  <c r="AS113" i="143"/>
  <c r="AR113" i="143"/>
  <c r="AQ113" i="143"/>
  <c r="AP113" i="143"/>
  <c r="AO113" i="143"/>
  <c r="AN113" i="143"/>
  <c r="AM113" i="143"/>
  <c r="AL113" i="143"/>
  <c r="AK113" i="143"/>
  <c r="AJ113" i="143"/>
  <c r="AI113" i="143"/>
  <c r="AH113" i="143"/>
  <c r="G113" i="143"/>
  <c r="G112" i="143"/>
  <c r="G111" i="143"/>
  <c r="G110" i="143"/>
  <c r="G109" i="143"/>
  <c r="G108" i="143"/>
  <c r="G107" i="143"/>
  <c r="G106" i="143"/>
  <c r="G105" i="143"/>
  <c r="G104" i="143"/>
  <c r="G103" i="143"/>
  <c r="G102" i="143"/>
  <c r="G101" i="143"/>
  <c r="G100" i="143"/>
  <c r="G99" i="143"/>
  <c r="G98" i="143"/>
  <c r="G97" i="143"/>
  <c r="G96" i="143"/>
  <c r="AS95" i="143"/>
  <c r="AR95" i="143"/>
  <c r="AQ95" i="143"/>
  <c r="AP95" i="143"/>
  <c r="AP105" i="143" s="1"/>
  <c r="AO95" i="143"/>
  <c r="AN95" i="143"/>
  <c r="AM95" i="143"/>
  <c r="AL95" i="143"/>
  <c r="AK95" i="143"/>
  <c r="AJ95" i="143"/>
  <c r="AJ105" i="143" s="1"/>
  <c r="AI95" i="143"/>
  <c r="AH95" i="143"/>
  <c r="G95" i="143"/>
  <c r="G94" i="143"/>
  <c r="G93" i="143"/>
  <c r="G92" i="143"/>
  <c r="G91" i="143"/>
  <c r="G90" i="143"/>
  <c r="G89" i="143"/>
  <c r="G88" i="143"/>
  <c r="AS87" i="143"/>
  <c r="AR87" i="143"/>
  <c r="AR114" i="143" s="1"/>
  <c r="AR115" i="143" s="1"/>
  <c r="AQ87" i="143"/>
  <c r="AQ114" i="143" s="1"/>
  <c r="AQ115" i="143" s="1"/>
  <c r="AP87" i="143"/>
  <c r="AO87" i="143"/>
  <c r="AN87" i="143"/>
  <c r="AM87" i="143"/>
  <c r="AL87" i="143"/>
  <c r="AL114" i="143" s="1"/>
  <c r="AL115" i="143" s="1"/>
  <c r="AK87" i="143"/>
  <c r="AK114" i="143" s="1"/>
  <c r="AK115" i="143" s="1"/>
  <c r="AJ87" i="143"/>
  <c r="AI87" i="143"/>
  <c r="AH87" i="143"/>
  <c r="G87" i="143"/>
  <c r="G86" i="143"/>
  <c r="G85" i="143"/>
  <c r="G84" i="143"/>
  <c r="G83" i="143"/>
  <c r="G82" i="143"/>
  <c r="G81" i="143"/>
  <c r="G80" i="143"/>
  <c r="G79" i="143"/>
  <c r="G78" i="143"/>
  <c r="G77" i="143"/>
  <c r="G76" i="143"/>
  <c r="G75" i="143"/>
  <c r="G74" i="143"/>
  <c r="AS73" i="143"/>
  <c r="AR73" i="143"/>
  <c r="AQ73" i="143"/>
  <c r="AP73" i="143"/>
  <c r="AO73" i="143"/>
  <c r="AN73" i="143"/>
  <c r="AM73" i="143"/>
  <c r="AL73" i="143"/>
  <c r="AK73" i="143"/>
  <c r="AJ73" i="143"/>
  <c r="AI73" i="143"/>
  <c r="AH73" i="143"/>
  <c r="G73" i="143"/>
  <c r="G72" i="143"/>
  <c r="G71" i="143"/>
  <c r="G70" i="143"/>
  <c r="G69" i="143"/>
  <c r="G68" i="143"/>
  <c r="G67" i="143"/>
  <c r="G66" i="143"/>
  <c r="G65" i="143"/>
  <c r="G64" i="143"/>
  <c r="G63" i="143"/>
  <c r="G62" i="143"/>
  <c r="G61" i="143"/>
  <c r="G60" i="143"/>
  <c r="G59" i="143"/>
  <c r="G58" i="143"/>
  <c r="G57" i="143"/>
  <c r="G56" i="143"/>
  <c r="AS55" i="143"/>
  <c r="AR55" i="143"/>
  <c r="AQ55" i="143"/>
  <c r="AP55" i="143"/>
  <c r="AP65" i="143" s="1"/>
  <c r="AO55" i="143"/>
  <c r="AN55" i="143"/>
  <c r="AM55" i="143"/>
  <c r="AM69" i="143" s="1"/>
  <c r="AL55" i="143"/>
  <c r="AK55" i="143"/>
  <c r="AJ55" i="143"/>
  <c r="AJ65" i="143" s="1"/>
  <c r="AI55" i="143"/>
  <c r="AH55" i="143"/>
  <c r="G55" i="143"/>
  <c r="G54" i="143"/>
  <c r="G53" i="143"/>
  <c r="G52" i="143"/>
  <c r="G51" i="143"/>
  <c r="G50" i="143"/>
  <c r="G49" i="143"/>
  <c r="G48" i="143"/>
  <c r="AS47" i="143"/>
  <c r="AS74" i="143" s="1"/>
  <c r="AS75" i="143" s="1"/>
  <c r="AR47" i="143"/>
  <c r="AQ47" i="143"/>
  <c r="AP47" i="143"/>
  <c r="AP74" i="143" s="1"/>
  <c r="AP75" i="143" s="1"/>
  <c r="AO47" i="143"/>
  <c r="AN47" i="143"/>
  <c r="AM47" i="143"/>
  <c r="AL47" i="143"/>
  <c r="AK47" i="143"/>
  <c r="AJ47" i="143"/>
  <c r="AJ74" i="143" s="1"/>
  <c r="AJ75" i="143" s="1"/>
  <c r="AI47" i="143"/>
  <c r="AI74" i="143" s="1"/>
  <c r="AI75" i="143" s="1"/>
  <c r="AH47" i="143"/>
  <c r="G47" i="143"/>
  <c r="G46" i="143"/>
  <c r="G45" i="143"/>
  <c r="G44" i="143"/>
  <c r="G43" i="143"/>
  <c r="BV42" i="143"/>
  <c r="BW42" i="143" s="1"/>
  <c r="BU42" i="143"/>
  <c r="BT42" i="143"/>
  <c r="BS42" i="143"/>
  <c r="BR42" i="143"/>
  <c r="G42" i="143"/>
  <c r="BH41" i="143"/>
  <c r="BG41" i="143"/>
  <c r="BF41" i="143"/>
  <c r="BE41" i="143"/>
  <c r="BD41" i="143"/>
  <c r="BC41" i="143"/>
  <c r="BB41" i="143"/>
  <c r="BA41" i="143"/>
  <c r="AZ41" i="143"/>
  <c r="AY41" i="143"/>
  <c r="AX41" i="143"/>
  <c r="AW41" i="143"/>
  <c r="AV41" i="143"/>
  <c r="AU41" i="143"/>
  <c r="AT41" i="143"/>
  <c r="G41" i="143"/>
  <c r="BR40" i="143"/>
  <c r="G40" i="143"/>
  <c r="BR39" i="143"/>
  <c r="G39" i="143"/>
  <c r="BG38" i="143"/>
  <c r="BR38" i="143" s="1"/>
  <c r="BF38" i="143"/>
  <c r="BE38" i="143"/>
  <c r="BD38" i="143"/>
  <c r="BC38" i="143"/>
  <c r="BB38" i="143"/>
  <c r="BA38" i="143"/>
  <c r="AZ38" i="143"/>
  <c r="AY38" i="143"/>
  <c r="AX38" i="143"/>
  <c r="AW38" i="143"/>
  <c r="AV38" i="143"/>
  <c r="AU38" i="143"/>
  <c r="AT38" i="143"/>
  <c r="G38" i="143"/>
  <c r="BV37" i="143"/>
  <c r="BW37" i="143" s="1"/>
  <c r="BU37" i="143"/>
  <c r="BT37" i="143"/>
  <c r="BS37" i="143"/>
  <c r="BR37" i="143"/>
  <c r="G37" i="143"/>
  <c r="BV36" i="143"/>
  <c r="BW36" i="143" s="1"/>
  <c r="BU36" i="143"/>
  <c r="BT36" i="143"/>
  <c r="BS36" i="143"/>
  <c r="BR36" i="143"/>
  <c r="G36" i="143"/>
  <c r="G35" i="143"/>
  <c r="G34" i="143"/>
  <c r="BH33" i="143"/>
  <c r="BG33" i="143"/>
  <c r="BF33" i="143"/>
  <c r="BE33" i="143"/>
  <c r="BD33" i="143"/>
  <c r="BC33" i="143"/>
  <c r="BB33" i="143"/>
  <c r="BA33" i="143"/>
  <c r="AZ33" i="143"/>
  <c r="AY33" i="143"/>
  <c r="AX33" i="143"/>
  <c r="AW33" i="143"/>
  <c r="AV33" i="143"/>
  <c r="AU33" i="143"/>
  <c r="AT33" i="143"/>
  <c r="AS33" i="143"/>
  <c r="AR33" i="143"/>
  <c r="AQ33" i="143"/>
  <c r="AP33" i="143"/>
  <c r="AO33" i="143"/>
  <c r="AN33" i="143"/>
  <c r="AM33" i="143"/>
  <c r="AL33" i="143"/>
  <c r="AK33" i="143"/>
  <c r="AJ33" i="143"/>
  <c r="AI33" i="143"/>
  <c r="AH33" i="143"/>
  <c r="AG33" i="143"/>
  <c r="AF33" i="143"/>
  <c r="AE33" i="143"/>
  <c r="AD33" i="143"/>
  <c r="AC33" i="143"/>
  <c r="AB33" i="143"/>
  <c r="AA33" i="143"/>
  <c r="Z33" i="143"/>
  <c r="Y33" i="143"/>
  <c r="X33" i="143"/>
  <c r="W33" i="143"/>
  <c r="V33" i="143"/>
  <c r="S33" i="143"/>
  <c r="R33" i="143"/>
  <c r="Q33" i="143"/>
  <c r="P33" i="143"/>
  <c r="O33" i="143"/>
  <c r="N33" i="143"/>
  <c r="M33" i="143"/>
  <c r="L33" i="143"/>
  <c r="K33" i="143"/>
  <c r="J33" i="143"/>
  <c r="I33" i="143"/>
  <c r="H33" i="143"/>
  <c r="G33" i="143"/>
  <c r="BV32" i="143"/>
  <c r="BW32" i="143" s="1"/>
  <c r="BU32" i="143"/>
  <c r="BT32" i="143"/>
  <c r="BS32" i="143"/>
  <c r="BR32" i="143"/>
  <c r="G32" i="143"/>
  <c r="BV31" i="143"/>
  <c r="BW31" i="143" s="1"/>
  <c r="BU31" i="143"/>
  <c r="BT31" i="143"/>
  <c r="BS31" i="143"/>
  <c r="BR31" i="143"/>
  <c r="G31" i="143"/>
  <c r="BV30" i="143"/>
  <c r="BW30" i="143" s="1"/>
  <c r="BU30" i="143"/>
  <c r="BT30" i="143"/>
  <c r="BS30" i="143"/>
  <c r="BR30" i="143"/>
  <c r="U30" i="143"/>
  <c r="U33" i="143" s="1"/>
  <c r="T30" i="143"/>
  <c r="T33" i="143" s="1"/>
  <c r="G30" i="143"/>
  <c r="G29" i="143"/>
  <c r="BV28" i="143"/>
  <c r="BW28" i="143" s="1"/>
  <c r="BU28" i="143"/>
  <c r="BT28" i="143"/>
  <c r="BS28" i="143"/>
  <c r="BR28" i="143"/>
  <c r="G28" i="143"/>
  <c r="BV27" i="143"/>
  <c r="BW27" i="143" s="1"/>
  <c r="BU27" i="143"/>
  <c r="BT27" i="143"/>
  <c r="BS27" i="143"/>
  <c r="BR27" i="143"/>
  <c r="G27" i="143"/>
  <c r="BV26" i="143"/>
  <c r="BW26" i="143" s="1"/>
  <c r="BU26" i="143"/>
  <c r="BT26" i="143"/>
  <c r="BS26" i="143"/>
  <c r="BR26" i="143"/>
  <c r="G26" i="143"/>
  <c r="G25" i="143"/>
  <c r="G24" i="143"/>
  <c r="BV23" i="143"/>
  <c r="BW23" i="143" s="1"/>
  <c r="BU23" i="143"/>
  <c r="BT23" i="143"/>
  <c r="BS23" i="143"/>
  <c r="BR23" i="143"/>
  <c r="G23" i="143"/>
  <c r="BV22" i="143"/>
  <c r="BW22" i="143" s="1"/>
  <c r="BU22" i="143"/>
  <c r="BT22" i="143"/>
  <c r="BS22" i="143"/>
  <c r="G22" i="143"/>
  <c r="BV21" i="143"/>
  <c r="BW21" i="143" s="1"/>
  <c r="BU21" i="143"/>
  <c r="BT21" i="143"/>
  <c r="BS21" i="143"/>
  <c r="G21" i="143"/>
  <c r="BV20" i="143"/>
  <c r="BW20" i="143" s="1"/>
  <c r="BU20" i="143"/>
  <c r="BT20" i="143"/>
  <c r="BS20" i="143"/>
  <c r="G20" i="143"/>
  <c r="BV19" i="143"/>
  <c r="BW19" i="143" s="1"/>
  <c r="BU19" i="143"/>
  <c r="BT19" i="143"/>
  <c r="BS19" i="143"/>
  <c r="G19" i="143"/>
  <c r="BV18" i="143"/>
  <c r="BW18" i="143" s="1"/>
  <c r="BU18" i="143"/>
  <c r="BT18" i="143"/>
  <c r="BS18" i="143"/>
  <c r="G18" i="143"/>
  <c r="BV17" i="143"/>
  <c r="BW17" i="143" s="1"/>
  <c r="BU17" i="143"/>
  <c r="BT17" i="143"/>
  <c r="BS17" i="143"/>
  <c r="G17" i="143"/>
  <c r="BV16" i="143"/>
  <c r="BW16" i="143" s="1"/>
  <c r="BU16" i="143"/>
  <c r="BT16" i="143"/>
  <c r="BS16" i="143"/>
  <c r="G16" i="143"/>
  <c r="BV15" i="143"/>
  <c r="BW15" i="143" s="1"/>
  <c r="BU15" i="143"/>
  <c r="BT15" i="143"/>
  <c r="BS15" i="143"/>
  <c r="G15" i="143"/>
  <c r="BH14" i="143"/>
  <c r="BG14" i="143"/>
  <c r="BF14" i="143"/>
  <c r="BV14" i="143" s="1"/>
  <c r="BE14" i="143"/>
  <c r="BD14" i="143"/>
  <c r="BC14" i="143"/>
  <c r="BB14" i="143"/>
  <c r="BA14" i="143"/>
  <c r="AZ14" i="143"/>
  <c r="AY14" i="143"/>
  <c r="AX14" i="143"/>
  <c r="AW14" i="143"/>
  <c r="AV14" i="143"/>
  <c r="AU14" i="143"/>
  <c r="AT14" i="143"/>
  <c r="AS14" i="143"/>
  <c r="AR14" i="143"/>
  <c r="AQ14" i="143"/>
  <c r="AP14" i="143"/>
  <c r="AO14" i="143"/>
  <c r="AN14" i="143"/>
  <c r="AN24" i="143" s="1"/>
  <c r="AM14" i="143"/>
  <c r="AL14" i="143"/>
  <c r="AK14" i="143"/>
  <c r="AJ14" i="143"/>
  <c r="AI14" i="143"/>
  <c r="AH14" i="143"/>
  <c r="AH24" i="143" s="1"/>
  <c r="AG14" i="143"/>
  <c r="AF14" i="143"/>
  <c r="AE14" i="143"/>
  <c r="AD14" i="143"/>
  <c r="AC14" i="143"/>
  <c r="AB14" i="143"/>
  <c r="AB24" i="143" s="1"/>
  <c r="AA14" i="143"/>
  <c r="Z14" i="143"/>
  <c r="Y14" i="143"/>
  <c r="X14" i="143"/>
  <c r="W14" i="143"/>
  <c r="V14" i="143"/>
  <c r="V24" i="143" s="1"/>
  <c r="U14" i="143"/>
  <c r="T14" i="143"/>
  <c r="S14" i="143"/>
  <c r="R14" i="143"/>
  <c r="Q14" i="143"/>
  <c r="P14" i="143"/>
  <c r="P24" i="143" s="1"/>
  <c r="O14" i="143"/>
  <c r="N14" i="143"/>
  <c r="N25" i="143" s="1"/>
  <c r="M14" i="143"/>
  <c r="L14" i="143"/>
  <c r="K14" i="143"/>
  <c r="J14" i="143"/>
  <c r="I14" i="143"/>
  <c r="H14" i="143"/>
  <c r="G14" i="143"/>
  <c r="G13" i="143"/>
  <c r="BV12" i="143"/>
  <c r="BW12" i="143" s="1"/>
  <c r="BU12" i="143"/>
  <c r="BT12" i="143"/>
  <c r="BS12" i="143"/>
  <c r="G12" i="143"/>
  <c r="BV11" i="143"/>
  <c r="BW11" i="143" s="1"/>
  <c r="BU11" i="143"/>
  <c r="BT11" i="143"/>
  <c r="BS11" i="143"/>
  <c r="G11" i="143"/>
  <c r="BV10" i="143"/>
  <c r="BW10" i="143" s="1"/>
  <c r="BU10" i="143"/>
  <c r="BT10" i="143"/>
  <c r="BS10" i="143"/>
  <c r="G10" i="143"/>
  <c r="BV9" i="143"/>
  <c r="BW9" i="143" s="1"/>
  <c r="BU9" i="143"/>
  <c r="BT9" i="143"/>
  <c r="BS9" i="143"/>
  <c r="G9" i="143"/>
  <c r="BV8" i="143"/>
  <c r="BW8" i="143" s="1"/>
  <c r="BU8" i="143"/>
  <c r="BT8" i="143"/>
  <c r="BS8" i="143"/>
  <c r="G8" i="143"/>
  <c r="BV7" i="143"/>
  <c r="BW7" i="143" s="1"/>
  <c r="BU7" i="143"/>
  <c r="BT7" i="143"/>
  <c r="BS7" i="143"/>
  <c r="G7" i="143"/>
  <c r="BH6" i="143"/>
  <c r="BG6" i="143"/>
  <c r="BG13" i="143" s="1"/>
  <c r="BF6" i="143"/>
  <c r="BE6" i="143"/>
  <c r="BD6" i="143"/>
  <c r="BD13" i="143" s="1"/>
  <c r="BC6" i="143"/>
  <c r="BB6" i="143"/>
  <c r="BA6" i="143"/>
  <c r="BA13" i="143" s="1"/>
  <c r="AZ6" i="143"/>
  <c r="AZ13" i="143" s="1"/>
  <c r="AY6" i="143"/>
  <c r="AX6" i="143"/>
  <c r="AX34" i="143" s="1"/>
  <c r="AX35" i="143" s="1"/>
  <c r="AW6" i="143"/>
  <c r="AW13" i="143" s="1"/>
  <c r="AW25" i="143" s="1"/>
  <c r="AV6" i="143"/>
  <c r="AU6" i="143"/>
  <c r="AU13" i="143" s="1"/>
  <c r="AT6" i="143"/>
  <c r="AS6" i="143"/>
  <c r="AS34" i="143" s="1"/>
  <c r="AS35" i="143" s="1"/>
  <c r="AR6" i="143"/>
  <c r="AQ6" i="143"/>
  <c r="AP6" i="143"/>
  <c r="AO6" i="143"/>
  <c r="AN6" i="143"/>
  <c r="AM6" i="143"/>
  <c r="AL6" i="143"/>
  <c r="AL34" i="143" s="1"/>
  <c r="AL35" i="143" s="1"/>
  <c r="AK6" i="143"/>
  <c r="AJ6" i="143"/>
  <c r="AI6" i="143"/>
  <c r="AI34" i="143" s="1"/>
  <c r="AI35" i="143" s="1"/>
  <c r="AH6" i="143"/>
  <c r="AG6" i="143"/>
  <c r="AG34" i="143" s="1"/>
  <c r="AG35" i="143" s="1"/>
  <c r="AF6" i="143"/>
  <c r="AE6" i="143"/>
  <c r="AD6" i="143"/>
  <c r="AC6" i="143"/>
  <c r="AB6" i="143"/>
  <c r="AA6" i="143"/>
  <c r="Z6" i="143"/>
  <c r="Z34" i="143" s="1"/>
  <c r="Z35" i="143" s="1"/>
  <c r="Y6" i="143"/>
  <c r="X6" i="143"/>
  <c r="W6" i="143"/>
  <c r="W34" i="143" s="1"/>
  <c r="W35" i="143" s="1"/>
  <c r="V6" i="143"/>
  <c r="U6" i="143"/>
  <c r="U34" i="143" s="1"/>
  <c r="U35" i="143" s="1"/>
  <c r="T6" i="143"/>
  <c r="S6" i="143"/>
  <c r="R6" i="143"/>
  <c r="Q6" i="143"/>
  <c r="P6" i="143"/>
  <c r="O6" i="143"/>
  <c r="O34" i="143" s="1"/>
  <c r="O35" i="143" s="1"/>
  <c r="N6" i="143"/>
  <c r="N34" i="143" s="1"/>
  <c r="N35" i="143" s="1"/>
  <c r="M6" i="143"/>
  <c r="L6" i="143"/>
  <c r="L34" i="143" s="1"/>
  <c r="L35" i="143" s="1"/>
  <c r="K6" i="143"/>
  <c r="J6" i="143"/>
  <c r="I6" i="143"/>
  <c r="I34" i="143" s="1"/>
  <c r="I35" i="143" s="1"/>
  <c r="H6" i="143"/>
  <c r="G6" i="143"/>
  <c r="BV5" i="143"/>
  <c r="BW5" i="143" s="1"/>
  <c r="BU5" i="143"/>
  <c r="BT5" i="143"/>
  <c r="BS5" i="143"/>
  <c r="G5" i="143"/>
  <c r="BV4" i="143"/>
  <c r="BW4" i="143" s="1"/>
  <c r="BU4" i="143"/>
  <c r="BT4" i="143"/>
  <c r="BS4" i="143"/>
  <c r="G4" i="143"/>
  <c r="BV3" i="143"/>
  <c r="BW3" i="143" s="1"/>
  <c r="BU3" i="143"/>
  <c r="BT3" i="143"/>
  <c r="BS3" i="143"/>
  <c r="G3" i="143"/>
  <c r="BY2" i="143" a="1"/>
  <c r="BY2" i="143" s="1"/>
  <c r="BV2" i="143"/>
  <c r="BW2" i="143" s="1"/>
  <c r="BU2" i="143"/>
  <c r="BT2" i="143"/>
  <c r="BS2" i="143"/>
  <c r="G2" i="143"/>
  <c r="BW23" i="144" l="1"/>
  <c r="AX42" i="144"/>
  <c r="AM86" i="144"/>
  <c r="AM87" i="144" s="1"/>
  <c r="AI126" i="144"/>
  <c r="AI127" i="144" s="1"/>
  <c r="P34" i="143"/>
  <c r="P35" i="143" s="1"/>
  <c r="AB34" i="143"/>
  <c r="AB35" i="143" s="1"/>
  <c r="AN34" i="143"/>
  <c r="AN35" i="143" s="1"/>
  <c r="Z42" i="144"/>
  <c r="T22" i="144"/>
  <c r="T34" i="144" s="1"/>
  <c r="AF22" i="144"/>
  <c r="AF34" i="144" s="1"/>
  <c r="AR22" i="144"/>
  <c r="AR34" i="144" s="1"/>
  <c r="BD22" i="144"/>
  <c r="BD34" i="144" s="1"/>
  <c r="AD34" i="144"/>
  <c r="AL42" i="144"/>
  <c r="AS86" i="144"/>
  <c r="AS87" i="144" s="1"/>
  <c r="AA34" i="143"/>
  <c r="AA35" i="143" s="1"/>
  <c r="AM34" i="143"/>
  <c r="AM35" i="143" s="1"/>
  <c r="AN74" i="143"/>
  <c r="AN75" i="143" s="1"/>
  <c r="AR154" i="143"/>
  <c r="AR155" i="143" s="1"/>
  <c r="BV23" i="144"/>
  <c r="AT86" i="144"/>
  <c r="AT87" i="144" s="1"/>
  <c r="AP126" i="144"/>
  <c r="AP127" i="144" s="1"/>
  <c r="AL166" i="144"/>
  <c r="AL167" i="144" s="1"/>
  <c r="T34" i="143"/>
  <c r="T35" i="143" s="1"/>
  <c r="AF34" i="143"/>
  <c r="AF35" i="143" s="1"/>
  <c r="AR34" i="143"/>
  <c r="AR35" i="143" s="1"/>
  <c r="AJ126" i="144"/>
  <c r="AJ127" i="144" s="1"/>
  <c r="AH74" i="143"/>
  <c r="AH75" i="143" s="1"/>
  <c r="AP114" i="143"/>
  <c r="AP115" i="143" s="1"/>
  <c r="AL154" i="143"/>
  <c r="AL155" i="143" s="1"/>
  <c r="V34" i="143"/>
  <c r="V35" i="143" s="1"/>
  <c r="AH34" i="143"/>
  <c r="AH35" i="143" s="1"/>
  <c r="AM154" i="143"/>
  <c r="AM155" i="143" s="1"/>
  <c r="M34" i="143"/>
  <c r="M35" i="143" s="1"/>
  <c r="AM74" i="143"/>
  <c r="AM75" i="143" s="1"/>
  <c r="AI114" i="143"/>
  <c r="AI115" i="143" s="1"/>
  <c r="AO126" i="144"/>
  <c r="AO127" i="144" s="1"/>
  <c r="AK166" i="144"/>
  <c r="AK167" i="144" s="1"/>
  <c r="L42" i="144"/>
  <c r="AJ42" i="144"/>
  <c r="AJ86" i="144"/>
  <c r="AJ87" i="144" s="1"/>
  <c r="AR126" i="144"/>
  <c r="AR127" i="144" s="1"/>
  <c r="AN166" i="144"/>
  <c r="AN167" i="144" s="1"/>
  <c r="BH42" i="144"/>
  <c r="BH47" i="144" s="1"/>
  <c r="X34" i="143"/>
  <c r="X35" i="143" s="1"/>
  <c r="AJ34" i="143"/>
  <c r="AJ35" i="143" s="1"/>
  <c r="AK74" i="143"/>
  <c r="AK75" i="143" s="1"/>
  <c r="AS114" i="143"/>
  <c r="AS115" i="143" s="1"/>
  <c r="AL86" i="144"/>
  <c r="AL87" i="144" s="1"/>
  <c r="AP166" i="144"/>
  <c r="AP167" i="144" s="1"/>
  <c r="Y34" i="143"/>
  <c r="Y35" i="143" s="1"/>
  <c r="AK34" i="143"/>
  <c r="AK35" i="143" s="1"/>
  <c r="AL74" i="143"/>
  <c r="AL75" i="143" s="1"/>
  <c r="AH114" i="143"/>
  <c r="AH115" i="143" s="1"/>
  <c r="AP154" i="143"/>
  <c r="AP155" i="143" s="1"/>
  <c r="R34" i="144"/>
  <c r="AP34" i="144"/>
  <c r="AR166" i="144"/>
  <c r="AR167" i="144" s="1"/>
  <c r="X42" i="144"/>
  <c r="BT35" i="144"/>
  <c r="AP86" i="144"/>
  <c r="AP87" i="144" s="1"/>
  <c r="AL126" i="144"/>
  <c r="AL127" i="144" s="1"/>
  <c r="AT166" i="144"/>
  <c r="AT167" i="144" s="1"/>
  <c r="BV33" i="143"/>
  <c r="BW33" i="143" s="1"/>
  <c r="AQ74" i="143"/>
  <c r="AQ75" i="143" s="1"/>
  <c r="AM114" i="143"/>
  <c r="AM115" i="143" s="1"/>
  <c r="AI154" i="143"/>
  <c r="AI155" i="143" s="1"/>
  <c r="AA42" i="144"/>
  <c r="AR86" i="144"/>
  <c r="AR87" i="144" s="1"/>
  <c r="AN126" i="144"/>
  <c r="AN127" i="144" s="1"/>
  <c r="AJ166" i="144"/>
  <c r="AJ167" i="144" s="1"/>
  <c r="S34" i="143"/>
  <c r="S35" i="143" s="1"/>
  <c r="AE34" i="143"/>
  <c r="AE35" i="143" s="1"/>
  <c r="AQ34" i="143"/>
  <c r="AQ35" i="143" s="1"/>
  <c r="BC34" i="143"/>
  <c r="BC35" i="143" s="1"/>
  <c r="AR74" i="143"/>
  <c r="AR75" i="143" s="1"/>
  <c r="AN114" i="143"/>
  <c r="AN115" i="143" s="1"/>
  <c r="AJ154" i="143"/>
  <c r="AJ155" i="143" s="1"/>
  <c r="AY42" i="144"/>
  <c r="BU16" i="144"/>
  <c r="V25" i="132"/>
  <c r="V3" i="132"/>
  <c r="BZ18" i="143"/>
  <c r="BZ36" i="143"/>
  <c r="BZ26" i="143"/>
  <c r="BZ23" i="143"/>
  <c r="BZ13" i="143"/>
  <c r="BZ12" i="143"/>
  <c r="BZ10" i="143"/>
  <c r="BZ8" i="143"/>
  <c r="BZ6" i="143"/>
  <c r="BZ5" i="143"/>
  <c r="BZ3" i="143"/>
  <c r="AT34" i="143"/>
  <c r="AT13" i="143"/>
  <c r="AT24" i="143" s="1"/>
  <c r="AY34" i="143"/>
  <c r="AY35" i="143" s="1"/>
  <c r="AY13" i="143"/>
  <c r="BE34" i="143"/>
  <c r="BE35" i="143" s="1"/>
  <c r="BE13" i="143"/>
  <c r="BE24" i="143" s="1"/>
  <c r="BT6" i="143"/>
  <c r="BV6" i="143"/>
  <c r="H34" i="143"/>
  <c r="H35" i="143" s="1"/>
  <c r="I29" i="143"/>
  <c r="I25" i="143"/>
  <c r="J34" i="143"/>
  <c r="J35" i="143" s="1"/>
  <c r="K29" i="143"/>
  <c r="K25" i="143"/>
  <c r="K24" i="143"/>
  <c r="L25" i="143"/>
  <c r="L29" i="143"/>
  <c r="M24" i="143"/>
  <c r="M29" i="143"/>
  <c r="M25" i="143"/>
  <c r="O29" i="143"/>
  <c r="O25" i="143"/>
  <c r="Q29" i="143"/>
  <c r="Q25" i="143"/>
  <c r="Q24" i="143"/>
  <c r="S29" i="143"/>
  <c r="S25" i="143"/>
  <c r="U29" i="143"/>
  <c r="U25" i="143"/>
  <c r="W29" i="143"/>
  <c r="W25" i="143"/>
  <c r="W24" i="143"/>
  <c r="X25" i="143"/>
  <c r="X29" i="143"/>
  <c r="Y24" i="143"/>
  <c r="Y29" i="143"/>
  <c r="Y25" i="143"/>
  <c r="Z25" i="143"/>
  <c r="Z24" i="143"/>
  <c r="AA29" i="143"/>
  <c r="AA25" i="143"/>
  <c r="AC29" i="143"/>
  <c r="AC25" i="143"/>
  <c r="AC24" i="143"/>
  <c r="AE29" i="143"/>
  <c r="AE25" i="143"/>
  <c r="AG29" i="143"/>
  <c r="AG25" i="143"/>
  <c r="AI29" i="143"/>
  <c r="AI25" i="143"/>
  <c r="AI24" i="143"/>
  <c r="AJ25" i="143"/>
  <c r="AJ29" i="143"/>
  <c r="AK24" i="143"/>
  <c r="AK29" i="143"/>
  <c r="AK25" i="143"/>
  <c r="AL25" i="143"/>
  <c r="AL29" i="143"/>
  <c r="AM29" i="143"/>
  <c r="AM25" i="143"/>
  <c r="AO29" i="143"/>
  <c r="AO25" i="143"/>
  <c r="AO24" i="143"/>
  <c r="AQ29" i="143"/>
  <c r="AQ25" i="143"/>
  <c r="AS29" i="143"/>
  <c r="AS25" i="143"/>
  <c r="BD34" i="143"/>
  <c r="BD35" i="143" s="1"/>
  <c r="Q34" i="143"/>
  <c r="Q35" i="143" s="1"/>
  <c r="AC34" i="143"/>
  <c r="AC35" i="143" s="1"/>
  <c r="AO34" i="143"/>
  <c r="AO35" i="143" s="1"/>
  <c r="BA34" i="143"/>
  <c r="BA35" i="143" s="1"/>
  <c r="BR41" i="143"/>
  <c r="AH69" i="143"/>
  <c r="AH65" i="143"/>
  <c r="AI65" i="143"/>
  <c r="AI69" i="143"/>
  <c r="AK65" i="143"/>
  <c r="AK69" i="143"/>
  <c r="AL65" i="143"/>
  <c r="AL69" i="143"/>
  <c r="AN69" i="143"/>
  <c r="AN65" i="143"/>
  <c r="AQ69" i="143"/>
  <c r="AQ65" i="143"/>
  <c r="AR69" i="143"/>
  <c r="AR65" i="143"/>
  <c r="AS69" i="143"/>
  <c r="AS65" i="143"/>
  <c r="AH109" i="143"/>
  <c r="AH105" i="143"/>
  <c r="AK109" i="143"/>
  <c r="AK105" i="143"/>
  <c r="AL109" i="143"/>
  <c r="AL105" i="143"/>
  <c r="AM109" i="143"/>
  <c r="AM105" i="143"/>
  <c r="AN109" i="143"/>
  <c r="AN105" i="143"/>
  <c r="AQ105" i="143"/>
  <c r="AQ109" i="143"/>
  <c r="AR105" i="143"/>
  <c r="AR109" i="143"/>
  <c r="AS109" i="143"/>
  <c r="AS105" i="143"/>
  <c r="AK145" i="143"/>
  <c r="AK149" i="143"/>
  <c r="AL149" i="143"/>
  <c r="AL145" i="143"/>
  <c r="AM149" i="143"/>
  <c r="AM145" i="143"/>
  <c r="AN149" i="143"/>
  <c r="AN145" i="143"/>
  <c r="AQ149" i="143"/>
  <c r="AQ145" i="143"/>
  <c r="AR149" i="143"/>
  <c r="AR145" i="143"/>
  <c r="AS149" i="143"/>
  <c r="AS145" i="143"/>
  <c r="P42" i="144"/>
  <c r="P12" i="144"/>
  <c r="P11" i="144" s="1"/>
  <c r="P22" i="144" s="1"/>
  <c r="P34" i="144" s="1"/>
  <c r="AB42" i="144"/>
  <c r="AB12" i="144"/>
  <c r="AB11" i="144" s="1"/>
  <c r="AB22" i="144" s="1"/>
  <c r="AB34" i="144" s="1"/>
  <c r="AN42" i="144"/>
  <c r="AN12" i="144"/>
  <c r="AN11" i="144" s="1"/>
  <c r="AN22" i="144" s="1"/>
  <c r="AN34" i="144" s="1"/>
  <c r="AZ42" i="144"/>
  <c r="AZ12" i="144"/>
  <c r="AZ11" i="144" s="1"/>
  <c r="AZ22" i="144" s="1"/>
  <c r="AZ34" i="144" s="1"/>
  <c r="BT16" i="144"/>
  <c r="BV16" i="144"/>
  <c r="BV35" i="144"/>
  <c r="BW35" i="144"/>
  <c r="BS35" i="144"/>
  <c r="AI81" i="144"/>
  <c r="AI77" i="144"/>
  <c r="AJ81" i="144"/>
  <c r="AJ77" i="144"/>
  <c r="AL81" i="144"/>
  <c r="AL77" i="144"/>
  <c r="AM77" i="144"/>
  <c r="AM81" i="144"/>
  <c r="AO81" i="144"/>
  <c r="AO77" i="144"/>
  <c r="AP77" i="144"/>
  <c r="AP81" i="144"/>
  <c r="AR81" i="144"/>
  <c r="AR77" i="144"/>
  <c r="AS77" i="144"/>
  <c r="AS81" i="144"/>
  <c r="AI121" i="144"/>
  <c r="AI117" i="144"/>
  <c r="AJ117" i="144"/>
  <c r="AJ121" i="144"/>
  <c r="AL121" i="144"/>
  <c r="AL117" i="144"/>
  <c r="AM117" i="144"/>
  <c r="AM121" i="144"/>
  <c r="AO121" i="144"/>
  <c r="AO117" i="144"/>
  <c r="AP121" i="144"/>
  <c r="AP117" i="144"/>
  <c r="AR121" i="144"/>
  <c r="AR117" i="144"/>
  <c r="AS117" i="144"/>
  <c r="AS121" i="144"/>
  <c r="AI161" i="144"/>
  <c r="AI157" i="144"/>
  <c r="AJ161" i="144"/>
  <c r="AJ157" i="144"/>
  <c r="AL161" i="144"/>
  <c r="AL157" i="144"/>
  <c r="AM157" i="144"/>
  <c r="AM161" i="144"/>
  <c r="AO161" i="144"/>
  <c r="AO157" i="144"/>
  <c r="AP157" i="144"/>
  <c r="AP161" i="144"/>
  <c r="AR161" i="144"/>
  <c r="AR157" i="144"/>
  <c r="AS157" i="144"/>
  <c r="AS161" i="144"/>
  <c r="Q12" i="144"/>
  <c r="Q11" i="144" s="1"/>
  <c r="Q22" i="144" s="1"/>
  <c r="Q34" i="144" s="1"/>
  <c r="Q42" i="144"/>
  <c r="AC12" i="144"/>
  <c r="AC11" i="144" s="1"/>
  <c r="AC22" i="144" s="1"/>
  <c r="AC34" i="144" s="1"/>
  <c r="AC42" i="144"/>
  <c r="AO12" i="144"/>
  <c r="AO11" i="144" s="1"/>
  <c r="AO22" i="144" s="1"/>
  <c r="AO34" i="144" s="1"/>
  <c r="AO42" i="144"/>
  <c r="BA12" i="144"/>
  <c r="BA11" i="144" s="1"/>
  <c r="BA22" i="144" s="1"/>
  <c r="BA34" i="144" s="1"/>
  <c r="BA42" i="144"/>
  <c r="AE12" i="144"/>
  <c r="AE11" i="144" s="1"/>
  <c r="AE22" i="144" s="1"/>
  <c r="AE34" i="144" s="1"/>
  <c r="AE42" i="144"/>
  <c r="O42" i="144"/>
  <c r="AM42" i="144"/>
  <c r="I12" i="144"/>
  <c r="I11" i="144" s="1"/>
  <c r="I22" i="144" s="1"/>
  <c r="I34" i="144" s="1"/>
  <c r="I42" i="144"/>
  <c r="U12" i="144"/>
  <c r="U11" i="144" s="1"/>
  <c r="U22" i="144" s="1"/>
  <c r="U34" i="144" s="1"/>
  <c r="U42" i="144"/>
  <c r="AG12" i="144"/>
  <c r="AG11" i="144" s="1"/>
  <c r="AG22" i="144" s="1"/>
  <c r="AG34" i="144" s="1"/>
  <c r="AG42" i="144"/>
  <c r="AS12" i="144"/>
  <c r="AS11" i="144" s="1"/>
  <c r="AS22" i="144" s="1"/>
  <c r="AS34" i="144" s="1"/>
  <c r="AS42" i="144"/>
  <c r="BE12" i="144"/>
  <c r="BE11" i="144" s="1"/>
  <c r="BE22" i="144" s="1"/>
  <c r="BE34" i="144" s="1"/>
  <c r="BE42" i="144"/>
  <c r="BC12" i="144"/>
  <c r="BC11" i="144" s="1"/>
  <c r="BC22" i="144" s="1"/>
  <c r="BC34" i="144" s="1"/>
  <c r="BC42" i="144"/>
  <c r="J12" i="144"/>
  <c r="J11" i="144" s="1"/>
  <c r="J22" i="144" s="1"/>
  <c r="J34" i="144" s="1"/>
  <c r="J42" i="144"/>
  <c r="V12" i="144"/>
  <c r="V11" i="144" s="1"/>
  <c r="V22" i="144" s="1"/>
  <c r="V34" i="144" s="1"/>
  <c r="V42" i="144"/>
  <c r="AH12" i="144"/>
  <c r="AH11" i="144" s="1"/>
  <c r="AH22" i="144" s="1"/>
  <c r="AH34" i="144" s="1"/>
  <c r="AH42" i="144"/>
  <c r="BF12" i="144"/>
  <c r="BF11" i="144" s="1"/>
  <c r="BF22" i="144" s="1"/>
  <c r="BF34" i="144" s="1"/>
  <c r="BF42" i="144"/>
  <c r="K42" i="144"/>
  <c r="K12" i="144"/>
  <c r="K11" i="144" s="1"/>
  <c r="K22" i="144" s="1"/>
  <c r="K34" i="144" s="1"/>
  <c r="AQ12" i="144"/>
  <c r="AQ11" i="144" s="1"/>
  <c r="AQ22" i="144" s="1"/>
  <c r="AQ34" i="144" s="1"/>
  <c r="AQ42" i="144"/>
  <c r="AI42" i="144"/>
  <c r="AI12" i="144"/>
  <c r="AI11" i="144" s="1"/>
  <c r="AI22" i="144" s="1"/>
  <c r="AI34" i="144" s="1"/>
  <c r="AU42" i="144"/>
  <c r="AU12" i="144"/>
  <c r="Y42" i="144"/>
  <c r="Y12" i="144"/>
  <c r="Y11" i="144" s="1"/>
  <c r="Y22" i="144" s="1"/>
  <c r="Y34" i="144" s="1"/>
  <c r="AK42" i="144"/>
  <c r="AK12" i="144"/>
  <c r="AK11" i="144" s="1"/>
  <c r="AK22" i="144" s="1"/>
  <c r="AK34" i="144" s="1"/>
  <c r="AW42" i="144"/>
  <c r="AW12" i="144"/>
  <c r="AW11" i="144" s="1"/>
  <c r="AW22" i="144" s="1"/>
  <c r="AW34" i="144" s="1"/>
  <c r="BI42" i="144"/>
  <c r="BI47" i="144" s="1"/>
  <c r="BI12" i="144"/>
  <c r="BX35" i="144"/>
  <c r="CA174" i="144"/>
  <c r="CA167" i="144"/>
  <c r="CA161" i="144"/>
  <c r="CA155" i="144"/>
  <c r="CA149" i="144"/>
  <c r="CA143" i="144"/>
  <c r="CA137" i="144"/>
  <c r="CA130" i="144"/>
  <c r="CA124" i="144"/>
  <c r="CA118" i="144"/>
  <c r="CA112" i="144"/>
  <c r="CA106" i="144"/>
  <c r="CA100" i="144"/>
  <c r="CA94" i="144"/>
  <c r="CA87" i="144"/>
  <c r="CA81" i="144"/>
  <c r="CA75" i="144"/>
  <c r="CA69" i="144"/>
  <c r="CA63" i="144"/>
  <c r="CA57" i="144"/>
  <c r="CA34" i="144"/>
  <c r="CA2" i="144"/>
  <c r="CA32" i="144"/>
  <c r="CA17" i="144"/>
  <c r="CA166" i="144"/>
  <c r="CA160" i="144"/>
  <c r="CA154" i="144"/>
  <c r="CA148" i="144"/>
  <c r="CA142" i="144"/>
  <c r="CA136" i="144"/>
  <c r="CA129" i="144"/>
  <c r="CA123" i="144"/>
  <c r="CA117" i="144"/>
  <c r="CA111" i="144"/>
  <c r="CA105" i="144"/>
  <c r="CA99" i="144"/>
  <c r="CA86" i="144"/>
  <c r="CA80" i="144"/>
  <c r="CA74" i="144"/>
  <c r="CA68" i="144"/>
  <c r="CA62" i="144"/>
  <c r="CA56" i="144"/>
  <c r="CA18" i="144"/>
  <c r="CA39" i="144"/>
  <c r="CA30" i="144"/>
  <c r="CA26" i="144"/>
  <c r="CA12" i="144"/>
  <c r="CA171" i="144"/>
  <c r="CA165" i="144"/>
  <c r="CA159" i="144"/>
  <c r="CA153" i="144"/>
  <c r="CA147" i="144"/>
  <c r="CA141" i="144"/>
  <c r="CA135" i="144"/>
  <c r="CA128" i="144"/>
  <c r="CA122" i="144"/>
  <c r="CA116" i="144"/>
  <c r="CA110" i="144"/>
  <c r="CA104" i="144"/>
  <c r="CA98" i="144"/>
  <c r="CA91" i="144"/>
  <c r="CA85" i="144"/>
  <c r="CA79" i="144"/>
  <c r="CA73" i="144"/>
  <c r="CA67" i="144"/>
  <c r="CA61" i="144"/>
  <c r="CA55" i="144"/>
  <c r="CA28" i="144"/>
  <c r="CA170" i="144"/>
  <c r="CA164" i="144"/>
  <c r="CA158" i="144"/>
  <c r="CA152" i="144"/>
  <c r="CA146" i="144"/>
  <c r="CA140" i="144"/>
  <c r="CA134" i="144"/>
  <c r="CA127" i="144"/>
  <c r="CA121" i="144"/>
  <c r="CA115" i="144"/>
  <c r="CA109" i="144"/>
  <c r="CA103" i="144"/>
  <c r="CA97" i="144"/>
  <c r="CA90" i="144"/>
  <c r="CA84" i="144"/>
  <c r="CA78" i="144"/>
  <c r="CA72" i="144"/>
  <c r="CA66" i="144"/>
  <c r="CA60" i="144"/>
  <c r="CA53" i="144"/>
  <c r="CA45" i="144"/>
  <c r="CA51" i="144"/>
  <c r="CA40" i="144"/>
  <c r="CA169" i="144"/>
  <c r="CA163" i="144"/>
  <c r="CA157" i="144"/>
  <c r="CA151" i="144"/>
  <c r="CA145" i="144"/>
  <c r="CA139" i="144"/>
  <c r="CA126" i="144"/>
  <c r="CA120" i="144"/>
  <c r="CA114" i="144"/>
  <c r="CA108" i="144"/>
  <c r="CA102" i="144"/>
  <c r="CA96" i="144"/>
  <c r="CA89" i="144"/>
  <c r="CA83" i="144"/>
  <c r="CA77" i="144"/>
  <c r="CA71" i="144"/>
  <c r="CA65" i="144"/>
  <c r="CA59" i="144"/>
  <c r="CA31" i="144"/>
  <c r="CA16" i="144"/>
  <c r="CA13" i="144"/>
  <c r="CA7" i="144"/>
  <c r="CA168" i="144"/>
  <c r="CA162" i="144"/>
  <c r="CA156" i="144"/>
  <c r="CA150" i="144"/>
  <c r="CA144" i="144"/>
  <c r="CA138" i="144"/>
  <c r="CA131" i="144"/>
  <c r="CA125" i="144"/>
  <c r="CA119" i="144"/>
  <c r="CA113" i="144"/>
  <c r="CA107" i="144"/>
  <c r="CA101" i="144"/>
  <c r="CA95" i="144"/>
  <c r="CA88" i="144"/>
  <c r="CA82" i="144"/>
  <c r="CA76" i="144"/>
  <c r="CA70" i="144"/>
  <c r="CA64" i="144"/>
  <c r="CA58" i="144"/>
  <c r="CA29" i="144"/>
  <c r="CA25" i="144"/>
  <c r="CA23" i="144"/>
  <c r="CA22" i="144"/>
  <c r="CA52" i="144"/>
  <c r="CA20" i="144"/>
  <c r="CA35" i="144"/>
  <c r="S12" i="144"/>
  <c r="S11" i="144" s="1"/>
  <c r="S22" i="144" s="1"/>
  <c r="S34" i="144" s="1"/>
  <c r="S42" i="144"/>
  <c r="W42" i="144"/>
  <c r="W12" i="144"/>
  <c r="W11" i="144" s="1"/>
  <c r="W22" i="144" s="1"/>
  <c r="W34" i="144" s="1"/>
  <c r="BG42" i="144"/>
  <c r="BG47" i="144" s="1"/>
  <c r="BG12" i="144"/>
  <c r="M42" i="144"/>
  <c r="M12" i="144"/>
  <c r="M11" i="144" s="1"/>
  <c r="M22" i="144" s="1"/>
  <c r="M34" i="144" s="1"/>
  <c r="AV42" i="144"/>
  <c r="BX23" i="144"/>
  <c r="L12" i="144"/>
  <c r="L11" i="144" s="1"/>
  <c r="L22" i="144" s="1"/>
  <c r="L34" i="144" s="1"/>
  <c r="X12" i="144"/>
  <c r="X11" i="144" s="1"/>
  <c r="X22" i="144" s="1"/>
  <c r="X34" i="144" s="1"/>
  <c r="AJ12" i="144"/>
  <c r="AJ11" i="144" s="1"/>
  <c r="AJ22" i="144" s="1"/>
  <c r="AJ34" i="144" s="1"/>
  <c r="AV12" i="144"/>
  <c r="AV11" i="144" s="1"/>
  <c r="AV22" i="144" s="1"/>
  <c r="AV34" i="144" s="1"/>
  <c r="BH12" i="144"/>
  <c r="BH11" i="144" s="1"/>
  <c r="BH22" i="144" s="1"/>
  <c r="BH34" i="144" s="1"/>
  <c r="BW16" i="144"/>
  <c r="BX16" i="144" s="1"/>
  <c r="AK81" i="144"/>
  <c r="AQ121" i="144"/>
  <c r="AK161" i="144"/>
  <c r="R42" i="144"/>
  <c r="AD42" i="144"/>
  <c r="AP42" i="144"/>
  <c r="BB42" i="144"/>
  <c r="AT77" i="144"/>
  <c r="AN86" i="144"/>
  <c r="AN87" i="144" s="1"/>
  <c r="AN117" i="144"/>
  <c r="AT126" i="144"/>
  <c r="AT127" i="144" s="1"/>
  <c r="AT157" i="144"/>
  <c r="N12" i="144"/>
  <c r="N11" i="144" s="1"/>
  <c r="N22" i="144" s="1"/>
  <c r="N34" i="144" s="1"/>
  <c r="Z12" i="144"/>
  <c r="Z11" i="144" s="1"/>
  <c r="Z22" i="144" s="1"/>
  <c r="Z34" i="144" s="1"/>
  <c r="AL12" i="144"/>
  <c r="AL11" i="144" s="1"/>
  <c r="AL22" i="144" s="1"/>
  <c r="AL34" i="144" s="1"/>
  <c r="AX12" i="144"/>
  <c r="AX11" i="144" s="1"/>
  <c r="AX22" i="144" s="1"/>
  <c r="AX34" i="144" s="1"/>
  <c r="O12" i="144"/>
  <c r="O11" i="144" s="1"/>
  <c r="O22" i="144" s="1"/>
  <c r="O34" i="144" s="1"/>
  <c r="AA12" i="144"/>
  <c r="AA11" i="144" s="1"/>
  <c r="AA22" i="144" s="1"/>
  <c r="AA34" i="144" s="1"/>
  <c r="AM12" i="144"/>
  <c r="AM11" i="144" s="1"/>
  <c r="AM22" i="144" s="1"/>
  <c r="AM34" i="144" s="1"/>
  <c r="AY12" i="144"/>
  <c r="AY11" i="144" s="1"/>
  <c r="AY22" i="144" s="1"/>
  <c r="AY34" i="144" s="1"/>
  <c r="T42" i="144"/>
  <c r="AF42" i="144"/>
  <c r="AR42" i="144"/>
  <c r="BD42" i="144"/>
  <c r="AN81" i="144"/>
  <c r="AT121" i="144"/>
  <c r="AN161" i="144"/>
  <c r="AQ86" i="144"/>
  <c r="AQ87" i="144" s="1"/>
  <c r="AK126" i="144"/>
  <c r="AK127" i="144" s="1"/>
  <c r="AQ166" i="144"/>
  <c r="AQ167" i="144" s="1"/>
  <c r="AT42" i="144"/>
  <c r="AQ81" i="144"/>
  <c r="AK121" i="144"/>
  <c r="AQ161" i="144"/>
  <c r="BT23" i="144"/>
  <c r="BU35" i="144"/>
  <c r="BU23" i="144"/>
  <c r="AZ29" i="143"/>
  <c r="AZ25" i="143"/>
  <c r="AZ24" i="143"/>
  <c r="BD25" i="143"/>
  <c r="BD24" i="143"/>
  <c r="BD29" i="143"/>
  <c r="AP29" i="143"/>
  <c r="AP25" i="143"/>
  <c r="AT35" i="143"/>
  <c r="AZ34" i="143"/>
  <c r="AZ35" i="143" s="1"/>
  <c r="AR25" i="143"/>
  <c r="AR24" i="143"/>
  <c r="T25" i="143"/>
  <c r="T24" i="143"/>
  <c r="H29" i="143"/>
  <c r="AX13" i="143"/>
  <c r="BF34" i="143"/>
  <c r="AO65" i="143"/>
  <c r="AO69" i="143"/>
  <c r="AO145" i="143"/>
  <c r="AO149" i="143"/>
  <c r="AT29" i="143"/>
  <c r="AT25" i="143"/>
  <c r="J29" i="143"/>
  <c r="J25" i="143"/>
  <c r="BZ39" i="143"/>
  <c r="AO105" i="143"/>
  <c r="AO109" i="143"/>
  <c r="AP34" i="143"/>
  <c r="AP35" i="143" s="1"/>
  <c r="BU14" i="143"/>
  <c r="BS14" i="143"/>
  <c r="J24" i="143"/>
  <c r="N29" i="143"/>
  <c r="R29" i="143"/>
  <c r="R25" i="143"/>
  <c r="AF25" i="143"/>
  <c r="AF24" i="143"/>
  <c r="BB34" i="143"/>
  <c r="BB35" i="143" s="1"/>
  <c r="BB13" i="143"/>
  <c r="BW14" i="143"/>
  <c r="T29" i="143"/>
  <c r="AD29" i="143"/>
  <c r="AD25" i="143"/>
  <c r="AR29" i="143"/>
  <c r="AH29" i="143"/>
  <c r="AH25" i="143"/>
  <c r="BU6" i="143"/>
  <c r="BS6" i="143"/>
  <c r="BT14" i="143"/>
  <c r="N24" i="143"/>
  <c r="AL24" i="143"/>
  <c r="AO74" i="143"/>
  <c r="AO75" i="143" s="1"/>
  <c r="AM65" i="143"/>
  <c r="AO154" i="143"/>
  <c r="AO155" i="143" s="1"/>
  <c r="H25" i="143"/>
  <c r="H24" i="143"/>
  <c r="BG29" i="143"/>
  <c r="BG25" i="143"/>
  <c r="BG24" i="143"/>
  <c r="BZ22" i="143"/>
  <c r="BZ35" i="143"/>
  <c r="AO114" i="143"/>
  <c r="AO115" i="143" s="1"/>
  <c r="BA29" i="143"/>
  <c r="BA25" i="143"/>
  <c r="BA24" i="143"/>
  <c r="AD34" i="143"/>
  <c r="AD35" i="143" s="1"/>
  <c r="V29" i="143"/>
  <c r="V25" i="143"/>
  <c r="AD24" i="143"/>
  <c r="K34" i="143"/>
  <c r="K35" i="143" s="1"/>
  <c r="AU29" i="143"/>
  <c r="AU25" i="143"/>
  <c r="AU24" i="143"/>
  <c r="AV13" i="143"/>
  <c r="AV34" i="143"/>
  <c r="AV35" i="143" s="1"/>
  <c r="BW6" i="143"/>
  <c r="BH13" i="143"/>
  <c r="BH34" i="143"/>
  <c r="BF13" i="143"/>
  <c r="BZ14" i="143"/>
  <c r="BZ16" i="143"/>
  <c r="Z29" i="143"/>
  <c r="BU33" i="143"/>
  <c r="AI145" i="143"/>
  <c r="AI149" i="143"/>
  <c r="R34" i="143"/>
  <c r="R35" i="143" s="1"/>
  <c r="BZ162" i="143"/>
  <c r="BZ155" i="143"/>
  <c r="BZ149" i="143"/>
  <c r="BZ143" i="143"/>
  <c r="BZ137" i="143"/>
  <c r="BZ131" i="143"/>
  <c r="BZ125" i="143"/>
  <c r="BZ118" i="143"/>
  <c r="BZ112" i="143"/>
  <c r="BZ106" i="143"/>
  <c r="BZ100" i="143"/>
  <c r="BZ94" i="143"/>
  <c r="BZ88" i="143"/>
  <c r="BZ82" i="143"/>
  <c r="BZ75" i="143"/>
  <c r="BZ69" i="143"/>
  <c r="BZ63" i="143"/>
  <c r="BZ57" i="143"/>
  <c r="BZ51" i="143"/>
  <c r="BZ45" i="143"/>
  <c r="BZ34" i="143"/>
  <c r="BZ19" i="143"/>
  <c r="BZ2" i="143"/>
  <c r="BZ27" i="143"/>
  <c r="BZ33" i="143"/>
  <c r="BZ154" i="143"/>
  <c r="BZ148" i="143"/>
  <c r="BZ142" i="143"/>
  <c r="BZ136" i="143"/>
  <c r="BZ130" i="143"/>
  <c r="BZ124" i="143"/>
  <c r="BZ117" i="143"/>
  <c r="BZ111" i="143"/>
  <c r="BZ105" i="143"/>
  <c r="BZ99" i="143"/>
  <c r="BZ93" i="143"/>
  <c r="BZ87" i="143"/>
  <c r="BZ74" i="143"/>
  <c r="BZ68" i="143"/>
  <c r="BZ62" i="143"/>
  <c r="BZ56" i="143"/>
  <c r="BZ50" i="143"/>
  <c r="BZ44" i="143"/>
  <c r="BZ41" i="143"/>
  <c r="BZ38" i="143"/>
  <c r="BZ32" i="143"/>
  <c r="BZ17" i="143"/>
  <c r="BZ159" i="143"/>
  <c r="BZ153" i="143"/>
  <c r="BZ147" i="143"/>
  <c r="BZ141" i="143"/>
  <c r="BZ135" i="143"/>
  <c r="BZ129" i="143"/>
  <c r="BZ123" i="143"/>
  <c r="BZ116" i="143"/>
  <c r="BZ110" i="143"/>
  <c r="BZ104" i="143"/>
  <c r="BZ98" i="143"/>
  <c r="BZ92" i="143"/>
  <c r="BZ86" i="143"/>
  <c r="BZ79" i="143"/>
  <c r="BZ73" i="143"/>
  <c r="BZ67" i="143"/>
  <c r="BZ61" i="143"/>
  <c r="BZ55" i="143"/>
  <c r="BZ49" i="143"/>
  <c r="BZ43" i="143"/>
  <c r="BZ29" i="143"/>
  <c r="BZ15" i="143"/>
  <c r="BZ11" i="143"/>
  <c r="BZ28" i="143"/>
  <c r="BZ25" i="143"/>
  <c r="BZ20" i="143"/>
  <c r="BZ158" i="143"/>
  <c r="BZ152" i="143"/>
  <c r="BZ146" i="143"/>
  <c r="BZ140" i="143"/>
  <c r="BZ134" i="143"/>
  <c r="BZ128" i="143"/>
  <c r="BZ122" i="143"/>
  <c r="BZ115" i="143"/>
  <c r="BZ109" i="143"/>
  <c r="BZ103" i="143"/>
  <c r="BZ97" i="143"/>
  <c r="BZ91" i="143"/>
  <c r="BZ85" i="143"/>
  <c r="BZ78" i="143"/>
  <c r="BZ72" i="143"/>
  <c r="BZ66" i="143"/>
  <c r="BZ60" i="143"/>
  <c r="BZ54" i="143"/>
  <c r="BZ48" i="143"/>
  <c r="BZ42" i="143"/>
  <c r="BZ30" i="143"/>
  <c r="BZ24" i="143"/>
  <c r="BZ9" i="143"/>
  <c r="BZ37" i="143"/>
  <c r="BZ157" i="143"/>
  <c r="BZ151" i="143"/>
  <c r="BZ145" i="143"/>
  <c r="BZ139" i="143"/>
  <c r="BZ133" i="143"/>
  <c r="BZ127" i="143"/>
  <c r="BZ114" i="143"/>
  <c r="BZ108" i="143"/>
  <c r="BZ102" i="143"/>
  <c r="BZ96" i="143"/>
  <c r="BZ90" i="143"/>
  <c r="BZ84" i="143"/>
  <c r="BZ77" i="143"/>
  <c r="BZ71" i="143"/>
  <c r="BZ65" i="143"/>
  <c r="BZ59" i="143"/>
  <c r="BZ53" i="143"/>
  <c r="BZ47" i="143"/>
  <c r="BZ40" i="143"/>
  <c r="BZ7" i="143"/>
  <c r="BZ156" i="143"/>
  <c r="BZ150" i="143"/>
  <c r="BZ144" i="143"/>
  <c r="BZ138" i="143"/>
  <c r="BZ132" i="143"/>
  <c r="BZ126" i="143"/>
  <c r="BZ119" i="143"/>
  <c r="BZ113" i="143"/>
  <c r="BZ107" i="143"/>
  <c r="BZ101" i="143"/>
  <c r="BZ95" i="143"/>
  <c r="BZ89" i="143"/>
  <c r="BZ83" i="143"/>
  <c r="BZ76" i="143"/>
  <c r="BZ70" i="143"/>
  <c r="BZ64" i="143"/>
  <c r="BZ58" i="143"/>
  <c r="BZ52" i="143"/>
  <c r="BZ46" i="143"/>
  <c r="BZ31" i="143"/>
  <c r="BZ21" i="143"/>
  <c r="BZ4" i="143"/>
  <c r="AW24" i="143"/>
  <c r="AW29" i="143"/>
  <c r="P29" i="143"/>
  <c r="P25" i="143"/>
  <c r="AB29" i="143"/>
  <c r="AB25" i="143"/>
  <c r="AN29" i="143"/>
  <c r="AN25" i="143"/>
  <c r="R24" i="143"/>
  <c r="AP24" i="143"/>
  <c r="AF29" i="143"/>
  <c r="BT33" i="143"/>
  <c r="BR33" i="143"/>
  <c r="AI105" i="143"/>
  <c r="AI109" i="143"/>
  <c r="BC13" i="143"/>
  <c r="O24" i="143"/>
  <c r="AA24" i="143"/>
  <c r="AM24" i="143"/>
  <c r="AY24" i="143"/>
  <c r="AJ69" i="143"/>
  <c r="AP109" i="143"/>
  <c r="AJ149" i="143"/>
  <c r="AU34" i="143"/>
  <c r="AU35" i="143" s="1"/>
  <c r="BG34" i="143"/>
  <c r="BG35" i="143" s="1"/>
  <c r="AH145" i="143"/>
  <c r="S24" i="143"/>
  <c r="AE24" i="143"/>
  <c r="AQ24" i="143"/>
  <c r="BS33" i="143"/>
  <c r="AW34" i="143"/>
  <c r="AW35" i="143" s="1"/>
  <c r="AJ114" i="143"/>
  <c r="AJ115" i="143" s="1"/>
  <c r="I24" i="143"/>
  <c r="U24" i="143"/>
  <c r="AG24" i="143"/>
  <c r="AS24" i="143"/>
  <c r="AP69" i="143"/>
  <c r="AJ109" i="143"/>
  <c r="AP149" i="143"/>
  <c r="X24" i="143"/>
  <c r="L24" i="143"/>
  <c r="AJ24" i="143"/>
  <c r="BE29" i="143" l="1"/>
  <c r="BE25" i="143"/>
  <c r="AY29" i="143"/>
  <c r="AY25" i="143"/>
  <c r="AU11" i="144"/>
  <c r="AU22" i="144" s="1"/>
  <c r="BV12" i="144"/>
  <c r="BT12" i="144"/>
  <c r="BI11" i="144"/>
  <c r="BI22" i="144" s="1"/>
  <c r="BG11" i="144"/>
  <c r="BG22" i="144" s="1"/>
  <c r="BW12" i="144"/>
  <c r="BX12" i="144" s="1"/>
  <c r="BU12" i="144"/>
  <c r="BH35" i="143"/>
  <c r="BR34" i="143"/>
  <c r="BU35" i="143"/>
  <c r="BS35" i="143"/>
  <c r="BS34" i="143"/>
  <c r="BB29" i="143"/>
  <c r="BB25" i="143"/>
  <c r="BB24" i="143"/>
  <c r="BH25" i="143"/>
  <c r="BH24" i="143"/>
  <c r="BH29" i="143"/>
  <c r="BU34" i="143"/>
  <c r="BV34" i="143"/>
  <c r="BW34" i="143" s="1"/>
  <c r="BT34" i="143"/>
  <c r="BF35" i="143"/>
  <c r="AV25" i="143"/>
  <c r="AV24" i="143"/>
  <c r="AV29" i="143"/>
  <c r="BC29" i="143"/>
  <c r="BC25" i="143"/>
  <c r="BC24" i="143"/>
  <c r="AX25" i="143"/>
  <c r="AX24" i="143"/>
  <c r="AX29" i="143"/>
  <c r="BS13" i="143"/>
  <c r="BU13" i="143"/>
  <c r="BF29" i="143"/>
  <c r="BF25" i="143"/>
  <c r="BT13" i="143"/>
  <c r="BF24" i="143"/>
  <c r="BV13" i="143"/>
  <c r="BW13" i="143" s="1"/>
  <c r="BS29" i="143" l="1"/>
  <c r="BU24" i="143"/>
  <c r="BU25" i="143"/>
  <c r="BW22" i="144"/>
  <c r="BU22" i="144"/>
  <c r="BG34" i="144"/>
  <c r="BI34" i="144"/>
  <c r="BX22" i="144"/>
  <c r="BV22" i="144"/>
  <c r="BT22" i="144"/>
  <c r="AU34" i="144"/>
  <c r="BV24" i="143"/>
  <c r="BW24" i="143" s="1"/>
  <c r="BT24" i="143"/>
  <c r="BV25" i="143"/>
  <c r="BT25" i="143"/>
  <c r="BV29" i="143"/>
  <c r="BT29" i="143"/>
  <c r="BU29" i="143"/>
  <c r="BS24" i="143"/>
  <c r="BV35" i="143"/>
  <c r="BW35" i="143" s="1"/>
  <c r="BT35" i="143"/>
  <c r="BW29" i="143"/>
  <c r="BR29" i="143"/>
  <c r="BS25" i="143"/>
  <c r="BR24" i="143"/>
  <c r="BR35" i="143"/>
  <c r="BW25" i="143"/>
  <c r="BR25" i="143"/>
  <c r="BT34" i="144" l="1"/>
  <c r="BV34" i="144"/>
  <c r="BS34" i="144"/>
  <c r="BW34" i="144"/>
  <c r="BX34" i="144" s="1"/>
  <c r="BU34" i="144"/>
  <c r="H172" i="142" l="1"/>
  <c r="H171" i="142"/>
  <c r="H170" i="142"/>
  <c r="H169" i="142"/>
  <c r="H168" i="142"/>
  <c r="H167" i="142"/>
  <c r="H166" i="142"/>
  <c r="H165" i="142"/>
  <c r="H164" i="142"/>
  <c r="AT163" i="142"/>
  <c r="AS163" i="142"/>
  <c r="AR163" i="142"/>
  <c r="AQ163" i="142"/>
  <c r="AP163" i="142"/>
  <c r="AO163" i="142"/>
  <c r="AN163" i="142"/>
  <c r="AM163" i="142"/>
  <c r="AL163" i="142"/>
  <c r="AK163" i="142"/>
  <c r="AJ163" i="142"/>
  <c r="AI163" i="142"/>
  <c r="H163" i="142"/>
  <c r="H162" i="142"/>
  <c r="H161" i="142"/>
  <c r="H160" i="142"/>
  <c r="H159" i="142"/>
  <c r="H158" i="142"/>
  <c r="H157" i="142"/>
  <c r="H156" i="142"/>
  <c r="H155" i="142"/>
  <c r="H154" i="142"/>
  <c r="H153" i="142"/>
  <c r="H152" i="142"/>
  <c r="H151" i="142"/>
  <c r="H150" i="142"/>
  <c r="H149" i="142"/>
  <c r="H148" i="142"/>
  <c r="H147" i="142"/>
  <c r="H146" i="142"/>
  <c r="AT145" i="142"/>
  <c r="AT159" i="142" s="1"/>
  <c r="AS145" i="142"/>
  <c r="AR145" i="142"/>
  <c r="AQ145" i="142"/>
  <c r="AQ155" i="142" s="1"/>
  <c r="AP145" i="142"/>
  <c r="AP155" i="142" s="1"/>
  <c r="AO145" i="142"/>
  <c r="AO155" i="142" s="1"/>
  <c r="AN145" i="142"/>
  <c r="AN155" i="142" s="1"/>
  <c r="AM145" i="142"/>
  <c r="AL145" i="142"/>
  <c r="AK145" i="142"/>
  <c r="AJ145" i="142"/>
  <c r="AI145" i="142"/>
  <c r="H145" i="142"/>
  <c r="H144" i="142"/>
  <c r="H143" i="142"/>
  <c r="H142" i="142"/>
  <c r="H141" i="142"/>
  <c r="H140" i="142"/>
  <c r="H139" i="142"/>
  <c r="H138" i="142"/>
  <c r="AT137" i="142"/>
  <c r="AT164" i="142" s="1"/>
  <c r="AT165" i="142" s="1"/>
  <c r="AS137" i="142"/>
  <c r="AR137" i="142"/>
  <c r="AQ137" i="142"/>
  <c r="AP137" i="142"/>
  <c r="AO137" i="142"/>
  <c r="AN137" i="142"/>
  <c r="AM137" i="142"/>
  <c r="AL137" i="142"/>
  <c r="AK137" i="142"/>
  <c r="AK164" i="142" s="1"/>
  <c r="AK165" i="142" s="1"/>
  <c r="AJ137" i="142"/>
  <c r="AJ164" i="142" s="1"/>
  <c r="AJ165" i="142" s="1"/>
  <c r="AI137" i="142"/>
  <c r="AI164" i="142" s="1"/>
  <c r="AI165" i="142" s="1"/>
  <c r="H137" i="142"/>
  <c r="H136" i="142"/>
  <c r="H135" i="142"/>
  <c r="H134" i="142"/>
  <c r="H133" i="142"/>
  <c r="H132" i="142"/>
  <c r="H131" i="142"/>
  <c r="H130" i="142"/>
  <c r="H129" i="142"/>
  <c r="H128" i="142"/>
  <c r="H127" i="142"/>
  <c r="H126" i="142"/>
  <c r="H125" i="142"/>
  <c r="H124" i="142"/>
  <c r="AT123" i="142"/>
  <c r="AS123" i="142"/>
  <c r="AR123" i="142"/>
  <c r="AQ123" i="142"/>
  <c r="AP123" i="142"/>
  <c r="AO123" i="142"/>
  <c r="AN123" i="142"/>
  <c r="AM123" i="142"/>
  <c r="AL123" i="142"/>
  <c r="AK123" i="142"/>
  <c r="AJ123" i="142"/>
  <c r="AI123" i="142"/>
  <c r="H123" i="142"/>
  <c r="H122" i="142"/>
  <c r="H121" i="142"/>
  <c r="H120" i="142"/>
  <c r="H119" i="142"/>
  <c r="H118" i="142"/>
  <c r="H117" i="142"/>
  <c r="H116" i="142"/>
  <c r="H115" i="142"/>
  <c r="H114" i="142"/>
  <c r="H113" i="142"/>
  <c r="H112" i="142"/>
  <c r="H111" i="142"/>
  <c r="H110" i="142"/>
  <c r="H109" i="142"/>
  <c r="H108" i="142"/>
  <c r="H107" i="142"/>
  <c r="H106" i="142"/>
  <c r="AT105" i="142"/>
  <c r="AT115" i="142" s="1"/>
  <c r="AS105" i="142"/>
  <c r="AR105" i="142"/>
  <c r="AQ105" i="142"/>
  <c r="AP105" i="142"/>
  <c r="AO105" i="142"/>
  <c r="AN105" i="142"/>
  <c r="AN119" i="142" s="1"/>
  <c r="AM105" i="142"/>
  <c r="AL105" i="142"/>
  <c r="AK105" i="142"/>
  <c r="AK115" i="142" s="1"/>
  <c r="AJ105" i="142"/>
  <c r="AI105" i="142"/>
  <c r="AI115" i="142" s="1"/>
  <c r="H105" i="142"/>
  <c r="H104" i="142"/>
  <c r="H103" i="142"/>
  <c r="H102" i="142"/>
  <c r="H101" i="142"/>
  <c r="H100" i="142"/>
  <c r="H99" i="142"/>
  <c r="H98" i="142"/>
  <c r="AT97" i="142"/>
  <c r="AS97" i="142"/>
  <c r="AR97" i="142"/>
  <c r="AQ97" i="142"/>
  <c r="AP97" i="142"/>
  <c r="AO97" i="142"/>
  <c r="AO124" i="142" s="1"/>
  <c r="AO125" i="142" s="1"/>
  <c r="AN97" i="142"/>
  <c r="AN124" i="142" s="1"/>
  <c r="AN125" i="142" s="1"/>
  <c r="AM97" i="142"/>
  <c r="AM124" i="142" s="1"/>
  <c r="AM125" i="142" s="1"/>
  <c r="AL97" i="142"/>
  <c r="AL124" i="142" s="1"/>
  <c r="AL125" i="142" s="1"/>
  <c r="AK97" i="142"/>
  <c r="AJ97" i="142"/>
  <c r="AI97" i="142"/>
  <c r="H97" i="142"/>
  <c r="H96" i="142"/>
  <c r="H95" i="142"/>
  <c r="H94" i="142"/>
  <c r="H93" i="142"/>
  <c r="H92" i="142"/>
  <c r="H91" i="142"/>
  <c r="H90" i="142"/>
  <c r="H89" i="142"/>
  <c r="H88" i="142"/>
  <c r="H87" i="142"/>
  <c r="H86" i="142"/>
  <c r="H85" i="142"/>
  <c r="H84" i="142"/>
  <c r="AT83" i="142"/>
  <c r="AS83" i="142"/>
  <c r="AR83" i="142"/>
  <c r="AQ83" i="142"/>
  <c r="AP83" i="142"/>
  <c r="AO83" i="142"/>
  <c r="AN83" i="142"/>
  <c r="AM83" i="142"/>
  <c r="AL83" i="142"/>
  <c r="AK83" i="142"/>
  <c r="AJ83" i="142"/>
  <c r="AI83" i="142"/>
  <c r="H83" i="142"/>
  <c r="H82" i="142"/>
  <c r="H81" i="142"/>
  <c r="H80" i="142"/>
  <c r="H79" i="142"/>
  <c r="H78" i="142"/>
  <c r="H77" i="142"/>
  <c r="H76" i="142"/>
  <c r="H75" i="142"/>
  <c r="H74" i="142"/>
  <c r="H73" i="142"/>
  <c r="H72" i="142"/>
  <c r="H71" i="142"/>
  <c r="H70" i="142"/>
  <c r="H69" i="142"/>
  <c r="H68" i="142"/>
  <c r="H67" i="142"/>
  <c r="H66" i="142"/>
  <c r="AT65" i="142"/>
  <c r="AT79" i="142" s="1"/>
  <c r="AS65" i="142"/>
  <c r="AR65" i="142"/>
  <c r="AQ65" i="142"/>
  <c r="AQ75" i="142" s="1"/>
  <c r="AP65" i="142"/>
  <c r="AO65" i="142"/>
  <c r="AO75" i="142" s="1"/>
  <c r="AN65" i="142"/>
  <c r="AN75" i="142" s="1"/>
  <c r="AM65" i="142"/>
  <c r="AL65" i="142"/>
  <c r="AK65" i="142"/>
  <c r="AJ65" i="142"/>
  <c r="AI65" i="142"/>
  <c r="H65" i="142"/>
  <c r="H64" i="142"/>
  <c r="H63" i="142"/>
  <c r="H62" i="142"/>
  <c r="H61" i="142"/>
  <c r="H60" i="142"/>
  <c r="H59" i="142"/>
  <c r="H58" i="142"/>
  <c r="AT57" i="142"/>
  <c r="AS57" i="142"/>
  <c r="AS84" i="142" s="1"/>
  <c r="AS85" i="142" s="1"/>
  <c r="AR57" i="142"/>
  <c r="AR84" i="142" s="1"/>
  <c r="AR85" i="142" s="1"/>
  <c r="AQ57" i="142"/>
  <c r="AP57" i="142"/>
  <c r="AP84" i="142" s="1"/>
  <c r="AP85" i="142" s="1"/>
  <c r="AO57" i="142"/>
  <c r="AN57" i="142"/>
  <c r="AM57" i="142"/>
  <c r="AL57" i="142"/>
  <c r="AK57" i="142"/>
  <c r="AJ57" i="142"/>
  <c r="AI57" i="142"/>
  <c r="H57" i="142"/>
  <c r="H56" i="142"/>
  <c r="H55" i="142"/>
  <c r="H54" i="142"/>
  <c r="H53" i="142"/>
  <c r="BW52" i="142"/>
  <c r="BX52" i="142" s="1"/>
  <c r="BV52" i="142"/>
  <c r="BU52" i="142"/>
  <c r="BT52" i="142"/>
  <c r="BS52" i="142"/>
  <c r="H52" i="142"/>
  <c r="BI51" i="142"/>
  <c r="BH51" i="142"/>
  <c r="BS51" i="142" s="1"/>
  <c r="BG51" i="142"/>
  <c r="BF51" i="142"/>
  <c r="BE51" i="142"/>
  <c r="BD51" i="142"/>
  <c r="BC51" i="142"/>
  <c r="BB51" i="142"/>
  <c r="BA51" i="142"/>
  <c r="AZ51" i="142"/>
  <c r="AY51" i="142"/>
  <c r="AX51" i="142"/>
  <c r="AW51" i="142"/>
  <c r="AV51" i="142"/>
  <c r="AU51" i="142"/>
  <c r="H51" i="142"/>
  <c r="BS50" i="142"/>
  <c r="H50" i="142"/>
  <c r="BS49" i="142"/>
  <c r="H49" i="142"/>
  <c r="BH48" i="142"/>
  <c r="BS48" i="142" s="1"/>
  <c r="BG48" i="142"/>
  <c r="BF48" i="142"/>
  <c r="BE48" i="142"/>
  <c r="BD48" i="142"/>
  <c r="BC48" i="142"/>
  <c r="BB48" i="142"/>
  <c r="BA48" i="142"/>
  <c r="AZ48" i="142"/>
  <c r="AY48" i="142"/>
  <c r="AX48" i="142"/>
  <c r="AW48" i="142"/>
  <c r="AV48" i="142"/>
  <c r="AU48" i="142"/>
  <c r="H48" i="142"/>
  <c r="BW47" i="142"/>
  <c r="BX47" i="142" s="1"/>
  <c r="BV47" i="142"/>
  <c r="BU47" i="142"/>
  <c r="BT47" i="142"/>
  <c r="BS47" i="142"/>
  <c r="H47" i="142"/>
  <c r="BW46" i="142"/>
  <c r="BX46" i="142" s="1"/>
  <c r="BV46" i="142"/>
  <c r="BU46" i="142"/>
  <c r="BT46" i="142"/>
  <c r="BS46" i="142"/>
  <c r="H46" i="142"/>
  <c r="H45" i="142"/>
  <c r="H44" i="142"/>
  <c r="BI43" i="142"/>
  <c r="BH43" i="142"/>
  <c r="BG43" i="142"/>
  <c r="BF43" i="142"/>
  <c r="BE43" i="142"/>
  <c r="BD43" i="142"/>
  <c r="BC43" i="142"/>
  <c r="BB43" i="142"/>
  <c r="BA43" i="142"/>
  <c r="AZ43" i="142"/>
  <c r="AY43" i="142"/>
  <c r="AX43" i="142"/>
  <c r="AW43" i="142"/>
  <c r="AV43" i="142"/>
  <c r="AU43" i="142"/>
  <c r="AT43" i="142"/>
  <c r="AS43" i="142"/>
  <c r="AR43" i="142"/>
  <c r="AQ43" i="142"/>
  <c r="AP43" i="142"/>
  <c r="AO43" i="142"/>
  <c r="AN43" i="142"/>
  <c r="AM43" i="142"/>
  <c r="AL43" i="142"/>
  <c r="AK43" i="142"/>
  <c r="AJ43" i="142"/>
  <c r="AI43" i="142"/>
  <c r="AH43" i="142"/>
  <c r="AG43" i="142"/>
  <c r="AF43" i="142"/>
  <c r="AE43" i="142"/>
  <c r="AD43" i="142"/>
  <c r="AC43" i="142"/>
  <c r="AB43" i="142"/>
  <c r="AA43" i="142"/>
  <c r="Z43" i="142"/>
  <c r="Y43" i="142"/>
  <c r="X43" i="142"/>
  <c r="W43" i="142"/>
  <c r="T43" i="142"/>
  <c r="S43" i="142"/>
  <c r="R43" i="142"/>
  <c r="Q43" i="142"/>
  <c r="P43" i="142"/>
  <c r="O43" i="142"/>
  <c r="N43" i="142"/>
  <c r="M43" i="142"/>
  <c r="L43" i="142"/>
  <c r="K43" i="142"/>
  <c r="J43" i="142"/>
  <c r="I43" i="142"/>
  <c r="H43" i="142"/>
  <c r="BW42" i="142"/>
  <c r="BX42" i="142" s="1"/>
  <c r="BV42" i="142"/>
  <c r="BU42" i="142"/>
  <c r="BT42" i="142"/>
  <c r="BS42" i="142"/>
  <c r="H42" i="142"/>
  <c r="BW41" i="142"/>
  <c r="BX41" i="142" s="1"/>
  <c r="BV41" i="142"/>
  <c r="BU41" i="142"/>
  <c r="BT41" i="142"/>
  <c r="BS41" i="142"/>
  <c r="H41" i="142"/>
  <c r="BW40" i="142"/>
  <c r="BX40" i="142" s="1"/>
  <c r="BV40" i="142"/>
  <c r="BU40" i="142"/>
  <c r="BT40" i="142"/>
  <c r="BS40" i="142"/>
  <c r="V40" i="142"/>
  <c r="V43" i="142" s="1"/>
  <c r="U40" i="142"/>
  <c r="U43" i="142" s="1"/>
  <c r="H40" i="142"/>
  <c r="H39" i="142"/>
  <c r="BW38" i="142"/>
  <c r="BX38" i="142" s="1"/>
  <c r="BV38" i="142"/>
  <c r="BU38" i="142"/>
  <c r="BT38" i="142"/>
  <c r="BS38" i="142"/>
  <c r="H38" i="142"/>
  <c r="BW37" i="142"/>
  <c r="BX37" i="142" s="1"/>
  <c r="BV37" i="142"/>
  <c r="BU37" i="142"/>
  <c r="BT37" i="142"/>
  <c r="BS37" i="142"/>
  <c r="H37" i="142"/>
  <c r="BW36" i="142"/>
  <c r="BX36" i="142" s="1"/>
  <c r="BV36" i="142"/>
  <c r="BU36" i="142"/>
  <c r="BT36" i="142"/>
  <c r="BS36" i="142"/>
  <c r="H36" i="142"/>
  <c r="H35" i="142"/>
  <c r="H34" i="142"/>
  <c r="BW33" i="142"/>
  <c r="BX33" i="142" s="1"/>
  <c r="BV33" i="142"/>
  <c r="BU33" i="142"/>
  <c r="BT33" i="142"/>
  <c r="BS33" i="142"/>
  <c r="H33" i="142"/>
  <c r="BW32" i="142"/>
  <c r="BX32" i="142" s="1"/>
  <c r="BV32" i="142"/>
  <c r="BU32" i="142"/>
  <c r="BT32" i="142"/>
  <c r="H32" i="142"/>
  <c r="BW31" i="142"/>
  <c r="BX31" i="142" s="1"/>
  <c r="BV31" i="142"/>
  <c r="BU31" i="142"/>
  <c r="BT31" i="142"/>
  <c r="H31" i="142"/>
  <c r="BW30" i="142"/>
  <c r="BX30" i="142" s="1"/>
  <c r="BV30" i="142"/>
  <c r="BU30" i="142"/>
  <c r="BT30" i="142"/>
  <c r="H30" i="142"/>
  <c r="BW29" i="142"/>
  <c r="BX29" i="142" s="1"/>
  <c r="BV29" i="142"/>
  <c r="BU29" i="142"/>
  <c r="BT29" i="142"/>
  <c r="H29" i="142"/>
  <c r="BW28" i="142"/>
  <c r="BX28" i="142" s="1"/>
  <c r="BV28" i="142"/>
  <c r="BU28" i="142"/>
  <c r="BT28" i="142"/>
  <c r="H28" i="142"/>
  <c r="BW27" i="142"/>
  <c r="BX27" i="142" s="1"/>
  <c r="BV27" i="142"/>
  <c r="BU27" i="142"/>
  <c r="BT27" i="142"/>
  <c r="H27" i="142"/>
  <c r="BW26" i="142"/>
  <c r="BX26" i="142" s="1"/>
  <c r="BV26" i="142"/>
  <c r="BU26" i="142"/>
  <c r="BT26" i="142"/>
  <c r="H26" i="142"/>
  <c r="BW25" i="142"/>
  <c r="BX25" i="142" s="1"/>
  <c r="BV25" i="142"/>
  <c r="BU25" i="142"/>
  <c r="BT25" i="142"/>
  <c r="H25" i="142"/>
  <c r="BI24" i="142"/>
  <c r="BH24" i="142"/>
  <c r="BG24" i="142"/>
  <c r="BW24" i="142" s="1"/>
  <c r="BF24" i="142"/>
  <c r="BE24" i="142"/>
  <c r="BD24" i="142"/>
  <c r="BC24" i="142"/>
  <c r="BB24" i="142"/>
  <c r="BA24" i="142"/>
  <c r="AZ24" i="142"/>
  <c r="AY24" i="142"/>
  <c r="AX24" i="142"/>
  <c r="AW24" i="142"/>
  <c r="AV24" i="142"/>
  <c r="AU24" i="142"/>
  <c r="AT24" i="142"/>
  <c r="AT39" i="142" s="1"/>
  <c r="AS24" i="142"/>
  <c r="AS39" i="142" s="1"/>
  <c r="AR24" i="142"/>
  <c r="AR39" i="142" s="1"/>
  <c r="AQ24" i="142"/>
  <c r="AQ39" i="142" s="1"/>
  <c r="AP24" i="142"/>
  <c r="AO24" i="142"/>
  <c r="AN24" i="142"/>
  <c r="AM24" i="142"/>
  <c r="AL24" i="142"/>
  <c r="AK24" i="142"/>
  <c r="AJ24" i="142"/>
  <c r="AJ39" i="142" s="1"/>
  <c r="AI24" i="142"/>
  <c r="AI39" i="142" s="1"/>
  <c r="AH24" i="142"/>
  <c r="AH39" i="142" s="1"/>
  <c r="AG24" i="142"/>
  <c r="AG39" i="142" s="1"/>
  <c r="AF24" i="142"/>
  <c r="AF35" i="142" s="1"/>
  <c r="AE24" i="142"/>
  <c r="AE39" i="142" s="1"/>
  <c r="AD24" i="142"/>
  <c r="AC24" i="142"/>
  <c r="AB24" i="142"/>
  <c r="AA24" i="142"/>
  <c r="Z24" i="142"/>
  <c r="Y24" i="142"/>
  <c r="X24" i="142"/>
  <c r="X39" i="142" s="1"/>
  <c r="W24" i="142"/>
  <c r="W39" i="142" s="1"/>
  <c r="V24" i="142"/>
  <c r="V39" i="142" s="1"/>
  <c r="U24" i="142"/>
  <c r="U39" i="142" s="1"/>
  <c r="T24" i="142"/>
  <c r="T39" i="142" s="1"/>
  <c r="S24" i="142"/>
  <c r="S39" i="142" s="1"/>
  <c r="R24" i="142"/>
  <c r="Q24" i="142"/>
  <c r="P24" i="142"/>
  <c r="O24" i="142"/>
  <c r="N24" i="142"/>
  <c r="M24" i="142"/>
  <c r="L24" i="142"/>
  <c r="L39" i="142" s="1"/>
  <c r="K24" i="142"/>
  <c r="K39" i="142" s="1"/>
  <c r="J24" i="142"/>
  <c r="J39" i="142" s="1"/>
  <c r="I24" i="142"/>
  <c r="I39" i="142" s="1"/>
  <c r="H24" i="142"/>
  <c r="H23" i="142"/>
  <c r="BW22" i="142"/>
  <c r="BX22" i="142" s="1"/>
  <c r="BV22" i="142"/>
  <c r="BU22" i="142"/>
  <c r="BT22" i="142"/>
  <c r="H22" i="142"/>
  <c r="BW21" i="142"/>
  <c r="BX21" i="142" s="1"/>
  <c r="BV21" i="142"/>
  <c r="BU21" i="142"/>
  <c r="BT21" i="142"/>
  <c r="H21" i="142"/>
  <c r="BW20" i="142"/>
  <c r="BX20" i="142" s="1"/>
  <c r="BV20" i="142"/>
  <c r="BU20" i="142"/>
  <c r="BT20" i="142"/>
  <c r="H20" i="142"/>
  <c r="BW19" i="142"/>
  <c r="BX19" i="142" s="1"/>
  <c r="BV19" i="142"/>
  <c r="BU19" i="142"/>
  <c r="BT19" i="142"/>
  <c r="H19" i="142"/>
  <c r="BW18" i="142"/>
  <c r="BX18" i="142" s="1"/>
  <c r="BV18" i="142"/>
  <c r="BU18" i="142"/>
  <c r="BT18" i="142"/>
  <c r="H18" i="142"/>
  <c r="BI17" i="142"/>
  <c r="BI23" i="142" s="1"/>
  <c r="BH17" i="142"/>
  <c r="BH23" i="142" s="1"/>
  <c r="BG17" i="142"/>
  <c r="BF17" i="142"/>
  <c r="BF23" i="142" s="1"/>
  <c r="BF39" i="142" s="1"/>
  <c r="BE17" i="142"/>
  <c r="BD17" i="142"/>
  <c r="BC17" i="142"/>
  <c r="BB17" i="142"/>
  <c r="BB23" i="142" s="1"/>
  <c r="BA17" i="142"/>
  <c r="BA23" i="142" s="1"/>
  <c r="AZ17" i="142"/>
  <c r="AZ23" i="142" s="1"/>
  <c r="AY17" i="142"/>
  <c r="AX17" i="142"/>
  <c r="AW17" i="142"/>
  <c r="AW23" i="142" s="1"/>
  <c r="AV17" i="142"/>
  <c r="AV23" i="142" s="1"/>
  <c r="AU17" i="142"/>
  <c r="AT17" i="142"/>
  <c r="AS17" i="142"/>
  <c r="AR17" i="142"/>
  <c r="AR44" i="142" s="1"/>
  <c r="AR45" i="142" s="1"/>
  <c r="AQ17" i="142"/>
  <c r="AQ44" i="142" s="1"/>
  <c r="AQ45" i="142" s="1"/>
  <c r="AP17" i="142"/>
  <c r="AP44" i="142" s="1"/>
  <c r="AP45" i="142" s="1"/>
  <c r="AO17" i="142"/>
  <c r="AN17" i="142"/>
  <c r="AM17" i="142"/>
  <c r="AM44" i="142" s="1"/>
  <c r="AM45" i="142" s="1"/>
  <c r="AL17" i="142"/>
  <c r="AL44" i="142" s="1"/>
  <c r="AL45" i="142" s="1"/>
  <c r="AK17" i="142"/>
  <c r="AJ17" i="142"/>
  <c r="AJ44" i="142" s="1"/>
  <c r="AJ45" i="142" s="1"/>
  <c r="AI17" i="142"/>
  <c r="AI44" i="142" s="1"/>
  <c r="AI45" i="142" s="1"/>
  <c r="AH17" i="142"/>
  <c r="AG17" i="142"/>
  <c r="AF17" i="142"/>
  <c r="AF44" i="142" s="1"/>
  <c r="AF45" i="142" s="1"/>
  <c r="AE17" i="142"/>
  <c r="AE44" i="142" s="1"/>
  <c r="AE45" i="142" s="1"/>
  <c r="AD17" i="142"/>
  <c r="AD44" i="142" s="1"/>
  <c r="AD45" i="142" s="1"/>
  <c r="AC17" i="142"/>
  <c r="AB17" i="142"/>
  <c r="AA17" i="142"/>
  <c r="AA44" i="142" s="1"/>
  <c r="AA45" i="142" s="1"/>
  <c r="Z17" i="142"/>
  <c r="Z44" i="142" s="1"/>
  <c r="Z45" i="142" s="1"/>
  <c r="Y17" i="142"/>
  <c r="X17" i="142"/>
  <c r="X44" i="142" s="1"/>
  <c r="X45" i="142" s="1"/>
  <c r="W17" i="142"/>
  <c r="W44" i="142" s="1"/>
  <c r="W45" i="142" s="1"/>
  <c r="V17" i="142"/>
  <c r="U17" i="142"/>
  <c r="T17" i="142"/>
  <c r="S17" i="142"/>
  <c r="R17" i="142"/>
  <c r="R44" i="142" s="1"/>
  <c r="R45" i="142" s="1"/>
  <c r="Q17" i="142"/>
  <c r="P17" i="142"/>
  <c r="O17" i="142"/>
  <c r="O44" i="142" s="1"/>
  <c r="O45" i="142" s="1"/>
  <c r="N17" i="142"/>
  <c r="N44" i="142" s="1"/>
  <c r="N45" i="142" s="1"/>
  <c r="M17" i="142"/>
  <c r="L17" i="142"/>
  <c r="L44" i="142" s="1"/>
  <c r="L45" i="142" s="1"/>
  <c r="K17" i="142"/>
  <c r="K44" i="142" s="1"/>
  <c r="K45" i="142" s="1"/>
  <c r="J17" i="142"/>
  <c r="I17" i="142"/>
  <c r="I44" i="142" s="1"/>
  <c r="I45" i="142" s="1"/>
  <c r="H17" i="142"/>
  <c r="BW16" i="142"/>
  <c r="BX16" i="142" s="1"/>
  <c r="BV16" i="142"/>
  <c r="BU16" i="142"/>
  <c r="BT16" i="142"/>
  <c r="H16" i="142"/>
  <c r="BW13" i="142"/>
  <c r="BX13" i="142" s="1"/>
  <c r="BV13" i="142"/>
  <c r="BU13" i="142"/>
  <c r="BT13" i="142"/>
  <c r="H13" i="142"/>
  <c r="BW12" i="142"/>
  <c r="BX12" i="142" s="1"/>
  <c r="BV12" i="142"/>
  <c r="BU12" i="142"/>
  <c r="BT12" i="142"/>
  <c r="H12" i="142"/>
  <c r="BW7" i="142"/>
  <c r="BX7" i="142" s="1"/>
  <c r="BV7" i="142"/>
  <c r="BU7" i="142"/>
  <c r="BT7" i="142"/>
  <c r="H7" i="142"/>
  <c r="BZ2" i="142" a="1"/>
  <c r="BZ2" i="142" s="1"/>
  <c r="BW2" i="142"/>
  <c r="BX2" i="142" s="1"/>
  <c r="BV2" i="142"/>
  <c r="BU2" i="142"/>
  <c r="BT2" i="142"/>
  <c r="H2" i="142"/>
  <c r="AM84" i="142" l="1"/>
  <c r="AM85" i="142" s="1"/>
  <c r="BW43" i="142"/>
  <c r="Q44" i="142"/>
  <c r="Q45" i="142" s="1"/>
  <c r="AC44" i="142"/>
  <c r="AC45" i="142" s="1"/>
  <c r="AO44" i="142"/>
  <c r="AO45" i="142" s="1"/>
  <c r="AK84" i="142"/>
  <c r="AK85" i="142" s="1"/>
  <c r="AS124" i="142"/>
  <c r="AS125" i="142" s="1"/>
  <c r="T44" i="142"/>
  <c r="T45" i="142" s="1"/>
  <c r="AL84" i="142"/>
  <c r="AL85" i="142" s="1"/>
  <c r="AS164" i="142"/>
  <c r="AS165" i="142" s="1"/>
  <c r="BV43" i="142"/>
  <c r="P44" i="142"/>
  <c r="P45" i="142" s="1"/>
  <c r="AB44" i="142"/>
  <c r="AB45" i="142" s="1"/>
  <c r="AN44" i="142"/>
  <c r="AN45" i="142" s="1"/>
  <c r="AT84" i="142"/>
  <c r="AT85" i="142" s="1"/>
  <c r="AP124" i="142"/>
  <c r="AP125" i="142" s="1"/>
  <c r="AL164" i="142"/>
  <c r="AL165" i="142" s="1"/>
  <c r="AI84" i="142"/>
  <c r="AI85" i="142" s="1"/>
  <c r="AQ124" i="142"/>
  <c r="AQ125" i="142" s="1"/>
  <c r="AM164" i="142"/>
  <c r="AM165" i="142" s="1"/>
  <c r="AJ84" i="142"/>
  <c r="AJ85" i="142" s="1"/>
  <c r="AR124" i="142"/>
  <c r="AR125" i="142" s="1"/>
  <c r="S44" i="142"/>
  <c r="S45" i="142" s="1"/>
  <c r="BV24" i="142"/>
  <c r="AG44" i="142"/>
  <c r="AG45" i="142" s="1"/>
  <c r="AS44" i="142"/>
  <c r="AS45" i="142" s="1"/>
  <c r="AJ124" i="142"/>
  <c r="AJ125" i="142" s="1"/>
  <c r="AR164" i="142"/>
  <c r="AR165" i="142" s="1"/>
  <c r="BT17" i="142"/>
  <c r="AU23" i="142"/>
  <c r="AU39" i="142" s="1"/>
  <c r="BV17" i="142"/>
  <c r="AW35" i="142"/>
  <c r="AW39" i="142"/>
  <c r="AX44" i="142"/>
  <c r="AX45" i="142" s="1"/>
  <c r="AX23" i="142"/>
  <c r="AY44" i="142"/>
  <c r="AY45" i="142" s="1"/>
  <c r="AY23" i="142"/>
  <c r="BC44" i="142"/>
  <c r="BC45" i="142" s="1"/>
  <c r="BC23" i="142"/>
  <c r="BC39" i="142" s="1"/>
  <c r="BD44" i="142"/>
  <c r="BD45" i="142" s="1"/>
  <c r="BD23" i="142"/>
  <c r="BD35" i="142" s="1"/>
  <c r="BE44" i="142"/>
  <c r="BE45" i="142" s="1"/>
  <c r="BE23" i="142"/>
  <c r="BE34" i="142" s="1"/>
  <c r="BU17" i="142"/>
  <c r="BG23" i="142"/>
  <c r="BG39" i="142" s="1"/>
  <c r="BW39" i="142" s="1"/>
  <c r="BW17" i="142"/>
  <c r="BX17" i="142" s="1"/>
  <c r="BI35" i="142"/>
  <c r="BI39" i="142"/>
  <c r="M35" i="142"/>
  <c r="M39" i="142"/>
  <c r="N34" i="142"/>
  <c r="N39" i="142"/>
  <c r="N35" i="142"/>
  <c r="O39" i="142"/>
  <c r="O35" i="142"/>
  <c r="O34" i="142"/>
  <c r="P39" i="142"/>
  <c r="P35" i="142"/>
  <c r="P34" i="142"/>
  <c r="Q39" i="142"/>
  <c r="Q35" i="142"/>
  <c r="Q34" i="142"/>
  <c r="R39" i="142"/>
  <c r="R35" i="142"/>
  <c r="R34" i="142"/>
  <c r="Y35" i="142"/>
  <c r="Y39" i="142"/>
  <c r="Z34" i="142"/>
  <c r="Z39" i="142"/>
  <c r="Z35" i="142"/>
  <c r="AA39" i="142"/>
  <c r="AA35" i="142"/>
  <c r="AA34" i="142"/>
  <c r="AB39" i="142"/>
  <c r="AB35" i="142"/>
  <c r="AB34" i="142"/>
  <c r="AC39" i="142"/>
  <c r="AC35" i="142"/>
  <c r="AC34" i="142"/>
  <c r="AD39" i="142"/>
  <c r="AD35" i="142"/>
  <c r="AD34" i="142"/>
  <c r="AK35" i="142"/>
  <c r="AK39" i="142"/>
  <c r="AL34" i="142"/>
  <c r="AL39" i="142"/>
  <c r="AL35" i="142"/>
  <c r="AM39" i="142"/>
  <c r="AM35" i="142"/>
  <c r="AM34" i="142"/>
  <c r="AN39" i="142"/>
  <c r="AN35" i="142"/>
  <c r="AN34" i="142"/>
  <c r="AO39" i="142"/>
  <c r="AO35" i="142"/>
  <c r="AO34" i="142"/>
  <c r="AP39" i="142"/>
  <c r="AP35" i="142"/>
  <c r="AP34" i="142"/>
  <c r="AW44" i="142"/>
  <c r="AW45" i="142" s="1"/>
  <c r="U44" i="142"/>
  <c r="U45" i="142" s="1"/>
  <c r="V44" i="142"/>
  <c r="V45" i="142" s="1"/>
  <c r="J44" i="142"/>
  <c r="J45" i="142" s="1"/>
  <c r="AH44" i="142"/>
  <c r="AH45" i="142" s="1"/>
  <c r="AT44" i="142"/>
  <c r="AT45" i="142" s="1"/>
  <c r="BF44" i="142"/>
  <c r="BF45" i="142" s="1"/>
  <c r="BS43" i="142"/>
  <c r="AI79" i="142"/>
  <c r="AI75" i="142"/>
  <c r="AJ79" i="142"/>
  <c r="AJ75" i="142"/>
  <c r="AK79" i="142"/>
  <c r="AK75" i="142"/>
  <c r="AL79" i="142"/>
  <c r="AL75" i="142"/>
  <c r="AM79" i="142"/>
  <c r="AM75" i="142"/>
  <c r="AP75" i="142"/>
  <c r="AP79" i="142"/>
  <c r="AR79" i="142"/>
  <c r="AR75" i="142"/>
  <c r="AS79" i="142"/>
  <c r="AS75" i="142"/>
  <c r="AJ115" i="142"/>
  <c r="AJ119" i="142"/>
  <c r="AL119" i="142"/>
  <c r="AL115" i="142"/>
  <c r="AM119" i="142"/>
  <c r="AM115" i="142"/>
  <c r="AO119" i="142"/>
  <c r="AO115" i="142"/>
  <c r="AP119" i="142"/>
  <c r="AP115" i="142"/>
  <c r="AQ119" i="142"/>
  <c r="AQ115" i="142"/>
  <c r="AR119" i="142"/>
  <c r="AR115" i="142"/>
  <c r="AS119" i="142"/>
  <c r="AS115" i="142"/>
  <c r="AI159" i="142"/>
  <c r="AI155" i="142"/>
  <c r="AJ159" i="142"/>
  <c r="AJ155" i="142"/>
  <c r="AK159" i="142"/>
  <c r="AK155" i="142"/>
  <c r="AL159" i="142"/>
  <c r="AL155" i="142"/>
  <c r="AM159" i="142"/>
  <c r="AM155" i="142"/>
  <c r="AR159" i="142"/>
  <c r="AR155" i="142"/>
  <c r="AS159" i="142"/>
  <c r="AS155" i="142"/>
  <c r="BA39" i="142"/>
  <c r="BA35" i="142"/>
  <c r="BA34" i="142"/>
  <c r="BB39" i="142"/>
  <c r="BB35" i="142"/>
  <c r="BB34" i="142"/>
  <c r="BX24" i="142"/>
  <c r="BV39" i="142"/>
  <c r="BT39" i="142"/>
  <c r="BH39" i="142"/>
  <c r="BH35" i="142"/>
  <c r="BH34" i="142"/>
  <c r="CA172" i="142"/>
  <c r="CA165" i="142"/>
  <c r="CA159" i="142"/>
  <c r="CA153" i="142"/>
  <c r="CA147" i="142"/>
  <c r="CA141" i="142"/>
  <c r="CA135" i="142"/>
  <c r="CA128" i="142"/>
  <c r="CA122" i="142"/>
  <c r="CA116" i="142"/>
  <c r="CA110" i="142"/>
  <c r="CA104" i="142"/>
  <c r="CA98" i="142"/>
  <c r="CA92" i="142"/>
  <c r="CA85" i="142"/>
  <c r="CA79" i="142"/>
  <c r="CA73" i="142"/>
  <c r="CA67" i="142"/>
  <c r="CA61" i="142"/>
  <c r="CA55" i="142"/>
  <c r="CA44" i="142"/>
  <c r="CA29" i="142"/>
  <c r="CA2" i="142"/>
  <c r="CA13" i="142"/>
  <c r="CA35" i="142"/>
  <c r="CA7" i="142"/>
  <c r="CA105" i="142"/>
  <c r="CA56" i="142"/>
  <c r="CA43" i="142"/>
  <c r="CA37" i="142"/>
  <c r="CA18" i="142"/>
  <c r="CA30" i="142"/>
  <c r="CA164" i="142"/>
  <c r="CA158" i="142"/>
  <c r="CA152" i="142"/>
  <c r="CA146" i="142"/>
  <c r="CA140" i="142"/>
  <c r="CA134" i="142"/>
  <c r="CA127" i="142"/>
  <c r="CA121" i="142"/>
  <c r="CA115" i="142"/>
  <c r="CA109" i="142"/>
  <c r="CA103" i="142"/>
  <c r="CA97" i="142"/>
  <c r="CA84" i="142"/>
  <c r="CA78" i="142"/>
  <c r="CA72" i="142"/>
  <c r="CA66" i="142"/>
  <c r="CA60" i="142"/>
  <c r="CA54" i="142"/>
  <c r="CA51" i="142"/>
  <c r="CA48" i="142"/>
  <c r="CA42" i="142"/>
  <c r="CA27" i="142"/>
  <c r="CA16" i="142"/>
  <c r="CA45" i="142"/>
  <c r="CA23" i="142"/>
  <c r="CA46" i="142"/>
  <c r="CA32" i="142"/>
  <c r="CA38" i="142"/>
  <c r="CA80" i="142"/>
  <c r="CA169" i="142"/>
  <c r="CA163" i="142"/>
  <c r="CA157" i="142"/>
  <c r="CA151" i="142"/>
  <c r="CA145" i="142"/>
  <c r="CA139" i="142"/>
  <c r="CA133" i="142"/>
  <c r="CA126" i="142"/>
  <c r="CA120" i="142"/>
  <c r="CA114" i="142"/>
  <c r="CA108" i="142"/>
  <c r="CA102" i="142"/>
  <c r="CA96" i="142"/>
  <c r="CA89" i="142"/>
  <c r="CA83" i="142"/>
  <c r="CA77" i="142"/>
  <c r="CA71" i="142"/>
  <c r="CA65" i="142"/>
  <c r="CA59" i="142"/>
  <c r="CA53" i="142"/>
  <c r="CA39" i="142"/>
  <c r="CA25" i="142"/>
  <c r="CA21" i="142"/>
  <c r="CA62" i="142"/>
  <c r="CA154" i="142"/>
  <c r="CA129" i="142"/>
  <c r="CA111" i="142"/>
  <c r="CA86" i="142"/>
  <c r="CA20" i="142"/>
  <c r="CA168" i="142"/>
  <c r="CA162" i="142"/>
  <c r="CA156" i="142"/>
  <c r="CA150" i="142"/>
  <c r="CA144" i="142"/>
  <c r="CA138" i="142"/>
  <c r="CA132" i="142"/>
  <c r="CA125" i="142"/>
  <c r="CA119" i="142"/>
  <c r="CA113" i="142"/>
  <c r="CA107" i="142"/>
  <c r="CA101" i="142"/>
  <c r="CA95" i="142"/>
  <c r="CA88" i="142"/>
  <c r="CA82" i="142"/>
  <c r="CA76" i="142"/>
  <c r="CA70" i="142"/>
  <c r="CA64" i="142"/>
  <c r="CA58" i="142"/>
  <c r="CA52" i="142"/>
  <c r="CA40" i="142"/>
  <c r="CA34" i="142"/>
  <c r="CA19" i="142"/>
  <c r="CA47" i="142"/>
  <c r="CA33" i="142"/>
  <c r="CA28" i="142"/>
  <c r="CA123" i="142"/>
  <c r="CA74" i="142"/>
  <c r="CA41" i="142"/>
  <c r="CA160" i="142"/>
  <c r="CA117" i="142"/>
  <c r="CA93" i="142"/>
  <c r="CA49" i="142"/>
  <c r="CA24" i="142"/>
  <c r="CA167" i="142"/>
  <c r="CA161" i="142"/>
  <c r="CA155" i="142"/>
  <c r="CA149" i="142"/>
  <c r="CA143" i="142"/>
  <c r="CA137" i="142"/>
  <c r="CA124" i="142"/>
  <c r="CA118" i="142"/>
  <c r="CA112" i="142"/>
  <c r="CA106" i="142"/>
  <c r="CA100" i="142"/>
  <c r="CA94" i="142"/>
  <c r="CA87" i="142"/>
  <c r="CA81" i="142"/>
  <c r="CA75" i="142"/>
  <c r="CA69" i="142"/>
  <c r="CA63" i="142"/>
  <c r="CA57" i="142"/>
  <c r="CA50" i="142"/>
  <c r="CA17" i="142"/>
  <c r="CA148" i="142"/>
  <c r="CA136" i="142"/>
  <c r="CA36" i="142"/>
  <c r="CA26" i="142"/>
  <c r="CA22" i="142"/>
  <c r="CA166" i="142"/>
  <c r="CA142" i="142"/>
  <c r="CA99" i="142"/>
  <c r="CA68" i="142"/>
  <c r="CA31" i="142"/>
  <c r="CA12" i="142"/>
  <c r="AV39" i="142"/>
  <c r="AV35" i="142"/>
  <c r="AV34" i="142"/>
  <c r="BX43" i="142"/>
  <c r="BU39" i="142"/>
  <c r="AZ34" i="142"/>
  <c r="AZ39" i="142"/>
  <c r="AZ35" i="142"/>
  <c r="BS35" i="142"/>
  <c r="AU44" i="142"/>
  <c r="BG44" i="142"/>
  <c r="AT75" i="142"/>
  <c r="AN84" i="142"/>
  <c r="AN85" i="142" s="1"/>
  <c r="AN115" i="142"/>
  <c r="AT124" i="142"/>
  <c r="AT125" i="142" s="1"/>
  <c r="AT155" i="142"/>
  <c r="AN164" i="142"/>
  <c r="AN165" i="142" s="1"/>
  <c r="AV44" i="142"/>
  <c r="AV45" i="142" s="1"/>
  <c r="BH44" i="142"/>
  <c r="BH45" i="142" s="1"/>
  <c r="AO84" i="142"/>
  <c r="AO85" i="142" s="1"/>
  <c r="AI124" i="142"/>
  <c r="AI125" i="142" s="1"/>
  <c r="AO164" i="142"/>
  <c r="AO165" i="142" s="1"/>
  <c r="S34" i="142"/>
  <c r="AQ34" i="142"/>
  <c r="M44" i="142"/>
  <c r="M45" i="142" s="1"/>
  <c r="BI44" i="142"/>
  <c r="AN79" i="142"/>
  <c r="AT119" i="142"/>
  <c r="AN159" i="142"/>
  <c r="AP164" i="142"/>
  <c r="AP165" i="142" s="1"/>
  <c r="AE34" i="142"/>
  <c r="BC34" i="142"/>
  <c r="Y44" i="142"/>
  <c r="Y45" i="142" s="1"/>
  <c r="AK44" i="142"/>
  <c r="AK45" i="142" s="1"/>
  <c r="T34" i="142"/>
  <c r="AF34" i="142"/>
  <c r="AR34" i="142"/>
  <c r="BD34" i="142"/>
  <c r="S35" i="142"/>
  <c r="AE35" i="142"/>
  <c r="AQ35" i="142"/>
  <c r="BC35" i="142"/>
  <c r="BT43" i="142"/>
  <c r="AO79" i="142"/>
  <c r="AQ84" i="142"/>
  <c r="AQ85" i="142" s="1"/>
  <c r="AI119" i="142"/>
  <c r="AK124" i="142"/>
  <c r="AK125" i="142" s="1"/>
  <c r="AO159" i="142"/>
  <c r="AQ164" i="142"/>
  <c r="AQ165" i="142" s="1"/>
  <c r="I34" i="142"/>
  <c r="T35" i="142"/>
  <c r="AP159" i="142"/>
  <c r="AG34" i="142"/>
  <c r="AR35" i="142"/>
  <c r="BU43" i="142"/>
  <c r="BT23" i="142"/>
  <c r="BT24" i="142"/>
  <c r="J34" i="142"/>
  <c r="V34" i="142"/>
  <c r="AH34" i="142"/>
  <c r="AT34" i="142"/>
  <c r="BF34" i="142"/>
  <c r="I35" i="142"/>
  <c r="U35" i="142"/>
  <c r="AG35" i="142"/>
  <c r="AS35" i="142"/>
  <c r="BE35" i="142"/>
  <c r="AF39" i="142"/>
  <c r="BD39" i="142"/>
  <c r="AZ44" i="142"/>
  <c r="AZ45" i="142" s="1"/>
  <c r="AQ79" i="142"/>
  <c r="AK119" i="142"/>
  <c r="AQ159" i="142"/>
  <c r="U34" i="142"/>
  <c r="AS34" i="142"/>
  <c r="BU23" i="142"/>
  <c r="BU24" i="142"/>
  <c r="K34" i="142"/>
  <c r="W34" i="142"/>
  <c r="AI34" i="142"/>
  <c r="AU34" i="142"/>
  <c r="BG34" i="142"/>
  <c r="J35" i="142"/>
  <c r="V35" i="142"/>
  <c r="AH35" i="142"/>
  <c r="AT35" i="142"/>
  <c r="BF35" i="142"/>
  <c r="BE39" i="142"/>
  <c r="BA44" i="142"/>
  <c r="BA45" i="142" s="1"/>
  <c r="BV23" i="142"/>
  <c r="L34" i="142"/>
  <c r="X34" i="142"/>
  <c r="AJ34" i="142"/>
  <c r="K35" i="142"/>
  <c r="W35" i="142"/>
  <c r="AI35" i="142"/>
  <c r="AU35" i="142"/>
  <c r="BG35" i="142"/>
  <c r="BB44" i="142"/>
  <c r="BB45" i="142" s="1"/>
  <c r="BW23" i="142"/>
  <c r="BX23" i="142" s="1"/>
  <c r="M34" i="142"/>
  <c r="Y34" i="142"/>
  <c r="AK34" i="142"/>
  <c r="AW34" i="142"/>
  <c r="BI34" i="142"/>
  <c r="L35" i="142"/>
  <c r="X35" i="142"/>
  <c r="AJ35" i="142"/>
  <c r="BX39" i="142" l="1"/>
  <c r="BS39" i="142"/>
  <c r="AY39" i="142"/>
  <c r="AY35" i="142"/>
  <c r="AY34" i="142"/>
  <c r="AX34" i="142"/>
  <c r="AX39" i="142"/>
  <c r="AX35" i="142"/>
  <c r="BS34" i="142"/>
  <c r="BV44" i="142"/>
  <c r="BT44" i="142"/>
  <c r="AU45" i="142"/>
  <c r="BV34" i="142"/>
  <c r="BT34" i="142"/>
  <c r="BT35" i="142"/>
  <c r="BV35" i="142"/>
  <c r="BW35" i="142"/>
  <c r="BX35" i="142" s="1"/>
  <c r="BU35" i="142"/>
  <c r="BI45" i="142"/>
  <c r="BS44" i="142"/>
  <c r="BU34" i="142"/>
  <c r="BW34" i="142"/>
  <c r="BX34" i="142" s="1"/>
  <c r="BW44" i="142"/>
  <c r="BX44" i="142" s="1"/>
  <c r="BU44" i="142"/>
  <c r="BG45" i="142"/>
  <c r="BW45" i="142" l="1"/>
  <c r="BU45" i="142"/>
  <c r="BV45" i="142"/>
  <c r="BT45" i="142"/>
  <c r="BX45" i="142"/>
  <c r="BS45" i="142"/>
  <c r="BP18" i="80" l="1"/>
  <c r="BQ18" i="80"/>
  <c r="BS18" i="80"/>
  <c r="BU18" i="80"/>
  <c r="BR18" i="80"/>
  <c r="BT18" i="80"/>
  <c r="BJ18" i="80"/>
  <c r="BK18" i="80"/>
  <c r="BL18" i="80"/>
  <c r="BM18" i="80"/>
  <c r="BN18" i="80"/>
  <c r="BO18" i="80"/>
  <c r="E64" i="107" l="1"/>
  <c r="E62" i="107"/>
  <c r="H71" i="107"/>
  <c r="I71" i="107" s="1"/>
  <c r="H72" i="107"/>
  <c r="I72" i="107" s="1"/>
  <c r="E63" i="107"/>
  <c r="H68" i="107"/>
  <c r="H62" i="107"/>
  <c r="H69" i="107"/>
  <c r="I69" i="107" s="1"/>
  <c r="H64" i="107"/>
  <c r="I64" i="107" s="1"/>
  <c r="H63" i="107"/>
  <c r="H67" i="107"/>
  <c r="I73" i="107" l="1"/>
  <c r="I68" i="107"/>
  <c r="I62" i="107"/>
  <c r="I63" i="107"/>
  <c r="I66" i="107"/>
  <c r="I67" i="107"/>
  <c r="V5" i="139" l="1"/>
  <c r="O4" i="138"/>
  <c r="W21" i="139" l="1"/>
  <c r="W20" i="139"/>
  <c r="W19" i="139"/>
  <c r="W18" i="139"/>
  <c r="W17" i="139"/>
  <c r="W16" i="139"/>
  <c r="S23" i="138"/>
  <c r="S20" i="138"/>
  <c r="S19" i="138"/>
  <c r="S18" i="138"/>
  <c r="S17" i="138"/>
  <c r="S16" i="138"/>
  <c r="S15" i="138"/>
  <c r="S13" i="138"/>
  <c r="S12" i="138"/>
  <c r="S11" i="138"/>
  <c r="S10" i="138"/>
  <c r="S9" i="138"/>
  <c r="S8" i="138"/>
  <c r="G12" i="138"/>
  <c r="G13" i="138" s="1"/>
  <c r="G14" i="138" s="1"/>
  <c r="V7" i="139"/>
  <c r="Q24" i="139" s="1"/>
  <c r="O6" i="138"/>
  <c r="K26" i="138" s="1"/>
  <c r="AD6" i="137"/>
  <c r="AB6" i="137"/>
  <c r="Z6" i="137"/>
  <c r="X6" i="137"/>
  <c r="V6" i="137"/>
  <c r="T6" i="137"/>
  <c r="G25" i="137" s="1"/>
  <c r="H11" i="139" l="1"/>
  <c r="K30" i="139"/>
  <c r="H14" i="139"/>
  <c r="N5" i="139"/>
  <c r="T11" i="139"/>
  <c r="K7" i="139"/>
  <c r="N21" i="139"/>
  <c r="K9" i="139"/>
  <c r="K10" i="139"/>
  <c r="K11" i="139"/>
  <c r="N30" i="139"/>
  <c r="H12" i="139"/>
  <c r="T10" i="139"/>
  <c r="H20" i="139"/>
  <c r="N6" i="139"/>
  <c r="T12" i="139"/>
  <c r="K8" i="139"/>
  <c r="N28" i="139"/>
  <c r="K12" i="139"/>
  <c r="T9" i="139"/>
  <c r="H21" i="139"/>
  <c r="N7" i="139"/>
  <c r="T13" i="139"/>
  <c r="N20" i="139"/>
  <c r="N22" i="139"/>
  <c r="N29" i="139"/>
  <c r="K24" i="139"/>
  <c r="H13" i="139"/>
  <c r="H22" i="139"/>
  <c r="N8" i="139"/>
  <c r="T19" i="139"/>
  <c r="T21" i="139"/>
  <c r="K20" i="139"/>
  <c r="T22" i="139"/>
  <c r="K18" i="139"/>
  <c r="Q25" i="139"/>
  <c r="H23" i="139"/>
  <c r="N17" i="139"/>
  <c r="Q28" i="139"/>
  <c r="T23" i="139"/>
  <c r="N9" i="139"/>
  <c r="T20" i="139"/>
  <c r="K19" i="139"/>
  <c r="Q26" i="139"/>
  <c r="H24" i="139"/>
  <c r="N16" i="139"/>
  <c r="H8" i="139"/>
  <c r="K21" i="139"/>
  <c r="H9" i="139"/>
  <c r="H26" i="139"/>
  <c r="K22" i="139"/>
  <c r="N18" i="139"/>
  <c r="T7" i="139"/>
  <c r="T24" i="139"/>
  <c r="N10" i="139"/>
  <c r="Q27" i="139"/>
  <c r="H25" i="139"/>
  <c r="H10" i="139"/>
  <c r="K6" i="139"/>
  <c r="K23" i="139"/>
  <c r="N19" i="139"/>
  <c r="T8" i="139"/>
  <c r="T25" i="139"/>
  <c r="H15" i="139"/>
  <c r="K25" i="139"/>
  <c r="N11" i="139"/>
  <c r="N23" i="139"/>
  <c r="Q29" i="139"/>
  <c r="T14" i="139"/>
  <c r="T26" i="139"/>
  <c r="H16" i="139"/>
  <c r="K26" i="139"/>
  <c r="N24" i="139"/>
  <c r="Q30" i="139"/>
  <c r="T15" i="139"/>
  <c r="T27" i="139"/>
  <c r="K27" i="139"/>
  <c r="N13" i="139"/>
  <c r="N25" i="139"/>
  <c r="T4" i="139"/>
  <c r="T16" i="139"/>
  <c r="T28" i="139"/>
  <c r="N14" i="139"/>
  <c r="T5" i="139"/>
  <c r="T17" i="139"/>
  <c r="T29" i="139"/>
  <c r="H27" i="139"/>
  <c r="K13" i="139"/>
  <c r="H28" i="139"/>
  <c r="K14" i="139"/>
  <c r="N12" i="139"/>
  <c r="H5" i="139"/>
  <c r="H17" i="139"/>
  <c r="H29" i="139"/>
  <c r="K15" i="139"/>
  <c r="H6" i="139"/>
  <c r="H18" i="139"/>
  <c r="H30" i="139"/>
  <c r="K16" i="139"/>
  <c r="K28" i="139"/>
  <c r="N26" i="139"/>
  <c r="H7" i="139"/>
  <c r="H19" i="139"/>
  <c r="K5" i="139"/>
  <c r="K17" i="139"/>
  <c r="K29" i="139"/>
  <c r="N15" i="139"/>
  <c r="N27" i="139"/>
  <c r="T6" i="139"/>
  <c r="T18" i="139"/>
  <c r="T30" i="139"/>
  <c r="Q20" i="139"/>
  <c r="Q8" i="139"/>
  <c r="Q9" i="139"/>
  <c r="Q12" i="139"/>
  <c r="Q6" i="139"/>
  <c r="Q13" i="139"/>
  <c r="Q16" i="139"/>
  <c r="H11" i="138"/>
  <c r="G15" i="138"/>
  <c r="G16" i="138" s="1"/>
  <c r="G17" i="138" s="1"/>
  <c r="H14" i="138"/>
  <c r="Q10" i="139"/>
  <c r="H4" i="139"/>
  <c r="Q22" i="139"/>
  <c r="Q14" i="139"/>
  <c r="Q17" i="139"/>
  <c r="Q15" i="139"/>
  <c r="Q5" i="139"/>
  <c r="Q23" i="139"/>
  <c r="K4" i="139"/>
  <c r="Q19" i="139"/>
  <c r="Q11" i="139"/>
  <c r="H12" i="138"/>
  <c r="H13" i="138"/>
  <c r="N4" i="139"/>
  <c r="Q4" i="139"/>
  <c r="Q7" i="139"/>
  <c r="Q18" i="139"/>
  <c r="Q21" i="139"/>
  <c r="G31" i="137"/>
  <c r="J12" i="137"/>
  <c r="J24" i="137"/>
  <c r="M5" i="137"/>
  <c r="P22" i="137"/>
  <c r="P23" i="137"/>
  <c r="P25" i="137"/>
  <c r="M17" i="137"/>
  <c r="J13" i="137"/>
  <c r="P11" i="137"/>
  <c r="J14" i="137"/>
  <c r="M31" i="137"/>
  <c r="M8" i="137"/>
  <c r="P26" i="137"/>
  <c r="J32" i="137"/>
  <c r="M6" i="137"/>
  <c r="M19" i="137"/>
  <c r="J3" i="137"/>
  <c r="M32" i="137"/>
  <c r="J28" i="137"/>
  <c r="M21" i="137"/>
  <c r="J17" i="137"/>
  <c r="M10" i="137"/>
  <c r="P3" i="137"/>
  <c r="J6" i="137"/>
  <c r="P4" i="137"/>
  <c r="G26" i="137"/>
  <c r="M12" i="137"/>
  <c r="P19" i="137"/>
  <c r="P10" i="137"/>
  <c r="J25" i="137"/>
  <c r="M30" i="137"/>
  <c r="J26" i="137"/>
  <c r="P24" i="137"/>
  <c r="J27" i="137"/>
  <c r="P13" i="137"/>
  <c r="J16" i="137"/>
  <c r="M33" i="137"/>
  <c r="J5" i="137"/>
  <c r="M22" i="137"/>
  <c r="P27" i="137"/>
  <c r="J30" i="137"/>
  <c r="M23" i="137"/>
  <c r="P28" i="137"/>
  <c r="J7" i="137"/>
  <c r="J19" i="137"/>
  <c r="M24" i="137"/>
  <c r="P17" i="137"/>
  <c r="J8" i="137"/>
  <c r="M13" i="137"/>
  <c r="P30" i="137"/>
  <c r="G28" i="137"/>
  <c r="J21" i="137"/>
  <c r="M26" i="137"/>
  <c r="J10" i="137"/>
  <c r="M3" i="137"/>
  <c r="M27" i="137"/>
  <c r="P8" i="137"/>
  <c r="P20" i="137"/>
  <c r="P32" i="137"/>
  <c r="M29" i="137"/>
  <c r="G32" i="137"/>
  <c r="M18" i="137"/>
  <c r="G33" i="137"/>
  <c r="M7" i="137"/>
  <c r="P12" i="137"/>
  <c r="J15" i="137"/>
  <c r="M20" i="137"/>
  <c r="J4" i="137"/>
  <c r="M9" i="137"/>
  <c r="P14" i="137"/>
  <c r="J29" i="137"/>
  <c r="P15" i="137"/>
  <c r="J18" i="137"/>
  <c r="M11" i="137"/>
  <c r="P16" i="137"/>
  <c r="J31" i="137"/>
  <c r="P5" i="137"/>
  <c r="P29" i="137"/>
  <c r="G27" i="137"/>
  <c r="J20" i="137"/>
  <c r="M25" i="137"/>
  <c r="P6" i="137"/>
  <c r="P18" i="137"/>
  <c r="J9" i="137"/>
  <c r="J33" i="137"/>
  <c r="M14" i="137"/>
  <c r="P7" i="137"/>
  <c r="P31" i="137"/>
  <c r="G29" i="137"/>
  <c r="J22" i="137"/>
  <c r="M15" i="137"/>
  <c r="G30" i="137"/>
  <c r="J11" i="137"/>
  <c r="J23" i="137"/>
  <c r="M4" i="137"/>
  <c r="M16" i="137"/>
  <c r="M28" i="137"/>
  <c r="P9" i="137"/>
  <c r="P21" i="137"/>
  <c r="P33" i="137"/>
  <c r="G13" i="137"/>
  <c r="G14" i="137"/>
  <c r="G16" i="137"/>
  <c r="G9" i="137"/>
  <c r="G17" i="137"/>
  <c r="G18" i="137"/>
  <c r="G19" i="137"/>
  <c r="G20" i="137"/>
  <c r="G21" i="137"/>
  <c r="G22" i="137"/>
  <c r="G11" i="137"/>
  <c r="G23" i="137"/>
  <c r="G12" i="137"/>
  <c r="G24" i="137"/>
  <c r="Z23" i="137"/>
  <c r="G7" i="137"/>
  <c r="G6" i="137"/>
  <c r="Z21" i="137"/>
  <c r="G5" i="137"/>
  <c r="Z20" i="137"/>
  <c r="G4" i="137"/>
  <c r="Z19" i="137"/>
  <c r="G3" i="137"/>
  <c r="Z18" i="137"/>
  <c r="G10" i="137"/>
  <c r="Z22" i="137"/>
  <c r="Z17" i="137"/>
  <c r="G15" i="137"/>
  <c r="G8" i="137"/>
  <c r="H16" i="138" l="1"/>
  <c r="H15" i="138"/>
  <c r="H17" i="138"/>
  <c r="G18" i="138"/>
  <c r="G19" i="138" l="1"/>
  <c r="H18" i="138"/>
  <c r="F61" i="82"/>
  <c r="BE46" i="99"/>
  <c r="BF46" i="99" l="1"/>
  <c r="B63" i="107"/>
  <c r="G20" i="138"/>
  <c r="H19" i="138"/>
  <c r="BR43" i="99" l="1"/>
  <c r="I742" i="155" s="1"/>
  <c r="BG46" i="99"/>
  <c r="BS43" i="99"/>
  <c r="I820" i="155" s="1"/>
  <c r="J63" i="107"/>
  <c r="G21" i="138"/>
  <c r="H20" i="138"/>
  <c r="E65" i="82"/>
  <c r="C61" i="82"/>
  <c r="C60" i="82"/>
  <c r="C59" i="82"/>
  <c r="C58" i="82"/>
  <c r="C57" i="82"/>
  <c r="C56" i="82"/>
  <c r="C55" i="82"/>
  <c r="C54" i="82"/>
  <c r="C53" i="82"/>
  <c r="C52" i="82"/>
  <c r="C51" i="82"/>
  <c r="C50" i="82"/>
  <c r="I837" i="155" l="1"/>
  <c r="I759" i="155"/>
  <c r="BH46" i="99"/>
  <c r="G22" i="138"/>
  <c r="H21" i="138"/>
  <c r="E73" i="82"/>
  <c r="G73" i="82"/>
  <c r="G62" i="82"/>
  <c r="G69" i="82"/>
  <c r="E62" i="82"/>
  <c r="E63" i="82"/>
  <c r="G63" i="82"/>
  <c r="E70" i="82"/>
  <c r="G70" i="82"/>
  <c r="G65" i="82"/>
  <c r="C65" i="82" s="1"/>
  <c r="G66" i="82"/>
  <c r="E67" i="82"/>
  <c r="G68" i="82"/>
  <c r="E71" i="82"/>
  <c r="G71" i="82"/>
  <c r="E64" i="82"/>
  <c r="E66" i="82"/>
  <c r="G67" i="82"/>
  <c r="E72" i="82"/>
  <c r="G72" i="82"/>
  <c r="G64" i="82"/>
  <c r="E68" i="82"/>
  <c r="E69" i="82"/>
  <c r="BT43" i="99" l="1"/>
  <c r="I898" i="155" s="1"/>
  <c r="BI46" i="99"/>
  <c r="C73" i="82"/>
  <c r="C68" i="82"/>
  <c r="G23" i="138"/>
  <c r="H22" i="138"/>
  <c r="C62" i="82"/>
  <c r="C69" i="82"/>
  <c r="C66" i="82"/>
  <c r="C67" i="82"/>
  <c r="C70" i="82"/>
  <c r="C72" i="82"/>
  <c r="C63" i="82"/>
  <c r="C64" i="82"/>
  <c r="C71" i="82"/>
  <c r="I915" i="155" l="1"/>
  <c r="BU43" i="99"/>
  <c r="I976" i="155" s="1"/>
  <c r="BJ46" i="99"/>
  <c r="G24" i="138"/>
  <c r="H23" i="138"/>
  <c r="B73" i="82"/>
  <c r="B72" i="82"/>
  <c r="B71" i="82"/>
  <c r="B70" i="82"/>
  <c r="B69" i="82"/>
  <c r="B68" i="82"/>
  <c r="B67" i="82"/>
  <c r="B66" i="82"/>
  <c r="B65" i="82"/>
  <c r="B64" i="82"/>
  <c r="B63" i="82"/>
  <c r="B62" i="82"/>
  <c r="I993" i="155" l="1"/>
  <c r="BV43" i="99"/>
  <c r="I1054" i="155" s="1"/>
  <c r="BK46" i="99"/>
  <c r="BW43" i="99"/>
  <c r="G25" i="138"/>
  <c r="H24" i="138"/>
  <c r="I1132" i="155" l="1"/>
  <c r="I1071" i="155"/>
  <c r="BL46" i="99"/>
  <c r="G26" i="138"/>
  <c r="H25" i="138"/>
  <c r="BP37" i="99"/>
  <c r="BP24" i="99"/>
  <c r="BP23" i="99"/>
  <c r="BP19" i="99"/>
  <c r="BP16" i="99"/>
  <c r="BP14" i="99"/>
  <c r="I1149" i="155" l="1"/>
  <c r="BX43" i="99"/>
  <c r="BM46" i="99"/>
  <c r="BY43" i="99"/>
  <c r="J11" i="138"/>
  <c r="H26" i="138"/>
  <c r="BD43" i="99"/>
  <c r="I1288" i="155" l="1"/>
  <c r="I1210" i="155"/>
  <c r="BN46" i="99"/>
  <c r="BZ43" i="99"/>
  <c r="J12" i="138"/>
  <c r="K11" i="138"/>
  <c r="I1366" i="155" l="1"/>
  <c r="I1227" i="155"/>
  <c r="I1305" i="155"/>
  <c r="BO46" i="99"/>
  <c r="CA43" i="99"/>
  <c r="BV13" i="80"/>
  <c r="B68" i="107"/>
  <c r="B70" i="107"/>
  <c r="B71" i="107"/>
  <c r="B66" i="107"/>
  <c r="B67" i="107"/>
  <c r="B69" i="107"/>
  <c r="B73" i="107"/>
  <c r="B62" i="107"/>
  <c r="B72" i="107"/>
  <c r="B64" i="107"/>
  <c r="B65" i="107"/>
  <c r="J13" i="138"/>
  <c r="K12" i="138"/>
  <c r="I1383" i="155" l="1"/>
  <c r="I1444" i="155"/>
  <c r="CC25" i="99"/>
  <c r="CC26" i="99"/>
  <c r="J66" i="107"/>
  <c r="J67" i="107"/>
  <c r="J71" i="107"/>
  <c r="J69" i="107"/>
  <c r="J64" i="107"/>
  <c r="J72" i="107"/>
  <c r="J70" i="107"/>
  <c r="J68" i="107"/>
  <c r="J73" i="107"/>
  <c r="J14" i="138"/>
  <c r="K13" i="138"/>
  <c r="I1461" i="155" l="1"/>
  <c r="CB43" i="99"/>
  <c r="CC21" i="99"/>
  <c r="P1" i="140"/>
  <c r="J62" i="107"/>
  <c r="J15" i="138"/>
  <c r="K14" i="138"/>
  <c r="H21" i="149"/>
  <c r="I1522" i="155" l="1"/>
  <c r="B27" i="149"/>
  <c r="O4" i="140"/>
  <c r="O1" i="140"/>
  <c r="J16" i="138"/>
  <c r="K15" i="138"/>
  <c r="I1539" i="155" l="1"/>
  <c r="C27" i="149"/>
  <c r="C26" i="149"/>
  <c r="P3" i="140"/>
  <c r="P2" i="140"/>
  <c r="J17" i="138"/>
  <c r="K16" i="138"/>
  <c r="C2" i="140" l="1"/>
  <c r="H2" i="140"/>
  <c r="E2" i="140"/>
  <c r="D2" i="140"/>
  <c r="B2" i="140"/>
  <c r="C3" i="140"/>
  <c r="H3" i="140"/>
  <c r="E3" i="140"/>
  <c r="D3" i="140"/>
  <c r="B3" i="140"/>
  <c r="K2" i="140"/>
  <c r="G2" i="140"/>
  <c r="I2" i="140"/>
  <c r="L2" i="140"/>
  <c r="F2" i="140"/>
  <c r="M2" i="140"/>
  <c r="J2" i="140"/>
  <c r="K3" i="140"/>
  <c r="G3" i="140"/>
  <c r="I3" i="140"/>
  <c r="L3" i="140"/>
  <c r="F3" i="140"/>
  <c r="M3" i="140"/>
  <c r="J3" i="140"/>
  <c r="J18" i="138"/>
  <c r="K17" i="138"/>
  <c r="J19" i="138" l="1"/>
  <c r="K18" i="138"/>
  <c r="J20" i="138" l="1"/>
  <c r="K19" i="138"/>
  <c r="H5" i="134"/>
  <c r="J21" i="138" l="1"/>
  <c r="K20" i="138"/>
  <c r="K21" i="138" l="1"/>
  <c r="J22" i="138"/>
  <c r="J23" i="138" l="1"/>
  <c r="K22" i="138"/>
  <c r="J24" i="138" l="1"/>
  <c r="K23" i="138"/>
  <c r="J25" i="138" l="1"/>
  <c r="K25" i="138" s="1"/>
  <c r="K24" i="138"/>
  <c r="AC15" i="99" l="1"/>
  <c r="E288" i="135" l="1"/>
  <c r="D288" i="135"/>
  <c r="F288" i="135" s="1"/>
  <c r="E287" i="135"/>
  <c r="D287" i="135"/>
  <c r="F287" i="135" s="1"/>
  <c r="E286" i="135"/>
  <c r="E289" i="135" s="1"/>
  <c r="D286" i="135"/>
  <c r="D289" i="135" s="1"/>
  <c r="E284" i="135"/>
  <c r="D284" i="135"/>
  <c r="E283" i="135"/>
  <c r="D283" i="135"/>
  <c r="F283" i="135" s="1"/>
  <c r="E282" i="135"/>
  <c r="D282" i="135"/>
  <c r="E280" i="135"/>
  <c r="D280" i="135"/>
  <c r="F280" i="135" s="1"/>
  <c r="E279" i="135"/>
  <c r="D279" i="135"/>
  <c r="F279" i="135" s="1"/>
  <c r="E278" i="135"/>
  <c r="E281" i="135" s="1"/>
  <c r="D278" i="135"/>
  <c r="D281" i="135" s="1"/>
  <c r="E276" i="135"/>
  <c r="D276" i="135"/>
  <c r="E275" i="135"/>
  <c r="D275" i="135"/>
  <c r="F275" i="135" s="1"/>
  <c r="E274" i="135"/>
  <c r="D274" i="135"/>
  <c r="E272" i="135"/>
  <c r="D272" i="135"/>
  <c r="F272" i="135" s="1"/>
  <c r="E271" i="135"/>
  <c r="D271" i="135"/>
  <c r="F271" i="135" s="1"/>
  <c r="E270" i="135"/>
  <c r="E273" i="135" s="1"/>
  <c r="D270" i="135"/>
  <c r="D273" i="135" s="1"/>
  <c r="E268" i="135"/>
  <c r="D268" i="135"/>
  <c r="E267" i="135"/>
  <c r="D267" i="135"/>
  <c r="F267" i="135" s="1"/>
  <c r="E266" i="135"/>
  <c r="D266" i="135"/>
  <c r="E264" i="135"/>
  <c r="D264" i="135"/>
  <c r="F264" i="135" s="1"/>
  <c r="E263" i="135"/>
  <c r="D263" i="135"/>
  <c r="F263" i="135" s="1"/>
  <c r="E262" i="135"/>
  <c r="E265" i="135" s="1"/>
  <c r="D262" i="135"/>
  <c r="D265" i="135" s="1"/>
  <c r="E260" i="135"/>
  <c r="F260" i="135" s="1"/>
  <c r="E259" i="135"/>
  <c r="D259" i="135"/>
  <c r="E258" i="135"/>
  <c r="E261" i="135" s="1"/>
  <c r="D258" i="135"/>
  <c r="E256" i="135"/>
  <c r="D256" i="135"/>
  <c r="E255" i="135"/>
  <c r="D255" i="135"/>
  <c r="E254" i="135"/>
  <c r="D254" i="135"/>
  <c r="D257" i="135" s="1"/>
  <c r="E252" i="135"/>
  <c r="D252" i="135"/>
  <c r="E251" i="135"/>
  <c r="D251" i="135"/>
  <c r="F251" i="135" s="1"/>
  <c r="E250" i="135"/>
  <c r="E253" i="135" s="1"/>
  <c r="D250" i="135"/>
  <c r="E248" i="135"/>
  <c r="D248" i="135"/>
  <c r="E247" i="135"/>
  <c r="D247" i="135"/>
  <c r="E246" i="135"/>
  <c r="D246" i="135"/>
  <c r="D249" i="135" s="1"/>
  <c r="E244" i="135"/>
  <c r="D244" i="135"/>
  <c r="E243" i="135"/>
  <c r="D243" i="135"/>
  <c r="F243" i="135" s="1"/>
  <c r="E242" i="135"/>
  <c r="E245" i="135" s="1"/>
  <c r="D242" i="135"/>
  <c r="E241" i="135"/>
  <c r="D241" i="135"/>
  <c r="F240" i="135"/>
  <c r="F239" i="135"/>
  <c r="F238" i="135"/>
  <c r="E237" i="135"/>
  <c r="D237" i="135"/>
  <c r="F236" i="135"/>
  <c r="F235" i="135"/>
  <c r="F234" i="135"/>
  <c r="E233" i="135"/>
  <c r="D233" i="135"/>
  <c r="F232" i="135"/>
  <c r="F231" i="135"/>
  <c r="F230" i="135"/>
  <c r="E229" i="135"/>
  <c r="D229" i="135"/>
  <c r="F229" i="135" s="1"/>
  <c r="F228" i="135"/>
  <c r="F227" i="135"/>
  <c r="F226" i="135"/>
  <c r="E225" i="135"/>
  <c r="D225" i="135"/>
  <c r="F225" i="135" s="1"/>
  <c r="F224" i="135"/>
  <c r="F223" i="135"/>
  <c r="F222" i="135"/>
  <c r="E221" i="135"/>
  <c r="D221" i="135"/>
  <c r="F221" i="135" s="1"/>
  <c r="F220" i="135"/>
  <c r="F219" i="135"/>
  <c r="F218" i="135"/>
  <c r="E217" i="135"/>
  <c r="D217" i="135"/>
  <c r="F216" i="135"/>
  <c r="F215" i="135"/>
  <c r="F214" i="135"/>
  <c r="E213" i="135"/>
  <c r="D213" i="135"/>
  <c r="F213" i="135" s="1"/>
  <c r="F212" i="135"/>
  <c r="F211" i="135"/>
  <c r="F210" i="135"/>
  <c r="E209" i="135"/>
  <c r="D209" i="135"/>
  <c r="F209" i="135" s="1"/>
  <c r="F208" i="135"/>
  <c r="F207" i="135"/>
  <c r="F206" i="135"/>
  <c r="E205" i="135"/>
  <c r="D205" i="135"/>
  <c r="F205" i="135" s="1"/>
  <c r="F204" i="135"/>
  <c r="F203" i="135"/>
  <c r="F202" i="135"/>
  <c r="E201" i="135"/>
  <c r="D201" i="135"/>
  <c r="F200" i="135"/>
  <c r="F199" i="135"/>
  <c r="F198" i="135"/>
  <c r="E197" i="135"/>
  <c r="D197" i="135"/>
  <c r="F196" i="135"/>
  <c r="F195" i="135"/>
  <c r="F194" i="135"/>
  <c r="E193" i="135"/>
  <c r="D193" i="135"/>
  <c r="F192" i="135"/>
  <c r="F191" i="135"/>
  <c r="F190" i="135"/>
  <c r="E189" i="135"/>
  <c r="D189" i="135"/>
  <c r="F188" i="135"/>
  <c r="F187" i="135"/>
  <c r="F186" i="135"/>
  <c r="E185" i="135"/>
  <c r="D185" i="135"/>
  <c r="F184" i="135"/>
  <c r="F183" i="135"/>
  <c r="F182" i="135"/>
  <c r="E181" i="135"/>
  <c r="D181" i="135"/>
  <c r="F181" i="135" s="1"/>
  <c r="F180" i="135"/>
  <c r="F179" i="135"/>
  <c r="F178" i="135"/>
  <c r="E177" i="135"/>
  <c r="D177" i="135"/>
  <c r="F177" i="135" s="1"/>
  <c r="F176" i="135"/>
  <c r="F175" i="135"/>
  <c r="F174" i="135"/>
  <c r="E173" i="135"/>
  <c r="D173" i="135"/>
  <c r="F173" i="135" s="1"/>
  <c r="F172" i="135"/>
  <c r="F171" i="135"/>
  <c r="F170" i="135"/>
  <c r="E169" i="135"/>
  <c r="D169" i="135"/>
  <c r="F168" i="135"/>
  <c r="F167" i="135"/>
  <c r="F166" i="135"/>
  <c r="E165" i="135"/>
  <c r="D165" i="135"/>
  <c r="F165" i="135" s="1"/>
  <c r="F164" i="135"/>
  <c r="F163" i="135"/>
  <c r="F162" i="135"/>
  <c r="E161" i="135"/>
  <c r="D161" i="135"/>
  <c r="F161" i="135" s="1"/>
  <c r="F160" i="135"/>
  <c r="F159" i="135"/>
  <c r="F158" i="135"/>
  <c r="E157" i="135"/>
  <c r="D157" i="135"/>
  <c r="F157" i="135" s="1"/>
  <c r="F156" i="135"/>
  <c r="F155" i="135"/>
  <c r="F154" i="135"/>
  <c r="E153" i="135"/>
  <c r="D153" i="135"/>
  <c r="F152" i="135"/>
  <c r="F151" i="135"/>
  <c r="F150" i="135"/>
  <c r="E149" i="135"/>
  <c r="D149" i="135"/>
  <c r="F148" i="135"/>
  <c r="F147" i="135"/>
  <c r="F146" i="135"/>
  <c r="E144" i="135"/>
  <c r="D144" i="135"/>
  <c r="E143" i="135"/>
  <c r="D143" i="135"/>
  <c r="E142" i="135"/>
  <c r="D142" i="135"/>
  <c r="F142" i="135" s="1"/>
  <c r="E140" i="135"/>
  <c r="D140" i="135"/>
  <c r="E139" i="135"/>
  <c r="D139" i="135"/>
  <c r="F139" i="135" s="1"/>
  <c r="E138" i="135"/>
  <c r="D138" i="135"/>
  <c r="E136" i="135"/>
  <c r="D136" i="135"/>
  <c r="E135" i="135"/>
  <c r="D135" i="135"/>
  <c r="E134" i="135"/>
  <c r="D134" i="135"/>
  <c r="F134" i="135" s="1"/>
  <c r="E132" i="135"/>
  <c r="D132" i="135"/>
  <c r="E131" i="135"/>
  <c r="D131" i="135"/>
  <c r="F131" i="135" s="1"/>
  <c r="E130" i="135"/>
  <c r="D130" i="135"/>
  <c r="E128" i="135"/>
  <c r="D128" i="135"/>
  <c r="E127" i="135"/>
  <c r="D127" i="135"/>
  <c r="E126" i="135"/>
  <c r="D126" i="135"/>
  <c r="F126" i="135" s="1"/>
  <c r="E124" i="135"/>
  <c r="D124" i="135"/>
  <c r="E123" i="135"/>
  <c r="D123" i="135"/>
  <c r="F123" i="135" s="1"/>
  <c r="E122" i="135"/>
  <c r="D122" i="135"/>
  <c r="E120" i="135"/>
  <c r="D120" i="135"/>
  <c r="E119" i="135"/>
  <c r="D119" i="135"/>
  <c r="E118" i="135"/>
  <c r="D118" i="135"/>
  <c r="F118" i="135" s="1"/>
  <c r="E116" i="135"/>
  <c r="D116" i="135"/>
  <c r="E115" i="135"/>
  <c r="D115" i="135"/>
  <c r="F115" i="135" s="1"/>
  <c r="E114" i="135"/>
  <c r="D114" i="135"/>
  <c r="E112" i="135"/>
  <c r="D112" i="135"/>
  <c r="E111" i="135"/>
  <c r="D111" i="135"/>
  <c r="E110" i="135"/>
  <c r="D110" i="135"/>
  <c r="F110" i="135" s="1"/>
  <c r="E108" i="135"/>
  <c r="D108" i="135"/>
  <c r="E107" i="135"/>
  <c r="D107" i="135"/>
  <c r="F107" i="135" s="1"/>
  <c r="E106" i="135"/>
  <c r="D106" i="135"/>
  <c r="E104" i="135"/>
  <c r="D104" i="135"/>
  <c r="E103" i="135"/>
  <c r="D103" i="135"/>
  <c r="E102" i="135"/>
  <c r="D102" i="135"/>
  <c r="F102" i="135" s="1"/>
  <c r="E100" i="135"/>
  <c r="D100" i="135"/>
  <c r="E99" i="135"/>
  <c r="D99" i="135"/>
  <c r="F99" i="135" s="1"/>
  <c r="E98" i="135"/>
  <c r="D98" i="135"/>
  <c r="E97" i="135"/>
  <c r="D97" i="135"/>
  <c r="F96" i="135"/>
  <c r="F95" i="135"/>
  <c r="F94" i="135"/>
  <c r="E93" i="135"/>
  <c r="D93" i="135"/>
  <c r="F92" i="135"/>
  <c r="F91" i="135"/>
  <c r="F90" i="135"/>
  <c r="E89" i="135"/>
  <c r="D89" i="135"/>
  <c r="F88" i="135"/>
  <c r="F87" i="135"/>
  <c r="F86" i="135"/>
  <c r="E85" i="135"/>
  <c r="D85" i="135"/>
  <c r="F85" i="135" s="1"/>
  <c r="F84" i="135"/>
  <c r="F83" i="135"/>
  <c r="F82" i="135"/>
  <c r="E81" i="135"/>
  <c r="D81" i="135"/>
  <c r="F81" i="135" s="1"/>
  <c r="F80" i="135"/>
  <c r="F79" i="135"/>
  <c r="F78" i="135"/>
  <c r="E77" i="135"/>
  <c r="D77" i="135"/>
  <c r="F77" i="135" s="1"/>
  <c r="F76" i="135"/>
  <c r="F75" i="135"/>
  <c r="F74" i="135"/>
  <c r="E73" i="135"/>
  <c r="D73" i="135"/>
  <c r="F72" i="135"/>
  <c r="F71" i="135"/>
  <c r="F70" i="135"/>
  <c r="E69" i="135"/>
  <c r="D69" i="135"/>
  <c r="F69" i="135" s="1"/>
  <c r="F68" i="135"/>
  <c r="F67" i="135"/>
  <c r="F66" i="135"/>
  <c r="E65" i="135"/>
  <c r="D65" i="135"/>
  <c r="F65" i="135" s="1"/>
  <c r="F64" i="135"/>
  <c r="F63" i="135"/>
  <c r="F62" i="135"/>
  <c r="E61" i="135"/>
  <c r="D61" i="135"/>
  <c r="F60" i="135"/>
  <c r="F59" i="135"/>
  <c r="F58" i="135"/>
  <c r="E57" i="135"/>
  <c r="D57" i="135"/>
  <c r="F56" i="135"/>
  <c r="F55" i="135"/>
  <c r="F54" i="135"/>
  <c r="E53" i="135"/>
  <c r="D53" i="135"/>
  <c r="F52" i="135"/>
  <c r="F51" i="135"/>
  <c r="F50" i="135"/>
  <c r="E49" i="135"/>
  <c r="E145" i="135" s="1"/>
  <c r="D49" i="135"/>
  <c r="F48" i="135"/>
  <c r="F47" i="135"/>
  <c r="F46" i="135"/>
  <c r="E45" i="135"/>
  <c r="E141" i="135" s="1"/>
  <c r="D45" i="135"/>
  <c r="D141" i="135" s="1"/>
  <c r="F44" i="135"/>
  <c r="F43" i="135"/>
  <c r="F42" i="135"/>
  <c r="E41" i="135"/>
  <c r="E137" i="135" s="1"/>
  <c r="D41" i="135"/>
  <c r="F40" i="135"/>
  <c r="F39" i="135"/>
  <c r="F38" i="135"/>
  <c r="E37" i="135"/>
  <c r="E133" i="135" s="1"/>
  <c r="D37" i="135"/>
  <c r="F37" i="135" s="1"/>
  <c r="F36" i="135"/>
  <c r="F35" i="135"/>
  <c r="F34" i="135"/>
  <c r="E33" i="135"/>
  <c r="E129" i="135" s="1"/>
  <c r="D33" i="135"/>
  <c r="F32" i="135"/>
  <c r="F31" i="135"/>
  <c r="F30" i="135"/>
  <c r="E29" i="135"/>
  <c r="E125" i="135" s="1"/>
  <c r="D29" i="135"/>
  <c r="D125" i="135" s="1"/>
  <c r="F125" i="135" s="1"/>
  <c r="F28" i="135"/>
  <c r="F27" i="135"/>
  <c r="F26" i="135"/>
  <c r="E25" i="135"/>
  <c r="E121" i="135" s="1"/>
  <c r="D25" i="135"/>
  <c r="F24" i="135"/>
  <c r="F23" i="135"/>
  <c r="F22" i="135"/>
  <c r="E21" i="135"/>
  <c r="E117" i="135" s="1"/>
  <c r="D21" i="135"/>
  <c r="D117" i="135" s="1"/>
  <c r="F117" i="135" s="1"/>
  <c r="F20" i="135"/>
  <c r="F19" i="135"/>
  <c r="F18" i="135"/>
  <c r="E17" i="135"/>
  <c r="E113" i="135" s="1"/>
  <c r="D17" i="135"/>
  <c r="F16" i="135"/>
  <c r="F15" i="135"/>
  <c r="F14" i="135"/>
  <c r="E13" i="135"/>
  <c r="E109" i="135" s="1"/>
  <c r="D13" i="135"/>
  <c r="D109" i="135" s="1"/>
  <c r="F12" i="135"/>
  <c r="F11" i="135"/>
  <c r="F10" i="135"/>
  <c r="E9" i="135"/>
  <c r="E105" i="135" s="1"/>
  <c r="D9" i="135"/>
  <c r="F8" i="135"/>
  <c r="F7" i="135"/>
  <c r="F6" i="135"/>
  <c r="E5" i="135"/>
  <c r="E101" i="135" s="1"/>
  <c r="D5" i="135"/>
  <c r="D101" i="135" s="1"/>
  <c r="F4" i="135"/>
  <c r="F3" i="135"/>
  <c r="F2" i="135"/>
  <c r="E288" i="124"/>
  <c r="D288" i="124"/>
  <c r="E287" i="124"/>
  <c r="D287" i="124"/>
  <c r="E286" i="124"/>
  <c r="D286" i="124"/>
  <c r="D289" i="124" s="1"/>
  <c r="E284" i="124"/>
  <c r="D284" i="124"/>
  <c r="E283" i="124"/>
  <c r="D283" i="124"/>
  <c r="E282" i="124"/>
  <c r="E285" i="124" s="1"/>
  <c r="D282" i="124"/>
  <c r="E280" i="124"/>
  <c r="D280" i="124"/>
  <c r="E279" i="124"/>
  <c r="D279" i="124"/>
  <c r="E278" i="124"/>
  <c r="D278" i="124"/>
  <c r="F278" i="124" s="1"/>
  <c r="E276" i="124"/>
  <c r="D276" i="124"/>
  <c r="E275" i="124"/>
  <c r="D275" i="124"/>
  <c r="E274" i="124"/>
  <c r="E277" i="124" s="1"/>
  <c r="D274" i="124"/>
  <c r="E272" i="124"/>
  <c r="D272" i="124"/>
  <c r="E271" i="124"/>
  <c r="D271" i="124"/>
  <c r="E270" i="124"/>
  <c r="D270" i="124"/>
  <c r="D273" i="124" s="1"/>
  <c r="E264" i="124"/>
  <c r="D264" i="124"/>
  <c r="E263" i="124"/>
  <c r="D263" i="124"/>
  <c r="E262" i="124"/>
  <c r="E265" i="124" s="1"/>
  <c r="D262" i="124"/>
  <c r="E260" i="124"/>
  <c r="F260" i="124" s="1"/>
  <c r="E259" i="124"/>
  <c r="D259" i="124"/>
  <c r="E258" i="124"/>
  <c r="D258" i="124"/>
  <c r="E256" i="124"/>
  <c r="D256" i="124"/>
  <c r="E255" i="124"/>
  <c r="D255" i="124"/>
  <c r="E254" i="124"/>
  <c r="D254" i="124"/>
  <c r="E252" i="124"/>
  <c r="D252" i="124"/>
  <c r="E251" i="124"/>
  <c r="D251" i="124"/>
  <c r="E250" i="124"/>
  <c r="D250" i="124"/>
  <c r="E248" i="124"/>
  <c r="D248" i="124"/>
  <c r="E247" i="124"/>
  <c r="D247" i="124"/>
  <c r="E246" i="124"/>
  <c r="D246" i="124"/>
  <c r="E244" i="124"/>
  <c r="D244" i="124"/>
  <c r="E243" i="124"/>
  <c r="D243" i="124"/>
  <c r="E242" i="124"/>
  <c r="D242" i="124"/>
  <c r="E268" i="124"/>
  <c r="D268" i="124"/>
  <c r="E267" i="124"/>
  <c r="D267" i="124"/>
  <c r="E266" i="124"/>
  <c r="D266" i="124"/>
  <c r="F240" i="124"/>
  <c r="F239" i="124"/>
  <c r="F238" i="124"/>
  <c r="F236" i="124"/>
  <c r="F235" i="124"/>
  <c r="F234" i="124"/>
  <c r="F232" i="124"/>
  <c r="F231" i="124"/>
  <c r="F230" i="124"/>
  <c r="F228" i="124"/>
  <c r="F227" i="124"/>
  <c r="F226" i="124"/>
  <c r="F224" i="124"/>
  <c r="F223" i="124"/>
  <c r="F222" i="124"/>
  <c r="F220" i="124"/>
  <c r="F219" i="124"/>
  <c r="F218" i="124"/>
  <c r="F216" i="124"/>
  <c r="F215" i="124"/>
  <c r="F214" i="124"/>
  <c r="F212" i="124"/>
  <c r="F211" i="124"/>
  <c r="F210" i="124"/>
  <c r="F208" i="124"/>
  <c r="F207" i="124"/>
  <c r="F206" i="124"/>
  <c r="F204" i="124"/>
  <c r="F203" i="124"/>
  <c r="F202" i="124"/>
  <c r="F200" i="124"/>
  <c r="F199" i="124"/>
  <c r="F198" i="124"/>
  <c r="F196" i="124"/>
  <c r="F195" i="124"/>
  <c r="F194" i="124"/>
  <c r="E241" i="124"/>
  <c r="D241" i="124"/>
  <c r="F241" i="124" s="1"/>
  <c r="E237" i="124"/>
  <c r="D237" i="124"/>
  <c r="E233" i="124"/>
  <c r="D233" i="124"/>
  <c r="E229" i="124"/>
  <c r="D229" i="124"/>
  <c r="E225" i="124"/>
  <c r="D225" i="124"/>
  <c r="E221" i="124"/>
  <c r="D221" i="124"/>
  <c r="E217" i="124"/>
  <c r="D217" i="124"/>
  <c r="E213" i="124"/>
  <c r="D213" i="124"/>
  <c r="E209" i="124"/>
  <c r="D209" i="124"/>
  <c r="E205" i="124"/>
  <c r="D205" i="124"/>
  <c r="E201" i="124"/>
  <c r="D201" i="124"/>
  <c r="E197" i="124"/>
  <c r="D197" i="124"/>
  <c r="F168" i="124"/>
  <c r="F167" i="124"/>
  <c r="F166" i="124"/>
  <c r="F164" i="124"/>
  <c r="F163" i="124"/>
  <c r="F162" i="124"/>
  <c r="F160" i="124"/>
  <c r="F159" i="124"/>
  <c r="F158" i="124"/>
  <c r="F156" i="124"/>
  <c r="F155" i="124"/>
  <c r="F154" i="124"/>
  <c r="F152" i="124"/>
  <c r="F151" i="124"/>
  <c r="F150" i="124"/>
  <c r="F148" i="124"/>
  <c r="F147" i="124"/>
  <c r="F146" i="124"/>
  <c r="F192" i="124"/>
  <c r="F191" i="124"/>
  <c r="F190" i="124"/>
  <c r="F188" i="124"/>
  <c r="F187" i="124"/>
  <c r="F186" i="124"/>
  <c r="F184" i="124"/>
  <c r="F183" i="124"/>
  <c r="F182" i="124"/>
  <c r="F180" i="124"/>
  <c r="F179" i="124"/>
  <c r="F178" i="124"/>
  <c r="F176" i="124"/>
  <c r="F175" i="124"/>
  <c r="F174" i="124"/>
  <c r="F172" i="124"/>
  <c r="F171" i="124"/>
  <c r="F170" i="124"/>
  <c r="E193" i="124"/>
  <c r="D193" i="124"/>
  <c r="F193" i="124" s="1"/>
  <c r="E189" i="124"/>
  <c r="D189" i="124"/>
  <c r="E185" i="124"/>
  <c r="D185" i="124"/>
  <c r="E181" i="124"/>
  <c r="D181" i="124"/>
  <c r="E177" i="124"/>
  <c r="D177" i="124"/>
  <c r="E149" i="124"/>
  <c r="D149" i="124"/>
  <c r="F149" i="124" s="1"/>
  <c r="E153" i="124"/>
  <c r="D153" i="124"/>
  <c r="F153" i="124" s="1"/>
  <c r="E157" i="124"/>
  <c r="D157" i="124"/>
  <c r="E161" i="124"/>
  <c r="D161" i="124"/>
  <c r="E165" i="124"/>
  <c r="D165" i="124"/>
  <c r="E169" i="124"/>
  <c r="D169" i="124"/>
  <c r="E173" i="124"/>
  <c r="D173" i="124"/>
  <c r="E49" i="124"/>
  <c r="D49" i="124"/>
  <c r="E45" i="124"/>
  <c r="D45" i="124"/>
  <c r="E41" i="124"/>
  <c r="D41" i="124"/>
  <c r="E37" i="124"/>
  <c r="D37" i="124"/>
  <c r="E33" i="124"/>
  <c r="D33" i="124"/>
  <c r="E29" i="124"/>
  <c r="D29" i="124"/>
  <c r="E25" i="124"/>
  <c r="D25" i="124"/>
  <c r="E21" i="124"/>
  <c r="D21" i="124"/>
  <c r="E17" i="124"/>
  <c r="D17" i="124"/>
  <c r="E13" i="124"/>
  <c r="D13" i="124"/>
  <c r="E9" i="124"/>
  <c r="D9" i="124"/>
  <c r="E5" i="124"/>
  <c r="D5" i="124"/>
  <c r="F61" i="135" l="1"/>
  <c r="F259" i="135"/>
  <c r="F169" i="124"/>
  <c r="F267" i="124"/>
  <c r="F101" i="135"/>
  <c r="F53" i="135"/>
  <c r="F149" i="135"/>
  <c r="F268" i="135"/>
  <c r="F287" i="124"/>
  <c r="F57" i="135"/>
  <c r="F103" i="135"/>
  <c r="F111" i="135"/>
  <c r="F119" i="135"/>
  <c r="F127" i="135"/>
  <c r="F135" i="135"/>
  <c r="F189" i="124"/>
  <c r="F213" i="124"/>
  <c r="F237" i="124"/>
  <c r="D269" i="135"/>
  <c r="D277" i="135"/>
  <c r="D285" i="135"/>
  <c r="F262" i="124"/>
  <c r="D277" i="124"/>
  <c r="D285" i="124"/>
  <c r="F89" i="135"/>
  <c r="F98" i="135"/>
  <c r="F106" i="135"/>
  <c r="F114" i="135"/>
  <c r="F122" i="135"/>
  <c r="F130" i="135"/>
  <c r="F138" i="135"/>
  <c r="F185" i="135"/>
  <c r="F233" i="135"/>
  <c r="D245" i="135"/>
  <c r="D253" i="135"/>
  <c r="D261" i="135"/>
  <c r="E269" i="135"/>
  <c r="E277" i="135"/>
  <c r="E285" i="135"/>
  <c r="F225" i="124"/>
  <c r="F197" i="135"/>
  <c r="F276" i="135"/>
  <c r="F284" i="135"/>
  <c r="F73" i="135"/>
  <c r="F100" i="135"/>
  <c r="F108" i="135"/>
  <c r="F116" i="135"/>
  <c r="F124" i="135"/>
  <c r="F132" i="135"/>
  <c r="F140" i="135"/>
  <c r="F169" i="135"/>
  <c r="F217" i="135"/>
  <c r="F244" i="135"/>
  <c r="F252" i="135"/>
  <c r="F205" i="124"/>
  <c r="F93" i="135"/>
  <c r="F189" i="135"/>
  <c r="F237" i="135"/>
  <c r="F185" i="124"/>
  <c r="F233" i="124"/>
  <c r="E281" i="124"/>
  <c r="E249" i="135"/>
  <c r="E257" i="135"/>
  <c r="F143" i="135"/>
  <c r="F153" i="135"/>
  <c r="F201" i="135"/>
  <c r="F247" i="135"/>
  <c r="F255" i="135"/>
  <c r="F97" i="135"/>
  <c r="F104" i="135"/>
  <c r="F112" i="135"/>
  <c r="F120" i="135"/>
  <c r="F128" i="135"/>
  <c r="F136" i="135"/>
  <c r="F144" i="135"/>
  <c r="F193" i="135"/>
  <c r="F241" i="135"/>
  <c r="F248" i="135"/>
  <c r="F256" i="135"/>
  <c r="D105" i="135"/>
  <c r="F105" i="135" s="1"/>
  <c r="F9" i="135"/>
  <c r="D113" i="135"/>
  <c r="F113" i="135" s="1"/>
  <c r="F17" i="135"/>
  <c r="D121" i="135"/>
  <c r="F121" i="135" s="1"/>
  <c r="F25" i="135"/>
  <c r="D129" i="135"/>
  <c r="F129" i="135" s="1"/>
  <c r="F33" i="135"/>
  <c r="D137" i="135"/>
  <c r="F137" i="135" s="1"/>
  <c r="F41" i="135"/>
  <c r="D145" i="135"/>
  <c r="F145" i="135" s="1"/>
  <c r="F49" i="135"/>
  <c r="F181" i="124"/>
  <c r="E273" i="124"/>
  <c r="F177" i="124"/>
  <c r="F266" i="124"/>
  <c r="F269" i="124" s="1"/>
  <c r="F173" i="124"/>
  <c r="F229" i="124"/>
  <c r="F259" i="124"/>
  <c r="F255" i="124"/>
  <c r="F268" i="124"/>
  <c r="F201" i="124"/>
  <c r="F161" i="124"/>
  <c r="F248" i="124"/>
  <c r="F165" i="124"/>
  <c r="F157" i="124"/>
  <c r="F242" i="124"/>
  <c r="D253" i="124"/>
  <c r="E261" i="124"/>
  <c r="E257" i="124"/>
  <c r="F263" i="124"/>
  <c r="F275" i="124"/>
  <c r="F283" i="124"/>
  <c r="F264" i="124"/>
  <c r="F276" i="124"/>
  <c r="F284" i="124"/>
  <c r="E289" i="124"/>
  <c r="D269" i="124"/>
  <c r="E245" i="124"/>
  <c r="E253" i="124"/>
  <c r="F271" i="124"/>
  <c r="F279" i="124"/>
  <c r="F286" i="124"/>
  <c r="F272" i="124"/>
  <c r="F280" i="124"/>
  <c r="F252" i="124"/>
  <c r="F288" i="124"/>
  <c r="F289" i="124" s="1"/>
  <c r="F109" i="135"/>
  <c r="F141" i="135"/>
  <c r="F262" i="135"/>
  <c r="F265" i="135" s="1"/>
  <c r="F266" i="135"/>
  <c r="F269" i="135" s="1"/>
  <c r="F270" i="135"/>
  <c r="F273" i="135" s="1"/>
  <c r="F274" i="135"/>
  <c r="F278" i="135"/>
  <c r="F281" i="135" s="1"/>
  <c r="F282" i="135"/>
  <c r="F285" i="135" s="1"/>
  <c r="F286" i="135"/>
  <c r="F289" i="135" s="1"/>
  <c r="F242" i="135"/>
  <c r="F245" i="135" s="1"/>
  <c r="F246" i="135"/>
  <c r="F250" i="135"/>
  <c r="F253" i="135" s="1"/>
  <c r="F254" i="135"/>
  <c r="F257" i="135" s="1"/>
  <c r="F258" i="135"/>
  <c r="F261" i="135" s="1"/>
  <c r="F13" i="135"/>
  <c r="F45" i="135"/>
  <c r="F5" i="135"/>
  <c r="F21" i="135"/>
  <c r="F29" i="135"/>
  <c r="D133" i="135"/>
  <c r="F133" i="135" s="1"/>
  <c r="E269" i="124"/>
  <c r="F221" i="124"/>
  <c r="F217" i="124"/>
  <c r="D261" i="124"/>
  <c r="F256" i="124"/>
  <c r="F209" i="124"/>
  <c r="D257" i="124"/>
  <c r="F251" i="124"/>
  <c r="E249" i="124"/>
  <c r="F247" i="124"/>
  <c r="D249" i="124"/>
  <c r="F244" i="124"/>
  <c r="F243" i="124"/>
  <c r="F197" i="124"/>
  <c r="F282" i="124"/>
  <c r="D281" i="124"/>
  <c r="F274" i="124"/>
  <c r="F270" i="124"/>
  <c r="D265" i="124"/>
  <c r="F258" i="124"/>
  <c r="F261" i="124" s="1"/>
  <c r="F254" i="124"/>
  <c r="F250" i="124"/>
  <c r="F246" i="124"/>
  <c r="D245" i="124"/>
  <c r="F249" i="135" l="1"/>
  <c r="F277" i="135"/>
  <c r="F285" i="124"/>
  <c r="F281" i="124"/>
  <c r="F277" i="124"/>
  <c r="F273" i="124"/>
  <c r="F265" i="124"/>
  <c r="F249" i="124"/>
  <c r="F253" i="124"/>
  <c r="F257" i="124"/>
  <c r="F245" i="124"/>
  <c r="G5" i="134" l="1"/>
  <c r="BC37" i="99" l="1"/>
  <c r="AP37" i="99"/>
  <c r="AC37" i="99"/>
  <c r="P37" i="99"/>
  <c r="AO43" i="99" l="1"/>
  <c r="AN43" i="99"/>
  <c r="AM43" i="99"/>
  <c r="AL43" i="99"/>
  <c r="AK43" i="99"/>
  <c r="AJ43" i="99"/>
  <c r="AI43" i="99"/>
  <c r="AH43" i="99"/>
  <c r="AG43" i="99"/>
  <c r="AF43" i="99"/>
  <c r="AE43" i="99"/>
  <c r="AD43" i="99"/>
  <c r="AR46" i="99"/>
  <c r="H61" i="107"/>
  <c r="H60" i="107"/>
  <c r="H59" i="107"/>
  <c r="E61" i="107"/>
  <c r="E60" i="107"/>
  <c r="E56" i="107" l="1"/>
  <c r="E57" i="107"/>
  <c r="E58" i="107"/>
  <c r="E59" i="107"/>
  <c r="I60" i="107"/>
  <c r="I61" i="107"/>
  <c r="I59" i="107"/>
  <c r="H56" i="107"/>
  <c r="I56" i="107" s="1"/>
  <c r="H57" i="107"/>
  <c r="H58" i="107"/>
  <c r="H55" i="107"/>
  <c r="E55" i="107"/>
  <c r="AQ43" i="99"/>
  <c r="AS46" i="99"/>
  <c r="BE43" i="99" l="1"/>
  <c r="I58" i="107"/>
  <c r="I57" i="107"/>
  <c r="AT46" i="99"/>
  <c r="I55" i="107"/>
  <c r="AR43" i="99"/>
  <c r="BW13" i="80" l="1"/>
  <c r="BF43" i="99"/>
  <c r="AS43" i="99"/>
  <c r="AU46" i="99"/>
  <c r="BX13" i="80" l="1"/>
  <c r="BG43" i="99"/>
  <c r="AT43" i="99"/>
  <c r="AV46" i="99"/>
  <c r="BY13" i="80" l="1"/>
  <c r="BH43" i="99"/>
  <c r="I40" i="155" s="1"/>
  <c r="AU43" i="99"/>
  <c r="AW46" i="99"/>
  <c r="I42" i="155" l="1"/>
  <c r="J42" i="155" s="1"/>
  <c r="I57" i="155"/>
  <c r="BZ13" i="80"/>
  <c r="BI43" i="99"/>
  <c r="I118" i="155" s="1"/>
  <c r="E54" i="107"/>
  <c r="AV43" i="99"/>
  <c r="AX46" i="99"/>
  <c r="H54" i="107"/>
  <c r="I54" i="107" s="1"/>
  <c r="B61" i="107"/>
  <c r="B53" i="107"/>
  <c r="B56" i="107"/>
  <c r="B54" i="107"/>
  <c r="B55" i="107"/>
  <c r="B59" i="107"/>
  <c r="B57" i="107"/>
  <c r="B58" i="107"/>
  <c r="B60" i="107"/>
  <c r="E53" i="107"/>
  <c r="H53" i="107"/>
  <c r="BC14" i="99"/>
  <c r="BC16" i="99"/>
  <c r="BC19" i="99"/>
  <c r="BC23" i="99"/>
  <c r="BC24" i="99"/>
  <c r="AP34" i="99"/>
  <c r="AC34" i="99"/>
  <c r="P34" i="99"/>
  <c r="I61" i="155" l="1"/>
  <c r="I78" i="155"/>
  <c r="I135" i="155"/>
  <c r="I120" i="155"/>
  <c r="J120" i="155" s="1"/>
  <c r="CA13" i="80"/>
  <c r="BJ43" i="99"/>
  <c r="I196" i="155" s="1"/>
  <c r="AW43" i="99"/>
  <c r="AY46" i="99"/>
  <c r="I53" i="107"/>
  <c r="J53" i="107"/>
  <c r="J55" i="107"/>
  <c r="J61" i="107"/>
  <c r="J59" i="107"/>
  <c r="J58" i="107"/>
  <c r="J57" i="107"/>
  <c r="J56" i="107"/>
  <c r="J54" i="107"/>
  <c r="J60" i="107"/>
  <c r="AP28" i="99"/>
  <c r="AC28" i="99"/>
  <c r="P28" i="99"/>
  <c r="AP29" i="99"/>
  <c r="AC29" i="99"/>
  <c r="P29" i="99"/>
  <c r="AP12" i="99"/>
  <c r="AP13" i="99"/>
  <c r="AP14" i="99"/>
  <c r="AP15" i="99"/>
  <c r="AP16" i="99"/>
  <c r="AP17" i="99"/>
  <c r="AP18" i="99"/>
  <c r="AP19" i="99"/>
  <c r="AP20" i="99"/>
  <c r="AP21" i="99"/>
  <c r="AP22" i="99"/>
  <c r="AP23" i="99"/>
  <c r="AP24" i="99"/>
  <c r="AP25" i="99"/>
  <c r="AP26" i="99"/>
  <c r="AP27" i="99"/>
  <c r="AP41" i="99"/>
  <c r="AP2" i="99"/>
  <c r="AC20" i="99"/>
  <c r="P20" i="99"/>
  <c r="AC41" i="99"/>
  <c r="AC27" i="99"/>
  <c r="AC26" i="99"/>
  <c r="AC25" i="99"/>
  <c r="AC24" i="99"/>
  <c r="AC23" i="99"/>
  <c r="AC19" i="99"/>
  <c r="P41" i="99"/>
  <c r="P27" i="99"/>
  <c r="P26" i="99"/>
  <c r="P25" i="99"/>
  <c r="P24" i="99"/>
  <c r="P23" i="99"/>
  <c r="P22" i="99"/>
  <c r="P21" i="99"/>
  <c r="P19" i="99"/>
  <c r="P18" i="99"/>
  <c r="P17" i="99"/>
  <c r="P16" i="99"/>
  <c r="P15" i="99"/>
  <c r="P14" i="99"/>
  <c r="P12" i="99"/>
  <c r="P2" i="99"/>
  <c r="I139" i="155" l="1"/>
  <c r="I156" i="155"/>
  <c r="I79" i="155"/>
  <c r="J79" i="155" s="1"/>
  <c r="J78" i="155"/>
  <c r="I71" i="155"/>
  <c r="J71" i="155" s="1"/>
  <c r="J61" i="155"/>
  <c r="I213" i="155"/>
  <c r="I198" i="155"/>
  <c r="J198" i="155" s="1"/>
  <c r="CB13" i="80"/>
  <c r="BK43" i="99"/>
  <c r="I274" i="155" s="1"/>
  <c r="AX43" i="99"/>
  <c r="AZ46" i="99"/>
  <c r="F4" i="134"/>
  <c r="E2" i="134"/>
  <c r="E4" i="134"/>
  <c r="E3" i="134"/>
  <c r="I217" i="155" l="1"/>
  <c r="I234" i="155"/>
  <c r="I157" i="155"/>
  <c r="J157" i="155" s="1"/>
  <c r="J156" i="155"/>
  <c r="I149" i="155"/>
  <c r="J149" i="155" s="1"/>
  <c r="J139" i="155"/>
  <c r="I291" i="155"/>
  <c r="I276" i="155"/>
  <c r="J276" i="155" s="1"/>
  <c r="CC13" i="80"/>
  <c r="BL43" i="99"/>
  <c r="I352" i="155" s="1"/>
  <c r="AY43" i="99"/>
  <c r="BA46" i="99"/>
  <c r="E5" i="134"/>
  <c r="F5" i="134"/>
  <c r="D4" i="134"/>
  <c r="D3" i="134"/>
  <c r="D2" i="134"/>
  <c r="C4" i="134"/>
  <c r="C3" i="134"/>
  <c r="C2" i="134"/>
  <c r="C5" i="134" l="1"/>
  <c r="D5" i="134"/>
  <c r="I295" i="155"/>
  <c r="I312" i="155"/>
  <c r="I235" i="155"/>
  <c r="J235" i="155" s="1"/>
  <c r="J234" i="155"/>
  <c r="I227" i="155"/>
  <c r="J227" i="155" s="1"/>
  <c r="J217" i="155"/>
  <c r="I369" i="155"/>
  <c r="I354" i="155"/>
  <c r="J354" i="155" s="1"/>
  <c r="CD13" i="80"/>
  <c r="BM43" i="99"/>
  <c r="I430" i="155" s="1"/>
  <c r="AZ43" i="99"/>
  <c r="BB46" i="99"/>
  <c r="B60" i="82"/>
  <c r="B61" i="82"/>
  <c r="I373" i="155" l="1"/>
  <c r="I390" i="155"/>
  <c r="I305" i="155"/>
  <c r="J305" i="155" s="1"/>
  <c r="J295" i="155"/>
  <c r="I313" i="155"/>
  <c r="J313" i="155" s="1"/>
  <c r="J312" i="155"/>
  <c r="I447" i="155"/>
  <c r="I432" i="155"/>
  <c r="BP36" i="99"/>
  <c r="BP22" i="99"/>
  <c r="CE13" i="80"/>
  <c r="BN43" i="99"/>
  <c r="I508" i="155" s="1"/>
  <c r="BP20" i="99"/>
  <c r="BP41" i="99"/>
  <c r="BP34" i="99"/>
  <c r="BP29" i="99"/>
  <c r="BP28" i="99"/>
  <c r="BP27" i="99"/>
  <c r="BP26" i="99"/>
  <c r="BP25" i="99"/>
  <c r="BP21" i="99"/>
  <c r="BP18" i="99"/>
  <c r="BP17" i="99"/>
  <c r="BP15" i="99"/>
  <c r="BP13" i="99"/>
  <c r="BP12" i="99"/>
  <c r="BA43" i="99"/>
  <c r="I451" i="155" l="1"/>
  <c r="I468" i="155"/>
  <c r="I383" i="155"/>
  <c r="J383" i="155" s="1"/>
  <c r="J373" i="155"/>
  <c r="I391" i="155"/>
  <c r="J391" i="155" s="1"/>
  <c r="J390" i="155"/>
  <c r="I525" i="155"/>
  <c r="I546" i="155" s="1"/>
  <c r="I510" i="155"/>
  <c r="J510" i="155" s="1"/>
  <c r="CF13" i="80"/>
  <c r="BO43" i="99"/>
  <c r="I586" i="155" s="1"/>
  <c r="BP2" i="99"/>
  <c r="BB43" i="99"/>
  <c r="I529" i="155" l="1"/>
  <c r="I461" i="155"/>
  <c r="J461" i="155" s="1"/>
  <c r="J451" i="155"/>
  <c r="I469" i="155"/>
  <c r="J469" i="155" s="1"/>
  <c r="J468" i="155"/>
  <c r="I603" i="155"/>
  <c r="I624" i="155" s="1"/>
  <c r="I588" i="155"/>
  <c r="J588" i="155" s="1"/>
  <c r="CG13" i="80"/>
  <c r="H25" i="149" s="1"/>
  <c r="B52" i="107"/>
  <c r="I607" i="155" l="1"/>
  <c r="I539" i="155"/>
  <c r="J539" i="155" s="1"/>
  <c r="J529" i="155"/>
  <c r="I547" i="155"/>
  <c r="J547" i="155" s="1"/>
  <c r="J546" i="155"/>
  <c r="H52" i="107"/>
  <c r="BC12" i="99"/>
  <c r="BC13" i="99"/>
  <c r="BC15" i="99"/>
  <c r="BC17" i="99"/>
  <c r="BC18" i="99"/>
  <c r="BC20" i="99"/>
  <c r="BC34" i="99"/>
  <c r="BC29" i="99"/>
  <c r="BC28" i="99"/>
  <c r="BC27" i="99"/>
  <c r="BC26" i="99"/>
  <c r="BC25" i="99"/>
  <c r="BC21" i="99"/>
  <c r="BC22" i="99"/>
  <c r="BC41" i="99"/>
  <c r="E52" i="107"/>
  <c r="I52" i="107"/>
  <c r="H51" i="107"/>
  <c r="E51" i="107"/>
  <c r="B51" i="107"/>
  <c r="I625" i="155" l="1"/>
  <c r="J625" i="155" s="1"/>
  <c r="J624" i="155"/>
  <c r="I617" i="155"/>
  <c r="J617" i="155" s="1"/>
  <c r="J607" i="155"/>
  <c r="BC2" i="99"/>
  <c r="I51" i="107"/>
  <c r="J52" i="107" l="1"/>
  <c r="J51" i="107" l="1"/>
  <c r="H50" i="107" l="1"/>
  <c r="E50" i="107"/>
  <c r="B50" i="107"/>
  <c r="I50" i="107" l="1"/>
  <c r="AD6" i="131"/>
  <c r="Y6" i="131"/>
  <c r="T6" i="131"/>
  <c r="M84" i="107" l="1"/>
  <c r="M85" i="107"/>
  <c r="M76" i="107"/>
  <c r="M83" i="107"/>
  <c r="M82" i="107"/>
  <c r="M74" i="107"/>
  <c r="M79" i="107"/>
  <c r="M75" i="107"/>
  <c r="M80" i="107"/>
  <c r="M81" i="107"/>
  <c r="M78" i="107"/>
  <c r="M77" i="107"/>
  <c r="O6" i="131"/>
  <c r="J6" i="131"/>
  <c r="E6" i="131"/>
  <c r="AD16" i="131"/>
  <c r="AD15" i="131"/>
  <c r="AD14" i="131"/>
  <c r="AD13" i="131"/>
  <c r="AD12" i="131"/>
  <c r="AD11" i="131"/>
  <c r="AD10" i="131"/>
  <c r="AD9" i="131"/>
  <c r="AD8" i="131"/>
  <c r="AD7" i="131"/>
  <c r="Y16" i="131"/>
  <c r="Y15" i="131"/>
  <c r="Y14" i="131"/>
  <c r="Y13" i="131"/>
  <c r="Y12" i="131"/>
  <c r="Y11" i="131"/>
  <c r="Y10" i="131"/>
  <c r="Y9" i="131"/>
  <c r="Y8" i="131"/>
  <c r="Y7" i="131"/>
  <c r="T16" i="131"/>
  <c r="T15" i="131"/>
  <c r="T14" i="131"/>
  <c r="T13" i="131"/>
  <c r="T12" i="131"/>
  <c r="T11" i="131"/>
  <c r="T10" i="131"/>
  <c r="T9" i="131"/>
  <c r="T8" i="131"/>
  <c r="T7" i="131"/>
  <c r="AD5" i="131"/>
  <c r="Y5" i="131"/>
  <c r="T5" i="131"/>
  <c r="O16" i="131"/>
  <c r="O15" i="131"/>
  <c r="O14" i="131"/>
  <c r="O13" i="131"/>
  <c r="O12" i="131"/>
  <c r="O11" i="131"/>
  <c r="O10" i="131"/>
  <c r="O9" i="131"/>
  <c r="O8" i="131"/>
  <c r="O7" i="131"/>
  <c r="J16" i="131"/>
  <c r="J15" i="131"/>
  <c r="J14" i="131"/>
  <c r="J13" i="131"/>
  <c r="J12" i="131"/>
  <c r="J11" i="131"/>
  <c r="J10" i="131"/>
  <c r="J9" i="131"/>
  <c r="J8" i="131"/>
  <c r="J7" i="131"/>
  <c r="J5" i="131"/>
  <c r="O5" i="131"/>
  <c r="E16" i="131"/>
  <c r="E15" i="131"/>
  <c r="E14" i="131"/>
  <c r="E13" i="131"/>
  <c r="E12" i="131"/>
  <c r="E11" i="131"/>
  <c r="E10" i="131"/>
  <c r="E9" i="131"/>
  <c r="E8" i="131"/>
  <c r="E7" i="131"/>
  <c r="E5" i="131"/>
  <c r="E23" i="131"/>
  <c r="E25" i="131" s="1"/>
  <c r="D3" i="128"/>
  <c r="D4" i="128"/>
  <c r="D5" i="128"/>
  <c r="D6" i="128"/>
  <c r="D7" i="128"/>
  <c r="D8" i="128"/>
  <c r="D9" i="128"/>
  <c r="D10" i="128"/>
  <c r="D11" i="128"/>
  <c r="D12" i="128"/>
  <c r="D13" i="128"/>
  <c r="D14" i="128"/>
  <c r="D15" i="128"/>
  <c r="D16" i="128"/>
  <c r="D17" i="128"/>
  <c r="D18" i="128"/>
  <c r="D19" i="128"/>
  <c r="D20" i="128"/>
  <c r="D2" i="128"/>
  <c r="B59" i="82" l="1"/>
  <c r="B58" i="82"/>
  <c r="B57" i="82"/>
  <c r="B56" i="82"/>
  <c r="B55" i="82"/>
  <c r="B54" i="82"/>
  <c r="B53" i="82"/>
  <c r="B52" i="82"/>
  <c r="B51" i="82"/>
  <c r="B50" i="82"/>
  <c r="AC2" i="99" l="1"/>
  <c r="J50" i="107" l="1"/>
  <c r="H49" i="107" l="1"/>
  <c r="E49" i="107"/>
  <c r="I49" i="107" s="1"/>
  <c r="B3" i="126" l="1"/>
  <c r="G49" i="85" l="1"/>
  <c r="H2" i="85" l="1"/>
  <c r="BI8" i="80" l="1"/>
  <c r="BI29" i="80" s="1"/>
  <c r="BI30" i="80" s="1"/>
  <c r="BI9" i="80" l="1"/>
  <c r="J49" i="107"/>
  <c r="H48" i="107" l="1"/>
  <c r="H47" i="107"/>
  <c r="E48" i="107"/>
  <c r="E47" i="107"/>
  <c r="I48" i="107" l="1"/>
  <c r="I47" i="107"/>
  <c r="G48" i="85"/>
  <c r="BH8" i="80" l="1"/>
  <c r="BH29" i="80" s="1"/>
  <c r="BH30" i="80" s="1"/>
  <c r="BH9" i="80" l="1"/>
  <c r="J48" i="107"/>
  <c r="G47" i="85"/>
  <c r="BG8" i="80"/>
  <c r="BG29" i="80" s="1"/>
  <c r="BG30" i="80" s="1"/>
  <c r="H3" i="107"/>
  <c r="H4" i="107"/>
  <c r="H5" i="107"/>
  <c r="H6" i="107"/>
  <c r="H7" i="107"/>
  <c r="H8" i="107"/>
  <c r="H9" i="107"/>
  <c r="H10" i="107"/>
  <c r="H11" i="107"/>
  <c r="H12" i="107"/>
  <c r="H13" i="107"/>
  <c r="H14" i="107"/>
  <c r="H15" i="107"/>
  <c r="H16" i="107"/>
  <c r="H17" i="107"/>
  <c r="H18" i="107"/>
  <c r="H19" i="107"/>
  <c r="H20" i="107"/>
  <c r="H21" i="107"/>
  <c r="H22" i="107"/>
  <c r="H23" i="107"/>
  <c r="H24" i="107"/>
  <c r="H25" i="107"/>
  <c r="H26" i="107"/>
  <c r="H27" i="107"/>
  <c r="H28" i="107"/>
  <c r="H29" i="107"/>
  <c r="H30" i="107"/>
  <c r="H31" i="107"/>
  <c r="H32" i="107"/>
  <c r="H33" i="107"/>
  <c r="H34" i="107"/>
  <c r="H35" i="107"/>
  <c r="H36" i="107"/>
  <c r="H37" i="107"/>
  <c r="H42" i="107"/>
  <c r="H43" i="107"/>
  <c r="H44" i="107"/>
  <c r="H45" i="107"/>
  <c r="H46" i="107"/>
  <c r="H2" i="107"/>
  <c r="BG9" i="80" l="1"/>
  <c r="J47" i="107"/>
  <c r="E46" i="107"/>
  <c r="I46" i="107" s="1"/>
  <c r="B46" i="107"/>
  <c r="B45" i="107"/>
  <c r="G46" i="85" l="1"/>
  <c r="B49" i="82" l="1"/>
  <c r="B48" i="82"/>
  <c r="B47" i="82"/>
  <c r="B46" i="82"/>
  <c r="B45" i="82"/>
  <c r="B44" i="82"/>
  <c r="B43" i="82"/>
  <c r="B42" i="82"/>
  <c r="B41" i="82"/>
  <c r="B40" i="82"/>
  <c r="B39" i="82"/>
  <c r="B38" i="82"/>
  <c r="BF8" i="80" l="1"/>
  <c r="BF29" i="80" s="1"/>
  <c r="BF30" i="80" s="1"/>
  <c r="BF9" i="80" l="1"/>
  <c r="J46" i="107"/>
  <c r="E45" i="107" l="1"/>
  <c r="I45" i="107" s="1"/>
  <c r="G45" i="85" l="1"/>
  <c r="BE8" i="80"/>
  <c r="E44" i="107"/>
  <c r="I44" i="107" s="1"/>
  <c r="J45" i="107" l="1"/>
  <c r="BE29" i="80"/>
  <c r="BE30" i="80" s="1"/>
  <c r="BE9" i="80"/>
  <c r="G44" i="85" l="1"/>
  <c r="BD8" i="80"/>
  <c r="BD29" i="80" s="1"/>
  <c r="BD30" i="80" s="1"/>
  <c r="BD9" i="80" l="1"/>
  <c r="J44" i="107"/>
  <c r="E118" i="124"/>
  <c r="E97" i="124"/>
  <c r="D97" i="124"/>
  <c r="E93" i="124"/>
  <c r="D93" i="124"/>
  <c r="E89" i="124"/>
  <c r="D89" i="124"/>
  <c r="E85" i="124"/>
  <c r="D85" i="124"/>
  <c r="E81" i="124"/>
  <c r="D81" i="124"/>
  <c r="E77" i="124"/>
  <c r="D77" i="124"/>
  <c r="E73" i="124"/>
  <c r="E121" i="124" s="1"/>
  <c r="D73" i="124"/>
  <c r="E69" i="124"/>
  <c r="E117" i="124" s="1"/>
  <c r="D69" i="124"/>
  <c r="D117" i="124" s="1"/>
  <c r="E65" i="124"/>
  <c r="D65" i="124"/>
  <c r="E61" i="124"/>
  <c r="D61" i="124"/>
  <c r="D57" i="124"/>
  <c r="E57" i="124"/>
  <c r="E53" i="124"/>
  <c r="D53" i="124"/>
  <c r="F96" i="124"/>
  <c r="F95" i="124"/>
  <c r="F94" i="124"/>
  <c r="F92" i="124"/>
  <c r="F91" i="124"/>
  <c r="F90" i="124"/>
  <c r="F88" i="124"/>
  <c r="F87" i="124"/>
  <c r="F86" i="124"/>
  <c r="F84" i="124"/>
  <c r="F83" i="124"/>
  <c r="F82" i="124"/>
  <c r="F80" i="124"/>
  <c r="F79" i="124"/>
  <c r="F78" i="124"/>
  <c r="F76" i="124"/>
  <c r="F75" i="124"/>
  <c r="F74" i="124"/>
  <c r="F72" i="124"/>
  <c r="F71" i="124"/>
  <c r="F70" i="124"/>
  <c r="F68" i="124"/>
  <c r="F67" i="124"/>
  <c r="F66" i="124"/>
  <c r="F64" i="124"/>
  <c r="F63" i="124"/>
  <c r="F62" i="124"/>
  <c r="F60" i="124"/>
  <c r="F59" i="124"/>
  <c r="F58" i="124"/>
  <c r="F56" i="124"/>
  <c r="F55" i="124"/>
  <c r="F54" i="124"/>
  <c r="F52" i="124"/>
  <c r="F51" i="124"/>
  <c r="F50" i="124"/>
  <c r="E105" i="124"/>
  <c r="D121" i="124"/>
  <c r="E144" i="124"/>
  <c r="E140" i="124"/>
  <c r="E136" i="124"/>
  <c r="E132" i="124"/>
  <c r="E124" i="124"/>
  <c r="E112" i="124"/>
  <c r="F32" i="124"/>
  <c r="E120" i="124"/>
  <c r="E116" i="124"/>
  <c r="E108" i="124"/>
  <c r="E104" i="124"/>
  <c r="E100" i="124"/>
  <c r="D144" i="124"/>
  <c r="D140" i="124"/>
  <c r="D136" i="124"/>
  <c r="D132" i="124"/>
  <c r="D128" i="124"/>
  <c r="D124" i="124"/>
  <c r="D120" i="124"/>
  <c r="D116" i="124"/>
  <c r="D112" i="124"/>
  <c r="D108" i="124"/>
  <c r="D104" i="124"/>
  <c r="D100" i="124"/>
  <c r="E143" i="124"/>
  <c r="E139" i="124"/>
  <c r="E135" i="124"/>
  <c r="E131" i="124"/>
  <c r="E127" i="124"/>
  <c r="E123" i="124"/>
  <c r="E119" i="124"/>
  <c r="E115" i="124"/>
  <c r="E111" i="124"/>
  <c r="E107" i="124"/>
  <c r="E103" i="124"/>
  <c r="E99" i="124"/>
  <c r="D143" i="124"/>
  <c r="D139" i="124"/>
  <c r="D135" i="124"/>
  <c r="D131" i="124"/>
  <c r="D127" i="124"/>
  <c r="D123" i="124"/>
  <c r="D119" i="124"/>
  <c r="D115" i="124"/>
  <c r="D111" i="124"/>
  <c r="D107" i="124"/>
  <c r="D103" i="124"/>
  <c r="D99" i="124"/>
  <c r="E142" i="124"/>
  <c r="E138" i="124"/>
  <c r="E134" i="124"/>
  <c r="E130" i="124"/>
  <c r="E126" i="124"/>
  <c r="E122" i="124"/>
  <c r="D142" i="124"/>
  <c r="D138" i="124"/>
  <c r="D134" i="124"/>
  <c r="D130" i="124"/>
  <c r="D126" i="124"/>
  <c r="D122" i="124"/>
  <c r="E114" i="124"/>
  <c r="E110" i="124"/>
  <c r="E106" i="124"/>
  <c r="E102" i="124"/>
  <c r="E98" i="124"/>
  <c r="D118" i="124"/>
  <c r="D114" i="124"/>
  <c r="D110" i="124"/>
  <c r="D106" i="124"/>
  <c r="D102" i="124"/>
  <c r="D98" i="124"/>
  <c r="E43" i="107"/>
  <c r="F142" i="124" l="1"/>
  <c r="F114" i="124"/>
  <c r="F49" i="124"/>
  <c r="F144" i="124"/>
  <c r="F139" i="124"/>
  <c r="F89" i="124"/>
  <c r="F81" i="124"/>
  <c r="F103" i="124"/>
  <c r="F132" i="124"/>
  <c r="F41" i="124"/>
  <c r="E141" i="124"/>
  <c r="F124" i="124"/>
  <c r="F135" i="124"/>
  <c r="F93" i="124"/>
  <c r="F136" i="124"/>
  <c r="D109" i="124"/>
  <c r="E109" i="124"/>
  <c r="F138" i="124"/>
  <c r="D113" i="124"/>
  <c r="E113" i="124"/>
  <c r="F100" i="124"/>
  <c r="F108" i="124"/>
  <c r="F69" i="124"/>
  <c r="F104" i="124"/>
  <c r="F131" i="124"/>
  <c r="F118" i="124"/>
  <c r="F53" i="124"/>
  <c r="F99" i="124"/>
  <c r="F107" i="124"/>
  <c r="E137" i="124"/>
  <c r="D125" i="124"/>
  <c r="E133" i="124"/>
  <c r="F123" i="124"/>
  <c r="F127" i="124"/>
  <c r="D133" i="124"/>
  <c r="F65" i="124"/>
  <c r="F77" i="124"/>
  <c r="E125" i="124"/>
  <c r="F73" i="124"/>
  <c r="F97" i="124"/>
  <c r="F119" i="124"/>
  <c r="F106" i="124"/>
  <c r="F130" i="124"/>
  <c r="D137" i="124"/>
  <c r="D141" i="124"/>
  <c r="F57" i="124"/>
  <c r="E129" i="124"/>
  <c r="F110" i="124"/>
  <c r="F134" i="124"/>
  <c r="F112" i="124"/>
  <c r="D105" i="124"/>
  <c r="F105" i="124" s="1"/>
  <c r="F117" i="124"/>
  <c r="D145" i="124"/>
  <c r="E145" i="124"/>
  <c r="F61" i="124"/>
  <c r="F85" i="124"/>
  <c r="F140" i="124"/>
  <c r="D101" i="124"/>
  <c r="E101" i="124"/>
  <c r="F111" i="124"/>
  <c r="F115" i="124"/>
  <c r="F120" i="124"/>
  <c r="F121" i="124"/>
  <c r="F122" i="124"/>
  <c r="F116" i="124"/>
  <c r="F98" i="124"/>
  <c r="F102" i="124"/>
  <c r="F126" i="124"/>
  <c r="F143" i="124"/>
  <c r="E128" i="124"/>
  <c r="F128" i="124" s="1"/>
  <c r="D129" i="124"/>
  <c r="F37" i="124"/>
  <c r="F45" i="124"/>
  <c r="F12" i="124"/>
  <c r="F28" i="124"/>
  <c r="F33" i="124"/>
  <c r="F18" i="124"/>
  <c r="F17" i="124"/>
  <c r="F40" i="124"/>
  <c r="F23" i="124"/>
  <c r="F27" i="124"/>
  <c r="F44" i="124"/>
  <c r="F47" i="124"/>
  <c r="F4" i="124"/>
  <c r="F34" i="124"/>
  <c r="F36" i="124"/>
  <c r="F26" i="124"/>
  <c r="F38" i="124"/>
  <c r="F42" i="124"/>
  <c r="F29" i="124"/>
  <c r="F46" i="124"/>
  <c r="F7" i="124"/>
  <c r="F43" i="124"/>
  <c r="F35" i="124"/>
  <c r="F25" i="124"/>
  <c r="F6" i="124"/>
  <c r="F16" i="124"/>
  <c r="F5" i="124"/>
  <c r="F13" i="124"/>
  <c r="F10" i="124"/>
  <c r="F31" i="124"/>
  <c r="F39" i="124"/>
  <c r="F21" i="124"/>
  <c r="F14" i="124"/>
  <c r="F3" i="124"/>
  <c r="F9" i="124"/>
  <c r="F8" i="124"/>
  <c r="F24" i="124"/>
  <c r="F30" i="124"/>
  <c r="F20" i="124"/>
  <c r="F48" i="124"/>
  <c r="F15" i="124"/>
  <c r="F19" i="124"/>
  <c r="F11" i="124"/>
  <c r="F2" i="124"/>
  <c r="F22" i="124"/>
  <c r="I43" i="107"/>
  <c r="F109" i="124" l="1"/>
  <c r="F113" i="124"/>
  <c r="F141" i="124"/>
  <c r="F133" i="124"/>
  <c r="F137" i="124"/>
  <c r="F125" i="124"/>
  <c r="F129" i="124"/>
  <c r="F101" i="124"/>
  <c r="F145" i="124"/>
  <c r="D43" i="85"/>
  <c r="G43" i="85" s="1"/>
  <c r="BC5" i="80"/>
  <c r="BC15" i="80" s="1"/>
  <c r="BB5" i="80"/>
  <c r="BB15" i="80" s="1"/>
  <c r="BC4" i="80"/>
  <c r="BB4" i="80"/>
  <c r="BB18" i="80" l="1"/>
  <c r="BC18" i="80"/>
  <c r="BB17" i="80"/>
  <c r="BB19" i="80" s="1"/>
  <c r="BC17" i="80"/>
  <c r="BC19" i="80" s="1"/>
  <c r="BC8" i="80"/>
  <c r="BC29" i="80" s="1"/>
  <c r="BC30" i="80" s="1"/>
  <c r="BC9" i="80" l="1"/>
  <c r="J43" i="107"/>
  <c r="E42" i="107"/>
  <c r="I42" i="107" l="1"/>
  <c r="G42" i="85" l="1"/>
  <c r="BB8" i="80" l="1"/>
  <c r="BB9" i="80" s="1"/>
  <c r="H41" i="107"/>
  <c r="H40" i="107"/>
  <c r="H39" i="107"/>
  <c r="H38" i="107"/>
  <c r="J42" i="107" l="1"/>
  <c r="BB29" i="80"/>
  <c r="BB30" i="80" s="1"/>
  <c r="E41" i="107"/>
  <c r="I41" i="107" s="1"/>
  <c r="G41" i="85" l="1"/>
  <c r="BA8" i="80" l="1"/>
  <c r="BA29" i="80" s="1"/>
  <c r="BA30" i="80" s="1"/>
  <c r="E40" i="107"/>
  <c r="BA9" i="80" l="1"/>
  <c r="J41" i="107"/>
  <c r="E39" i="107"/>
  <c r="I39" i="107" s="1"/>
  <c r="E38" i="107"/>
  <c r="I40" i="107"/>
  <c r="M8" i="80" l="1"/>
  <c r="L8" i="80"/>
  <c r="K8" i="80"/>
  <c r="J8" i="80"/>
  <c r="I8" i="80"/>
  <c r="H8" i="80"/>
  <c r="G8" i="80"/>
  <c r="F8" i="80"/>
  <c r="E8" i="80"/>
  <c r="D8" i="80"/>
  <c r="C8" i="80"/>
  <c r="B8" i="80"/>
  <c r="B9" i="80" l="1"/>
  <c r="B29" i="80"/>
  <c r="B30" i="80" s="1"/>
  <c r="D9" i="80"/>
  <c r="D29" i="80"/>
  <c r="D30" i="80" s="1"/>
  <c r="F9" i="80"/>
  <c r="F29" i="80"/>
  <c r="F30" i="80" s="1"/>
  <c r="H9" i="80"/>
  <c r="H29" i="80"/>
  <c r="H30" i="80" s="1"/>
  <c r="K9" i="80"/>
  <c r="K29" i="80"/>
  <c r="K30" i="80" s="1"/>
  <c r="C9" i="80"/>
  <c r="C29" i="80"/>
  <c r="C30" i="80" s="1"/>
  <c r="E9" i="80"/>
  <c r="E29" i="80"/>
  <c r="E30" i="80" s="1"/>
  <c r="G9" i="80"/>
  <c r="G29" i="80"/>
  <c r="G30" i="80" s="1"/>
  <c r="I9" i="80"/>
  <c r="I29" i="80"/>
  <c r="I30" i="80" s="1"/>
  <c r="J9" i="80"/>
  <c r="J29" i="80"/>
  <c r="J30" i="80" s="1"/>
  <c r="L9" i="80"/>
  <c r="L29" i="80"/>
  <c r="L30" i="80" s="1"/>
  <c r="M9" i="80"/>
  <c r="M29" i="80"/>
  <c r="M30" i="80" s="1"/>
  <c r="AZ8" i="80"/>
  <c r="AZ29" i="80" s="1"/>
  <c r="AZ30" i="80" s="1"/>
  <c r="G40" i="85"/>
  <c r="AZ9" i="80" l="1"/>
  <c r="J40" i="107"/>
  <c r="G39" i="85"/>
  <c r="AY8" i="80" l="1"/>
  <c r="AY29" i="80" s="1"/>
  <c r="AY30" i="80" s="1"/>
  <c r="I38" i="107"/>
  <c r="AY9" i="80" l="1"/>
  <c r="J39" i="107"/>
  <c r="E38" i="85"/>
  <c r="G38" i="85" l="1"/>
  <c r="AX5" i="80"/>
  <c r="AX15" i="80" s="1"/>
  <c r="AX4" i="80"/>
  <c r="AX18" i="80" s="1"/>
  <c r="AX17" i="80" l="1"/>
  <c r="AX19" i="80" s="1"/>
  <c r="AX8" i="80"/>
  <c r="AX29" i="80" s="1"/>
  <c r="AX30" i="80" s="1"/>
  <c r="AX9" i="80" l="1"/>
  <c r="J38" i="107"/>
  <c r="I37" i="107"/>
  <c r="I36" i="107"/>
  <c r="AK8" i="80"/>
  <c r="AJ8" i="80"/>
  <c r="AJ29" i="80" s="1"/>
  <c r="AJ30" i="80" s="1"/>
  <c r="AI8" i="80"/>
  <c r="AI29" i="80" s="1"/>
  <c r="AI30" i="80" s="1"/>
  <c r="AH8" i="80"/>
  <c r="AH29" i="80" s="1"/>
  <c r="AH30" i="80" s="1"/>
  <c r="AG8" i="80"/>
  <c r="AG29" i="80" s="1"/>
  <c r="AG30" i="80" s="1"/>
  <c r="AF8" i="80"/>
  <c r="AF29" i="80" s="1"/>
  <c r="AF30" i="80" s="1"/>
  <c r="AE8" i="80"/>
  <c r="AE29" i="80" s="1"/>
  <c r="AE30" i="80" s="1"/>
  <c r="AD8" i="80"/>
  <c r="AD29" i="80" s="1"/>
  <c r="AD30" i="80" s="1"/>
  <c r="AC8" i="80"/>
  <c r="AC29" i="80" s="1"/>
  <c r="AC30" i="80" s="1"/>
  <c r="AB8" i="80"/>
  <c r="AB29" i="80" s="1"/>
  <c r="AB30" i="80" s="1"/>
  <c r="AA8" i="80"/>
  <c r="AA29" i="80" s="1"/>
  <c r="AA30" i="80" s="1"/>
  <c r="Z8" i="80"/>
  <c r="Z29" i="80" s="1"/>
  <c r="Z30" i="80" s="1"/>
  <c r="Y8" i="80"/>
  <c r="Y29" i="80" s="1"/>
  <c r="Y30" i="80" s="1"/>
  <c r="X8" i="80"/>
  <c r="X29" i="80" s="1"/>
  <c r="X30" i="80" s="1"/>
  <c r="W8" i="80"/>
  <c r="W29" i="80" s="1"/>
  <c r="W30" i="80" s="1"/>
  <c r="V8" i="80"/>
  <c r="V29" i="80" s="1"/>
  <c r="V30" i="80" s="1"/>
  <c r="U8" i="80"/>
  <c r="U29" i="80" s="1"/>
  <c r="U30" i="80" s="1"/>
  <c r="T8" i="80"/>
  <c r="T29" i="80" s="1"/>
  <c r="T30" i="80" s="1"/>
  <c r="S8" i="80"/>
  <c r="S29" i="80" s="1"/>
  <c r="S30" i="80" s="1"/>
  <c r="R8" i="80"/>
  <c r="R29" i="80" s="1"/>
  <c r="R30" i="80" s="1"/>
  <c r="Q8" i="80"/>
  <c r="Q29" i="80" s="1"/>
  <c r="Q30" i="80" s="1"/>
  <c r="P8" i="80"/>
  <c r="P29" i="80" s="1"/>
  <c r="P30" i="80" s="1"/>
  <c r="O8" i="80"/>
  <c r="O29" i="80" s="1"/>
  <c r="O30" i="80" s="1"/>
  <c r="N8" i="80"/>
  <c r="N29" i="80" s="1"/>
  <c r="N30" i="80" s="1"/>
  <c r="AW8" i="80"/>
  <c r="AW29" i="80" s="1"/>
  <c r="AW30" i="80" s="1"/>
  <c r="AV8" i="80"/>
  <c r="AV29" i="80" s="1"/>
  <c r="AV30" i="80" s="1"/>
  <c r="AU8" i="80"/>
  <c r="AU29" i="80" s="1"/>
  <c r="AU30" i="80" s="1"/>
  <c r="AT8" i="80"/>
  <c r="AT29" i="80" s="1"/>
  <c r="AT30" i="80" s="1"/>
  <c r="AS8" i="80"/>
  <c r="AS29" i="80" s="1"/>
  <c r="AS30" i="80" s="1"/>
  <c r="AR8" i="80"/>
  <c r="AR29" i="80" s="1"/>
  <c r="AR30" i="80" s="1"/>
  <c r="AQ8" i="80"/>
  <c r="AQ29" i="80" s="1"/>
  <c r="AQ30" i="80" s="1"/>
  <c r="AP8" i="80"/>
  <c r="AP29" i="80" s="1"/>
  <c r="AP30" i="80" s="1"/>
  <c r="AO8" i="80"/>
  <c r="AO29" i="80" s="1"/>
  <c r="AO30" i="80" s="1"/>
  <c r="AN8" i="80"/>
  <c r="AN29" i="80" s="1"/>
  <c r="AN30" i="80" s="1"/>
  <c r="AM8" i="80"/>
  <c r="AM29" i="80" s="1"/>
  <c r="AM30" i="80" s="1"/>
  <c r="AL8" i="80"/>
  <c r="J26" i="107" l="1"/>
  <c r="AL29" i="80"/>
  <c r="AL30" i="80" s="1"/>
  <c r="J25" i="107"/>
  <c r="AK29" i="80"/>
  <c r="AK30" i="80" s="1"/>
  <c r="AI9" i="80"/>
  <c r="J23" i="107"/>
  <c r="Y9" i="80"/>
  <c r="J13" i="107"/>
  <c r="Z9" i="80"/>
  <c r="J14" i="107"/>
  <c r="AJ9" i="80"/>
  <c r="J24" i="107"/>
  <c r="AW9" i="80"/>
  <c r="J37" i="107"/>
  <c r="N9" i="80"/>
  <c r="J2" i="107"/>
  <c r="AN9" i="80"/>
  <c r="J28" i="107"/>
  <c r="X9" i="80"/>
  <c r="J12" i="107"/>
  <c r="O9" i="80"/>
  <c r="J3" i="107"/>
  <c r="AO9" i="80"/>
  <c r="J29" i="107"/>
  <c r="W9" i="80"/>
  <c r="J11" i="107"/>
  <c r="AV9" i="80"/>
  <c r="J36" i="107"/>
  <c r="AL9" i="80"/>
  <c r="AA9" i="80"/>
  <c r="J15" i="107"/>
  <c r="AB9" i="80"/>
  <c r="J16" i="107"/>
  <c r="Q9" i="80"/>
  <c r="J5" i="107"/>
  <c r="R9" i="80"/>
  <c r="J6" i="107"/>
  <c r="S9" i="80"/>
  <c r="J7" i="107"/>
  <c r="T9" i="80"/>
  <c r="J8" i="107"/>
  <c r="AU9" i="80"/>
  <c r="J35" i="107"/>
  <c r="AK9" i="80"/>
  <c r="AM9" i="80"/>
  <c r="J27" i="107"/>
  <c r="P9" i="80"/>
  <c r="J4" i="107"/>
  <c r="AC9" i="80"/>
  <c r="J17" i="107"/>
  <c r="AP9" i="80"/>
  <c r="J30" i="107"/>
  <c r="AD9" i="80"/>
  <c r="J18" i="107"/>
  <c r="AQ9" i="80"/>
  <c r="J31" i="107"/>
  <c r="AE9" i="80"/>
  <c r="J19" i="107"/>
  <c r="AR9" i="80"/>
  <c r="J32" i="107"/>
  <c r="AF9" i="80"/>
  <c r="J20" i="107"/>
  <c r="AS9" i="80"/>
  <c r="J33" i="107"/>
  <c r="U9" i="80"/>
  <c r="J9" i="107"/>
  <c r="AG9" i="80"/>
  <c r="J21" i="107"/>
  <c r="AT9" i="80"/>
  <c r="J34" i="107"/>
  <c r="V9" i="80"/>
  <c r="J10" i="107"/>
  <c r="AH9" i="80"/>
  <c r="J22" i="107"/>
  <c r="G37" i="85"/>
  <c r="G36" i="85"/>
  <c r="I35" i="107" l="1"/>
  <c r="D35" i="85"/>
  <c r="I3" i="107" l="1"/>
  <c r="I4" i="107"/>
  <c r="I5" i="107"/>
  <c r="I6" i="107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2" i="107"/>
  <c r="M73" i="107" l="1"/>
  <c r="M6" i="107"/>
  <c r="M31" i="107"/>
  <c r="M35" i="107"/>
  <c r="M47" i="107"/>
  <c r="M19" i="107"/>
  <c r="M45" i="107"/>
  <c r="M8" i="107"/>
  <c r="M20" i="107"/>
  <c r="M51" i="107"/>
  <c r="M18" i="107"/>
  <c r="M55" i="107"/>
  <c r="M23" i="107"/>
  <c r="M49" i="107"/>
  <c r="M15" i="107"/>
  <c r="M16" i="107"/>
  <c r="M24" i="107"/>
  <c r="M42" i="107"/>
  <c r="M54" i="107"/>
  <c r="M34" i="107"/>
  <c r="M44" i="107"/>
  <c r="M57" i="107"/>
  <c r="M50" i="107"/>
  <c r="M32" i="107"/>
  <c r="M53" i="107"/>
  <c r="M2" i="107"/>
  <c r="M28" i="107"/>
  <c r="M58" i="107"/>
  <c r="M61" i="107"/>
  <c r="M64" i="107"/>
  <c r="M30" i="107"/>
  <c r="M63" i="107"/>
  <c r="M33" i="107"/>
  <c r="M36" i="107"/>
  <c r="M65" i="107"/>
  <c r="M25" i="107"/>
  <c r="M5" i="107"/>
  <c r="M26" i="107"/>
  <c r="M48" i="107"/>
  <c r="M71" i="107"/>
  <c r="M69" i="107"/>
  <c r="M12" i="107"/>
  <c r="M37" i="107"/>
  <c r="M62" i="107"/>
  <c r="M14" i="107"/>
  <c r="M10" i="107"/>
  <c r="M46" i="107"/>
  <c r="M40" i="107"/>
  <c r="M11" i="107"/>
  <c r="M67" i="107"/>
  <c r="M43" i="107"/>
  <c r="M39" i="107"/>
  <c r="M60" i="107"/>
  <c r="M27" i="107"/>
  <c r="M38" i="107"/>
  <c r="M56" i="107"/>
  <c r="M41" i="107"/>
  <c r="M4" i="107"/>
  <c r="M22" i="107"/>
  <c r="M13" i="107"/>
  <c r="M9" i="107"/>
  <c r="M7" i="107"/>
  <c r="M72" i="107"/>
  <c r="M3" i="107"/>
  <c r="M59" i="107"/>
  <c r="M29" i="107"/>
  <c r="M52" i="107"/>
  <c r="M70" i="107"/>
  <c r="M68" i="107"/>
  <c r="M66" i="107"/>
  <c r="M21" i="107"/>
  <c r="M17" i="107"/>
  <c r="D34" i="85"/>
  <c r="G35" i="85" l="1"/>
  <c r="G34" i="85" l="1"/>
  <c r="G33" i="85" l="1"/>
  <c r="AC22" i="99"/>
  <c r="AC21" i="99"/>
  <c r="AC17" i="99"/>
  <c r="AC16" i="99"/>
  <c r="AC13" i="99"/>
  <c r="G32" i="85" l="1"/>
  <c r="W18" i="99"/>
  <c r="AC18" i="99" s="1"/>
  <c r="W14" i="99"/>
  <c r="W43" i="99" s="1"/>
  <c r="AC14" i="99" l="1"/>
  <c r="AC43" i="99" s="1"/>
  <c r="G31" i="85"/>
  <c r="B6" i="101" l="1"/>
  <c r="B1" i="96" s="1"/>
  <c r="B3" i="96" s="1"/>
  <c r="P13" i="99" l="1"/>
  <c r="P43" i="99" s="1"/>
  <c r="B37" i="82"/>
  <c r="B36" i="82"/>
  <c r="B35" i="82"/>
  <c r="B34" i="82"/>
  <c r="B33" i="82"/>
  <c r="B32" i="82"/>
  <c r="B31" i="82"/>
  <c r="B30" i="82"/>
  <c r="B29" i="82"/>
  <c r="B28" i="82"/>
  <c r="B27" i="82"/>
  <c r="B26" i="82"/>
  <c r="G3" i="85" l="1"/>
  <c r="G4" i="85"/>
  <c r="G5" i="85"/>
  <c r="G6" i="85"/>
  <c r="G7" i="85"/>
  <c r="G8" i="85"/>
  <c r="G9" i="85"/>
  <c r="G10" i="85"/>
  <c r="G11" i="85"/>
  <c r="G12" i="85"/>
  <c r="G13" i="85"/>
  <c r="G14" i="85"/>
  <c r="G15" i="85"/>
  <c r="G16" i="85"/>
  <c r="G17" i="85"/>
  <c r="G18" i="85"/>
  <c r="G19" i="85"/>
  <c r="G20" i="85"/>
  <c r="G21" i="85"/>
  <c r="G22" i="85"/>
  <c r="G23" i="85"/>
  <c r="G24" i="85"/>
  <c r="G25" i="85"/>
  <c r="G26" i="85"/>
  <c r="G27" i="85"/>
  <c r="G28" i="85"/>
  <c r="G29" i="85"/>
  <c r="G30" i="85"/>
  <c r="G2" i="85"/>
  <c r="B5" i="96" l="1"/>
  <c r="E3" i="95" l="1"/>
  <c r="E4" i="94"/>
  <c r="F4" i="94" s="1"/>
  <c r="E14" i="94"/>
  <c r="F14" i="94" s="1"/>
  <c r="E10" i="95"/>
  <c r="F10" i="95" s="1"/>
  <c r="E10" i="94"/>
  <c r="F10" i="94" s="1"/>
  <c r="E9" i="94"/>
  <c r="F9" i="94" s="1"/>
  <c r="E7" i="94"/>
  <c r="F7" i="94" s="1"/>
  <c r="E5" i="95"/>
  <c r="F5" i="95" s="1"/>
  <c r="E14" i="95"/>
  <c r="F14" i="95" s="1"/>
  <c r="E2" i="95"/>
  <c r="F2" i="95" s="1"/>
  <c r="E3" i="94"/>
  <c r="F3" i="94" s="1"/>
  <c r="E2" i="94"/>
  <c r="F2" i="94" s="1"/>
  <c r="E13" i="94"/>
  <c r="F13" i="94" s="1"/>
  <c r="E11" i="95"/>
  <c r="F11" i="95" s="1"/>
  <c r="E12" i="94"/>
  <c r="F12" i="94" s="1"/>
  <c r="E11" i="94"/>
  <c r="F11" i="94" s="1"/>
  <c r="E9" i="95"/>
  <c r="F9" i="95" s="1"/>
  <c r="E8" i="95"/>
  <c r="F8" i="95" s="1"/>
  <c r="E6" i="95"/>
  <c r="F6" i="95" s="1"/>
  <c r="E6" i="94"/>
  <c r="F6" i="94" s="1"/>
  <c r="E5" i="94"/>
  <c r="F5" i="94" s="1"/>
  <c r="E13" i="95"/>
  <c r="F13" i="95" s="1"/>
  <c r="E12" i="95"/>
  <c r="F12" i="95" s="1"/>
  <c r="E7" i="95"/>
  <c r="F7" i="95" s="1"/>
  <c r="E4" i="95"/>
  <c r="F4" i="95" s="1"/>
  <c r="E8" i="94"/>
  <c r="F3" i="95"/>
  <c r="F8" i="94"/>
  <c r="U5" i="151" l="1"/>
  <c r="U2" i="151"/>
  <c r="U4" i="151"/>
  <c r="U3" i="151"/>
  <c r="K5" i="151"/>
  <c r="K4" i="151"/>
  <c r="K3" i="151"/>
  <c r="K2" i="151"/>
  <c r="S3" i="151"/>
  <c r="S2" i="151"/>
  <c r="S5" i="151"/>
  <c r="R6" i="151"/>
  <c r="S6" i="151" s="1"/>
  <c r="S4" i="151"/>
  <c r="C5" i="151"/>
  <c r="C3" i="151"/>
  <c r="C4" i="151"/>
  <c r="C2" i="151"/>
  <c r="T6" i="151"/>
  <c r="U6" i="151" s="1"/>
  <c r="M5" i="151"/>
  <c r="M4" i="151"/>
  <c r="M2" i="151"/>
  <c r="M3" i="151"/>
  <c r="L6" i="151"/>
  <c r="M6" i="151" s="1"/>
  <c r="E2" i="151"/>
  <c r="E3" i="151"/>
  <c r="E5" i="151"/>
  <c r="E4" i="151"/>
  <c r="Q4" i="151"/>
  <c r="Q5" i="151"/>
  <c r="Q2" i="151"/>
  <c r="P6" i="151"/>
  <c r="Q6" i="151" s="1"/>
  <c r="Q3" i="151"/>
  <c r="W4" i="151"/>
  <c r="W5" i="151"/>
  <c r="W3" i="151"/>
  <c r="B6" i="151"/>
  <c r="C6" i="151" s="1"/>
  <c r="W2" i="151"/>
  <c r="I2" i="151"/>
  <c r="I3" i="151"/>
  <c r="I5" i="151"/>
  <c r="H6" i="151"/>
  <c r="I6" i="151" s="1"/>
  <c r="I4" i="151"/>
  <c r="O2" i="151"/>
  <c r="O4" i="151"/>
  <c r="O3" i="151"/>
  <c r="N6" i="151"/>
  <c r="O6" i="151" s="1"/>
  <c r="O5" i="151"/>
  <c r="J6" i="151"/>
  <c r="K6" i="151" s="1"/>
  <c r="G3" i="151"/>
  <c r="G5" i="151"/>
  <c r="G4" i="151"/>
  <c r="F6" i="151"/>
  <c r="G6" i="151" s="1"/>
  <c r="G2" i="151"/>
  <c r="D6" i="151"/>
  <c r="E6" i="151" s="1"/>
  <c r="V6" i="151" l="1"/>
  <c r="W6" i="151" s="1"/>
  <c r="F6" i="150" l="1"/>
  <c r="G6" i="150" l="1"/>
  <c r="E26" i="149" l="1"/>
  <c r="D6" i="150" l="1"/>
  <c r="E6" i="150" l="1"/>
  <c r="B6" i="150"/>
  <c r="C6" i="150" s="1"/>
  <c r="B90" i="82" l="1"/>
  <c r="B94" i="82"/>
  <c r="B88" i="82" l="1"/>
  <c r="B89" i="82" l="1"/>
  <c r="B93" i="82" l="1"/>
  <c r="B97" i="82" l="1"/>
  <c r="B87" i="82" l="1"/>
  <c r="B96" i="82" l="1"/>
  <c r="B92" i="82"/>
  <c r="B95" i="82" l="1"/>
  <c r="B91" i="82" l="1"/>
  <c r="E87" i="82" l="1"/>
  <c r="E97" i="82"/>
  <c r="E96" i="82"/>
  <c r="E95" i="82"/>
  <c r="E94" i="82"/>
  <c r="E93" i="82"/>
  <c r="E92" i="82"/>
  <c r="E90" i="82"/>
  <c r="E86" i="82"/>
  <c r="E91" i="82"/>
  <c r="E89" i="82"/>
  <c r="E88" i="82"/>
  <c r="B86" i="82"/>
  <c r="G86" i="82"/>
  <c r="G87" i="82"/>
  <c r="C87" i="82" s="1"/>
  <c r="G90" i="82"/>
  <c r="G94" i="82"/>
  <c r="G97" i="82"/>
  <c r="C97" i="82" s="1"/>
  <c r="G88" i="82"/>
  <c r="G93" i="82"/>
  <c r="G95" i="82"/>
  <c r="C95" i="82" s="1"/>
  <c r="G92" i="82"/>
  <c r="G96" i="82"/>
  <c r="C96" i="82" s="1"/>
  <c r="G89" i="82"/>
  <c r="G91" i="82"/>
  <c r="C89" i="82" l="1"/>
  <c r="C93" i="82"/>
  <c r="C92" i="82"/>
  <c r="C94" i="82"/>
  <c r="C88" i="82"/>
  <c r="C90" i="82"/>
  <c r="C86" i="82"/>
  <c r="C91" i="82"/>
  <c r="CA22" i="80" l="1"/>
  <c r="CA27" i="80" s="1"/>
  <c r="CA14" i="80"/>
  <c r="CA15" i="80" s="1"/>
  <c r="CA17" i="80" s="1"/>
  <c r="CA16" i="80"/>
  <c r="CA18" i="80" s="1"/>
  <c r="BZ22" i="80" l="1"/>
  <c r="BZ27" i="80" s="1"/>
  <c r="BZ14" i="80"/>
  <c r="BZ15" i="80" s="1"/>
  <c r="BZ17" i="80" s="1"/>
  <c r="BZ16" i="80"/>
  <c r="BZ18" i="80" s="1"/>
  <c r="CA19" i="80"/>
  <c r="BZ19" i="80" l="1"/>
  <c r="BW22" i="80"/>
  <c r="BW27" i="80" s="1"/>
  <c r="BW16" i="80"/>
  <c r="BW18" i="80" s="1"/>
  <c r="BW14" i="80"/>
  <c r="BW15" i="80" s="1"/>
  <c r="BW17" i="80" s="1"/>
  <c r="BW19" i="80" s="1"/>
  <c r="BV22" i="80" l="1"/>
  <c r="BV27" i="80" s="1"/>
  <c r="BV14" i="80"/>
  <c r="BV15" i="80" s="1"/>
  <c r="BV17" i="80" s="1"/>
  <c r="BV16" i="80"/>
  <c r="BV18" i="80" s="1"/>
  <c r="CD22" i="80"/>
  <c r="CD27" i="80" s="1"/>
  <c r="CD14" i="80"/>
  <c r="CD15" i="80" s="1"/>
  <c r="CD17" i="80" s="1"/>
  <c r="CD16" i="80"/>
  <c r="CF22" i="80"/>
  <c r="CF27" i="80" s="1"/>
  <c r="CF14" i="80"/>
  <c r="CF15" i="80" s="1"/>
  <c r="CF17" i="80" s="1"/>
  <c r="CF16" i="80"/>
  <c r="BX22" i="80"/>
  <c r="BX27" i="80" s="1"/>
  <c r="BX16" i="80"/>
  <c r="BX14" i="80"/>
  <c r="BX15" i="80" s="1"/>
  <c r="BX17" i="80" s="1"/>
  <c r="H23" i="149" l="1"/>
  <c r="H26" i="149" s="1"/>
  <c r="H24" i="149" s="1"/>
  <c r="BX19" i="80"/>
  <c r="BX18" i="80"/>
  <c r="CD18" i="80"/>
  <c r="CD19" i="80"/>
  <c r="CG22" i="80"/>
  <c r="CG27" i="80" s="1"/>
  <c r="CG14" i="80"/>
  <c r="CG15" i="80" s="1"/>
  <c r="CG17" i="80" s="1"/>
  <c r="CG16" i="80"/>
  <c r="CF19" i="80"/>
  <c r="CF18" i="80"/>
  <c r="CE22" i="80"/>
  <c r="CE27" i="80" s="1"/>
  <c r="CE16" i="80"/>
  <c r="CE18" i="80" s="1"/>
  <c r="CE14" i="80"/>
  <c r="CE15" i="80" s="1"/>
  <c r="CE17" i="80" s="1"/>
  <c r="CC22" i="80"/>
  <c r="CC27" i="80" s="1"/>
  <c r="CC14" i="80"/>
  <c r="CC15" i="80" s="1"/>
  <c r="CC17" i="80" s="1"/>
  <c r="CC16" i="80"/>
  <c r="CC18" i="80" s="1"/>
  <c r="CB22" i="80"/>
  <c r="CB27" i="80" s="1"/>
  <c r="CB16" i="80"/>
  <c r="CB18" i="80" s="1"/>
  <c r="CB14" i="80"/>
  <c r="CB15" i="80" s="1"/>
  <c r="CB17" i="80" s="1"/>
  <c r="BY22" i="80"/>
  <c r="BY27" i="80" s="1"/>
  <c r="BY14" i="80"/>
  <c r="BY15" i="80" s="1"/>
  <c r="BY17" i="80" s="1"/>
  <c r="BY16" i="80"/>
  <c r="BY18" i="80" s="1"/>
  <c r="BV19" i="80"/>
  <c r="CB19" i="80" l="1"/>
  <c r="F33" i="149"/>
  <c r="CE19" i="80"/>
  <c r="BY19" i="80"/>
  <c r="CC19" i="80"/>
  <c r="F32" i="149"/>
  <c r="B32" i="149" s="1"/>
  <c r="B33" i="149"/>
  <c r="C33" i="149" s="1"/>
  <c r="CG18" i="80"/>
  <c r="CG19" i="80"/>
  <c r="C32" i="149" l="1"/>
  <c r="I1521" i="155" l="1"/>
  <c r="I1525" i="155" l="1"/>
  <c r="I1523" i="155"/>
  <c r="I1557" i="155" s="1"/>
  <c r="I1560" i="155" s="1"/>
  <c r="I1524" i="155" l="1"/>
  <c r="J1524" i="155" s="1"/>
  <c r="J1560" i="155"/>
  <c r="I1543" i="155"/>
  <c r="I1561" i="155"/>
  <c r="J1561" i="155" s="1"/>
  <c r="J1543" i="155" l="1"/>
  <c r="I1553" i="155"/>
  <c r="J1553" i="155" s="1"/>
  <c r="B8" i="136" l="1"/>
  <c r="B11" i="136" l="1"/>
  <c r="B10" i="136"/>
  <c r="B9" i="136"/>
  <c r="I1443" i="155" l="1"/>
  <c r="I1365" i="155"/>
  <c r="I1287" i="155"/>
  <c r="I1209" i="155"/>
  <c r="I1131" i="155"/>
  <c r="I1053" i="155"/>
  <c r="I975" i="155"/>
  <c r="I897" i="155"/>
  <c r="I819" i="155"/>
  <c r="I741" i="155"/>
  <c r="I663" i="155"/>
  <c r="I1213" i="155" l="1"/>
  <c r="I1211" i="155"/>
  <c r="I1245" i="155" s="1"/>
  <c r="I1248" i="155" s="1"/>
  <c r="J1248" i="155" s="1"/>
  <c r="I1369" i="155"/>
  <c r="I1367" i="155"/>
  <c r="I1401" i="155" s="1"/>
  <c r="I1404" i="155" s="1"/>
  <c r="I1057" i="155"/>
  <c r="I1055" i="155"/>
  <c r="I1089" i="155" s="1"/>
  <c r="I1092" i="155" s="1"/>
  <c r="J1092" i="155" s="1"/>
  <c r="I1133" i="155"/>
  <c r="I1167" i="155" s="1"/>
  <c r="I1170" i="155" s="1"/>
  <c r="I1135" i="155"/>
  <c r="I1289" i="155"/>
  <c r="I1323" i="155" s="1"/>
  <c r="I1326" i="155" s="1"/>
  <c r="I1291" i="155"/>
  <c r="I1445" i="155"/>
  <c r="I1479" i="155" s="1"/>
  <c r="I1482" i="155" s="1"/>
  <c r="I1447" i="155"/>
  <c r="I901" i="155"/>
  <c r="I899" i="155"/>
  <c r="I933" i="155" s="1"/>
  <c r="I936" i="155" s="1"/>
  <c r="J936" i="155" s="1"/>
  <c r="I900" i="155"/>
  <c r="J900" i="155" s="1"/>
  <c r="I977" i="155"/>
  <c r="I1011" i="155" s="1"/>
  <c r="I1014" i="155" s="1"/>
  <c r="I979" i="155"/>
  <c r="I978" i="155"/>
  <c r="J978" i="155" s="1"/>
  <c r="I823" i="155"/>
  <c r="I821" i="155"/>
  <c r="I855" i="155" s="1"/>
  <c r="I858" i="155" s="1"/>
  <c r="I745" i="155"/>
  <c r="I743" i="155"/>
  <c r="I777" i="155" s="1"/>
  <c r="I780" i="155" s="1"/>
  <c r="I665" i="155"/>
  <c r="I699" i="155" s="1"/>
  <c r="I702" i="155" s="1"/>
  <c r="I667" i="155"/>
  <c r="J1404" i="155" l="1"/>
  <c r="I666" i="155"/>
  <c r="J666" i="155" s="1"/>
  <c r="I1056" i="155"/>
  <c r="J1056" i="155" s="1"/>
  <c r="I1446" i="155"/>
  <c r="J1446" i="155" s="1"/>
  <c r="I744" i="155"/>
  <c r="J744" i="155" s="1"/>
  <c r="I1368" i="155"/>
  <c r="J1368" i="155" s="1"/>
  <c r="J780" i="155"/>
  <c r="I1134" i="155"/>
  <c r="J1134" i="155" s="1"/>
  <c r="J702" i="155"/>
  <c r="J1170" i="155"/>
  <c r="J1014" i="155"/>
  <c r="I822" i="155"/>
  <c r="J822" i="155" s="1"/>
  <c r="J1482" i="155"/>
  <c r="I1290" i="155"/>
  <c r="J1290" i="155" s="1"/>
  <c r="J858" i="155"/>
  <c r="I703" i="155"/>
  <c r="J703" i="155" s="1"/>
  <c r="I685" i="155"/>
  <c r="I1015" i="155"/>
  <c r="J1015" i="155" s="1"/>
  <c r="I997" i="155"/>
  <c r="I1171" i="155"/>
  <c r="J1171" i="155" s="1"/>
  <c r="I1153" i="155"/>
  <c r="I1093" i="155"/>
  <c r="J1093" i="155" s="1"/>
  <c r="I1075" i="155"/>
  <c r="I1483" i="155"/>
  <c r="J1483" i="155" s="1"/>
  <c r="I1465" i="155"/>
  <c r="I781" i="155"/>
  <c r="J781" i="155" s="1"/>
  <c r="I763" i="155"/>
  <c r="I1309" i="155"/>
  <c r="I1327" i="155"/>
  <c r="J1327" i="155" s="1"/>
  <c r="I1249" i="155"/>
  <c r="J1249" i="155" s="1"/>
  <c r="I1231" i="155"/>
  <c r="I937" i="155"/>
  <c r="J937" i="155" s="1"/>
  <c r="I919" i="155"/>
  <c r="I1387" i="155"/>
  <c r="I1405" i="155"/>
  <c r="J1405" i="155" s="1"/>
  <c r="I859" i="155"/>
  <c r="J859" i="155" s="1"/>
  <c r="I841" i="155"/>
  <c r="J1326" i="155"/>
  <c r="I1212" i="155"/>
  <c r="J1212" i="155" s="1"/>
  <c r="I773" i="155" l="1"/>
  <c r="J773" i="155" s="1"/>
  <c r="J763" i="155"/>
  <c r="J1465" i="155"/>
  <c r="I1475" i="155"/>
  <c r="J1475" i="155" s="1"/>
  <c r="I1163" i="155"/>
  <c r="J1163" i="155" s="1"/>
  <c r="J1153" i="155"/>
  <c r="I851" i="155"/>
  <c r="J851" i="155" s="1"/>
  <c r="J841" i="155"/>
  <c r="I929" i="155"/>
  <c r="J929" i="155" s="1"/>
  <c r="J919" i="155"/>
  <c r="I1007" i="155"/>
  <c r="J1007" i="155" s="1"/>
  <c r="J997" i="155"/>
  <c r="J685" i="155"/>
  <c r="I695" i="155"/>
  <c r="J695" i="155" s="1"/>
  <c r="I1397" i="155"/>
  <c r="J1397" i="155" s="1"/>
  <c r="J1387" i="155"/>
  <c r="J1075" i="155"/>
  <c r="I1085" i="155"/>
  <c r="J1085" i="155" s="1"/>
  <c r="I1241" i="155"/>
  <c r="J1241" i="155" s="1"/>
  <c r="J1231" i="155"/>
  <c r="J1309" i="155"/>
  <c r="I1319" i="155"/>
  <c r="J1319" i="155" s="1"/>
  <c r="CU4" i="80" l="1"/>
  <c r="CU21" i="80" l="1"/>
  <c r="CU23" i="80"/>
  <c r="CU5" i="80"/>
  <c r="CV5" i="80" l="1"/>
  <c r="CV18" i="80" l="1"/>
  <c r="CV8" i="80"/>
  <c r="CV15" i="80"/>
  <c r="CV17" i="80" s="1"/>
  <c r="CV19" i="80" s="1"/>
  <c r="CV29" i="80" l="1"/>
  <c r="CV30" i="80" s="1"/>
  <c r="CV9" i="80"/>
  <c r="CV27" i="80" s="1"/>
  <c r="CU3" i="80" l="1"/>
  <c r="CU8" i="80" l="1"/>
  <c r="CU29" i="80" l="1"/>
  <c r="CU30" i="80" s="1"/>
  <c r="CU9" i="80"/>
  <c r="CU12" i="80" l="1"/>
  <c r="D87" i="85"/>
  <c r="B87" i="85" s="1"/>
  <c r="D86" i="85" l="1"/>
  <c r="B86" i="85" s="1"/>
  <c r="CT12" i="80"/>
  <c r="CU16" i="80"/>
  <c r="CU18" i="80" s="1"/>
  <c r="CU14" i="80"/>
  <c r="CU15" i="80" s="1"/>
  <c r="CU17" i="80" s="1"/>
  <c r="CU22" i="80"/>
  <c r="CU27" i="80" s="1"/>
  <c r="CT14" i="80" l="1"/>
  <c r="CT15" i="80" s="1"/>
  <c r="CT17" i="80" s="1"/>
  <c r="CT16" i="80"/>
  <c r="CT22" i="80"/>
  <c r="CT27" i="80" s="1"/>
  <c r="CU19" i="80"/>
  <c r="CT19" i="80" l="1"/>
  <c r="CT18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2A9FF50-EADF-46E5-9020-21120CB9E0A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Lidia</author>
  </authors>
  <commentList>
    <comment ref="W17" authorId="0" shapeId="0" xr:uid="{88A7695A-C843-44E2-9328-F32F37BC6D50}">
      <text>
        <r>
          <rPr>
            <b/>
            <sz val="9"/>
            <color indexed="81"/>
            <rFont val="Tahoma"/>
            <family val="2"/>
          </rPr>
          <t>Lidia:</t>
        </r>
        <r>
          <rPr>
            <sz val="9"/>
            <color indexed="81"/>
            <rFont val="Tahoma"/>
            <family val="2"/>
          </rPr>
          <t xml:space="preserve">
Retroativo Honorários:
9.356,97 menos IR Retido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8C0E4-9AE5-4499-94D7-7B367A74458E}" name="COM INTERCOMPANY" type="6" refreshedVersion="8" background="1" saveData="1">
    <textPr codePage="65001" sourceFile="C:\Users\Bruno Dalmeida\Documents\COM INTERCOMPANY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<sst xmlns="http://schemas.openxmlformats.org/spreadsheetml/2006/main" count="18893" uniqueCount="648">
  <si>
    <t>LOCALIZAÇÃO (ALUGUEL, COND, LUZ, IPTU)</t>
  </si>
  <si>
    <t>MARKETING</t>
  </si>
  <si>
    <t>COMUNICAÇÃO</t>
  </si>
  <si>
    <t>PRESTADOR DE SERVIÇOS</t>
  </si>
  <si>
    <t>ALUGUEL DE EQUIPAMENTOS</t>
  </si>
  <si>
    <t>CONSUMO DE MATERIAL</t>
  </si>
  <si>
    <t>DESPESAS GERAIS</t>
  </si>
  <si>
    <t>TOTAL</t>
  </si>
  <si>
    <t xml:space="preserve">RECEITA </t>
  </si>
  <si>
    <t>Mês</t>
  </si>
  <si>
    <t>Resultado Mensal</t>
  </si>
  <si>
    <t>Resultado Anual</t>
  </si>
  <si>
    <t>Receita Mensal</t>
  </si>
  <si>
    <t>Receita Anual</t>
  </si>
  <si>
    <t>Custos Mensal</t>
  </si>
  <si>
    <t>Custos Anual</t>
  </si>
  <si>
    <t>Ano</t>
  </si>
  <si>
    <t>OKR</t>
  </si>
  <si>
    <t>OKR MO</t>
  </si>
  <si>
    <t>ATOS/PREPOSTOS</t>
  </si>
  <si>
    <t>SUCUMBÊNCIAS</t>
  </si>
  <si>
    <t>GLOSAS</t>
  </si>
  <si>
    <t>TOTAL FLUXO</t>
  </si>
  <si>
    <t>DATA</t>
  </si>
  <si>
    <t>RATEIO</t>
  </si>
  <si>
    <t>IMPOSTOS</t>
  </si>
  <si>
    <t>DESPESAS DIRETAS</t>
  </si>
  <si>
    <t>VALORES RETROATIVOS</t>
  </si>
  <si>
    <t>CORRESPONDENTES</t>
  </si>
  <si>
    <t>VALORES RESCISÓRIOS</t>
  </si>
  <si>
    <t>PENALIDADES E GLOSAS DE CLIENTES</t>
  </si>
  <si>
    <t>PROCESSOS TRABALHISTAS</t>
  </si>
  <si>
    <t>(-) CUSTO DE SERVIÇO PRESTADO</t>
  </si>
  <si>
    <t>LANÇAMENTO</t>
  </si>
  <si>
    <t>Diferença</t>
  </si>
  <si>
    <t>NÍVEL SOCIETÁRIO</t>
  </si>
  <si>
    <t>Ajuste Mensal</t>
  </si>
  <si>
    <t>Quotas de Serviço</t>
  </si>
  <si>
    <t>Antecipação Mensal de Distribuição de Lucros</t>
  </si>
  <si>
    <t>Sócio de Serviço Externo</t>
  </si>
  <si>
    <t>Sócio de Serviço 3</t>
  </si>
  <si>
    <t>Sócio de Serviço 4</t>
  </si>
  <si>
    <t>Sócio de Serviço 5</t>
  </si>
  <si>
    <t>Sócio de Serviço 6</t>
  </si>
  <si>
    <t>Sócio de Serviço 7</t>
  </si>
  <si>
    <t>Sócio de Serviço 8</t>
  </si>
  <si>
    <t>Sócio de Serviço 9</t>
  </si>
  <si>
    <t>Sócio de Serviço 10</t>
  </si>
  <si>
    <t>Sócio de Serviço 11</t>
  </si>
  <si>
    <t>Sócio de Serviço 12</t>
  </si>
  <si>
    <t>Sócio de Serviço 13</t>
  </si>
  <si>
    <t>Sócio de Serviço 1</t>
  </si>
  <si>
    <t>Sócio de Serviço 2</t>
  </si>
  <si>
    <t>% Ajuste Mensal de Lucros</t>
  </si>
  <si>
    <t>Total de Ajuste Mensal de Lucros</t>
  </si>
  <si>
    <t>Total de Quotas</t>
  </si>
  <si>
    <t>Ajuste Mensal por Quota</t>
  </si>
  <si>
    <t>Antecipação Mensal de Distribuição de Lucros Final</t>
  </si>
  <si>
    <t>OKR GLOSAS</t>
  </si>
  <si>
    <t>OKR RECEITA</t>
  </si>
  <si>
    <t>RECEITA ACUMULADA 2020 Mensal</t>
  </si>
  <si>
    <t>RECEITA ACUMULADA 2020 Anual</t>
  </si>
  <si>
    <t>(-) DESPESAS OPERACIONAIS</t>
  </si>
  <si>
    <t>(=) RESULTADO OPERACIONAL BRUTO</t>
  </si>
  <si>
    <t>Santander</t>
  </si>
  <si>
    <t>Itaú</t>
  </si>
  <si>
    <t>Bradesco</t>
  </si>
  <si>
    <t>BS2</t>
  </si>
  <si>
    <t>BV</t>
  </si>
  <si>
    <t>Mercado Livre</t>
  </si>
  <si>
    <t>UOL</t>
  </si>
  <si>
    <t>Data</t>
  </si>
  <si>
    <t>Sócios</t>
  </si>
  <si>
    <t>Total</t>
  </si>
  <si>
    <t>RESULTADO</t>
  </si>
  <si>
    <t>#</t>
  </si>
  <si>
    <t>GRUPO</t>
  </si>
  <si>
    <t>(+/-) RESULTADO FINANCEIRO</t>
  </si>
  <si>
    <t>COFINS Recolhido</t>
  </si>
  <si>
    <t>CSLL Recolhida</t>
  </si>
  <si>
    <t>DARF - Simples</t>
  </si>
  <si>
    <t>IRPJ Recolhida</t>
  </si>
  <si>
    <t>IRPJ Retido</t>
  </si>
  <si>
    <t>ISS</t>
  </si>
  <si>
    <t>PIS Recolhido</t>
  </si>
  <si>
    <t>Parcelamentos</t>
  </si>
  <si>
    <t>Imposto Retido s/ NF</t>
  </si>
  <si>
    <t>Imposto</t>
  </si>
  <si>
    <t>ISS Unidade Vitória</t>
  </si>
  <si>
    <t>RESULTADO FINANCEIRO</t>
  </si>
  <si>
    <t>SÓCIOS DE SERVIÇO</t>
  </si>
  <si>
    <t>RECEITA</t>
  </si>
  <si>
    <t>CLT</t>
  </si>
  <si>
    <t>ADM</t>
  </si>
  <si>
    <t>PESSOAL</t>
  </si>
  <si>
    <t>TIPO</t>
  </si>
  <si>
    <t>Daycoval</t>
  </si>
  <si>
    <t>CUSTOS E DESPESAS</t>
  </si>
  <si>
    <t>DISTR LUCROS E DESPESAS SS (JURÍDICO)</t>
  </si>
  <si>
    <t>DISTR LUCROS E DESPESAS SC (4)</t>
  </si>
  <si>
    <t>PESSOAL CLT (BO / ASSIS JURID / NEGOC)</t>
  </si>
  <si>
    <t>Enel</t>
  </si>
  <si>
    <t>PESSOAL CLT ADM</t>
  </si>
  <si>
    <t>RESULTADO IG</t>
  </si>
  <si>
    <t>2 - GAN</t>
  </si>
  <si>
    <t>3 - GAA</t>
  </si>
  <si>
    <t>4 - GAT</t>
  </si>
  <si>
    <t>1 - TOTAL</t>
  </si>
  <si>
    <t>EMPRESA</t>
  </si>
  <si>
    <t>Receita</t>
  </si>
  <si>
    <t>SÓCIOS DE SERVIÇO E CAPITAL</t>
  </si>
  <si>
    <t>SÓCIOS DE CAPITAL</t>
  </si>
  <si>
    <t>Nível Societário</t>
  </si>
  <si>
    <t>Nº de Profissionais</t>
  </si>
  <si>
    <t>Sócio de Serviço externo</t>
  </si>
  <si>
    <t>Sócio Sênior 1</t>
  </si>
  <si>
    <t>Sócio Sênior 2</t>
  </si>
  <si>
    <t>Sócio Sênior 3</t>
  </si>
  <si>
    <t>Empresa</t>
  </si>
  <si>
    <t>GAN</t>
  </si>
  <si>
    <t>Valores em R$</t>
  </si>
  <si>
    <t>GAA / GAT</t>
  </si>
  <si>
    <t>OBS</t>
  </si>
  <si>
    <t>Eventos atípicos
42k - Processo Michele
22k - Dissídio CLTs
16k - PPR CLTs
80k - Total</t>
  </si>
  <si>
    <t>Escala Societária
OAB
Bolsas Estagiários
VT Estagiários
Plano de Saúde
Seguro de Vida
Plano Odontológico</t>
  </si>
  <si>
    <t>Ajuste - R$ 423.786 foram para jan/21</t>
  </si>
  <si>
    <t>Ajuste - R$ 423.786 trazidos de dez/20</t>
  </si>
  <si>
    <t>Resultado</t>
  </si>
  <si>
    <t>Custos</t>
  </si>
  <si>
    <t>1. GAN</t>
  </si>
  <si>
    <t>2. GAA</t>
  </si>
  <si>
    <t>3. GAT</t>
  </si>
  <si>
    <t>4. TOTAL</t>
  </si>
  <si>
    <t>Fonte</t>
  </si>
  <si>
    <t>3. DIFERENÇA</t>
  </si>
  <si>
    <t>1. DRE - GERENCIAL</t>
  </si>
  <si>
    <t>2. FRADEMA - CONTÁBIL</t>
  </si>
  <si>
    <t>. Plano de Saúde (mudança de vencimento) - 31.820
. Distribuição Mensal de Lucros (evoluções e talentos) - 6.399
. Bolsa Auxílio (adiantamentos/rescisões) - 5.543
. VR/VA (aumento de 9 profissionais e mais dias no mês) - 8.362
. 13º Salário (adiantamento de 2 profissionais) - 2.087
. Seguro de Vida (não pago em junho) - 7.478
. Férias (2 férias pagas em junho x 9 férias pagas em julho) - 12.272
. Total - 73.961</t>
  </si>
  <si>
    <t xml:space="preserve">Eventos atípicos
13º Salário
Férias
Encargos </t>
  </si>
  <si>
    <t>Eventos atípicos
13º Salário - 48 mil
Férias - 42 mil
Encargos - 10 mil
Total - 100 mil</t>
  </si>
  <si>
    <t>Cargo</t>
  </si>
  <si>
    <t>Sócio</t>
  </si>
  <si>
    <t>Celetistas</t>
  </si>
  <si>
    <t>CLT E ADM</t>
  </si>
  <si>
    <t>Hora</t>
  </si>
  <si>
    <t xml:space="preserve">13o - 1a Parcela - 77.000
Gastos CLT sem o 13o - 278.640 </t>
  </si>
  <si>
    <t>Ajuste pro rata e troca de vencimento no plano de saúde, regularizado em outubro</t>
  </si>
  <si>
    <t>Simba</t>
  </si>
  <si>
    <t>Lasa</t>
  </si>
  <si>
    <t>13o - 2a Parcela - 77.000
Férias 53.000</t>
  </si>
  <si>
    <t>- Contratações
- Evoluções</t>
  </si>
  <si>
    <t>OBS2</t>
  </si>
  <si>
    <t>Diminuição de 10 advogados - Santander</t>
  </si>
  <si>
    <t>Aumento de 31k - evoluções nas 4 janelas</t>
  </si>
  <si>
    <t>- Dissídio março 20k
- Plano Saúde outubro
- Contratações
- Promoções nas janelas do ano 2,2k</t>
  </si>
  <si>
    <t>OBS3</t>
  </si>
  <si>
    <t>Evoluções e Dissídio</t>
  </si>
  <si>
    <t>OBS4</t>
  </si>
  <si>
    <t>OBS5</t>
  </si>
  <si>
    <t>- Dissídio março 20k
- Promoções nas janelas do ano 2,2k</t>
  </si>
  <si>
    <t>OUTROS</t>
  </si>
  <si>
    <t>DISTR LUCROS E DESPESAS SS GESTÃO (11) ADM</t>
  </si>
  <si>
    <t>( - ) DEPRECIAÇÃO/AMORTIZAÇÃO</t>
  </si>
  <si>
    <t>(+ / - )RESULTADO FINANCEIRO</t>
  </si>
  <si>
    <t>( - ) IMPOSTOS (IRPJ+CSSL+PIS+COFINS+ISS)</t>
  </si>
  <si>
    <t>Sócio de Serviço 4 e Externo</t>
  </si>
  <si>
    <t>200k / 15%</t>
  </si>
  <si>
    <t>200k / 10%</t>
  </si>
  <si>
    <t>200k / 7,5%</t>
  </si>
  <si>
    <t>350k / 7,5%</t>
  </si>
  <si>
    <t>350k / 10%</t>
  </si>
  <si>
    <t>350k / 15%</t>
  </si>
  <si>
    <t>DESCONTO PAGAMENTOS EM DUPLICIDADE</t>
  </si>
  <si>
    <t>GRUPO LANÇ</t>
  </si>
  <si>
    <t>LANÇAMENTO 2</t>
  </si>
  <si>
    <t>OKR CUSTOS</t>
  </si>
  <si>
    <t xml:space="preserve">GASTOS </t>
  </si>
  <si>
    <t>Cor</t>
  </si>
  <si>
    <t>(=) EBITDA</t>
  </si>
  <si>
    <t>Evolução % Mês Anterior</t>
  </si>
  <si>
    <t>Média 2023</t>
  </si>
  <si>
    <t>Evolução % Média</t>
  </si>
  <si>
    <t>Total 2023</t>
  </si>
  <si>
    <t>(+) RECEITA OPERACIONAL BRUTA</t>
  </si>
  <si>
    <t xml:space="preserve">       HONORÁRIOS DE CLIENTES</t>
  </si>
  <si>
    <t xml:space="preserve">       HONORÁRIOS DE SUCUMBÊNCIA</t>
  </si>
  <si>
    <t>(=) RECEITA OPERACIONAL LÍQUIDA</t>
  </si>
  <si>
    <t xml:space="preserve">       PESSOAL CLT (BO / ASSIS JURÍD / NEGOC)</t>
  </si>
  <si>
    <t xml:space="preserve">       CORRESPONDENTES</t>
  </si>
  <si>
    <t xml:space="preserve">       VALORES RESCISÓRIOS</t>
  </si>
  <si>
    <t xml:space="preserve">       PENALIDADES E GLOSAS DE CLIENTES</t>
  </si>
  <si>
    <t xml:space="preserve">       PROCESSOS TRABALHISTAS</t>
  </si>
  <si>
    <t xml:space="preserve">       DESCONTO PAGAMENTOS EM DUPLICIDADE</t>
  </si>
  <si>
    <t xml:space="preserve">       PESSOAL CLT ADM</t>
  </si>
  <si>
    <t xml:space="preserve">       LOCALIZAÇÃO (ALUGUEL, COND, LUZ, IPTU)</t>
  </si>
  <si>
    <t xml:space="preserve">       MARKETING</t>
  </si>
  <si>
    <t xml:space="preserve">       COMUNICAÇÃO</t>
  </si>
  <si>
    <t xml:space="preserve">       PRESTADOR DE SERVIÇOS</t>
  </si>
  <si>
    <t xml:space="preserve">       ALUGUEL DE EQUIPAM / MANUT MÁQ EQUIPAM</t>
  </si>
  <si>
    <t xml:space="preserve">       CONSUMO DE MATERIAL</t>
  </si>
  <si>
    <t>(-) DEPRECIAÇÃO / AMORTIZAÇÃO</t>
  </si>
  <si>
    <t>(-) IMPOSTOS (IRPJ+CSLL+PIS+COFINS+ISS)</t>
  </si>
  <si>
    <t>(=) RESULTADO LÍQ ANTES DA DISTRIB SÓCIOS</t>
  </si>
  <si>
    <t>(-) DISTR LUCROS E DESPESAS SS (JURÍDICO)</t>
  </si>
  <si>
    <t>(-) DISTR LUCROS E DESPESAS SC (3)</t>
  </si>
  <si>
    <t>(-) DISTR LUCROS E DESPESAS SS GESTÃO ADM (11)</t>
  </si>
  <si>
    <t>(=) TOTAL DISTRIBUIÇÃO DE LUCROS SÓCIOS</t>
  </si>
  <si>
    <t>(=) TOTAL DESPESAS INCLUINDO DIST LUC SÓC</t>
  </si>
  <si>
    <t>AMORTIZAÇÃO PASSIVO BANCÁRIO</t>
  </si>
  <si>
    <t>INVESTIMENTOS</t>
  </si>
  <si>
    <t>CAIXA FINAL MÊS</t>
  </si>
  <si>
    <t>PARCELA AJUSTE MENSAL (15%)</t>
  </si>
  <si>
    <t>(=) RESULTADO LÍQ APÓS DISTRIB SÓCIOS</t>
  </si>
  <si>
    <t>2- CUSTO DE SERVIÇO PRESTADO</t>
  </si>
  <si>
    <t>3- DESPESAS OPERACIONAIS</t>
  </si>
  <si>
    <t>5- DEPRECIAÇÃO / AMORTIZAÇÃO</t>
  </si>
  <si>
    <t>6- RESULTADO FINANCEIRO</t>
  </si>
  <si>
    <t>4- IMPOSTOS</t>
  </si>
  <si>
    <t>1- DISTRIBUIÇÃO LUCROS E DESPESAS</t>
  </si>
  <si>
    <t>PESSOAL CLT (BO / ASSIS JURÍD / NEGOC)</t>
  </si>
  <si>
    <t>ALUGUEL DE EQUIPAM / MANUT MÁQ EQUIPAM</t>
  </si>
  <si>
    <t>DEPRECIAÇÃO / AMORTIZAÇÃO</t>
  </si>
  <si>
    <t>IMPOSTOS (IRPJ+CSLL+PIS+COFINS+ISS)</t>
  </si>
  <si>
    <t>DISTR LUCROS E DESPESAS SC (3)</t>
  </si>
  <si>
    <t>DISTR LUCROS E DESPESAS SS GESTÃO ADM (11)</t>
  </si>
  <si>
    <t>Dividir</t>
  </si>
  <si>
    <t>Último mês</t>
  </si>
  <si>
    <t>MARC</t>
  </si>
  <si>
    <t xml:space="preserve">       DESPESAS INTERCOMPANY</t>
  </si>
  <si>
    <t>DESPESAS INTERCOMPANY</t>
  </si>
  <si>
    <t>DESPESAS GERAIS / INVESTIMENTOS</t>
  </si>
  <si>
    <t xml:space="preserve">       DESPESAS GERAIS / INVESTIMENTOS</t>
  </si>
  <si>
    <t>SALDO DE CLIENTES ADIANTAMENTO</t>
  </si>
  <si>
    <t>SALDO EM HAVER CUSTAS BRUTO</t>
  </si>
  <si>
    <t>SALDO HAVER CUSTAS TOTAL</t>
  </si>
  <si>
    <t>Notas Intercompany GAT 130k</t>
  </si>
  <si>
    <t>Notas Intercompany GAT 80k</t>
  </si>
  <si>
    <t>Extras
13º 77k
Férias 50k
Glosas Célula Especial 170k
Eventos de final de ano</t>
  </si>
  <si>
    <t>Estagiários</t>
  </si>
  <si>
    <t>Função</t>
  </si>
  <si>
    <t>Madeira Madeira</t>
  </si>
  <si>
    <t>Naturgy</t>
  </si>
  <si>
    <t>Vivo</t>
  </si>
  <si>
    <t>OBS Custos</t>
  </si>
  <si>
    <t>Sócio de Serviço Sênior 1</t>
  </si>
  <si>
    <t>Sócio de Serviço Sênior 2</t>
  </si>
  <si>
    <t>Sócio de Serviço Sênior 3</t>
  </si>
  <si>
    <t>ÚLT PESS</t>
  </si>
  <si>
    <t>Estoque</t>
  </si>
  <si>
    <t>OBS Receita</t>
  </si>
  <si>
    <t>ANOMALIAS A MAIOR - 530k
Mercado Livre - 230k
Santander - 200k
UOL - 100k</t>
  </si>
  <si>
    <t>ANOMALIAS A MENOR - 180k
Impostos - 180k</t>
  </si>
  <si>
    <t>ANOMALIAS A MAIOR - 210k
Intercompany - 210k</t>
  </si>
  <si>
    <t>ANOMALIAS A MAIOR - 80k
Intercompany - 80k</t>
  </si>
  <si>
    <t>ANOMALIAS A MAIOR - 255k
ENEL-SP 175k
Intercompany - 80k</t>
  </si>
  <si>
    <t>ANOMALIAS A MAIOR - 80k
Itercompany - 80k
ANOMALIAS A MENOR - 175k
ENEL-SP 175k</t>
  </si>
  <si>
    <t>ANOMALIAS A MAIOR - 80k
Intercompany - 80k
ANOMALIAS A MENOR
Leader - Receita represada
Naturgy - Receita represada</t>
  </si>
  <si>
    <t>ANOMALIAS A MAIOR - 210K
Intercompany - 210k
ANOMALIAS A MENOR - 180k
Impostos - 180k</t>
  </si>
  <si>
    <t>ANOMALIAS A MAIOR - 80K
Intercompany - 80k
ANOMALIAS A MENOR - 180k
Impostos - 180k</t>
  </si>
  <si>
    <t>ANOMALIAS A MAIOR - 324k
Impostos - 180k
Intercompany - 80k
Correspondentes - 50k
Vivo - 14k
ANOMALIAS A MENOR - 69k
Processos Trabalhistas - 69k</t>
  </si>
  <si>
    <t>ANOMALIAS A MAIOR - 279k
Pessoal - Vivo - 83k
Intercompany - 80k
Correspondentes - 70k
Glosas - 30k
Dep recursal - 16k</t>
  </si>
  <si>
    <t>ANOMALIAS A MAIOR -
100k
Processos trabalhistas
Rescisão e férias elevados
Alguns eventos Festa
Soft Line pago em julho ref junho e julho</t>
  </si>
  <si>
    <t>ANOMALIAS A MAIOR - 305k
Condenações e Depósitos Recursais - Trabalhista - 130K
Pessoal - Vivo - 95k
Intercompany - 80k</t>
  </si>
  <si>
    <t>(=) EBITDA GERENCIAL</t>
  </si>
  <si>
    <t>(=) EBITDA CONTÁBIL</t>
  </si>
  <si>
    <t>EBITDA CONTÁBIL</t>
  </si>
  <si>
    <t>EBITDA GERENCIAL</t>
  </si>
  <si>
    <t>13o Salário</t>
  </si>
  <si>
    <t>PPR</t>
  </si>
  <si>
    <t>Dissídio</t>
  </si>
  <si>
    <t>Impostos menores</t>
  </si>
  <si>
    <t>PPR / Intercompany</t>
  </si>
  <si>
    <t>Dissídio / Intercompany</t>
  </si>
  <si>
    <t>Intercompany</t>
  </si>
  <si>
    <t>Carteira nova / Intercompany</t>
  </si>
  <si>
    <t>Folha total na GAA até fevereiro/2022, migrando para GAT a partir de março/2022</t>
  </si>
  <si>
    <t>Imobiliário</t>
  </si>
  <si>
    <t>ANOMALIAS A MAIOR - 152k
Investimento na festa - 70k
Imposto ref trimestre anterior a maior - 60k
Correspondentes - 22k</t>
  </si>
  <si>
    <t>ANOMALIAS A MAIOR - 170k
Intercompany - 170k (entra em receitas e sai em despesas)</t>
  </si>
  <si>
    <t>Estagiário</t>
  </si>
  <si>
    <t>Estagiário - I</t>
  </si>
  <si>
    <t>Estagiário - II</t>
  </si>
  <si>
    <t>Estagiário - RPA</t>
  </si>
  <si>
    <t>Estagiário - Externo</t>
  </si>
  <si>
    <t>ÍNDICE</t>
  </si>
  <si>
    <t xml:space="preserve">ANOMALIAS A MAIOR - 1,7 M
Antecipação de notas da Vivo (jan e fev de 2024) - 600k
Recebimento de notas atrasadas da BRK - 400k
Intercompany - 400k (entra em receitas e sai em despesas)
Sucumbências - 300k </t>
  </si>
  <si>
    <t>ANOMALIAS A MAIOR - 400k
Intercompany - 400k</t>
  </si>
  <si>
    <t>ANOMALIAS A MAIOR - 600k
Antecipação de receita de cliente - 600k</t>
  </si>
  <si>
    <t>ANOMALIAS A MENOR
Correspondentes - recesso
Intercompany
Impostos GAT</t>
  </si>
  <si>
    <t>GAA/GAT</t>
  </si>
  <si>
    <t>Quotas
Base</t>
  </si>
  <si>
    <t>Sênior</t>
  </si>
  <si>
    <t>Lucro Líquido 2023</t>
  </si>
  <si>
    <t>Falta por mês</t>
  </si>
  <si>
    <t>Investimento</t>
  </si>
  <si>
    <t>GAA</t>
  </si>
  <si>
    <t>GAT</t>
  </si>
  <si>
    <t>Sodexo</t>
  </si>
  <si>
    <t>Vale Transporte</t>
  </si>
  <si>
    <t>Edupass (subsídio Gondim)</t>
  </si>
  <si>
    <t>OAB</t>
  </si>
  <si>
    <t>Seguro de vida</t>
  </si>
  <si>
    <t>Sócios GAN</t>
  </si>
  <si>
    <t>Sócios GAA</t>
  </si>
  <si>
    <t>Sócios GAT</t>
  </si>
  <si>
    <t>Sócio Miguel</t>
  </si>
  <si>
    <t>Estagiários GAN</t>
  </si>
  <si>
    <t>Estagiários GAA</t>
  </si>
  <si>
    <t>ISS Uniprofiss Advogados</t>
  </si>
  <si>
    <t>TotalPass - Titular (subsidio)</t>
  </si>
  <si>
    <t>Plano Saúde Titular (subsídio)</t>
  </si>
  <si>
    <t>Total 2024</t>
  </si>
  <si>
    <t>Média 2024</t>
  </si>
  <si>
    <t>SUCUMBÊNCIA</t>
  </si>
  <si>
    <t>Claro</t>
  </si>
  <si>
    <t>Estratégico</t>
  </si>
  <si>
    <t>Saneamento</t>
  </si>
  <si>
    <t>RESULTADO SEM SUCUMBÊNCIAS</t>
  </si>
  <si>
    <t>RECEITA SEM SUCUMBÊNCIAS</t>
  </si>
  <si>
    <t>Formação e Capacitação</t>
  </si>
  <si>
    <t>Custos e Despesas</t>
  </si>
  <si>
    <t>Evolução x 1o Tri 2023
1. Impostos - parte 520k, deixamos de pagar pelo parcelamento
2. Impostos - parte 450k - evolução pelo aumento do faturamento
3. Pessoas - aumento de times - 400k
Total 1,4 milhão</t>
  </si>
  <si>
    <t>Falta por mês orçado</t>
  </si>
  <si>
    <t>LANÇAMENTO OMIE</t>
  </si>
  <si>
    <t xml:space="preserve"> RECEITAS BRUTA  PREST SERVIÇOS</t>
  </si>
  <si>
    <t>Deduções da Receita</t>
  </si>
  <si>
    <t xml:space="preserve">    (-) Impostos Retidos s/Fatur</t>
  </si>
  <si>
    <t xml:space="preserve">    (-) Descontos- Duplicidades Clientes </t>
  </si>
  <si>
    <t>Glosas - Desconto s/ líquido da NF</t>
  </si>
  <si>
    <t>Duplicidade Itaú</t>
  </si>
  <si>
    <t>Juros Antecipação Vivo</t>
  </si>
  <si>
    <t>Outros</t>
  </si>
  <si>
    <t xml:space="preserve">    (+) Juros - peq valores</t>
  </si>
  <si>
    <t>RECEITA LIQUIDA PREST DE SERVIÇOS</t>
  </si>
  <si>
    <t>Clientes - Honorários Contratuais</t>
  </si>
  <si>
    <t>Clientes - Honorários de Sucumbência</t>
  </si>
  <si>
    <t>Clientes - Honorários de Prepostos</t>
  </si>
  <si>
    <t>Glosa - Desconto Bruto NF</t>
  </si>
  <si>
    <t xml:space="preserve">CUSTOS OPERACIONAIS  </t>
  </si>
  <si>
    <t>total jurídico</t>
  </si>
  <si>
    <t>Condenações + Glosas</t>
  </si>
  <si>
    <t>Custo Operacional - Correspondentes</t>
  </si>
  <si>
    <t>Custo Operacional - Jurídico</t>
  </si>
  <si>
    <t>Custo Operacional - Processos Trabalhistas</t>
  </si>
  <si>
    <t>Custo Operacional - Suporte (BO / Acordo / Ass Jurídico)</t>
  </si>
  <si>
    <t>RESULTADO BRUTO</t>
  </si>
  <si>
    <t xml:space="preserve">DESPESAS OPERACIONAIS </t>
  </si>
  <si>
    <t xml:space="preserve">Administrativas </t>
  </si>
  <si>
    <t xml:space="preserve">       DESPESAS GERAIS</t>
  </si>
  <si>
    <t xml:space="preserve"> Comunicação</t>
  </si>
  <si>
    <t xml:space="preserve"> Consumo de Material</t>
  </si>
  <si>
    <t xml:space="preserve"> Despesas Gerais</t>
  </si>
  <si>
    <t xml:space="preserve"> Equipamentos</t>
  </si>
  <si>
    <t xml:space="preserve"> Localização / Ocupação</t>
  </si>
  <si>
    <t xml:space="preserve"> Prestadores de Serviço</t>
  </si>
  <si>
    <t>Marketing</t>
  </si>
  <si>
    <t>Pessoal Adm</t>
  </si>
  <si>
    <t>Vendas e Marketing</t>
  </si>
  <si>
    <t>EBITDA</t>
  </si>
  <si>
    <t>(+)Estorno de Tarifas</t>
  </si>
  <si>
    <t>(+)Rendimentos de Aplicações</t>
  </si>
  <si>
    <t xml:space="preserve">     (-)Despesas Financeiras / Bancos</t>
  </si>
  <si>
    <t xml:space="preserve">Resultado Financeiro </t>
  </si>
  <si>
    <t>Impostos e Taxas - Normais</t>
  </si>
  <si>
    <t>Depreciação</t>
  </si>
  <si>
    <t>TOTAL CUSTOS E DESPESAS</t>
  </si>
  <si>
    <t xml:space="preserve">RESULTADO LIQUIDO EXERCICIO - OMIE   </t>
  </si>
  <si>
    <t>RESULTADO LIQUIDO EXERCICIO - ORÇAMENTO</t>
  </si>
  <si>
    <t xml:space="preserve">Informações Gerenciais </t>
  </si>
  <si>
    <t/>
  </si>
  <si>
    <t>Amortização/Desembolso Passivos- Bancarios</t>
  </si>
  <si>
    <t>Investimentos</t>
  </si>
  <si>
    <t xml:space="preserve">Caixa Liquido Final do Mês </t>
  </si>
  <si>
    <t xml:space="preserve">Haver de Custas - Saldo Final do Mês </t>
  </si>
  <si>
    <t>LANÇAMENTO antigo</t>
  </si>
  <si>
    <t>Fluxo de Caixa por Categoria Para D R E Fluxo de Caixa por Categoria Mensal</t>
  </si>
  <si>
    <t>DRE 2024 - A PARTIR DE MAIO-Omie</t>
  </si>
  <si>
    <t>Cliente ou Fornecedor (Nome Fantasia)</t>
  </si>
  <si>
    <t>% s/ Tot  - mai</t>
  </si>
  <si>
    <t>% s/ Tot  - jun</t>
  </si>
  <si>
    <t>Total - mai/jun 2024</t>
  </si>
  <si>
    <t>% s/ Total Desp Acum</t>
  </si>
  <si>
    <t>% Evolução</t>
  </si>
  <si>
    <t xml:space="preserve">ML </t>
  </si>
  <si>
    <t>xxx</t>
  </si>
  <si>
    <t>maio - 2.474,79 - glosa incluída no desconto da NF</t>
  </si>
  <si>
    <t>jun - Despesas BO e Negociadores incluídas nas Despesas Pessoal Adm</t>
  </si>
  <si>
    <t>Lançamento</t>
  </si>
  <si>
    <t>a</t>
  </si>
  <si>
    <t>b</t>
  </si>
  <si>
    <t>c</t>
  </si>
  <si>
    <t>d</t>
  </si>
  <si>
    <t>e</t>
  </si>
  <si>
    <t>f</t>
  </si>
  <si>
    <t>ML</t>
  </si>
  <si>
    <t>-</t>
  </si>
  <si>
    <t>Total - 2024</t>
  </si>
  <si>
    <t>DISTRIBUIÇÃO LUCROS</t>
  </si>
  <si>
    <t>Definido em Assembleia pelos sócios</t>
  </si>
  <si>
    <t>Ajuste 400</t>
  </si>
  <si>
    <t>Final 400</t>
  </si>
  <si>
    <t>Ajuste 800</t>
  </si>
  <si>
    <t>Final 800</t>
  </si>
  <si>
    <t>Ajuste 1200</t>
  </si>
  <si>
    <t>Final 1200</t>
  </si>
  <si>
    <t>Carteira</t>
  </si>
  <si>
    <t>Faturamento</t>
  </si>
  <si>
    <t>UOL/ESTRATÉGICO</t>
  </si>
  <si>
    <t>SANTANDER</t>
  </si>
  <si>
    <t>MERCADO LIVRE</t>
  </si>
  <si>
    <t>CLARO</t>
  </si>
  <si>
    <t>VIVO</t>
  </si>
  <si>
    <t>ITAÚ</t>
  </si>
  <si>
    <t>ÁGUAS DO RIO</t>
  </si>
  <si>
    <t>BRK</t>
  </si>
  <si>
    <t>ENEL RJ</t>
  </si>
  <si>
    <t>BRADESCO</t>
  </si>
  <si>
    <t>FAB</t>
  </si>
  <si>
    <t>DAYCOVAL</t>
  </si>
  <si>
    <t>MADEIRA MADEIRA</t>
  </si>
  <si>
    <t>MRS</t>
  </si>
  <si>
    <t>IMOBILIÁRIO</t>
  </si>
  <si>
    <t>VERDE ALAGOAS</t>
  </si>
  <si>
    <t>NATURGY</t>
  </si>
  <si>
    <t>ÁGUAS DO SERTÃO</t>
  </si>
  <si>
    <t>Resultado Mensal 2025</t>
  </si>
  <si>
    <t>Variação</t>
  </si>
  <si>
    <t>2025.</t>
  </si>
  <si>
    <t>2024.</t>
  </si>
  <si>
    <t>2023.</t>
  </si>
  <si>
    <t>2022.</t>
  </si>
  <si>
    <t>2021.</t>
  </si>
  <si>
    <t>2020.</t>
  </si>
  <si>
    <t>2025 2</t>
  </si>
  <si>
    <t>2025 1</t>
  </si>
  <si>
    <t>2025 3</t>
  </si>
  <si>
    <t>1. Tivemos (+) 1 milhão no Itaú, recuperação de receita - Parabéns!
2. Não tivemos Vivo (-) 300k - antecipação feita
3. Não tivemos Mercado Livre - prazo alterado (-) 600k
Total (+) 100k</t>
  </si>
  <si>
    <t>1. Sucumbências aumentaram em (+) 410k
2. Mercado Livre (+) 500k - antecipamos para gestão de caixa
3. Santander (+) 100k
Total (+) 1.000k</t>
  </si>
  <si>
    <t>1. Mercado Livre (-) 600k - não tivemos pois antecipamos em julho
Total (-) 600k</t>
  </si>
  <si>
    <t>1. Sucumbências (+) 300k
2. UOL/Estratégico (+) 100k
3. MRS (+) 100k
Total (+) 500k
Saneamento - Pendência no faturamento de (+) 600k
Deve ser liberado em novembro</t>
  </si>
  <si>
    <t>Honorários</t>
  </si>
  <si>
    <t>Sucumbências</t>
  </si>
  <si>
    <t>Honorários var</t>
  </si>
  <si>
    <t>Sucumbências var</t>
  </si>
  <si>
    <t>Total var</t>
  </si>
  <si>
    <t>IMPOSTO SUCUMBÊNCIA</t>
  </si>
  <si>
    <t>IMPOSTOS SEM SUCUMBÊNCIA</t>
  </si>
  <si>
    <t>CUSTOS SEM SUCUMBÊNCIAS</t>
  </si>
  <si>
    <t>RESULTADO SEM SUCUMBÊNCIAS PAINEL</t>
  </si>
  <si>
    <t>1. Recebimento do atrasado Saneamento 900k
2- Enel SP recebemos esse mês o referente ao mês passado 170k
3. Santander a maior 300k
4. Intercompany 400k
Total a maior 1770k
Tenho um entendimento que o nosso novo volume de faturamento monta em 4,2MM</t>
  </si>
  <si>
    <t>1. Pagamento 13º Salário 110k
2. Correspondente a maior 50k
3. Intercompany 400k
Total a maior 560k
Algumas despesas iniciadas para a festa de Final de Ano e Nova Unidade SP</t>
  </si>
  <si>
    <t>Valor Legal</t>
  </si>
  <si>
    <t>Total Custos e Despesas</t>
  </si>
  <si>
    <t>Impostos</t>
  </si>
  <si>
    <t>Correspondentes</t>
  </si>
  <si>
    <t>Sócios de Serviço e Capital</t>
  </si>
  <si>
    <t>% jan</t>
  </si>
  <si>
    <t>% fev</t>
  </si>
  <si>
    <t>% mar</t>
  </si>
  <si>
    <t>% mai</t>
  </si>
  <si>
    <t>% jun</t>
  </si>
  <si>
    <t>% jul</t>
  </si>
  <si>
    <t>% ago</t>
  </si>
  <si>
    <t>% set</t>
  </si>
  <si>
    <t>% out</t>
  </si>
  <si>
    <t>% nov</t>
  </si>
  <si>
    <t>% Total</t>
  </si>
  <si>
    <t>Despesa</t>
  </si>
  <si>
    <t>R$</t>
  </si>
  <si>
    <t>%</t>
  </si>
  <si>
    <t>% a</t>
  </si>
  <si>
    <t>Tipo Despesa</t>
  </si>
  <si>
    <t>Juros - peq valores</t>
  </si>
  <si>
    <t>Comunicação</t>
  </si>
  <si>
    <t>Consumo de Material</t>
  </si>
  <si>
    <t>Despesas Gerais</t>
  </si>
  <si>
    <t>Equipamentos</t>
  </si>
  <si>
    <t>Localização / Ocupação</t>
  </si>
  <si>
    <t>Prestadores de Serviço</t>
  </si>
  <si>
    <t>Estorno de Tarifas</t>
  </si>
  <si>
    <t>Rendimentos de Aplicações</t>
  </si>
  <si>
    <t>Despesas Financeiras / Bancos</t>
  </si>
  <si>
    <t>Despesa Final</t>
  </si>
  <si>
    <t>Despesa DRE</t>
  </si>
  <si>
    <t>Total Outros</t>
  </si>
  <si>
    <t>Outros tipo</t>
  </si>
  <si>
    <t>a. Condenações + Glosas</t>
  </si>
  <si>
    <t>b. Intercompany</t>
  </si>
  <si>
    <t>c. Marketing</t>
  </si>
  <si>
    <t>d. Localização / Ocupação</t>
  </si>
  <si>
    <t>e. Custo Operacional - Processos Trabalhistas</t>
  </si>
  <si>
    <t>f. Despesas Gerais</t>
  </si>
  <si>
    <t>g. Depreciação</t>
  </si>
  <si>
    <t>h. Comunicação</t>
  </si>
  <si>
    <t>i. Duplicidade Itaú</t>
  </si>
  <si>
    <t>j. Despesas Financeiras / Bancos</t>
  </si>
  <si>
    <t>k. Prestadores de Serviço</t>
  </si>
  <si>
    <t>l. Consumo de Material</t>
  </si>
  <si>
    <t>m. Equipamentos</t>
  </si>
  <si>
    <t>n. Vendas e Marketing</t>
  </si>
  <si>
    <t>o. Juros Antecipação Vivo</t>
  </si>
  <si>
    <t>p. Glosas - Desconto s/ líquido da NF</t>
  </si>
  <si>
    <t>q. Outros</t>
  </si>
  <si>
    <t>r. Juros - peq valores</t>
  </si>
  <si>
    <t>s. Estorno de Tarifas</t>
  </si>
  <si>
    <t>t. Rendimentos de Aplicações</t>
  </si>
  <si>
    <t>u. Total Outros</t>
  </si>
  <si>
    <t>suc 24</t>
  </si>
  <si>
    <t>result sem suc 24</t>
  </si>
  <si>
    <t>result 24</t>
  </si>
  <si>
    <t>glosas 24</t>
  </si>
  <si>
    <t>suc liqu 24</t>
  </si>
  <si>
    <t>V.TAL</t>
  </si>
  <si>
    <t>Outras Receitas - Venda Imobilizados / Crédito Embratel</t>
  </si>
  <si>
    <t>Outras Receitas - Honorários e Sucumbências Retroativas</t>
  </si>
  <si>
    <t>Tipo</t>
  </si>
  <si>
    <t>Sucumbência</t>
  </si>
  <si>
    <t>Marc</t>
  </si>
  <si>
    <t>Procv</t>
  </si>
  <si>
    <t>Impostos Retidos</t>
  </si>
  <si>
    <t>Juros - pequenos valores</t>
  </si>
  <si>
    <t>Glosas - Desconto sobre líquido da NF</t>
  </si>
  <si>
    <t>Contratuais</t>
  </si>
  <si>
    <t>Custos Operacionais</t>
  </si>
  <si>
    <t>Despesas Operacionais</t>
  </si>
  <si>
    <t>Glosas, Penalidades e Condenações</t>
  </si>
  <si>
    <t>Impostos e Depreciação</t>
  </si>
  <si>
    <t>Resultado Financeiro</t>
  </si>
  <si>
    <t xml:space="preserve">        RESULTADO LÍQUIDO DO EXERCÍCIO</t>
  </si>
  <si>
    <t xml:space="preserve">        EBITDA</t>
  </si>
  <si>
    <t xml:space="preserve">        RECEITA BRUTA</t>
  </si>
  <si>
    <t xml:space="preserve">        RECEITA LIQUIDA</t>
  </si>
  <si>
    <t xml:space="preserve">        RESULTADO BRUTO</t>
  </si>
  <si>
    <t>Neg</t>
  </si>
  <si>
    <t>A</t>
  </si>
  <si>
    <t>B</t>
  </si>
  <si>
    <t>C</t>
  </si>
  <si>
    <t>Banco PAN</t>
  </si>
  <si>
    <t>Total - 2025</t>
  </si>
  <si>
    <t>% s/ Tot  - mai 25</t>
  </si>
  <si>
    <t>% s/ Tot  - jun 24</t>
  </si>
  <si>
    <t>% s/ Tot  - mai 24</t>
  </si>
  <si>
    <t>% s/ Tot  - jul 25</t>
  </si>
  <si>
    <t>% s/ Tot  - jul 24</t>
  </si>
  <si>
    <t>% s/ Tot  - ago 24</t>
  </si>
  <si>
    <t>% s/ Tot  - set 24</t>
  </si>
  <si>
    <t>% s/ Tot  - out 24</t>
  </si>
  <si>
    <t>% s/ Tot  - nov 24</t>
  </si>
  <si>
    <t>% s/ Tot  - dez 24</t>
  </si>
  <si>
    <t>% s/ Tot  - jan 25</t>
  </si>
  <si>
    <t>% s/ Tot  - fev 25</t>
  </si>
  <si>
    <t>% s/ Tot  - mar 25</t>
  </si>
  <si>
    <t>% s/ Tot  - abr 25</t>
  </si>
  <si>
    <t>% s/ Tot  - jun 25</t>
  </si>
  <si>
    <t>% s/ Tot  - ago 25</t>
  </si>
  <si>
    <t>% s/ Tot  - set 25</t>
  </si>
  <si>
    <t>% s/ Tot  - out 25</t>
  </si>
  <si>
    <t>% s/ Tot  - nov 25</t>
  </si>
  <si>
    <t>% s/ Tot  - dez 25</t>
  </si>
  <si>
    <t>% s/ Total Desp Acum 24</t>
  </si>
  <si>
    <t>INTERCOMPANY</t>
  </si>
  <si>
    <t>Ajuste Mensal - GAA / GAT  -  ADM</t>
  </si>
  <si>
    <t>Intercompany - Receita</t>
  </si>
  <si>
    <t>Intercompany - Despesa</t>
  </si>
  <si>
    <t>VALOR LEGAL</t>
  </si>
  <si>
    <t>Juros Antecipação</t>
  </si>
  <si>
    <t>Ajuste Mensal - GAN</t>
  </si>
  <si>
    <t>SUCUMB LÍQUIDA</t>
  </si>
  <si>
    <t>VL DD</t>
  </si>
  <si>
    <t>SUCUMB ORÇADA</t>
  </si>
  <si>
    <t>TOTAL ORÇADO</t>
  </si>
  <si>
    <t>CONTRATUAIS ORÇADO</t>
  </si>
  <si>
    <t>RESULTADO SEM SUCUMBÊNCIAS LÍQUIDA</t>
  </si>
  <si>
    <t>1- Receita represada de clientes: 450k 
2- Sazonalidade MeLi:
Jan: recebe em maio / Prazo 90 dias 
A menor em torno de 300k 
3- Cliente com redução de honorário  por negociação em contrato: 150k
Com esses eventos, a receita seria no mínimo: 4.498k (3748k + 750k)</t>
  </si>
  <si>
    <t>R$ old</t>
  </si>
  <si>
    <t>Procv 2</t>
  </si>
  <si>
    <t>Procv3</t>
  </si>
  <si>
    <t>Nada a fazer, está automático</t>
  </si>
  <si>
    <t>Não alterar. Devo tirar</t>
  </si>
  <si>
    <t>TOTAIS 20 E 21</t>
  </si>
  <si>
    <t>Pessoas</t>
  </si>
  <si>
    <t>BRUNO</t>
  </si>
  <si>
    <t>DRE</t>
  </si>
  <si>
    <t>DRE 2025</t>
  </si>
  <si>
    <t>Resumo DRE 2</t>
  </si>
  <si>
    <t>Resumo DRE 2 Outros</t>
  </si>
  <si>
    <t>Resumo DRE 2 BACKUP</t>
  </si>
  <si>
    <t>Resumo DRE Outros 2</t>
  </si>
  <si>
    <t>Crescimento</t>
  </si>
  <si>
    <t>Aux Antecipação</t>
  </si>
  <si>
    <t>Antecipação Consolidado</t>
  </si>
  <si>
    <t>Antecipação Lucros GAN</t>
  </si>
  <si>
    <t>Antecipação Lucros GAA</t>
  </si>
  <si>
    <t>Resultado Orçado</t>
  </si>
  <si>
    <t>Está automático, alterar somente no início do ano</t>
  </si>
  <si>
    <t>Projeção 2025</t>
  </si>
  <si>
    <t>A planilha do DRE é enviada por e-mail</t>
  </si>
  <si>
    <t>Excluir linhas em branco e que não são necessárias da planilha DRE</t>
  </si>
  <si>
    <t>Linhas 29, 50, 51, 55, 56, 59, 60 e 63 em diante</t>
  </si>
  <si>
    <t>Copiar a coluna do mês da planilha DRE e copiar valores no mês do Informações Gerenciais</t>
  </si>
  <si>
    <t>Copiar a coluna de % do mês anterior e copiar na coluna % do mês corrente</t>
  </si>
  <si>
    <t>Coluna Evolução (AW): ajustar a célula AW3 para o mês corrente/mês anterior</t>
  </si>
  <si>
    <t>Copiar para todas as células abaixo (até a linha 48) e apagar os que derem erro</t>
  </si>
  <si>
    <t>Procv2</t>
  </si>
  <si>
    <t>Copiar do mês anterior, colar no final e trocar o mês para o mês atual</t>
  </si>
  <si>
    <t>Cotas</t>
  </si>
  <si>
    <t>Resultado Intercompany</t>
  </si>
  <si>
    <t>Somente simulação</t>
  </si>
  <si>
    <t>CARTEIRA</t>
  </si>
  <si>
    <t>Com Intercompany</t>
  </si>
  <si>
    <t>Sem Intercompany</t>
  </si>
  <si>
    <t>XS4 CAP</t>
  </si>
  <si>
    <t>UOL Pagseguro</t>
  </si>
  <si>
    <t>NIO</t>
  </si>
  <si>
    <t>Valor</t>
  </si>
  <si>
    <t>RECEITA SEM INTERCOMPANY</t>
  </si>
  <si>
    <t>CUSTOS E DESPESAS SEM INTERCOMPANY</t>
  </si>
  <si>
    <t>RESULTADO SEM INTERCOMPANY</t>
  </si>
  <si>
    <t>SANEAMENTO</t>
  </si>
  <si>
    <t>CASA E VÍDEO</t>
  </si>
  <si>
    <t>WALMART</t>
  </si>
  <si>
    <t>TRABALHISTA - C&amp;V</t>
  </si>
  <si>
    <t>ENEL</t>
  </si>
  <si>
    <t>LEADER</t>
  </si>
  <si>
    <t>CAIXA CAPITALIZAÇÃO</t>
  </si>
  <si>
    <t>BANCO PAN</t>
  </si>
  <si>
    <t>DIRETORIA</t>
  </si>
  <si>
    <t>QUINTO ANDAR</t>
  </si>
  <si>
    <t>SANEAMENTO - BRK</t>
  </si>
  <si>
    <t>SANEAMENTO - ÁGUAS DO RIO 1</t>
  </si>
  <si>
    <t>SANEAMENTO - ÁGUAS DO RIO 4</t>
  </si>
  <si>
    <t>SANEAMENTO - ÁGUAS DO SERTÃO</t>
  </si>
  <si>
    <t>SANEAMENTO - RESOLUÇÃO DE DISPUTAS</t>
  </si>
  <si>
    <t>SANEAMENTO - FAB</t>
  </si>
  <si>
    <t>SANEAMENTO - PROLAGOS</t>
  </si>
  <si>
    <t>SANEAMENTO - RIO+</t>
  </si>
  <si>
    <t>SANEAMENTO - VERDE ALAGOAS</t>
  </si>
  <si>
    <t>Grupo</t>
  </si>
  <si>
    <t>AMERICANAS</t>
  </si>
  <si>
    <t>OUTROS CLIENTES</t>
  </si>
  <si>
    <t>UOL PAGSEGURO</t>
  </si>
  <si>
    <t>Sem times de suporte</t>
  </si>
  <si>
    <t>RESOLUÇÃO DE DISPUTAS</t>
  </si>
  <si>
    <t>RECUPERA</t>
  </si>
  <si>
    <t>VERO</t>
  </si>
  <si>
    <t>CRIMINAL</t>
  </si>
  <si>
    <t>Outras Receitas - Venda Imobilizados/Embratel</t>
  </si>
  <si>
    <t>Outras Receitas - Honorários e Sucumb Retro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</si>
</sst>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-* #,##0.0000_-;\-* #,##0.0000_-;_-* &quot;-&quot;??_-;_-@_-"/>
    <numFmt numFmtId="167" formatCode="_-* #,##0.00000_-;\-* #,##0.00000_-;_-* &quot;-&quot;??_-;_-@_-"/>
    <numFmt numFmtId="168" formatCode="#,##0.00_ ;[Red]\-#,##0.00\ "/>
    <numFmt numFmtId="169" formatCode="0.0%"/>
    <numFmt numFmtId="170" formatCode="&quot;R$&quot;\ #,##0.00"/>
    <numFmt numFmtId="171" formatCode="_-&quot;R$&quot;* #,##0.00_-;\-&quot;R$&quot;* #,##0.00_-;_-&quot;R$&quot;* &quot;-&quot;??_-;_-@_-"/>
    <numFmt numFmtId="172" formatCode="&quot;R$&quot;#,##0.00;[Red]\-&quot;R$&quot;#,##0.00"/>
    <numFmt numFmtId="173" formatCode="&quot;R$&quot;#,##0.00;\-&quot;R$&quot;#,##0.00"/>
    <numFmt numFmtId="174" formatCode="[$R$ ]\ #,##0.00;\-[$R$ ]#,##0.00"/>
    <numFmt numFmtId="175" formatCode="[$-416]d\-mmm\-yy;@"/>
    <numFmt numFmtId="176" formatCode="_-* #,##0.00_-;\-* #,##0.00_-;_-* &quot;-&quot;?????_-;_-@_-"/>
    <numFmt numFmtId="177" formatCode="0.000000000000000000000000000%"/>
    <numFmt numFmtId="178" formatCode="_-* #,##0.00000_-;\-* #,##0.00000_-;_-* &quot;-&quot;?????_-;_-@_-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3"/>
      <color rgb="FF444444"/>
      <name val="Open Sans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rgb="FF262626"/>
      <name val="Open Sans"/>
      <family val="2"/>
    </font>
    <font>
      <sz val="8"/>
      <color rgb="FF111111"/>
      <name val="Arial"/>
      <family val="2"/>
    </font>
    <font>
      <sz val="9"/>
      <color rgb="FF111111"/>
      <name val="Arial"/>
      <family val="2"/>
    </font>
    <font>
      <b/>
      <i/>
      <u/>
      <sz val="11"/>
      <color rgb="FF111111"/>
      <name val="Arial"/>
      <family val="2"/>
    </font>
    <font>
      <b/>
      <sz val="9"/>
      <color rgb="FF111111"/>
      <name val="Arial"/>
      <family val="2"/>
    </font>
    <font>
      <b/>
      <i/>
      <u/>
      <sz val="11"/>
      <color theme="1"/>
      <name val="Arial"/>
      <family val="2"/>
    </font>
    <font>
      <b/>
      <i/>
      <u/>
      <sz val="8"/>
      <color rgb="FF111111"/>
      <name val="Arial"/>
      <family val="2"/>
    </font>
    <font>
      <sz val="10"/>
      <color rgb="FF111111"/>
      <name val="Arial"/>
      <family val="2"/>
    </font>
    <font>
      <sz val="10"/>
      <color rgb="FF000000"/>
      <name val="Arial"/>
      <family val="2"/>
    </font>
    <font>
      <sz val="9"/>
      <color rgb="FFFF0000"/>
      <name val="Arial"/>
      <family val="2"/>
    </font>
    <font>
      <b/>
      <i/>
      <u/>
      <sz val="9"/>
      <color rgb="FF111111"/>
      <name val="Arial"/>
      <family val="2"/>
    </font>
    <font>
      <b/>
      <u/>
      <sz val="10"/>
      <color rgb="FF000000"/>
      <name val="Arial"/>
      <family val="2"/>
    </font>
    <font>
      <b/>
      <sz val="11"/>
      <color rgb="FF111111"/>
      <name val="Arial"/>
      <family val="2"/>
    </font>
    <font>
      <b/>
      <i/>
      <sz val="11"/>
      <color rgb="FF111111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  <font>
      <b/>
      <i/>
      <u/>
      <sz val="12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12"/>
      <color rgb="FF111111"/>
      <name val="Arial"/>
      <family val="2"/>
    </font>
    <font>
      <b/>
      <u/>
      <sz val="14"/>
      <color rgb="FF111111"/>
      <name val="Arial"/>
      <family val="2"/>
    </font>
    <font>
      <b/>
      <i/>
      <sz val="11"/>
      <color rgb="FFFF000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i/>
      <u/>
      <sz val="11"/>
      <color rgb="FFFF0000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111111"/>
      <name val="Arial"/>
      <family val="2"/>
    </font>
    <font>
      <sz val="10"/>
      <name val="Calibri"/>
      <family val="2"/>
      <scheme val="minor"/>
    </font>
    <font>
      <i/>
      <u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B69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rgb="FFFFBDD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D91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D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A8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2722">
    <xf numFmtId="0" fontId="0" fillId="0" borderId="0"/>
    <xf numFmtId="165" fontId="26" fillId="0" borderId="0" applyFont="0" applyFill="0" applyBorder="0" applyAlignment="0" applyProtection="0"/>
    <xf numFmtId="0" fontId="25" fillId="0" borderId="0"/>
    <xf numFmtId="0" fontId="24" fillId="0" borderId="0"/>
    <xf numFmtId="0" fontId="23" fillId="0" borderId="0"/>
    <xf numFmtId="0" fontId="22" fillId="0" borderId="0"/>
    <xf numFmtId="0" fontId="26" fillId="0" borderId="0"/>
    <xf numFmtId="165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6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0" fontId="26" fillId="0" borderId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5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0" fontId="17" fillId="0" borderId="0"/>
    <xf numFmtId="165" fontId="2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25" fillId="0" borderId="0"/>
    <xf numFmtId="165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26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/>
    <xf numFmtId="0" fontId="26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71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4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26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4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6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26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26" fillId="0" borderId="0" applyFont="0" applyFill="0" applyBorder="0" applyAlignment="0" applyProtection="0"/>
  </cellStyleXfs>
  <cellXfs count="511">
    <xf numFmtId="0" fontId="0" fillId="0" borderId="0" xfId="0"/>
    <xf numFmtId="0" fontId="0" fillId="0" borderId="0" xfId="0" applyAlignment="1">
      <alignment horizontal="center"/>
    </xf>
    <xf numFmtId="0" fontId="26" fillId="0" borderId="0" xfId="0" applyFont="1"/>
    <xf numFmtId="0" fontId="26" fillId="0" borderId="1" xfId="0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 applyAlignment="1">
      <alignment horizontal="center"/>
    </xf>
    <xf numFmtId="0" fontId="26" fillId="2" borderId="1" xfId="0" applyFont="1" applyFill="1" applyBorder="1" applyAlignment="1">
      <alignment horizontal="center"/>
    </xf>
    <xf numFmtId="165" fontId="26" fillId="0" borderId="1" xfId="1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0" borderId="1" xfId="1" applyFont="1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9" fontId="0" fillId="0" borderId="1" xfId="0" applyNumberFormat="1" applyBorder="1" applyAlignment="1">
      <alignment horizontal="center"/>
    </xf>
    <xf numFmtId="17" fontId="0" fillId="0" borderId="1" xfId="0" applyNumberFormat="1" applyBorder="1"/>
    <xf numFmtId="17" fontId="26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vertical="center"/>
    </xf>
    <xf numFmtId="17" fontId="29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0" borderId="1" xfId="0" applyNumberFormat="1" applyBorder="1"/>
    <xf numFmtId="9" fontId="0" fillId="0" borderId="2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0" xfId="0" applyNumberFormat="1"/>
    <xf numFmtId="167" fontId="0" fillId="0" borderId="1" xfId="0" applyNumberFormat="1" applyBorder="1"/>
    <xf numFmtId="2" fontId="0" fillId="0" borderId="0" xfId="0" applyNumberFormat="1" applyAlignment="1">
      <alignment horizontal="center"/>
    </xf>
    <xf numFmtId="0" fontId="27" fillId="4" borderId="1" xfId="0" applyFont="1" applyFill="1" applyBorder="1" applyAlignment="1">
      <alignment horizontal="center"/>
    </xf>
    <xf numFmtId="165" fontId="26" fillId="4" borderId="1" xfId="1" applyFont="1" applyFill="1" applyBorder="1" applyAlignment="1">
      <alignment horizontal="center"/>
    </xf>
    <xf numFmtId="14" fontId="0" fillId="0" borderId="0" xfId="0" applyNumberFormat="1"/>
    <xf numFmtId="10" fontId="0" fillId="0" borderId="0" xfId="12" applyNumberFormat="1" applyFont="1"/>
    <xf numFmtId="0" fontId="31" fillId="0" borderId="0" xfId="0" applyFont="1"/>
    <xf numFmtId="0" fontId="26" fillId="2" borderId="0" xfId="0" applyFont="1" applyFill="1" applyAlignment="1">
      <alignment horizontal="center"/>
    </xf>
    <xf numFmtId="165" fontId="0" fillId="5" borderId="1" xfId="1" applyFont="1" applyFill="1" applyBorder="1"/>
    <xf numFmtId="168" fontId="32" fillId="7" borderId="3" xfId="0" applyNumberFormat="1" applyFont="1" applyFill="1" applyBorder="1" applyAlignment="1">
      <alignment horizontal="right" vertical="center"/>
    </xf>
    <xf numFmtId="168" fontId="32" fillId="8" borderId="4" xfId="1" applyNumberFormat="1" applyFont="1" applyFill="1" applyBorder="1" applyAlignment="1">
      <alignment horizontal="right" vertical="center"/>
    </xf>
    <xf numFmtId="168" fontId="32" fillId="9" borderId="3" xfId="0" applyNumberFormat="1" applyFont="1" applyFill="1" applyBorder="1" applyAlignment="1">
      <alignment horizontal="right" vertical="center"/>
    </xf>
    <xf numFmtId="17" fontId="0" fillId="10" borderId="1" xfId="0" applyNumberFormat="1" applyFill="1" applyBorder="1" applyAlignment="1">
      <alignment horizontal="center"/>
    </xf>
    <xf numFmtId="165" fontId="26" fillId="10" borderId="1" xfId="1" applyFont="1" applyFill="1" applyBorder="1" applyAlignment="1">
      <alignment horizontal="center"/>
    </xf>
    <xf numFmtId="168" fontId="32" fillId="0" borderId="5" xfId="52" applyNumberFormat="1" applyFont="1" applyBorder="1" applyAlignment="1">
      <alignment horizontal="right" vertical="center"/>
    </xf>
    <xf numFmtId="0" fontId="27" fillId="0" borderId="0" xfId="0" applyFont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2" fontId="26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8" fontId="32" fillId="0" borderId="0" xfId="52" applyNumberFormat="1" applyFont="1" applyAlignment="1">
      <alignment horizontal="right" vertic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26" fillId="11" borderId="0" xfId="0" applyFont="1" applyFill="1" applyAlignment="1">
      <alignment horizontal="center"/>
    </xf>
    <xf numFmtId="0" fontId="27" fillId="0" borderId="6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9" fontId="0" fillId="0" borderId="1" xfId="12" applyNumberFormat="1" applyFont="1" applyBorder="1"/>
    <xf numFmtId="2" fontId="26" fillId="0" borderId="1" xfId="0" applyNumberFormat="1" applyFont="1" applyBorder="1" applyAlignment="1">
      <alignment horizontal="center"/>
    </xf>
    <xf numFmtId="2" fontId="26" fillId="0" borderId="0" xfId="0" applyNumberFormat="1" applyFont="1"/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0" fillId="3" borderId="0" xfId="0" applyNumberFormat="1" applyFill="1"/>
    <xf numFmtId="0" fontId="0" fillId="3" borderId="0" xfId="0" applyFill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4" fontId="0" fillId="0" borderId="0" xfId="0" applyNumberFormat="1" applyAlignment="1">
      <alignment horizontal="center"/>
    </xf>
    <xf numFmtId="4" fontId="34" fillId="15" borderId="7" xfId="0" applyNumberFormat="1" applyFont="1" applyFill="1" applyBorder="1" applyAlignment="1">
      <alignment horizontal="center" vertical="center" wrapText="1"/>
    </xf>
    <xf numFmtId="170" fontId="29" fillId="1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/>
    </xf>
    <xf numFmtId="0" fontId="26" fillId="0" borderId="0" xfId="0" applyFont="1" applyAlignment="1">
      <alignment wrapText="1"/>
    </xf>
    <xf numFmtId="2" fontId="26" fillId="2" borderId="0" xfId="0" applyNumberFormat="1" applyFont="1" applyFill="1" applyAlignment="1">
      <alignment horizontal="center"/>
    </xf>
    <xf numFmtId="17" fontId="0" fillId="0" borderId="0" xfId="0" applyNumberFormat="1"/>
    <xf numFmtId="17" fontId="0" fillId="3" borderId="0" xfId="0" applyNumberFormat="1" applyFill="1"/>
    <xf numFmtId="165" fontId="35" fillId="3" borderId="8" xfId="143" applyFont="1" applyFill="1" applyBorder="1"/>
    <xf numFmtId="0" fontId="28" fillId="2" borderId="1" xfId="0" applyFont="1" applyFill="1" applyBorder="1" applyAlignment="1">
      <alignment horizontal="left" vertical="center"/>
    </xf>
    <xf numFmtId="2" fontId="0" fillId="16" borderId="1" xfId="0" applyNumberFormat="1" applyFill="1" applyBorder="1"/>
    <xf numFmtId="0" fontId="0" fillId="12" borderId="1" xfId="0" applyFill="1" applyBorder="1" applyAlignment="1">
      <alignment horizontal="center"/>
    </xf>
    <xf numFmtId="0" fontId="26" fillId="12" borderId="1" xfId="0" applyFont="1" applyFill="1" applyBorder="1" applyAlignment="1">
      <alignment horizontal="center"/>
    </xf>
    <xf numFmtId="17" fontId="0" fillId="12" borderId="1" xfId="0" applyNumberForma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22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2" borderId="0" xfId="0" applyFill="1"/>
    <xf numFmtId="165" fontId="0" fillId="0" borderId="0" xfId="1" applyFont="1"/>
    <xf numFmtId="0" fontId="29" fillId="1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2" fontId="28" fillId="0" borderId="1" xfId="0" applyNumberFormat="1" applyFont="1" applyBorder="1" applyAlignment="1">
      <alignment horizontal="center"/>
    </xf>
    <xf numFmtId="2" fontId="26" fillId="6" borderId="0" xfId="0" applyNumberFormat="1" applyFont="1" applyFill="1" applyAlignment="1">
      <alignment horizontal="center"/>
    </xf>
    <xf numFmtId="9" fontId="0" fillId="0" borderId="0" xfId="0" applyNumberFormat="1"/>
    <xf numFmtId="0" fontId="27" fillId="0" borderId="6" xfId="0" applyFont="1" applyBorder="1"/>
    <xf numFmtId="0" fontId="0" fillId="2" borderId="11" xfId="0" applyFill="1" applyBorder="1"/>
    <xf numFmtId="0" fontId="0" fillId="0" borderId="11" xfId="0" applyBorder="1"/>
    <xf numFmtId="0" fontId="0" fillId="0" borderId="12" xfId="0" applyBorder="1"/>
    <xf numFmtId="0" fontId="0" fillId="11" borderId="11" xfId="0" applyFill="1" applyBorder="1"/>
    <xf numFmtId="17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16" borderId="11" xfId="0" applyFill="1" applyBorder="1"/>
    <xf numFmtId="10" fontId="28" fillId="0" borderId="0" xfId="12" applyNumberFormat="1" applyFont="1" applyBorder="1" applyAlignment="1">
      <alignment horizontal="left" vertical="center"/>
    </xf>
    <xf numFmtId="17" fontId="29" fillId="2" borderId="0" xfId="0" applyNumberFormat="1" applyFont="1" applyFill="1" applyAlignment="1">
      <alignment horizontal="center" vertical="center"/>
    </xf>
    <xf numFmtId="2" fontId="28" fillId="3" borderId="1" xfId="0" applyNumberFormat="1" applyFont="1" applyFill="1" applyBorder="1" applyAlignment="1">
      <alignment horizontal="left" vertical="center"/>
    </xf>
    <xf numFmtId="0" fontId="0" fillId="18" borderId="11" xfId="0" applyFill="1" applyBorder="1"/>
    <xf numFmtId="0" fontId="28" fillId="14" borderId="1" xfId="0" applyFont="1" applyFill="1" applyBorder="1" applyAlignment="1">
      <alignment horizontal="left" vertical="center"/>
    </xf>
    <xf numFmtId="0" fontId="0" fillId="14" borderId="0" xfId="0" applyFill="1"/>
    <xf numFmtId="0" fontId="0" fillId="11" borderId="0" xfId="0" applyFill="1"/>
    <xf numFmtId="0" fontId="0" fillId="16" borderId="0" xfId="0" applyFill="1"/>
    <xf numFmtId="0" fontId="26" fillId="0" borderId="11" xfId="0" applyFont="1" applyBorder="1"/>
    <xf numFmtId="2" fontId="26" fillId="19" borderId="0" xfId="0" applyNumberFormat="1" applyFont="1" applyFill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28" fillId="0" borderId="0" xfId="0" applyFont="1" applyAlignment="1">
      <alignment horizontal="center" vertical="center" wrapText="1"/>
    </xf>
    <xf numFmtId="43" fontId="0" fillId="0" borderId="0" xfId="0" applyNumberFormat="1"/>
    <xf numFmtId="165" fontId="26" fillId="14" borderId="1" xfId="1" applyFont="1" applyFill="1" applyBorder="1" applyAlignment="1">
      <alignment horizontal="center"/>
    </xf>
    <xf numFmtId="2" fontId="0" fillId="14" borderId="1" xfId="0" applyNumberFormat="1" applyFill="1" applyBorder="1"/>
    <xf numFmtId="17" fontId="27" fillId="0" borderId="1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0" fontId="37" fillId="0" borderId="0" xfId="0" applyFont="1"/>
    <xf numFmtId="0" fontId="26" fillId="0" borderId="0" xfId="0" applyFont="1" applyAlignment="1">
      <alignment horizontal="center" wrapText="1"/>
    </xf>
    <xf numFmtId="0" fontId="0" fillId="14" borderId="0" xfId="0" applyFill="1" applyAlignment="1">
      <alignment horizontal="center"/>
    </xf>
    <xf numFmtId="0" fontId="26" fillId="14" borderId="0" xfId="0" applyFont="1" applyFill="1" applyAlignment="1">
      <alignment horizontal="center"/>
    </xf>
    <xf numFmtId="17" fontId="0" fillId="14" borderId="0" xfId="0" applyNumberFormat="1" applyFill="1" applyAlignment="1">
      <alignment horizontal="center"/>
    </xf>
    <xf numFmtId="0" fontId="29" fillId="14" borderId="0" xfId="0" applyFont="1" applyFill="1" applyAlignment="1">
      <alignment horizontal="center"/>
    </xf>
    <xf numFmtId="4" fontId="0" fillId="14" borderId="0" xfId="0" applyNumberFormat="1" applyFill="1" applyAlignment="1">
      <alignment horizontal="center"/>
    </xf>
    <xf numFmtId="49" fontId="0" fillId="14" borderId="0" xfId="0" applyNumberFormat="1" applyFill="1" applyAlignment="1">
      <alignment horizontal="center" wrapText="1"/>
    </xf>
    <xf numFmtId="0" fontId="0" fillId="0" borderId="0" xfId="0" applyAlignment="1">
      <alignment horizontal="center" wrapText="1"/>
    </xf>
    <xf numFmtId="165" fontId="35" fillId="2" borderId="8" xfId="143" applyFont="1" applyFill="1" applyBorder="1"/>
    <xf numFmtId="3" fontId="0" fillId="0" borderId="0" xfId="0" applyNumberFormat="1"/>
    <xf numFmtId="0" fontId="0" fillId="20" borderId="0" xfId="0" applyFill="1"/>
    <xf numFmtId="17" fontId="0" fillId="20" borderId="0" xfId="0" applyNumberFormat="1" applyFill="1"/>
    <xf numFmtId="2" fontId="0" fillId="20" borderId="0" xfId="0" applyNumberFormat="1" applyFill="1"/>
    <xf numFmtId="0" fontId="0" fillId="2" borderId="1" xfId="0" applyFill="1" applyBorder="1" applyAlignment="1">
      <alignment horizontal="center"/>
    </xf>
    <xf numFmtId="4" fontId="34" fillId="15" borderId="0" xfId="0" applyNumberFormat="1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12" borderId="1" xfId="22" applyFill="1" applyBorder="1" applyAlignment="1">
      <alignment horizontal="center"/>
    </xf>
    <xf numFmtId="4" fontId="26" fillId="12" borderId="1" xfId="22" applyNumberFormat="1" applyFill="1" applyBorder="1" applyAlignment="1">
      <alignment horizontal="center"/>
    </xf>
    <xf numFmtId="0" fontId="28" fillId="3" borderId="0" xfId="0" applyFont="1" applyFill="1" applyAlignment="1">
      <alignment horizontal="left" vertical="center"/>
    </xf>
    <xf numFmtId="2" fontId="28" fillId="3" borderId="0" xfId="0" applyNumberFormat="1" applyFont="1" applyFill="1" applyAlignment="1">
      <alignment horizontal="left" vertical="center"/>
    </xf>
    <xf numFmtId="2" fontId="0" fillId="10" borderId="1" xfId="0" applyNumberFormat="1" applyFill="1" applyBorder="1"/>
    <xf numFmtId="0" fontId="27" fillId="3" borderId="14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2" fontId="0" fillId="0" borderId="22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27" fillId="17" borderId="8" xfId="0" applyFont="1" applyFill="1" applyBorder="1" applyAlignment="1">
      <alignment horizontal="center" vertical="center" wrapText="1"/>
    </xf>
    <xf numFmtId="0" fontId="27" fillId="17" borderId="7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2" fontId="27" fillId="3" borderId="23" xfId="0" applyNumberFormat="1" applyFont="1" applyFill="1" applyBorder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2" fontId="27" fillId="21" borderId="22" xfId="0" applyNumberFormat="1" applyFont="1" applyFill="1" applyBorder="1" applyAlignment="1">
      <alignment horizontal="center" vertical="center"/>
    </xf>
    <xf numFmtId="0" fontId="27" fillId="21" borderId="14" xfId="0" applyFont="1" applyFill="1" applyBorder="1" applyAlignment="1">
      <alignment horizontal="center" vertical="center"/>
    </xf>
    <xf numFmtId="2" fontId="27" fillId="21" borderId="23" xfId="0" applyNumberFormat="1" applyFont="1" applyFill="1" applyBorder="1" applyAlignment="1">
      <alignment horizontal="center" vertical="center"/>
    </xf>
    <xf numFmtId="170" fontId="0" fillId="21" borderId="22" xfId="0" applyNumberFormat="1" applyFill="1" applyBorder="1" applyAlignment="1">
      <alignment horizontal="center" vertical="center"/>
    </xf>
    <xf numFmtId="170" fontId="0" fillId="3" borderId="23" xfId="0" applyNumberFormat="1" applyFill="1" applyBorder="1" applyAlignment="1">
      <alignment horizontal="center" vertical="center"/>
    </xf>
    <xf numFmtId="170" fontId="0" fillId="3" borderId="24" xfId="0" applyNumberFormat="1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26" fillId="21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70" fontId="0" fillId="3" borderId="22" xfId="0" applyNumberFormat="1" applyFill="1" applyBorder="1" applyAlignment="1">
      <alignment horizontal="center" vertical="center"/>
    </xf>
    <xf numFmtId="0" fontId="0" fillId="21" borderId="19" xfId="0" applyFill="1" applyBorder="1" applyAlignment="1">
      <alignment horizontal="center" vertical="center"/>
    </xf>
    <xf numFmtId="170" fontId="0" fillId="21" borderId="30" xfId="0" applyNumberFormat="1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  <xf numFmtId="170" fontId="0" fillId="21" borderId="33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0" fontId="0" fillId="0" borderId="30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0" fontId="0" fillId="0" borderId="22" xfId="0" applyNumberForma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" fontId="26" fillId="0" borderId="22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2" fontId="26" fillId="0" borderId="24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0" fontId="0" fillId="0" borderId="23" xfId="0" applyNumberForma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0" fontId="0" fillId="0" borderId="24" xfId="0" applyNumberFormat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2" fontId="26" fillId="0" borderId="33" xfId="0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0" fontId="0" fillId="0" borderId="35" xfId="0" applyNumberForma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70" fontId="0" fillId="0" borderId="13" xfId="0" applyNumberFormat="1" applyBorder="1" applyAlignment="1">
      <alignment horizontal="center" vertical="center"/>
    </xf>
    <xf numFmtId="170" fontId="0" fillId="0" borderId="26" xfId="0" applyNumberFormat="1" applyBorder="1" applyAlignment="1">
      <alignment horizontal="center" vertical="center"/>
    </xf>
    <xf numFmtId="0" fontId="10" fillId="0" borderId="0" xfId="447"/>
    <xf numFmtId="17" fontId="10" fillId="0" borderId="0" xfId="447" applyNumberFormat="1"/>
    <xf numFmtId="172" fontId="10" fillId="0" borderId="0" xfId="447" applyNumberFormat="1"/>
    <xf numFmtId="2" fontId="28" fillId="2" borderId="0" xfId="0" applyNumberFormat="1" applyFont="1" applyFill="1" applyAlignment="1">
      <alignment horizontal="left" vertical="center"/>
    </xf>
    <xf numFmtId="43" fontId="0" fillId="0" borderId="0" xfId="0" applyNumberFormat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38" fillId="0" borderId="37" xfId="0" applyFont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 indent="2"/>
    </xf>
    <xf numFmtId="0" fontId="38" fillId="0" borderId="37" xfId="0" applyFont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9" fillId="0" borderId="37" xfId="0" applyFont="1" applyBorder="1" applyAlignment="1">
      <alignment horizontal="left" vertical="center" wrapText="1" indent="2"/>
    </xf>
    <xf numFmtId="0" fontId="40" fillId="0" borderId="37" xfId="0" applyFont="1" applyBorder="1" applyAlignment="1">
      <alignment horizontal="center" vertical="center" wrapText="1"/>
    </xf>
    <xf numFmtId="0" fontId="26" fillId="22" borderId="11" xfId="0" applyFont="1" applyFill="1" applyBorder="1"/>
    <xf numFmtId="0" fontId="40" fillId="0" borderId="0" xfId="0" applyFont="1" applyAlignment="1">
      <alignment horizontal="center" vertical="center" wrapText="1"/>
    </xf>
    <xf numFmtId="0" fontId="0" fillId="22" borderId="11" xfId="0" applyFill="1" applyBorder="1"/>
    <xf numFmtId="0" fontId="38" fillId="19" borderId="37" xfId="0" applyFont="1" applyFill="1" applyBorder="1" applyAlignment="1">
      <alignment horizontal="left" vertical="center" wrapText="1"/>
    </xf>
    <xf numFmtId="0" fontId="38" fillId="19" borderId="37" xfId="0" applyFont="1" applyFill="1" applyBorder="1" applyAlignment="1">
      <alignment vertical="center" wrapText="1"/>
    </xf>
    <xf numFmtId="0" fontId="38" fillId="19" borderId="37" xfId="0" applyFont="1" applyFill="1" applyBorder="1" applyAlignment="1">
      <alignment horizontal="left" vertical="center" wrapText="1" indent="2"/>
    </xf>
    <xf numFmtId="0" fontId="0" fillId="23" borderId="11" xfId="0" applyFill="1" applyBorder="1"/>
    <xf numFmtId="0" fontId="0" fillId="23" borderId="0" xfId="0" applyFill="1"/>
    <xf numFmtId="0" fontId="28" fillId="23" borderId="1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left" vertical="center" wrapText="1" indent="1"/>
    </xf>
    <xf numFmtId="0" fontId="40" fillId="2" borderId="38" xfId="0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23" borderId="37" xfId="0" applyFont="1" applyFill="1" applyBorder="1" applyAlignment="1">
      <alignment vertical="center" wrapText="1"/>
    </xf>
    <xf numFmtId="0" fontId="38" fillId="23" borderId="37" xfId="0" applyFont="1" applyFill="1" applyBorder="1" applyAlignment="1">
      <alignment horizontal="left" vertical="center" wrapText="1" indent="2"/>
    </xf>
    <xf numFmtId="0" fontId="40" fillId="2" borderId="37" xfId="0" applyFont="1" applyFill="1" applyBorder="1" applyAlignment="1">
      <alignment horizontal="center" vertical="center" wrapText="1"/>
    </xf>
    <xf numFmtId="0" fontId="40" fillId="2" borderId="0" xfId="0" applyFont="1" applyFill="1" applyAlignment="1">
      <alignment horizontal="center" vertical="center" wrapText="1"/>
    </xf>
    <xf numFmtId="0" fontId="39" fillId="0" borderId="37" xfId="0" applyFont="1" applyBorder="1" applyAlignment="1">
      <alignment vertical="center" wrapText="1"/>
    </xf>
    <xf numFmtId="0" fontId="42" fillId="0" borderId="0" xfId="0" applyFont="1" applyAlignment="1">
      <alignment horizontal="center"/>
    </xf>
    <xf numFmtId="0" fontId="43" fillId="2" borderId="37" xfId="0" applyFont="1" applyFill="1" applyBorder="1" applyAlignment="1">
      <alignment horizontal="center" vertical="center" wrapText="1"/>
    </xf>
    <xf numFmtId="0" fontId="28" fillId="14" borderId="0" xfId="0" applyFont="1" applyFill="1" applyAlignment="1">
      <alignment horizontal="left" vertical="center"/>
    </xf>
    <xf numFmtId="10" fontId="28" fillId="0" borderId="0" xfId="240" applyNumberFormat="1" applyFont="1" applyBorder="1" applyAlignment="1">
      <alignment horizontal="left" vertical="center"/>
    </xf>
    <xf numFmtId="0" fontId="7" fillId="0" borderId="0" xfId="831"/>
    <xf numFmtId="0" fontId="39" fillId="0" borderId="37" xfId="831" applyFont="1" applyBorder="1" applyAlignment="1">
      <alignment horizontal="left" vertical="center" wrapText="1" indent="1"/>
    </xf>
    <xf numFmtId="0" fontId="39" fillId="0" borderId="37" xfId="831" applyFont="1" applyBorder="1" applyAlignment="1">
      <alignment horizontal="left" vertical="center" wrapText="1" indent="2"/>
    </xf>
    <xf numFmtId="0" fontId="39" fillId="0" borderId="37" xfId="831" applyFont="1" applyBorder="1" applyAlignment="1">
      <alignment horizontal="left" vertical="center" wrapText="1" indent="3"/>
    </xf>
    <xf numFmtId="0" fontId="40" fillId="0" borderId="37" xfId="831" applyFont="1" applyBorder="1" applyAlignment="1">
      <alignment horizontal="center" vertical="center" wrapText="1"/>
    </xf>
    <xf numFmtId="0" fontId="47" fillId="0" borderId="37" xfId="831" applyFont="1" applyBorder="1" applyAlignment="1">
      <alignment horizontal="center" vertical="center" wrapText="1"/>
    </xf>
    <xf numFmtId="174" fontId="39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horizontal="left" vertical="center" wrapText="1"/>
    </xf>
    <xf numFmtId="174" fontId="46" fillId="0" borderId="37" xfId="831" applyNumberFormat="1" applyFont="1" applyBorder="1" applyAlignment="1">
      <alignment horizontal="right" vertical="center" wrapText="1"/>
    </xf>
    <xf numFmtId="0" fontId="39" fillId="0" borderId="37" xfId="831" applyFont="1" applyBorder="1" applyAlignment="1">
      <alignment vertical="center" wrapText="1"/>
    </xf>
    <xf numFmtId="0" fontId="53" fillId="0" borderId="0" xfId="831" applyFont="1"/>
    <xf numFmtId="0" fontId="42" fillId="0" borderId="0" xfId="831" applyFont="1" applyAlignment="1">
      <alignment horizontal="center"/>
    </xf>
    <xf numFmtId="174" fontId="39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vertical="center" wrapText="1"/>
    </xf>
    <xf numFmtId="0" fontId="41" fillId="0" borderId="37" xfId="831" applyFont="1" applyBorder="1" applyAlignment="1">
      <alignment vertical="center" wrapText="1"/>
    </xf>
    <xf numFmtId="174" fontId="55" fillId="0" borderId="37" xfId="831" applyNumberFormat="1" applyFont="1" applyBorder="1" applyAlignment="1">
      <alignment horizontal="right" wrapText="1"/>
    </xf>
    <xf numFmtId="174" fontId="55" fillId="0" borderId="37" xfId="831" applyNumberFormat="1" applyFont="1" applyBorder="1" applyAlignment="1">
      <alignment horizontal="right" vertical="center" wrapText="1"/>
    </xf>
    <xf numFmtId="0" fontId="41" fillId="0" borderId="37" xfId="831" applyFont="1" applyBorder="1" applyAlignment="1">
      <alignment horizontal="left" vertical="center" wrapText="1"/>
    </xf>
    <xf numFmtId="170" fontId="52" fillId="0" borderId="0" xfId="831" applyNumberFormat="1" applyFont="1" applyAlignment="1">
      <alignment horizontal="right" vertical="center" wrapText="1"/>
    </xf>
    <xf numFmtId="174" fontId="55" fillId="0" borderId="0" xfId="831" applyNumberFormat="1" applyFont="1" applyAlignment="1">
      <alignment horizontal="right" vertical="center" wrapText="1"/>
    </xf>
    <xf numFmtId="0" fontId="45" fillId="0" borderId="0" xfId="831" applyFont="1" applyAlignment="1">
      <alignment horizontal="right" vertical="center" wrapText="1"/>
    </xf>
    <xf numFmtId="0" fontId="39" fillId="0" borderId="0" xfId="831" applyFont="1" applyAlignment="1">
      <alignment horizontal="right" vertical="center" wrapText="1"/>
    </xf>
    <xf numFmtId="174" fontId="40" fillId="0" borderId="37" xfId="831" applyNumberFormat="1" applyFont="1" applyBorder="1" applyAlignment="1">
      <alignment horizontal="right" vertical="center" wrapText="1"/>
    </xf>
    <xf numFmtId="174" fontId="41" fillId="0" borderId="37" xfId="831" applyNumberFormat="1" applyFont="1" applyBorder="1" applyAlignment="1">
      <alignment horizontal="right" vertical="center" wrapText="1"/>
    </xf>
    <xf numFmtId="8" fontId="40" fillId="0" borderId="0" xfId="831" applyNumberFormat="1" applyFont="1" applyAlignment="1">
      <alignment horizontal="right" vertical="center" wrapText="1"/>
    </xf>
    <xf numFmtId="173" fontId="7" fillId="0" borderId="0" xfId="831" applyNumberFormat="1" applyAlignment="1">
      <alignment horizontal="right"/>
    </xf>
    <xf numFmtId="174" fontId="40" fillId="0" borderId="0" xfId="831" applyNumberFormat="1" applyFont="1" applyAlignment="1">
      <alignment horizontal="right" vertical="center" wrapText="1"/>
    </xf>
    <xf numFmtId="174" fontId="46" fillId="0" borderId="0" xfId="831" applyNumberFormat="1" applyFont="1" applyAlignment="1">
      <alignment horizontal="right" wrapText="1"/>
    </xf>
    <xf numFmtId="8" fontId="50" fillId="0" borderId="37" xfId="831" applyNumberFormat="1" applyFont="1" applyBorder="1" applyAlignment="1">
      <alignment horizontal="right" vertical="center" wrapText="1"/>
    </xf>
    <xf numFmtId="174" fontId="56" fillId="0" borderId="0" xfId="831" applyNumberFormat="1" applyFont="1" applyAlignment="1">
      <alignment horizontal="right" vertical="center" wrapText="1"/>
    </xf>
    <xf numFmtId="0" fontId="40" fillId="0" borderId="0" xfId="831" applyFont="1" applyAlignment="1">
      <alignment horizontal="center" vertical="center" wrapText="1"/>
    </xf>
    <xf numFmtId="8" fontId="40" fillId="0" borderId="37" xfId="831" applyNumberFormat="1" applyFont="1" applyBorder="1" applyAlignment="1">
      <alignment horizontal="right" vertical="center" wrapText="1"/>
    </xf>
    <xf numFmtId="0" fontId="48" fillId="0" borderId="0" xfId="831" applyFont="1" applyAlignment="1">
      <alignment horizontal="right" vertical="center" wrapText="1"/>
    </xf>
    <xf numFmtId="0" fontId="44" fillId="0" borderId="40" xfId="831" applyFont="1" applyBorder="1" applyAlignment="1">
      <alignment horizontal="left" vertical="center" wrapText="1"/>
    </xf>
    <xf numFmtId="0" fontId="39" fillId="0" borderId="41" xfId="831" applyFont="1" applyBorder="1" applyAlignment="1">
      <alignment horizontal="left" vertical="center" wrapText="1" indent="2"/>
    </xf>
    <xf numFmtId="174" fontId="46" fillId="24" borderId="0" xfId="831" applyNumberFormat="1" applyFont="1" applyFill="1" applyAlignment="1">
      <alignment horizontal="right" vertical="center" wrapText="1"/>
    </xf>
    <xf numFmtId="174" fontId="55" fillId="24" borderId="0" xfId="831" applyNumberFormat="1" applyFont="1" applyFill="1" applyAlignment="1">
      <alignment horizontal="left" vertical="center"/>
    </xf>
    <xf numFmtId="174" fontId="49" fillId="0" borderId="0" xfId="831" applyNumberFormat="1" applyFont="1" applyAlignment="1">
      <alignment horizontal="right" vertical="center" wrapText="1"/>
    </xf>
    <xf numFmtId="8" fontId="40" fillId="25" borderId="0" xfId="831" applyNumberFormat="1" applyFont="1" applyFill="1" applyAlignment="1">
      <alignment horizontal="right" vertical="center" wrapText="1"/>
    </xf>
    <xf numFmtId="174" fontId="55" fillId="26" borderId="0" xfId="831" applyNumberFormat="1" applyFont="1" applyFill="1" applyAlignment="1">
      <alignment horizontal="left" vertical="center" wrapText="1"/>
    </xf>
    <xf numFmtId="174" fontId="46" fillId="26" borderId="0" xfId="831" applyNumberFormat="1" applyFont="1" applyFill="1" applyAlignment="1">
      <alignment horizontal="right" vertical="center" wrapText="1"/>
    </xf>
    <xf numFmtId="175" fontId="39" fillId="0" borderId="0" xfId="831" applyNumberFormat="1" applyFont="1" applyAlignment="1">
      <alignment horizontal="right" vertical="center" wrapText="1"/>
    </xf>
    <xf numFmtId="0" fontId="40" fillId="2" borderId="38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center" wrapText="1"/>
    </xf>
    <xf numFmtId="0" fontId="40" fillId="2" borderId="37" xfId="831" applyFont="1" applyFill="1" applyBorder="1" applyAlignment="1">
      <alignment horizontal="center" vertical="top" wrapText="1"/>
    </xf>
    <xf numFmtId="0" fontId="57" fillId="0" borderId="0" xfId="831" applyFont="1" applyAlignment="1">
      <alignment horizontal="left" vertical="center" wrapText="1"/>
    </xf>
    <xf numFmtId="0" fontId="58" fillId="0" borderId="0" xfId="831" applyFont="1" applyAlignment="1">
      <alignment horizontal="center" vertical="center" wrapText="1"/>
    </xf>
    <xf numFmtId="10" fontId="45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Alignment="1">
      <alignment horizontal="right" vertical="center" wrapText="1"/>
    </xf>
    <xf numFmtId="10" fontId="49" fillId="0" borderId="0" xfId="833" applyNumberFormat="1" applyFont="1" applyAlignment="1">
      <alignment horizontal="right" vertical="center" wrapText="1"/>
    </xf>
    <xf numFmtId="10" fontId="40" fillId="0" borderId="0" xfId="833" applyNumberFormat="1" applyFont="1" applyBorder="1" applyAlignment="1">
      <alignment horizontal="right" vertical="center" wrapText="1"/>
    </xf>
    <xf numFmtId="10" fontId="40" fillId="0" borderId="37" xfId="833" applyNumberFormat="1" applyFont="1" applyBorder="1" applyAlignment="1">
      <alignment horizontal="right" vertical="center" wrapText="1"/>
    </xf>
    <xf numFmtId="10" fontId="55" fillId="0" borderId="0" xfId="833" applyNumberFormat="1" applyFont="1" applyAlignment="1">
      <alignment horizontal="right" vertical="center" wrapText="1"/>
    </xf>
    <xf numFmtId="10" fontId="46" fillId="0" borderId="0" xfId="833" applyNumberFormat="1" applyFont="1" applyAlignment="1">
      <alignment horizontal="right" vertical="center" wrapText="1"/>
    </xf>
    <xf numFmtId="10" fontId="41" fillId="0" borderId="0" xfId="833" applyNumberFormat="1" applyFont="1" applyBorder="1" applyAlignment="1">
      <alignment horizontal="right" vertical="center" wrapText="1"/>
    </xf>
    <xf numFmtId="10" fontId="50" fillId="0" borderId="37" xfId="833" applyNumberFormat="1" applyFont="1" applyBorder="1" applyAlignment="1">
      <alignment horizontal="right" vertical="center" wrapText="1"/>
    </xf>
    <xf numFmtId="10" fontId="46" fillId="0" borderId="0" xfId="833" applyNumberFormat="1" applyFont="1" applyBorder="1" applyAlignment="1">
      <alignment horizontal="right" vertical="center" wrapText="1"/>
    </xf>
    <xf numFmtId="10" fontId="55" fillId="0" borderId="37" xfId="833" applyNumberFormat="1" applyFont="1" applyBorder="1" applyAlignment="1">
      <alignment horizontal="right" wrapText="1"/>
    </xf>
    <xf numFmtId="10" fontId="55" fillId="0" borderId="0" xfId="833" applyNumberFormat="1" applyFont="1" applyBorder="1" applyAlignment="1">
      <alignment horizontal="right" vertical="center" wrapText="1"/>
    </xf>
    <xf numFmtId="10" fontId="52" fillId="0" borderId="0" xfId="833" applyNumberFormat="1" applyFont="1" applyAlignment="1">
      <alignment horizontal="right" vertical="center" wrapText="1"/>
    </xf>
    <xf numFmtId="10" fontId="39" fillId="0" borderId="0" xfId="833" applyNumberFormat="1" applyFont="1" applyBorder="1" applyAlignment="1">
      <alignment horizontal="right" vertical="center" wrapText="1"/>
    </xf>
    <xf numFmtId="10" fontId="56" fillId="0" borderId="0" xfId="833" applyNumberFormat="1" applyFont="1" applyAlignment="1">
      <alignment horizontal="right" vertical="center" wrapText="1"/>
    </xf>
    <xf numFmtId="10" fontId="40" fillId="25" borderId="0" xfId="833" applyNumberFormat="1" applyFont="1" applyFill="1" applyAlignment="1">
      <alignment horizontal="right" vertical="center" wrapText="1"/>
    </xf>
    <xf numFmtId="10" fontId="40" fillId="0" borderId="0" xfId="833" applyNumberFormat="1" applyFont="1" applyAlignment="1">
      <alignment horizontal="right" vertical="center" wrapText="1"/>
    </xf>
    <xf numFmtId="10" fontId="7" fillId="0" borderId="0" xfId="833" applyNumberFormat="1" applyFont="1" applyAlignment="1">
      <alignment horizontal="right"/>
    </xf>
    <xf numFmtId="10" fontId="54" fillId="0" borderId="0" xfId="833" applyNumberFormat="1" applyFont="1" applyAlignment="1">
      <alignment horizontal="right"/>
    </xf>
    <xf numFmtId="10" fontId="49" fillId="0" borderId="0" xfId="832" applyNumberFormat="1" applyFont="1" applyAlignment="1">
      <alignment horizontal="right" vertical="center" wrapText="1"/>
    </xf>
    <xf numFmtId="10" fontId="46" fillId="0" borderId="0" xfId="833" applyNumberFormat="1" applyFont="1" applyFill="1" applyAlignment="1">
      <alignment horizontal="right" vertical="center" wrapText="1"/>
    </xf>
    <xf numFmtId="10" fontId="59" fillId="0" borderId="37" xfId="833" applyNumberFormat="1" applyFont="1" applyBorder="1" applyAlignment="1">
      <alignment horizontal="right" vertical="center" wrapText="1"/>
    </xf>
    <xf numFmtId="10" fontId="60" fillId="0" borderId="0" xfId="833" applyNumberFormat="1" applyFont="1" applyAlignment="1">
      <alignment horizontal="right" vertical="center" wrapText="1"/>
    </xf>
    <xf numFmtId="10" fontId="50" fillId="0" borderId="0" xfId="833" applyNumberFormat="1" applyFont="1" applyBorder="1" applyAlignment="1">
      <alignment horizontal="right" vertical="center" wrapText="1"/>
    </xf>
    <xf numFmtId="43" fontId="48" fillId="0" borderId="0" xfId="832" applyFont="1" applyAlignment="1">
      <alignment horizontal="right" vertical="center" wrapText="1"/>
    </xf>
    <xf numFmtId="43" fontId="58" fillId="0" borderId="0" xfId="831" applyNumberFormat="1" applyFont="1" applyAlignment="1">
      <alignment horizontal="center" vertical="center" wrapText="1"/>
    </xf>
    <xf numFmtId="10" fontId="59" fillId="0" borderId="0" xfId="833" applyNumberFormat="1" applyFont="1" applyBorder="1" applyAlignment="1">
      <alignment horizontal="right" vertical="center" wrapText="1"/>
    </xf>
    <xf numFmtId="4" fontId="54" fillId="0" borderId="0" xfId="831" applyNumberFormat="1" applyFont="1" applyAlignment="1">
      <alignment horizontal="right"/>
    </xf>
    <xf numFmtId="4" fontId="54" fillId="0" borderId="0" xfId="833" applyNumberFormat="1" applyFont="1" applyAlignment="1">
      <alignment horizontal="right"/>
    </xf>
    <xf numFmtId="4" fontId="42" fillId="0" borderId="0" xfId="831" applyNumberFormat="1" applyFont="1" applyAlignment="1">
      <alignment horizontal="right"/>
    </xf>
    <xf numFmtId="4" fontId="42" fillId="0" borderId="0" xfId="833" applyNumberFormat="1" applyFont="1" applyAlignment="1">
      <alignment horizontal="right"/>
    </xf>
    <xf numFmtId="17" fontId="49" fillId="0" borderId="0" xfId="831" applyNumberFormat="1" applyFont="1" applyAlignment="1">
      <alignment horizontal="center" vertical="center" wrapText="1"/>
    </xf>
    <xf numFmtId="10" fontId="49" fillId="0" borderId="0" xfId="833" applyNumberFormat="1" applyFont="1" applyAlignment="1">
      <alignment horizontal="center" vertical="center" wrapText="1"/>
    </xf>
    <xf numFmtId="7" fontId="51" fillId="0" borderId="0" xfId="831" applyNumberFormat="1" applyFont="1" applyAlignment="1">
      <alignment horizontal="right"/>
    </xf>
    <xf numFmtId="10" fontId="51" fillId="0" borderId="0" xfId="833" applyNumberFormat="1" applyFont="1" applyFill="1" applyAlignment="1">
      <alignment horizontal="right"/>
    </xf>
    <xf numFmtId="10" fontId="61" fillId="0" borderId="0" xfId="833" applyNumberFormat="1" applyFont="1" applyAlignment="1">
      <alignment horizontal="center" vertical="center" wrapText="1"/>
    </xf>
    <xf numFmtId="174" fontId="61" fillId="0" borderId="0" xfId="831" applyNumberFormat="1" applyFont="1" applyAlignment="1">
      <alignment horizontal="center" vertical="center" wrapText="1"/>
    </xf>
    <xf numFmtId="10" fontId="62" fillId="0" borderId="0" xfId="833" applyNumberFormat="1" applyFont="1" applyAlignment="1">
      <alignment horizontal="right" vertical="center" wrapText="1"/>
    </xf>
    <xf numFmtId="10" fontId="39" fillId="0" borderId="0" xfId="836" applyNumberFormat="1" applyFont="1" applyAlignment="1">
      <alignment horizontal="right" vertical="center" wrapText="1"/>
    </xf>
    <xf numFmtId="10" fontId="49" fillId="0" borderId="0" xfId="836" applyNumberFormat="1" applyFont="1" applyAlignment="1">
      <alignment horizontal="right" vertical="center" wrapText="1"/>
    </xf>
    <xf numFmtId="10" fontId="40" fillId="0" borderId="37" xfId="836" applyNumberFormat="1" applyFont="1" applyBorder="1" applyAlignment="1">
      <alignment horizontal="right" vertical="center" wrapText="1"/>
    </xf>
    <xf numFmtId="10" fontId="55" fillId="0" borderId="0" xfId="836" applyNumberFormat="1" applyFont="1" applyAlignment="1">
      <alignment horizontal="right" vertical="center" wrapText="1"/>
    </xf>
    <xf numFmtId="10" fontId="46" fillId="0" borderId="0" xfId="836" applyNumberFormat="1" applyFont="1" applyAlignment="1">
      <alignment horizontal="right" vertical="center" wrapText="1"/>
    </xf>
    <xf numFmtId="10" fontId="50" fillId="0" borderId="37" xfId="836" applyNumberFormat="1" applyFont="1" applyBorder="1" applyAlignment="1">
      <alignment horizontal="right" vertical="center" wrapText="1"/>
    </xf>
    <xf numFmtId="10" fontId="46" fillId="0" borderId="0" xfId="836" applyNumberFormat="1" applyFont="1" applyBorder="1" applyAlignment="1">
      <alignment horizontal="right" vertical="center" wrapText="1"/>
    </xf>
    <xf numFmtId="10" fontId="55" fillId="0" borderId="37" xfId="836" applyNumberFormat="1" applyFont="1" applyBorder="1" applyAlignment="1">
      <alignment horizontal="right" wrapText="1"/>
    </xf>
    <xf numFmtId="10" fontId="52" fillId="0" borderId="0" xfId="836" applyNumberFormat="1" applyFont="1" applyAlignment="1">
      <alignment horizontal="right" vertical="center" wrapText="1"/>
    </xf>
    <xf numFmtId="10" fontId="39" fillId="0" borderId="0" xfId="836" applyNumberFormat="1" applyFont="1" applyBorder="1" applyAlignment="1">
      <alignment horizontal="right" vertical="center" wrapText="1"/>
    </xf>
    <xf numFmtId="10" fontId="56" fillId="0" borderId="0" xfId="836" applyNumberFormat="1" applyFont="1" applyAlignment="1">
      <alignment horizontal="right" vertical="center" wrapText="1"/>
    </xf>
    <xf numFmtId="10" fontId="40" fillId="25" borderId="0" xfId="836" applyNumberFormat="1" applyFont="1" applyFill="1" applyAlignment="1">
      <alignment horizontal="right" vertical="center" wrapText="1"/>
    </xf>
    <xf numFmtId="10" fontId="46" fillId="0" borderId="0" xfId="836" applyNumberFormat="1" applyFont="1" applyFill="1" applyAlignment="1">
      <alignment horizontal="right" vertical="center" wrapText="1"/>
    </xf>
    <xf numFmtId="10" fontId="59" fillId="0" borderId="37" xfId="836" applyNumberFormat="1" applyFont="1" applyBorder="1" applyAlignment="1">
      <alignment horizontal="right" vertical="center" wrapText="1"/>
    </xf>
    <xf numFmtId="10" fontId="51" fillId="0" borderId="0" xfId="836" applyNumberFormat="1" applyFont="1" applyFill="1" applyAlignment="1">
      <alignment horizontal="right"/>
    </xf>
    <xf numFmtId="7" fontId="0" fillId="0" borderId="0" xfId="0" applyNumberFormat="1"/>
    <xf numFmtId="17" fontId="47" fillId="0" borderId="37" xfId="831" applyNumberFormat="1" applyFont="1" applyBorder="1" applyAlignment="1">
      <alignment horizontal="center" vertical="center" wrapText="1"/>
    </xf>
    <xf numFmtId="10" fontId="59" fillId="0" borderId="0" xfId="836" applyNumberFormat="1" applyFont="1" applyBorder="1" applyAlignment="1">
      <alignment horizontal="right" vertical="center" wrapText="1"/>
    </xf>
    <xf numFmtId="2" fontId="26" fillId="27" borderId="0" xfId="0" applyNumberFormat="1" applyFont="1" applyFill="1" applyAlignment="1">
      <alignment horizontal="center"/>
    </xf>
    <xf numFmtId="176" fontId="0" fillId="0" borderId="1" xfId="0" applyNumberForma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69" fontId="0" fillId="0" borderId="0" xfId="12" applyNumberFormat="1" applyFont="1" applyAlignment="1">
      <alignment horizontal="center"/>
    </xf>
    <xf numFmtId="43" fontId="5" fillId="0" borderId="0" xfId="1481" applyNumberFormat="1"/>
    <xf numFmtId="169" fontId="0" fillId="0" borderId="0" xfId="12" applyNumberFormat="1" applyFont="1"/>
    <xf numFmtId="2" fontId="4" fillId="0" borderId="0" xfId="1641" applyNumberFormat="1"/>
    <xf numFmtId="174" fontId="40" fillId="0" borderId="37" xfId="0" applyNumberFormat="1" applyFont="1" applyBorder="1" applyAlignment="1">
      <alignment horizontal="right" vertical="center" wrapText="1"/>
    </xf>
    <xf numFmtId="165" fontId="40" fillId="0" borderId="0" xfId="1" applyFont="1" applyBorder="1" applyAlignment="1">
      <alignment horizontal="right" vertical="center" wrapText="1"/>
    </xf>
    <xf numFmtId="43" fontId="40" fillId="0" borderId="0" xfId="12" applyNumberFormat="1" applyFont="1" applyBorder="1" applyAlignment="1">
      <alignment horizontal="right" vertical="center" wrapText="1"/>
    </xf>
    <xf numFmtId="174" fontId="55" fillId="0" borderId="0" xfId="0" applyNumberFormat="1" applyFont="1" applyAlignment="1">
      <alignment horizontal="right" vertical="center" wrapText="1"/>
    </xf>
    <xf numFmtId="174" fontId="46" fillId="0" borderId="0" xfId="0" applyNumberFormat="1" applyFont="1" applyAlignment="1">
      <alignment horizontal="right" vertical="center" wrapText="1"/>
    </xf>
    <xf numFmtId="10" fontId="41" fillId="0" borderId="0" xfId="12" applyNumberFormat="1" applyFont="1" applyBorder="1" applyAlignment="1">
      <alignment horizontal="right" vertical="center" wrapText="1"/>
    </xf>
    <xf numFmtId="165" fontId="41" fillId="0" borderId="0" xfId="1" applyFont="1" applyBorder="1" applyAlignment="1">
      <alignment horizontal="right" vertical="center" wrapText="1"/>
    </xf>
    <xf numFmtId="174" fontId="49" fillId="0" borderId="0" xfId="0" applyNumberFormat="1" applyFont="1" applyAlignment="1">
      <alignment horizontal="right" vertical="center" wrapText="1"/>
    </xf>
    <xf numFmtId="174" fontId="60" fillId="0" borderId="0" xfId="0" applyNumberFormat="1" applyFont="1" applyAlignment="1">
      <alignment horizontal="right" vertical="center" wrapText="1"/>
    </xf>
    <xf numFmtId="174" fontId="39" fillId="0" borderId="0" xfId="0" applyNumberFormat="1" applyFont="1" applyAlignment="1">
      <alignment horizontal="right" vertical="center" wrapText="1"/>
    </xf>
    <xf numFmtId="8" fontId="50" fillId="0" borderId="37" xfId="0" applyNumberFormat="1" applyFont="1" applyBorder="1" applyAlignment="1">
      <alignment horizontal="right" vertical="center" wrapText="1"/>
    </xf>
    <xf numFmtId="7" fontId="51" fillId="2" borderId="0" xfId="0" applyNumberFormat="1" applyFont="1" applyFill="1" applyAlignment="1">
      <alignment horizontal="right"/>
    </xf>
    <xf numFmtId="174" fontId="55" fillId="0" borderId="37" xfId="0" applyNumberFormat="1" applyFont="1" applyBorder="1" applyAlignment="1">
      <alignment horizontal="right" wrapText="1"/>
    </xf>
    <xf numFmtId="170" fontId="52" fillId="0" borderId="0" xfId="0" applyNumberFormat="1" applyFont="1" applyAlignment="1">
      <alignment horizontal="right" vertical="center" wrapText="1"/>
    </xf>
    <xf numFmtId="174" fontId="63" fillId="0" borderId="0" xfId="0" applyNumberFormat="1" applyFont="1" applyAlignment="1">
      <alignment horizontal="right" vertical="center" wrapText="1"/>
    </xf>
    <xf numFmtId="8" fontId="64" fillId="0" borderId="37" xfId="0" applyNumberFormat="1" applyFont="1" applyBorder="1" applyAlignment="1">
      <alignment horizontal="right" vertical="center" wrapText="1"/>
    </xf>
    <xf numFmtId="8" fontId="64" fillId="0" borderId="0" xfId="0" applyNumberFormat="1" applyFont="1" applyAlignment="1">
      <alignment horizontal="right" vertical="center" wrapText="1"/>
    </xf>
    <xf numFmtId="8" fontId="40" fillId="0" borderId="37" xfId="0" applyNumberFormat="1" applyFont="1" applyBorder="1" applyAlignment="1">
      <alignment horizontal="right" vertical="center" wrapText="1"/>
    </xf>
    <xf numFmtId="174" fontId="56" fillId="0" borderId="0" xfId="0" applyNumberFormat="1" applyFont="1" applyAlignment="1">
      <alignment horizontal="right" vertical="center" wrapText="1"/>
    </xf>
    <xf numFmtId="8" fontId="40" fillId="25" borderId="0" xfId="0" applyNumberFormat="1" applyFont="1" applyFill="1" applyAlignment="1">
      <alignment horizontal="right" vertical="center" wrapText="1"/>
    </xf>
    <xf numFmtId="8" fontId="40" fillId="0" borderId="0" xfId="0" applyNumberFormat="1" applyFont="1" applyAlignment="1">
      <alignment horizontal="right" vertical="center" wrapText="1"/>
    </xf>
    <xf numFmtId="17" fontId="26" fillId="0" borderId="0" xfId="0" applyNumberFormat="1" applyFont="1"/>
    <xf numFmtId="165" fontId="0" fillId="0" borderId="0" xfId="1" applyFont="1" applyAlignment="1">
      <alignment horizontal="center"/>
    </xf>
    <xf numFmtId="1" fontId="0" fillId="0" borderId="0" xfId="0" applyNumberFormat="1"/>
    <xf numFmtId="177" fontId="0" fillId="0" borderId="0" xfId="0" applyNumberFormat="1"/>
    <xf numFmtId="169" fontId="0" fillId="0" borderId="0" xfId="0" applyNumberFormat="1"/>
    <xf numFmtId="7" fontId="26" fillId="0" borderId="0" xfId="0" applyNumberFormat="1" applyFont="1"/>
    <xf numFmtId="10" fontId="0" fillId="0" borderId="0" xfId="12" applyNumberFormat="1" applyFont="1" applyAlignment="1">
      <alignment horizontal="center"/>
    </xf>
    <xf numFmtId="8" fontId="0" fillId="0" borderId="0" xfId="0" applyNumberFormat="1"/>
    <xf numFmtId="0" fontId="65" fillId="0" borderId="0" xfId="0" applyFont="1"/>
    <xf numFmtId="0" fontId="65" fillId="0" borderId="37" xfId="831" applyFont="1" applyBorder="1" applyAlignment="1">
      <alignment horizontal="left" vertical="center" wrapText="1"/>
    </xf>
    <xf numFmtId="0" fontId="65" fillId="0" borderId="37" xfId="831" applyFont="1" applyBorder="1" applyAlignment="1">
      <alignment horizontal="left" vertical="center" wrapText="1" indent="2"/>
    </xf>
    <xf numFmtId="174" fontId="65" fillId="0" borderId="0" xfId="831" applyNumberFormat="1" applyFont="1" applyAlignment="1">
      <alignment horizontal="right" vertical="center" wrapText="1"/>
    </xf>
    <xf numFmtId="0" fontId="65" fillId="0" borderId="37" xfId="0" applyFont="1" applyBorder="1" applyAlignment="1">
      <alignment horizontal="left" vertical="center" wrapText="1" indent="2"/>
    </xf>
    <xf numFmtId="0" fontId="65" fillId="0" borderId="37" xfId="831" applyFont="1" applyBorder="1" applyAlignment="1">
      <alignment horizontal="left" vertical="center" wrapText="1" indent="1"/>
    </xf>
    <xf numFmtId="174" fontId="65" fillId="0" borderId="37" xfId="831" applyNumberFormat="1" applyFont="1" applyBorder="1" applyAlignment="1">
      <alignment horizontal="right" vertical="center" wrapText="1"/>
    </xf>
    <xf numFmtId="0" fontId="65" fillId="0" borderId="37" xfId="831" applyFont="1" applyBorder="1" applyAlignment="1">
      <alignment vertical="center" wrapText="1"/>
    </xf>
    <xf numFmtId="17" fontId="66" fillId="0" borderId="37" xfId="831" applyNumberFormat="1" applyFont="1" applyBorder="1" applyAlignment="1">
      <alignment horizontal="center" vertical="center" wrapText="1"/>
    </xf>
    <xf numFmtId="174" fontId="66" fillId="0" borderId="37" xfId="831" applyNumberFormat="1" applyFont="1" applyBorder="1" applyAlignment="1">
      <alignment horizontal="right" vertical="center" wrapText="1"/>
    </xf>
    <xf numFmtId="8" fontId="67" fillId="0" borderId="37" xfId="831" applyNumberFormat="1" applyFont="1" applyBorder="1" applyAlignment="1">
      <alignment horizontal="right" vertical="center" wrapText="1"/>
    </xf>
    <xf numFmtId="0" fontId="65" fillId="0" borderId="37" xfId="0" applyFont="1" applyBorder="1" applyAlignment="1">
      <alignment vertical="center" wrapText="1"/>
    </xf>
    <xf numFmtId="8" fontId="66" fillId="0" borderId="0" xfId="831" applyNumberFormat="1" applyFont="1" applyAlignment="1">
      <alignment horizontal="right" vertical="center" wrapText="1"/>
    </xf>
    <xf numFmtId="7" fontId="65" fillId="0" borderId="0" xfId="0" applyNumberFormat="1" applyFont="1"/>
    <xf numFmtId="17" fontId="65" fillId="0" borderId="0" xfId="0" applyNumberFormat="1" applyFont="1"/>
    <xf numFmtId="0" fontId="65" fillId="0" borderId="37" xfId="0" applyFont="1" applyBorder="1" applyAlignment="1">
      <alignment horizontal="left" vertical="center" wrapText="1"/>
    </xf>
    <xf numFmtId="0" fontId="65" fillId="0" borderId="0" xfId="0" applyFont="1" applyAlignment="1">
      <alignment horizontal="left"/>
    </xf>
    <xf numFmtId="0" fontId="65" fillId="0" borderId="37" xfId="831" applyFont="1" applyBorder="1" applyAlignment="1">
      <alignment horizontal="center" vertical="center" wrapText="1"/>
    </xf>
    <xf numFmtId="0" fontId="65" fillId="0" borderId="38" xfId="831" applyFont="1" applyBorder="1" applyAlignment="1">
      <alignment horizontal="center" vertical="center" wrapText="1"/>
    </xf>
    <xf numFmtId="0" fontId="65" fillId="29" borderId="38" xfId="831" applyFont="1" applyFill="1" applyBorder="1" applyAlignment="1">
      <alignment horizontal="left" vertical="center" wrapText="1"/>
    </xf>
    <xf numFmtId="0" fontId="65" fillId="29" borderId="37" xfId="831" applyFont="1" applyFill="1" applyBorder="1" applyAlignment="1">
      <alignment horizontal="left" vertical="center" wrapText="1"/>
    </xf>
    <xf numFmtId="0" fontId="65" fillId="30" borderId="37" xfId="831" applyFont="1" applyFill="1" applyBorder="1" applyAlignment="1">
      <alignment horizontal="left" vertical="center" wrapText="1"/>
    </xf>
    <xf numFmtId="0" fontId="65" fillId="28" borderId="37" xfId="831" applyFont="1" applyFill="1" applyBorder="1" applyAlignment="1">
      <alignment horizontal="left" vertical="center" wrapText="1"/>
    </xf>
    <xf numFmtId="174" fontId="65" fillId="0" borderId="0" xfId="0" applyNumberFormat="1" applyFont="1"/>
    <xf numFmtId="43" fontId="65" fillId="0" borderId="0" xfId="0" applyNumberFormat="1" applyFont="1"/>
    <xf numFmtId="0" fontId="26" fillId="18" borderId="0" xfId="0" applyFont="1" applyFill="1"/>
    <xf numFmtId="0" fontId="0" fillId="18" borderId="0" xfId="0" applyFill="1"/>
    <xf numFmtId="10" fontId="55" fillId="0" borderId="0" xfId="836" applyNumberFormat="1" applyFont="1" applyBorder="1" applyAlignment="1">
      <alignment horizontal="right" wrapText="1"/>
    </xf>
    <xf numFmtId="10" fontId="40" fillId="0" borderId="0" xfId="836" applyNumberFormat="1" applyFont="1" applyBorder="1" applyAlignment="1">
      <alignment horizontal="right" vertical="center" wrapText="1"/>
    </xf>
    <xf numFmtId="17" fontId="49" fillId="0" borderId="0" xfId="0" applyNumberFormat="1" applyFont="1" applyAlignment="1">
      <alignment horizontal="right" vertical="center" wrapText="1"/>
    </xf>
    <xf numFmtId="174" fontId="41" fillId="0" borderId="37" xfId="0" applyNumberFormat="1" applyFont="1" applyBorder="1" applyAlignment="1">
      <alignment horizontal="right" vertical="center" wrapText="1"/>
    </xf>
    <xf numFmtId="174" fontId="46" fillId="0" borderId="37" xfId="0" applyNumberFormat="1" applyFont="1" applyBorder="1" applyAlignment="1">
      <alignment horizontal="right" vertical="center" wrapText="1"/>
    </xf>
    <xf numFmtId="174" fontId="55" fillId="0" borderId="37" xfId="0" applyNumberFormat="1" applyFont="1" applyBorder="1" applyAlignment="1">
      <alignment horizontal="right" vertical="center" wrapText="1"/>
    </xf>
    <xf numFmtId="174" fontId="39" fillId="0" borderId="37" xfId="0" applyNumberFormat="1" applyFont="1" applyBorder="1" applyAlignment="1">
      <alignment horizontal="right" vertical="center" wrapText="1"/>
    </xf>
    <xf numFmtId="8" fontId="50" fillId="0" borderId="0" xfId="0" applyNumberFormat="1" applyFont="1" applyAlignment="1">
      <alignment horizontal="right" vertical="center" wrapText="1"/>
    </xf>
    <xf numFmtId="10" fontId="49" fillId="0" borderId="0" xfId="12" applyNumberFormat="1" applyFont="1" applyAlignment="1">
      <alignment horizontal="right" vertical="center" wrapText="1"/>
    </xf>
    <xf numFmtId="0" fontId="0" fillId="0" borderId="0" xfId="0" applyAlignment="1">
      <alignment horizontal="right"/>
    </xf>
    <xf numFmtId="10" fontId="50" fillId="0" borderId="0" xfId="836" applyNumberFormat="1" applyFont="1" applyBorder="1" applyAlignment="1">
      <alignment horizontal="right" vertical="center" wrapText="1"/>
    </xf>
    <xf numFmtId="8" fontId="40" fillId="0" borderId="0" xfId="1643" applyNumberFormat="1" applyFont="1" applyAlignment="1">
      <alignment horizontal="right" vertical="center" wrapText="1"/>
    </xf>
    <xf numFmtId="0" fontId="40" fillId="2" borderId="37" xfId="3201" applyFont="1" applyFill="1" applyBorder="1" applyAlignment="1">
      <alignment horizontal="center" vertical="center" wrapText="1"/>
    </xf>
    <xf numFmtId="0" fontId="40" fillId="0" borderId="37" xfId="3201" applyFont="1" applyBorder="1" applyAlignment="1">
      <alignment horizontal="center" vertical="center" wrapText="1"/>
    </xf>
    <xf numFmtId="0" fontId="39" fillId="0" borderId="37" xfId="3201" applyFont="1" applyBorder="1" applyAlignment="1">
      <alignment horizontal="left" vertical="center" wrapText="1"/>
    </xf>
    <xf numFmtId="0" fontId="41" fillId="0" borderId="37" xfId="3201" applyFont="1" applyBorder="1" applyAlignment="1">
      <alignment vertical="center" wrapText="1"/>
    </xf>
    <xf numFmtId="0" fontId="40" fillId="0" borderId="37" xfId="3201" applyFont="1" applyBorder="1" applyAlignment="1">
      <alignment horizontal="center" vertical="top" wrapText="1"/>
    </xf>
    <xf numFmtId="0" fontId="40" fillId="0" borderId="38" xfId="3201" applyFont="1" applyBorder="1" applyAlignment="1">
      <alignment horizontal="center" vertical="center" wrapText="1"/>
    </xf>
    <xf numFmtId="0" fontId="53" fillId="0" borderId="0" xfId="3201" applyFont="1"/>
    <xf numFmtId="0" fontId="41" fillId="2" borderId="37" xfId="3201" applyFont="1" applyFill="1" applyBorder="1" applyAlignment="1">
      <alignment vertical="center" wrapText="1"/>
    </xf>
    <xf numFmtId="0" fontId="39" fillId="2" borderId="37" xfId="3201" applyFont="1" applyFill="1" applyBorder="1" applyAlignment="1">
      <alignment horizontal="left" vertical="center" wrapText="1" indent="2"/>
    </xf>
    <xf numFmtId="0" fontId="41" fillId="2" borderId="37" xfId="3201" applyFont="1" applyFill="1" applyBorder="1" applyAlignment="1">
      <alignment horizontal="left" vertical="center" wrapText="1"/>
    </xf>
    <xf numFmtId="0" fontId="39" fillId="2" borderId="37" xfId="0" applyFont="1" applyFill="1" applyBorder="1" applyAlignment="1">
      <alignment horizontal="left" vertical="center" wrapText="1" indent="2"/>
    </xf>
    <xf numFmtId="0" fontId="39" fillId="2" borderId="37" xfId="3201" applyFont="1" applyFill="1" applyBorder="1" applyAlignment="1">
      <alignment horizontal="left" vertical="center" wrapText="1" indent="1"/>
    </xf>
    <xf numFmtId="0" fontId="39" fillId="2" borderId="37" xfId="3201" applyFont="1" applyFill="1" applyBorder="1" applyAlignment="1">
      <alignment vertical="center" wrapText="1"/>
    </xf>
    <xf numFmtId="0" fontId="41" fillId="2" borderId="37" xfId="0" applyFont="1" applyFill="1" applyBorder="1" applyAlignment="1">
      <alignment vertical="center" wrapText="1"/>
    </xf>
    <xf numFmtId="165" fontId="0" fillId="0" borderId="0" xfId="1" applyFont="1" applyAlignment="1">
      <alignment horizontal="right"/>
    </xf>
    <xf numFmtId="0" fontId="0" fillId="0" borderId="0" xfId="0" applyProtection="1">
      <protection locked="0"/>
    </xf>
    <xf numFmtId="0" fontId="0" fillId="31" borderId="0" xfId="0" applyFill="1"/>
    <xf numFmtId="0" fontId="65" fillId="11" borderId="37" xfId="6371" applyFont="1" applyFill="1" applyBorder="1" applyAlignment="1">
      <alignment horizontal="left" vertical="center" wrapText="1"/>
    </xf>
    <xf numFmtId="169" fontId="0" fillId="32" borderId="0" xfId="0" applyNumberFormat="1" applyFill="1"/>
    <xf numFmtId="0" fontId="65" fillId="32" borderId="0" xfId="6371" applyFont="1" applyFill="1" applyAlignment="1">
      <alignment horizontal="left" vertical="center" wrapText="1"/>
    </xf>
    <xf numFmtId="0" fontId="26" fillId="31" borderId="0" xfId="0" applyFont="1" applyFill="1"/>
    <xf numFmtId="1" fontId="0" fillId="11" borderId="0" xfId="0" applyNumberFormat="1" applyFill="1"/>
    <xf numFmtId="169" fontId="0" fillId="11" borderId="0" xfId="12" applyNumberFormat="1" applyFont="1" applyFill="1"/>
    <xf numFmtId="169" fontId="0" fillId="31" borderId="0" xfId="12" applyNumberFormat="1" applyFont="1" applyFill="1"/>
    <xf numFmtId="1" fontId="0" fillId="31" borderId="0" xfId="0" applyNumberFormat="1" applyFill="1"/>
    <xf numFmtId="0" fontId="26" fillId="11" borderId="0" xfId="0" applyFont="1" applyFill="1"/>
    <xf numFmtId="1" fontId="0" fillId="32" borderId="0" xfId="0" applyNumberFormat="1" applyFill="1"/>
    <xf numFmtId="0" fontId="65" fillId="31" borderId="37" xfId="831" applyFont="1" applyFill="1" applyBorder="1" applyAlignment="1">
      <alignment horizontal="left" vertical="center" wrapText="1"/>
    </xf>
    <xf numFmtId="0" fontId="26" fillId="32" borderId="0" xfId="0" applyFont="1" applyFill="1"/>
    <xf numFmtId="0" fontId="65" fillId="11" borderId="0" xfId="6371" applyFont="1" applyFill="1" applyAlignment="1">
      <alignment horizontal="left" vertical="center" wrapText="1"/>
    </xf>
    <xf numFmtId="0" fontId="65" fillId="31" borderId="0" xfId="6371" applyFont="1" applyFill="1" applyAlignment="1">
      <alignment horizontal="left" vertical="center" wrapText="1"/>
    </xf>
    <xf numFmtId="17" fontId="0" fillId="5" borderId="0" xfId="0" applyNumberFormat="1" applyFill="1"/>
    <xf numFmtId="0" fontId="34" fillId="2" borderId="0" xfId="0" applyFont="1" applyFill="1"/>
    <xf numFmtId="0" fontId="34" fillId="33" borderId="0" xfId="0" applyFont="1" applyFill="1"/>
    <xf numFmtId="0" fontId="34" fillId="34" borderId="0" xfId="0" applyFont="1" applyFill="1"/>
    <xf numFmtId="0" fontId="34" fillId="35" borderId="0" xfId="0" applyFont="1" applyFill="1"/>
    <xf numFmtId="0" fontId="1" fillId="0" borderId="0" xfId="6383"/>
    <xf numFmtId="0" fontId="40" fillId="2" borderId="37" xfId="9542" applyFont="1" applyFill="1" applyBorder="1" applyAlignment="1">
      <alignment horizontal="center" vertical="center" wrapText="1"/>
    </xf>
    <xf numFmtId="169" fontId="0" fillId="0" borderId="0" xfId="12709" applyNumberFormat="1" applyFont="1"/>
    <xf numFmtId="0" fontId="41" fillId="2" borderId="37" xfId="12710" applyFont="1" applyFill="1" applyBorder="1" applyAlignment="1">
      <alignment vertical="center" wrapText="1"/>
    </xf>
    <xf numFmtId="0" fontId="39" fillId="2" borderId="37" xfId="12710" applyFont="1" applyFill="1" applyBorder="1" applyAlignment="1">
      <alignment horizontal="left" vertical="center" wrapText="1" indent="2"/>
    </xf>
    <xf numFmtId="0" fontId="41" fillId="2" borderId="37" xfId="12710" applyFont="1" applyFill="1" applyBorder="1" applyAlignment="1">
      <alignment horizontal="left" vertical="center" wrapText="1"/>
    </xf>
    <xf numFmtId="0" fontId="39" fillId="2" borderId="37" xfId="6384" applyFont="1" applyFill="1" applyBorder="1" applyAlignment="1">
      <alignment horizontal="left" vertical="center" wrapText="1" indent="2"/>
    </xf>
    <xf numFmtId="0" fontId="39" fillId="2" borderId="37" xfId="12710" applyFont="1" applyFill="1" applyBorder="1" applyAlignment="1">
      <alignment horizontal="left" vertical="center" wrapText="1" indent="1"/>
    </xf>
    <xf numFmtId="0" fontId="39" fillId="2" borderId="37" xfId="12710" applyFont="1" applyFill="1" applyBorder="1" applyAlignment="1">
      <alignment vertical="center" wrapText="1"/>
    </xf>
    <xf numFmtId="0" fontId="41" fillId="2" borderId="37" xfId="6384" applyFont="1" applyFill="1" applyBorder="1" applyAlignment="1">
      <alignment vertical="center" wrapText="1"/>
    </xf>
    <xf numFmtId="2" fontId="0" fillId="36" borderId="0" xfId="0" applyNumberFormat="1" applyFill="1"/>
    <xf numFmtId="0" fontId="0" fillId="5" borderId="1" xfId="0" applyFill="1" applyBorder="1" applyAlignment="1">
      <alignment horizontal="center"/>
    </xf>
    <xf numFmtId="0" fontId="26" fillId="5" borderId="1" xfId="0" applyFont="1" applyFill="1" applyBorder="1" applyAlignment="1">
      <alignment horizontal="center"/>
    </xf>
    <xf numFmtId="43" fontId="0" fillId="2" borderId="0" xfId="0" applyNumberFormat="1" applyFill="1"/>
    <xf numFmtId="0" fontId="2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6" fillId="5" borderId="0" xfId="0" applyFont="1" applyFill="1" applyAlignment="1">
      <alignment horizontal="center"/>
    </xf>
    <xf numFmtId="178" fontId="0" fillId="0" borderId="0" xfId="0" applyNumberFormat="1"/>
    <xf numFmtId="0" fontId="27" fillId="17" borderId="19" xfId="0" applyFont="1" applyFill="1" applyBorder="1" applyAlignment="1">
      <alignment horizontal="center" vertical="center" wrapText="1"/>
    </xf>
    <xf numFmtId="0" fontId="27" fillId="17" borderId="15" xfId="0" applyFont="1" applyFill="1" applyBorder="1" applyAlignment="1">
      <alignment horizontal="center" vertical="center" wrapText="1"/>
    </xf>
    <xf numFmtId="0" fontId="27" fillId="17" borderId="30" xfId="0" applyFont="1" applyFill="1" applyBorder="1" applyAlignment="1">
      <alignment horizontal="center" vertical="center" wrapText="1"/>
    </xf>
    <xf numFmtId="0" fontId="27" fillId="17" borderId="24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/>
    </xf>
    <xf numFmtId="0" fontId="27" fillId="3" borderId="29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21" borderId="32" xfId="0" applyFont="1" applyFill="1" applyBorder="1" applyAlignment="1">
      <alignment horizontal="center" vertical="center"/>
    </xf>
    <xf numFmtId="0" fontId="27" fillId="21" borderId="11" xfId="0" applyFont="1" applyFill="1" applyBorder="1" applyAlignment="1">
      <alignment horizontal="center" vertical="center"/>
    </xf>
    <xf numFmtId="0" fontId="27" fillId="21" borderId="12" xfId="0" applyFont="1" applyFill="1" applyBorder="1" applyAlignment="1">
      <alignment horizontal="center" vertical="center"/>
    </xf>
    <xf numFmtId="0" fontId="27" fillId="17" borderId="27" xfId="0" applyFont="1" applyFill="1" applyBorder="1" applyAlignment="1">
      <alignment horizontal="center" vertical="center" wrapText="1"/>
    </xf>
    <xf numFmtId="0" fontId="27" fillId="17" borderId="28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17" borderId="25" xfId="0" applyFont="1" applyFill="1" applyBorder="1" applyAlignment="1">
      <alignment horizontal="center" vertical="center" wrapText="1"/>
    </xf>
    <xf numFmtId="0" fontId="27" fillId="17" borderId="26" xfId="0" applyFont="1" applyFill="1" applyBorder="1" applyAlignment="1">
      <alignment horizontal="center" vertical="center" wrapText="1"/>
    </xf>
    <xf numFmtId="0" fontId="27" fillId="17" borderId="34" xfId="0" applyFont="1" applyFill="1" applyBorder="1" applyAlignment="1">
      <alignment horizontal="center" vertical="center" wrapText="1"/>
    </xf>
    <xf numFmtId="0" fontId="27" fillId="17" borderId="33" xfId="0" applyFont="1" applyFill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57" fillId="0" borderId="39" xfId="831" applyFont="1" applyBorder="1" applyAlignment="1">
      <alignment horizontal="left" vertical="center" wrapText="1"/>
    </xf>
    <xf numFmtId="0" fontId="57" fillId="0" borderId="0" xfId="831" applyFont="1" applyAlignment="1">
      <alignment horizontal="left" vertical="center" wrapText="1"/>
    </xf>
    <xf numFmtId="0" fontId="58" fillId="0" borderId="32" xfId="831" applyFont="1" applyBorder="1" applyAlignment="1">
      <alignment horizontal="center" vertical="center" wrapText="1"/>
    </xf>
    <xf numFmtId="0" fontId="58" fillId="0" borderId="42" xfId="831" applyFont="1" applyBorder="1" applyAlignment="1">
      <alignment horizontal="center" vertical="center" wrapText="1"/>
    </xf>
    <xf numFmtId="0" fontId="58" fillId="0" borderId="34" xfId="831" applyFont="1" applyBorder="1" applyAlignment="1">
      <alignment horizontal="center" vertical="center" wrapText="1"/>
    </xf>
    <xf numFmtId="0" fontId="58" fillId="0" borderId="12" xfId="831" applyFont="1" applyBorder="1" applyAlignment="1">
      <alignment horizontal="center" vertical="center" wrapText="1"/>
    </xf>
    <xf numFmtId="0" fontId="58" fillId="0" borderId="43" xfId="831" applyFont="1" applyBorder="1" applyAlignment="1">
      <alignment horizontal="center" vertical="center" wrapText="1"/>
    </xf>
    <xf numFmtId="0" fontId="58" fillId="0" borderId="33" xfId="831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36" fillId="0" borderId="7" xfId="0" applyFont="1" applyBorder="1" applyAlignment="1">
      <alignment horizontal="center"/>
    </xf>
  </cellXfs>
  <cellStyles count="12722">
    <cellStyle name="Moeda 2" xfId="11" xr:uid="{526A8A02-CA04-4375-ADBC-7B717688D667}"/>
    <cellStyle name="Moeda 2 10" xfId="456" xr:uid="{004B7890-58FF-4084-809C-2FAD099846C6}"/>
    <cellStyle name="Moeda 2 10 2" xfId="1255" xr:uid="{20B2C768-D969-4A5E-A1A7-E6B351B9FC8A}"/>
    <cellStyle name="Moeda 2 10 2 2" xfId="2826" xr:uid="{B121B353-9CC5-4506-9115-F398A5148956}"/>
    <cellStyle name="Moeda 2 10 2 2 2" xfId="5996" xr:uid="{0DD5E31C-98B6-406F-9790-578F7FC60089}"/>
    <cellStyle name="Moeda 2 10 2 2 2 2" xfId="12335" xr:uid="{9F63ACBC-2A6F-4826-8930-9B03080286EE}"/>
    <cellStyle name="Moeda 2 10 2 2 3" xfId="9167" xr:uid="{E6C9F2A8-040C-4804-BC38-A05313B4516D}"/>
    <cellStyle name="Moeda 2 10 2 3" xfId="4427" xr:uid="{94ABB924-F6B5-4677-905B-5FFA1FBF9DE7}"/>
    <cellStyle name="Moeda 2 10 2 3 2" xfId="10766" xr:uid="{35AC377B-D697-4C56-B107-BDFAC83BABED}"/>
    <cellStyle name="Moeda 2 10 2 4" xfId="7598" xr:uid="{A45B774B-874B-43B9-BB5B-0F48248BFA76}"/>
    <cellStyle name="Moeda 2 10 3" xfId="2029" xr:uid="{A58923C0-4395-43F7-AAF6-F77C7D818EB0}"/>
    <cellStyle name="Moeda 2 10 3 2" xfId="5199" xr:uid="{05C84797-DA54-4F7B-985A-57D4F288E407}"/>
    <cellStyle name="Moeda 2 10 3 2 2" xfId="11538" xr:uid="{750F2C4D-2F2A-4ED8-BFA6-DFCF5150D897}"/>
    <cellStyle name="Moeda 2 10 3 3" xfId="8370" xr:uid="{9CB217EF-E5F3-4276-8AD7-B72DE9E569E2}"/>
    <cellStyle name="Moeda 2 10 4" xfId="3630" xr:uid="{B47330B4-5D2A-492D-9B01-1A81ED575340}"/>
    <cellStyle name="Moeda 2 10 4 2" xfId="9969" xr:uid="{5FBA558D-2A32-4756-8783-FAB95C1FB882}"/>
    <cellStyle name="Moeda 2 10 5" xfId="6801" xr:uid="{805194BD-5455-4A6B-828E-44D1DDA4DC28}"/>
    <cellStyle name="Moeda 2 2" xfId="27" xr:uid="{AAA703E2-1DCF-4B59-85B5-370C2F3E50DC}"/>
    <cellStyle name="Moeda 2 2 2" xfId="83" xr:uid="{CA37ED34-6DD8-4337-8460-9BDFFE6CDFFA}"/>
    <cellStyle name="Moeda 2 2 2 2" xfId="304" xr:uid="{8DDE3A3B-488E-486D-9B89-7E04CFACBF86}"/>
    <cellStyle name="Moeda 2 2 2 3" xfId="509" xr:uid="{17BB96DB-5F58-4BD2-8254-29E7EC6CA5E8}"/>
    <cellStyle name="Moeda 2 2 2 3 2" xfId="1308" xr:uid="{B1FA56D6-206A-46B3-8232-C9349E7BB8E6}"/>
    <cellStyle name="Moeda 2 2 2 3 2 2" xfId="2879" xr:uid="{5689CBAF-4D87-4DDB-BFF0-932490CAEB31}"/>
    <cellStyle name="Moeda 2 2 2 3 2 2 2" xfId="6049" xr:uid="{F826FB32-5F50-4C4E-967F-C9BE67E423F3}"/>
    <cellStyle name="Moeda 2 2 2 3 2 2 2 2" xfId="12388" xr:uid="{146765F5-5B5A-494D-8BC5-943F552BA1F7}"/>
    <cellStyle name="Moeda 2 2 2 3 2 2 3" xfId="9220" xr:uid="{A8B2912E-490E-46BA-B4D1-27773C0E409E}"/>
    <cellStyle name="Moeda 2 2 2 3 2 3" xfId="4480" xr:uid="{604B0530-D50A-423A-9245-3D82338A6D67}"/>
    <cellStyle name="Moeda 2 2 2 3 2 3 2" xfId="10819" xr:uid="{2689BB8F-1DB0-48D0-86EF-7FA0A24A5F88}"/>
    <cellStyle name="Moeda 2 2 2 3 2 4" xfId="7651" xr:uid="{3FBE4AF4-6F84-4E48-9C22-C8AC871EF6EF}"/>
    <cellStyle name="Moeda 2 2 2 3 3" xfId="2082" xr:uid="{8173FC20-E0D9-4D9A-AB6B-9CBC66427482}"/>
    <cellStyle name="Moeda 2 2 2 3 3 2" xfId="5252" xr:uid="{E48D8B22-F29D-49F5-ABAB-F25BC489DFCC}"/>
    <cellStyle name="Moeda 2 2 2 3 3 2 2" xfId="11591" xr:uid="{2E81AED2-319D-4123-B924-656F336D1C2C}"/>
    <cellStyle name="Moeda 2 2 2 3 3 3" xfId="8423" xr:uid="{46CA5B28-7D32-4154-879B-AE5A512A29AD}"/>
    <cellStyle name="Moeda 2 2 2 3 4" xfId="3683" xr:uid="{1EBB1D76-82CD-430F-A128-DF7FA6116753}"/>
    <cellStyle name="Moeda 2 2 2 3 4 2" xfId="10022" xr:uid="{3DDDB66A-0D6B-4F8A-B20B-C1B186FF9616}"/>
    <cellStyle name="Moeda 2 2 2 3 5" xfId="6854" xr:uid="{AF793B31-7C68-405D-B065-9B2AD7726042}"/>
    <cellStyle name="Moeda 2 2 3" xfId="169" xr:uid="{AC39A13C-C327-4AD5-A8FF-8ADD1EDB639C}"/>
    <cellStyle name="Moeda 2 2 3 2" xfId="386" xr:uid="{D3D1A5CC-1EE8-483E-86F1-032A8EC93729}"/>
    <cellStyle name="Moeda 2 2 3 2 2" xfId="767" xr:uid="{DE8EDDE4-9472-4D65-91A4-1E7BF4EAF1C9}"/>
    <cellStyle name="Moeda 2 2 3 2 2 2" xfId="1566" xr:uid="{944E6F09-A139-449B-8491-3DABCB27C194}"/>
    <cellStyle name="Moeda 2 2 3 2 2 2 2" xfId="3137" xr:uid="{921D4BDD-6316-48A7-A4A2-FD91CEAC6A29}"/>
    <cellStyle name="Moeda 2 2 3 2 2 2 2 2" xfId="6307" xr:uid="{CC8A0B16-92D7-4D28-83FF-4CBE4A6FB3E4}"/>
    <cellStyle name="Moeda 2 2 3 2 2 2 2 2 2" xfId="12646" xr:uid="{54196719-BE71-4467-A381-A6E8E4288F37}"/>
    <cellStyle name="Moeda 2 2 3 2 2 2 2 3" xfId="9478" xr:uid="{C67A7B1C-2FA0-4F2B-BFA4-229CDE5EBF5C}"/>
    <cellStyle name="Moeda 2 2 3 2 2 2 3" xfId="4738" xr:uid="{EB651350-026D-4ED9-9B81-91DE42A3A296}"/>
    <cellStyle name="Moeda 2 2 3 2 2 2 3 2" xfId="11077" xr:uid="{B65BC56F-4B20-48E7-9472-FA5D1AAE53C7}"/>
    <cellStyle name="Moeda 2 2 3 2 2 2 4" xfId="7909" xr:uid="{2C6C7C75-8F2F-46F9-A52E-D633A8F6B25D}"/>
    <cellStyle name="Moeda 2 2 3 2 2 3" xfId="2340" xr:uid="{DDC5565F-1099-4C77-A10C-C64B7DAD75DB}"/>
    <cellStyle name="Moeda 2 2 3 2 2 3 2" xfId="5510" xr:uid="{3D07F1FE-6816-471B-A614-797BDF145050}"/>
    <cellStyle name="Moeda 2 2 3 2 2 3 2 2" xfId="11849" xr:uid="{38ADCEDB-0C6B-4EDF-A294-FCB1A0EC865A}"/>
    <cellStyle name="Moeda 2 2 3 2 2 3 3" xfId="8681" xr:uid="{82178596-B2A9-4F6E-8BE5-8F5B111312E1}"/>
    <cellStyle name="Moeda 2 2 3 2 2 4" xfId="3941" xr:uid="{82B2233E-0824-45DD-887B-76875A211D01}"/>
    <cellStyle name="Moeda 2 2 3 2 2 4 2" xfId="10280" xr:uid="{F2E3BE5D-8912-42F1-AC7F-CAABF675DE46}"/>
    <cellStyle name="Moeda 2 2 3 2 2 5" xfId="7112" xr:uid="{28758A74-7D60-445F-B7C0-DA4E03BB22FC}"/>
    <cellStyle name="Moeda 2 2 3 2 3" xfId="1185" xr:uid="{04F0675D-70D4-4047-8CFF-BDA23F6717B5}"/>
    <cellStyle name="Moeda 2 2 3 2 3 2" xfId="2756" xr:uid="{F23505ED-A092-489C-8E04-88397775273B}"/>
    <cellStyle name="Moeda 2 2 3 2 3 2 2" xfId="5926" xr:uid="{0FBCBE01-D826-438F-99FC-5C91B033CEE2}"/>
    <cellStyle name="Moeda 2 2 3 2 3 2 2 2" xfId="12265" xr:uid="{2105593A-4819-4C5E-A17D-280D4FDB45D1}"/>
    <cellStyle name="Moeda 2 2 3 2 3 2 3" xfId="9097" xr:uid="{7F8AC7F9-F9FF-4609-95FD-A0E972A38402}"/>
    <cellStyle name="Moeda 2 2 3 2 3 3" xfId="4357" xr:uid="{B1A3A6A7-73A7-466A-97C0-C02DAA7022AD}"/>
    <cellStyle name="Moeda 2 2 3 2 3 3 2" xfId="10696" xr:uid="{2E22F7C5-C915-4160-B896-334EB0C5265E}"/>
    <cellStyle name="Moeda 2 2 3 2 3 4" xfId="7528" xr:uid="{C21A340F-1761-4E69-8473-E2EB9ED01002}"/>
    <cellStyle name="Moeda 2 2 3 2 4" xfId="1959" xr:uid="{DD5D3100-4083-4C96-AFE2-DADFAFD74A57}"/>
    <cellStyle name="Moeda 2 2 3 2 4 2" xfId="5129" xr:uid="{545692A0-EE80-4826-821B-90B2314DA230}"/>
    <cellStyle name="Moeda 2 2 3 2 4 2 2" xfId="11468" xr:uid="{DA4AA90E-1CDC-45BD-A8D6-AA7AFAA25B48}"/>
    <cellStyle name="Moeda 2 2 3 2 4 3" xfId="8300" xr:uid="{F622B476-13C1-4648-B718-AC76F5E9A770}"/>
    <cellStyle name="Moeda 2 2 3 2 5" xfId="3560" xr:uid="{0100048C-666A-432B-8E8A-D0C1691E8A72}"/>
    <cellStyle name="Moeda 2 2 3 2 5 2" xfId="9899" xr:uid="{0E255BC9-97C2-4B1F-BE17-7FDC1BCA691A}"/>
    <cellStyle name="Moeda 2 2 3 2 6" xfId="6731" xr:uid="{0E3DD674-ED10-4C3D-B4E8-30AFB7EC6A42}"/>
    <cellStyle name="Moeda 2 2 3 3" xfId="564" xr:uid="{F160F098-274D-4A1E-BCA0-5A26E3B50489}"/>
    <cellStyle name="Moeda 2 2 3 3 2" xfId="1363" xr:uid="{62311EFD-23B5-4B82-AC4B-848E900B5AB3}"/>
    <cellStyle name="Moeda 2 2 3 3 2 2" xfId="2934" xr:uid="{A6013E99-D957-4B7F-856C-8D5EEEC2A500}"/>
    <cellStyle name="Moeda 2 2 3 3 2 2 2" xfId="6104" xr:uid="{35B3EED8-3624-4C7B-B530-39710C7D79E7}"/>
    <cellStyle name="Moeda 2 2 3 3 2 2 2 2" xfId="12443" xr:uid="{5C6ECED1-41BE-4897-B5FB-C171C3D7BBAF}"/>
    <cellStyle name="Moeda 2 2 3 3 2 2 3" xfId="9275" xr:uid="{D85FF041-EEFC-41DC-8E8B-746F600C56C5}"/>
    <cellStyle name="Moeda 2 2 3 3 2 3" xfId="4535" xr:uid="{551BDDE1-9A13-41D9-B0FE-573511E88E1B}"/>
    <cellStyle name="Moeda 2 2 3 3 2 3 2" xfId="10874" xr:uid="{EB996D1E-B98B-4B98-A5D6-39EDD4367369}"/>
    <cellStyle name="Moeda 2 2 3 3 2 4" xfId="7706" xr:uid="{E41FB4E0-4552-4A95-A4AD-76B562BE4FDD}"/>
    <cellStyle name="Moeda 2 2 3 3 3" xfId="2137" xr:uid="{544976F9-7D66-43AB-8CA4-D62303BDD8B8}"/>
    <cellStyle name="Moeda 2 2 3 3 3 2" xfId="5307" xr:uid="{BFE37C13-AF3D-4028-957E-F229B752A6CA}"/>
    <cellStyle name="Moeda 2 2 3 3 3 2 2" xfId="11646" xr:uid="{62792629-D771-4BA6-A2ED-F1A55E26464E}"/>
    <cellStyle name="Moeda 2 2 3 3 3 3" xfId="8478" xr:uid="{16ACAE6F-5C23-46F6-907E-A74D378420CF}"/>
    <cellStyle name="Moeda 2 2 3 3 4" xfId="3738" xr:uid="{95EC2D15-17A3-46EE-A364-A1CE95280632}"/>
    <cellStyle name="Moeda 2 2 3 3 4 2" xfId="10077" xr:uid="{24D1DB8D-A531-449C-94F9-D26A8B3FC63A}"/>
    <cellStyle name="Moeda 2 2 3 3 5" xfId="6909" xr:uid="{DADD4A94-6F2E-4E0B-80C0-173E569C48A7}"/>
    <cellStyle name="Moeda 2 2 3 4" xfId="982" xr:uid="{B16F9ED9-DCE5-4F41-B90A-60FC2DC998C5}"/>
    <cellStyle name="Moeda 2 2 3 4 2" xfId="2553" xr:uid="{E28A43FC-6F47-47F4-88D3-D33AFC61C5A5}"/>
    <cellStyle name="Moeda 2 2 3 4 2 2" xfId="5723" xr:uid="{F46995B8-6FF3-4512-B88B-338CBA37DA4A}"/>
    <cellStyle name="Moeda 2 2 3 4 2 2 2" xfId="12062" xr:uid="{465B615F-22AE-4A0C-9643-DF5FA89517C3}"/>
    <cellStyle name="Moeda 2 2 3 4 2 3" xfId="8894" xr:uid="{E24CE822-B082-49B9-B205-BA4FA21C5868}"/>
    <cellStyle name="Moeda 2 2 3 4 3" xfId="4154" xr:uid="{3E67B74C-A737-420C-822F-C1FB27EB54AE}"/>
    <cellStyle name="Moeda 2 2 3 4 3 2" xfId="10493" xr:uid="{7C903908-FEDA-4983-9BA9-54CD16E65071}"/>
    <cellStyle name="Moeda 2 2 3 4 4" xfId="7325" xr:uid="{5CF62ACC-60C8-4FEE-99B2-69F99873732F}"/>
    <cellStyle name="Moeda 2 2 3 5" xfId="1756" xr:uid="{903E0115-10A9-432E-9E73-82EC8A3C7A59}"/>
    <cellStyle name="Moeda 2 2 3 5 2" xfId="4926" xr:uid="{24BA667C-2DCA-49F6-8A2B-2AAE834788CD}"/>
    <cellStyle name="Moeda 2 2 3 5 2 2" xfId="11265" xr:uid="{BDEB7EF5-224C-4DCE-9D7D-EDFD51C194AB}"/>
    <cellStyle name="Moeda 2 2 3 5 3" xfId="8097" xr:uid="{8E099183-B967-44A0-82F5-663DEFC227D6}"/>
    <cellStyle name="Moeda 2 2 3 6" xfId="3357" xr:uid="{0357ADDB-B8DB-452C-BA29-8EBB8E5DBE9D}"/>
    <cellStyle name="Moeda 2 2 3 6 2" xfId="9696" xr:uid="{D25F76E4-7F4D-452F-AD39-1C6079836480}"/>
    <cellStyle name="Moeda 2 2 3 7" xfId="6528" xr:uid="{B4D3C2DE-0401-4E99-B66A-71799F675F5E}"/>
    <cellStyle name="Moeda 2 2 4" xfId="251" xr:uid="{153BFDFE-8ED6-4DDE-A3D7-B990F2A9194B}"/>
    <cellStyle name="Moeda 2 3" xfId="89" xr:uid="{E66FF2DC-8C9B-487A-8594-F01562BB5E4C}"/>
    <cellStyle name="Moeda 2 3 2" xfId="175" xr:uid="{D0D26BD9-9657-4FE4-ABE3-A5595E8C2B92}"/>
    <cellStyle name="Moeda 2 3 2 2" xfId="392" xr:uid="{0E443173-CA8A-4048-8036-B4D8DED937CF}"/>
    <cellStyle name="Moeda 2 3 2 2 2" xfId="773" xr:uid="{FD357FA7-89B6-41F2-AF36-E82620CDB8DB}"/>
    <cellStyle name="Moeda 2 3 2 2 2 2" xfId="1572" xr:uid="{D2ED2C9F-7471-4D59-841C-3B91C6E3706F}"/>
    <cellStyle name="Moeda 2 3 2 2 2 2 2" xfId="3143" xr:uid="{3B27318A-0FED-4DAC-A23B-BB7E69F391CA}"/>
    <cellStyle name="Moeda 2 3 2 2 2 2 2 2" xfId="6313" xr:uid="{64B41D0E-61C2-4FA6-8592-98D25A2A1BD3}"/>
    <cellStyle name="Moeda 2 3 2 2 2 2 2 2 2" xfId="12652" xr:uid="{B1205AD7-9767-4BB8-A4D3-359BCF2F997B}"/>
    <cellStyle name="Moeda 2 3 2 2 2 2 2 3" xfId="9484" xr:uid="{F24DD85A-7396-4419-9984-4116794B1212}"/>
    <cellStyle name="Moeda 2 3 2 2 2 2 3" xfId="4744" xr:uid="{DB0E0A0C-659D-4A90-9A5B-51AB3735076F}"/>
    <cellStyle name="Moeda 2 3 2 2 2 2 3 2" xfId="11083" xr:uid="{FBD372A0-D410-4B6A-AF9E-371C149931ED}"/>
    <cellStyle name="Moeda 2 3 2 2 2 2 4" xfId="7915" xr:uid="{DE20540C-95FB-4519-AD58-6F8939AB4B2D}"/>
    <cellStyle name="Moeda 2 3 2 2 2 3" xfId="2346" xr:uid="{A715387B-D2CB-428F-985E-51E72DCE829C}"/>
    <cellStyle name="Moeda 2 3 2 2 2 3 2" xfId="5516" xr:uid="{00B82EE8-AB1D-4F59-8EEB-254DF55085AC}"/>
    <cellStyle name="Moeda 2 3 2 2 2 3 2 2" xfId="11855" xr:uid="{EDD58723-3EB4-4C3F-8FA9-9D81E4FBA4AC}"/>
    <cellStyle name="Moeda 2 3 2 2 2 3 3" xfId="8687" xr:uid="{A3FFB906-5AEE-4575-82E1-7362695BFA71}"/>
    <cellStyle name="Moeda 2 3 2 2 2 4" xfId="3947" xr:uid="{B245D61A-CB1A-46CE-BCB0-8E4234CC3182}"/>
    <cellStyle name="Moeda 2 3 2 2 2 4 2" xfId="10286" xr:uid="{CEB97D74-CBF0-443E-87D7-C294970FAD3A}"/>
    <cellStyle name="Moeda 2 3 2 2 2 5" xfId="7118" xr:uid="{A0F8274C-483F-4A94-8A18-2AFA4B11C73B}"/>
    <cellStyle name="Moeda 2 3 2 2 3" xfId="1191" xr:uid="{9EA5A9EE-B377-412C-B6E0-DB213E6FCEFE}"/>
    <cellStyle name="Moeda 2 3 2 2 3 2" xfId="2762" xr:uid="{69036A63-DCF5-4DDD-BDE6-1C731C7B55F2}"/>
    <cellStyle name="Moeda 2 3 2 2 3 2 2" xfId="5932" xr:uid="{88B14F73-634B-4EF2-9708-CFFC8DC8F059}"/>
    <cellStyle name="Moeda 2 3 2 2 3 2 2 2" xfId="12271" xr:uid="{DCA462F0-6F88-42C8-848E-6845BC74B274}"/>
    <cellStyle name="Moeda 2 3 2 2 3 2 3" xfId="9103" xr:uid="{0E9776D2-2E67-402F-8D64-E60590EB3E70}"/>
    <cellStyle name="Moeda 2 3 2 2 3 3" xfId="4363" xr:uid="{7D720A25-F611-4703-9DD2-929672470964}"/>
    <cellStyle name="Moeda 2 3 2 2 3 3 2" xfId="10702" xr:uid="{0B5FB88D-215C-4208-BF62-CD9838B01C93}"/>
    <cellStyle name="Moeda 2 3 2 2 3 4" xfId="7534" xr:uid="{3D84DF47-BB61-4F8A-BBAD-752266C4DB0C}"/>
    <cellStyle name="Moeda 2 3 2 2 4" xfId="1965" xr:uid="{0E64E130-AC29-48B7-81A7-94161EC928B2}"/>
    <cellStyle name="Moeda 2 3 2 2 4 2" xfId="5135" xr:uid="{07AA4F26-38FA-4312-93E1-9D31A6952557}"/>
    <cellStyle name="Moeda 2 3 2 2 4 2 2" xfId="11474" xr:uid="{160857E9-91DA-417C-808A-897B22C2BF13}"/>
    <cellStyle name="Moeda 2 3 2 2 4 3" xfId="8306" xr:uid="{72C6EF8F-68EB-4D95-ADAE-C962D1707D35}"/>
    <cellStyle name="Moeda 2 3 2 2 5" xfId="3566" xr:uid="{E10C0D17-8150-4AE3-BA97-EA6BE6B0A373}"/>
    <cellStyle name="Moeda 2 3 2 2 5 2" xfId="9905" xr:uid="{F3B2E72F-4BA8-4DFE-AABB-27E317EE334C}"/>
    <cellStyle name="Moeda 2 3 2 2 6" xfId="6737" xr:uid="{1FC94FDB-AA1C-4771-A106-CAE326D03E75}"/>
    <cellStyle name="Moeda 2 3 2 3" xfId="570" xr:uid="{F0FC482E-45A5-4470-A5D4-1296C1B2DD7F}"/>
    <cellStyle name="Moeda 2 3 2 3 2" xfId="1369" xr:uid="{30624D0F-1810-4BA2-9913-3A21CC432D6B}"/>
    <cellStyle name="Moeda 2 3 2 3 2 2" xfId="2940" xr:uid="{030B4296-D68F-4735-9B63-4D2A2F810E67}"/>
    <cellStyle name="Moeda 2 3 2 3 2 2 2" xfId="6110" xr:uid="{3D2978B4-1070-492A-BD85-31EE890C847C}"/>
    <cellStyle name="Moeda 2 3 2 3 2 2 2 2" xfId="12449" xr:uid="{BDA751C6-108C-4A70-9A5A-756613B88FE9}"/>
    <cellStyle name="Moeda 2 3 2 3 2 2 3" xfId="9281" xr:uid="{CAC3D640-7CBA-45A4-8C06-11A87155EE78}"/>
    <cellStyle name="Moeda 2 3 2 3 2 3" xfId="4541" xr:uid="{DFD4EC0E-D0A7-48BD-9D2D-7FF80FEE92F1}"/>
    <cellStyle name="Moeda 2 3 2 3 2 3 2" xfId="10880" xr:uid="{6070E9EE-A728-4DD1-B9D7-1489C3CE3E05}"/>
    <cellStyle name="Moeda 2 3 2 3 2 4" xfId="7712" xr:uid="{ADB877FE-AEBF-42E8-851D-9592AFFD0F6E}"/>
    <cellStyle name="Moeda 2 3 2 3 3" xfId="2143" xr:uid="{0BCEF74B-D17F-4D78-84B8-F6667E02A053}"/>
    <cellStyle name="Moeda 2 3 2 3 3 2" xfId="5313" xr:uid="{A7458AD6-B777-4BE7-A516-E513006556FF}"/>
    <cellStyle name="Moeda 2 3 2 3 3 2 2" xfId="11652" xr:uid="{52A7662D-5DAA-4F2B-8D0D-11DCC3A686F8}"/>
    <cellStyle name="Moeda 2 3 2 3 3 3" xfId="8484" xr:uid="{BCDD615A-B5F9-4C29-8C6E-21AFD4AF789B}"/>
    <cellStyle name="Moeda 2 3 2 3 4" xfId="3744" xr:uid="{A7F2F17B-4562-423D-AC87-972861705D8A}"/>
    <cellStyle name="Moeda 2 3 2 3 4 2" xfId="10083" xr:uid="{3AA98CB3-FCB7-4683-9E28-9E1F201E658B}"/>
    <cellStyle name="Moeda 2 3 2 3 5" xfId="6915" xr:uid="{DBE9B45A-7F1C-4733-8819-7BF469FE025E}"/>
    <cellStyle name="Moeda 2 3 2 4" xfId="988" xr:uid="{1841EE42-8805-4DDB-B2E8-ED577D7C3931}"/>
    <cellStyle name="Moeda 2 3 2 4 2" xfId="2559" xr:uid="{07300149-B6F1-4705-A36A-76899C07BADF}"/>
    <cellStyle name="Moeda 2 3 2 4 2 2" xfId="5729" xr:uid="{533FB5E1-6981-411F-A1AB-A5F4D76EC87A}"/>
    <cellStyle name="Moeda 2 3 2 4 2 2 2" xfId="12068" xr:uid="{F990AE15-A100-4797-80FB-6FBC4FA68108}"/>
    <cellStyle name="Moeda 2 3 2 4 2 3" xfId="8900" xr:uid="{1515A32F-39D2-4A84-96F6-84983EB43BB0}"/>
    <cellStyle name="Moeda 2 3 2 4 3" xfId="4160" xr:uid="{9544D003-A9B4-4075-9D09-03787E8E8113}"/>
    <cellStyle name="Moeda 2 3 2 4 3 2" xfId="10499" xr:uid="{BAB51992-E76C-4A8A-9E2D-F65EBC955526}"/>
    <cellStyle name="Moeda 2 3 2 4 4" xfId="7331" xr:uid="{FEF93BAC-E3F9-4DC5-8FCF-35D29AFACE1C}"/>
    <cellStyle name="Moeda 2 3 2 5" xfId="1762" xr:uid="{7C56A164-829D-43E7-B487-BED1ADCB0805}"/>
    <cellStyle name="Moeda 2 3 2 5 2" xfId="4932" xr:uid="{BDB63439-A82B-46B0-92CC-42F34FCAE870}"/>
    <cellStyle name="Moeda 2 3 2 5 2 2" xfId="11271" xr:uid="{502D36E9-F23C-451B-99A0-06E5C5DD495B}"/>
    <cellStyle name="Moeda 2 3 2 5 3" xfId="8103" xr:uid="{055995AA-0BED-40CE-B4FA-2606AA7F5AA2}"/>
    <cellStyle name="Moeda 2 3 2 6" xfId="3363" xr:uid="{CB4D63F5-37BE-4D3A-ACE9-F2AB0E11F1A7}"/>
    <cellStyle name="Moeda 2 3 2 6 2" xfId="9702" xr:uid="{F5DCAEED-C22A-4EE5-8DA8-FFE5166AB69D}"/>
    <cellStyle name="Moeda 2 3 2 7" xfId="6534" xr:uid="{F27CF1A2-FD37-4295-B322-9E5DF7B82299}"/>
    <cellStyle name="Moeda 2 3 3" xfId="310" xr:uid="{D413DA20-5BDE-49FA-BA48-842A2D32023D}"/>
    <cellStyle name="Moeda 2 4" xfId="105" xr:uid="{97B3184B-C4A4-498E-AA95-1CDD59DEE0DD}"/>
    <cellStyle name="Moeda 2 4 2" xfId="187" xr:uid="{64DBA866-8AD5-463A-8B0F-4673AB835B9C}"/>
    <cellStyle name="Moeda 2 4 2 2" xfId="404" xr:uid="{50EC7138-E89B-4E84-B0C6-B14E6D3D8829}"/>
    <cellStyle name="Moeda 2 4 2 2 2" xfId="785" xr:uid="{83387199-3A0B-472E-B17E-98C444568C4E}"/>
    <cellStyle name="Moeda 2 4 2 2 2 2" xfId="1584" xr:uid="{5749E8A1-4379-41A1-9ABA-6BA4B20A619C}"/>
    <cellStyle name="Moeda 2 4 2 2 2 2 2" xfId="3155" xr:uid="{45A67E05-AD2E-4FB3-BA5C-F421FE622213}"/>
    <cellStyle name="Moeda 2 4 2 2 2 2 2 2" xfId="6325" xr:uid="{EA7EB4A5-77F1-4066-8260-E48192D8AFC0}"/>
    <cellStyle name="Moeda 2 4 2 2 2 2 2 2 2" xfId="12664" xr:uid="{EC05D193-7640-41E2-B390-858F4A9D7546}"/>
    <cellStyle name="Moeda 2 4 2 2 2 2 2 3" xfId="9496" xr:uid="{16DBDAB5-0C59-40BB-AAC2-4E3B07C8F23C}"/>
    <cellStyle name="Moeda 2 4 2 2 2 2 3" xfId="4756" xr:uid="{727F75CC-D5FE-4759-9045-55D62979484F}"/>
    <cellStyle name="Moeda 2 4 2 2 2 2 3 2" xfId="11095" xr:uid="{63427A6C-B6D0-428B-9CD7-95830C039DC4}"/>
    <cellStyle name="Moeda 2 4 2 2 2 2 4" xfId="7927" xr:uid="{6885E179-D54F-453E-8FF5-6C0350BC99AF}"/>
    <cellStyle name="Moeda 2 4 2 2 2 3" xfId="2358" xr:uid="{F5A0EC8C-145B-4CBD-AFD0-CD233235C46B}"/>
    <cellStyle name="Moeda 2 4 2 2 2 3 2" xfId="5528" xr:uid="{E4142582-7810-4892-B6F7-81388574876F}"/>
    <cellStyle name="Moeda 2 4 2 2 2 3 2 2" xfId="11867" xr:uid="{A8C81F05-1DA8-481E-BDDA-945FFC19BAA6}"/>
    <cellStyle name="Moeda 2 4 2 2 2 3 3" xfId="8699" xr:uid="{2383FFFA-2D32-44AE-9777-8BBFCEF87E69}"/>
    <cellStyle name="Moeda 2 4 2 2 2 4" xfId="3959" xr:uid="{5284C488-6B67-41D6-A1F7-D26695F2102C}"/>
    <cellStyle name="Moeda 2 4 2 2 2 4 2" xfId="10298" xr:uid="{AC7B4462-7BAF-4DC9-A71F-23D02C72E4E3}"/>
    <cellStyle name="Moeda 2 4 2 2 2 5" xfId="7130" xr:uid="{565277D3-6A47-4FF4-BC9F-A2A7B531CD05}"/>
    <cellStyle name="Moeda 2 4 2 2 3" xfId="1203" xr:uid="{7B319CDB-6D0F-4E78-8790-7D5FAA6950A8}"/>
    <cellStyle name="Moeda 2 4 2 2 3 2" xfId="2774" xr:uid="{FCEE8658-2EE9-458A-A8C2-FAA738CECAB2}"/>
    <cellStyle name="Moeda 2 4 2 2 3 2 2" xfId="5944" xr:uid="{54A83232-5274-4EAA-9ED1-D749175537CF}"/>
    <cellStyle name="Moeda 2 4 2 2 3 2 2 2" xfId="12283" xr:uid="{468398FC-2182-4A4A-BF51-C0D475C63BBD}"/>
    <cellStyle name="Moeda 2 4 2 2 3 2 3" xfId="9115" xr:uid="{4E754D08-0148-4B4C-9204-05954178C0E4}"/>
    <cellStyle name="Moeda 2 4 2 2 3 3" xfId="4375" xr:uid="{A0347ABE-0872-4410-BBE7-2DC8754B9A5A}"/>
    <cellStyle name="Moeda 2 4 2 2 3 3 2" xfId="10714" xr:uid="{99163B78-9F54-40ED-B173-A6D1553FB02C}"/>
    <cellStyle name="Moeda 2 4 2 2 3 4" xfId="7546" xr:uid="{01558A47-70CC-4AA0-A9C7-F36BADA49B2B}"/>
    <cellStyle name="Moeda 2 4 2 2 4" xfId="1977" xr:uid="{A783E403-BD68-4E1E-BEF9-B4C8352CD87D}"/>
    <cellStyle name="Moeda 2 4 2 2 4 2" xfId="5147" xr:uid="{AEF81672-6D1D-4B20-A0BF-1E9E1451C4E5}"/>
    <cellStyle name="Moeda 2 4 2 2 4 2 2" xfId="11486" xr:uid="{C770D92B-2853-4387-B597-A9D0ACFE57F4}"/>
    <cellStyle name="Moeda 2 4 2 2 4 3" xfId="8318" xr:uid="{A70BC0C2-318B-4DA8-8FFF-BF34B1FC85A8}"/>
    <cellStyle name="Moeda 2 4 2 2 5" xfId="3578" xr:uid="{96A8F958-913E-48D4-A249-B86CF4D226EF}"/>
    <cellStyle name="Moeda 2 4 2 2 5 2" xfId="9917" xr:uid="{7E008CFA-851C-40B2-932C-17418B0A3183}"/>
    <cellStyle name="Moeda 2 4 2 2 6" xfId="6749" xr:uid="{BBCA2E46-EF27-4C3D-A32B-DE9881E4DE0A}"/>
    <cellStyle name="Moeda 2 4 2 3" xfId="582" xr:uid="{25B9BDA1-E39D-4EE9-8735-5EF6B2C94532}"/>
    <cellStyle name="Moeda 2 4 2 3 2" xfId="1381" xr:uid="{E2B96252-27A3-4428-8F6A-48CEC7381A4F}"/>
    <cellStyle name="Moeda 2 4 2 3 2 2" xfId="2952" xr:uid="{FDE53780-4865-4E39-BDB4-FEEF325A4BB0}"/>
    <cellStyle name="Moeda 2 4 2 3 2 2 2" xfId="6122" xr:uid="{B7809F55-B448-44C0-9E05-66A466F9F703}"/>
    <cellStyle name="Moeda 2 4 2 3 2 2 2 2" xfId="12461" xr:uid="{9D1CF47A-F642-44A4-B576-DDFB288A08EC}"/>
    <cellStyle name="Moeda 2 4 2 3 2 2 3" xfId="9293" xr:uid="{C42C4C08-6ABF-426E-AE29-316561905507}"/>
    <cellStyle name="Moeda 2 4 2 3 2 3" xfId="4553" xr:uid="{C06114A6-B27A-48FE-ABE4-AC42C69697B8}"/>
    <cellStyle name="Moeda 2 4 2 3 2 3 2" xfId="10892" xr:uid="{61FE6A02-472B-41CD-8AB6-F35CEAB203E5}"/>
    <cellStyle name="Moeda 2 4 2 3 2 4" xfId="7724" xr:uid="{8EE5757F-D3E0-4E37-A197-50184BC1525E}"/>
    <cellStyle name="Moeda 2 4 2 3 3" xfId="2155" xr:uid="{7030B9D4-6893-4240-819F-C57B9E163C3F}"/>
    <cellStyle name="Moeda 2 4 2 3 3 2" xfId="5325" xr:uid="{BFD6D1FE-A88C-4E6D-9D48-CE9E74F4763B}"/>
    <cellStyle name="Moeda 2 4 2 3 3 2 2" xfId="11664" xr:uid="{B211A38F-5406-473C-80C1-66126884B72A}"/>
    <cellStyle name="Moeda 2 4 2 3 3 3" xfId="8496" xr:uid="{EFFF19D0-DF28-4F3F-A010-7EEF0712567C}"/>
    <cellStyle name="Moeda 2 4 2 3 4" xfId="3756" xr:uid="{75C02D54-CCB0-4773-BF09-75C209274E87}"/>
    <cellStyle name="Moeda 2 4 2 3 4 2" xfId="10095" xr:uid="{A2CAC19C-2F8C-4488-8BA0-B01F4FF2C3A4}"/>
    <cellStyle name="Moeda 2 4 2 3 5" xfId="6927" xr:uid="{1F160D03-2A55-4E04-B2E2-4E68119A16ED}"/>
    <cellStyle name="Moeda 2 4 2 4" xfId="1000" xr:uid="{720311EE-586A-4F7F-B05F-C51C509091F1}"/>
    <cellStyle name="Moeda 2 4 2 4 2" xfId="2571" xr:uid="{5FE9A0B7-01D0-4D70-8D5E-ED4743BA69DE}"/>
    <cellStyle name="Moeda 2 4 2 4 2 2" xfId="5741" xr:uid="{C78E8362-12A2-430D-8DAF-6E5A43F176DE}"/>
    <cellStyle name="Moeda 2 4 2 4 2 2 2" xfId="12080" xr:uid="{CF029F17-1ABE-4A62-B000-979A6958BCB1}"/>
    <cellStyle name="Moeda 2 4 2 4 2 3" xfId="8912" xr:uid="{2EC453B0-1B48-4537-82EE-87D444BC1FAA}"/>
    <cellStyle name="Moeda 2 4 2 4 3" xfId="4172" xr:uid="{ABC7ADC8-4335-4CA7-952C-20F90A0BA301}"/>
    <cellStyle name="Moeda 2 4 2 4 3 2" xfId="10511" xr:uid="{7D66488D-82F8-41FF-89FE-B507DCFE0C2C}"/>
    <cellStyle name="Moeda 2 4 2 4 4" xfId="7343" xr:uid="{C8BBDCC4-D657-425A-84F3-F51FE7BB2589}"/>
    <cellStyle name="Moeda 2 4 2 5" xfId="1774" xr:uid="{2FCF5CE7-85EE-4B01-8968-B392A84765A5}"/>
    <cellStyle name="Moeda 2 4 2 5 2" xfId="4944" xr:uid="{A77FB663-80A2-497B-977A-D29EE46506D6}"/>
    <cellStyle name="Moeda 2 4 2 5 2 2" xfId="11283" xr:uid="{3DE13C26-2F96-49A5-B72C-7165201AD7A0}"/>
    <cellStyle name="Moeda 2 4 2 5 3" xfId="8115" xr:uid="{8E5872F1-D1D3-464D-8F89-D5F64821DF32}"/>
    <cellStyle name="Moeda 2 4 2 6" xfId="3375" xr:uid="{8EC12979-3F3F-4F06-AC7F-DEB93DB07A64}"/>
    <cellStyle name="Moeda 2 4 2 6 2" xfId="9714" xr:uid="{F5963DDA-13B8-46D9-BE7B-DE99F312ACF4}"/>
    <cellStyle name="Moeda 2 4 2 7" xfId="6546" xr:uid="{8057ED87-17ED-4F50-8B4D-1503AADE90B1}"/>
    <cellStyle name="Moeda 2 4 3" xfId="322" xr:uid="{71AE71D3-5E77-4296-AE7A-391D826EF23D}"/>
    <cellStyle name="Moeda 2 5" xfId="113" xr:uid="{1D8A58F1-1BA4-4AB3-872F-9DEE5E6C00BA}"/>
    <cellStyle name="Moeda 2 5 2" xfId="195" xr:uid="{7B1F3C1D-240D-47EF-ABBA-B363C0EE896C}"/>
    <cellStyle name="Moeda 2 5 2 2" xfId="412" xr:uid="{C0AA15F6-818E-452F-9EDD-3DBFF7F94435}"/>
    <cellStyle name="Moeda 2 5 2 2 2" xfId="793" xr:uid="{ACFCFB83-1C19-425E-9BA8-A47B1584843A}"/>
    <cellStyle name="Moeda 2 5 2 2 2 2" xfId="1592" xr:uid="{E0BE57E4-539B-46CE-A9A0-47A95B7F3C9B}"/>
    <cellStyle name="Moeda 2 5 2 2 2 2 2" xfId="3163" xr:uid="{EF34A419-C23E-4699-A8B0-FA1F00A1EE75}"/>
    <cellStyle name="Moeda 2 5 2 2 2 2 2 2" xfId="6333" xr:uid="{9D83DCAA-0AE4-4380-9A92-2E994101DC9C}"/>
    <cellStyle name="Moeda 2 5 2 2 2 2 2 2 2" xfId="12672" xr:uid="{743DAB23-0CED-4E78-A7C0-847F43B4C74E}"/>
    <cellStyle name="Moeda 2 5 2 2 2 2 2 3" xfId="9504" xr:uid="{BC2304CE-8A71-47E4-98FE-4E451CAE8A61}"/>
    <cellStyle name="Moeda 2 5 2 2 2 2 3" xfId="4764" xr:uid="{2E0B4070-20E8-492E-BFA1-10E8F4D71C02}"/>
    <cellStyle name="Moeda 2 5 2 2 2 2 3 2" xfId="11103" xr:uid="{767805F9-9D87-4D80-8E70-E0BEE13B45DF}"/>
    <cellStyle name="Moeda 2 5 2 2 2 2 4" xfId="7935" xr:uid="{AC2DEE97-5BBC-4B2F-921A-66E1A646A2F9}"/>
    <cellStyle name="Moeda 2 5 2 2 2 3" xfId="2366" xr:uid="{C652B4D2-432E-4547-BD0A-DC615B6F2669}"/>
    <cellStyle name="Moeda 2 5 2 2 2 3 2" xfId="5536" xr:uid="{54F36838-048F-422B-BDA5-F4E1BF524E56}"/>
    <cellStyle name="Moeda 2 5 2 2 2 3 2 2" xfId="11875" xr:uid="{6EA2B89A-6E92-44D0-B48A-4D839F8D2BC0}"/>
    <cellStyle name="Moeda 2 5 2 2 2 3 3" xfId="8707" xr:uid="{7FD29104-89AE-427E-BA73-CB144C28FBDB}"/>
    <cellStyle name="Moeda 2 5 2 2 2 4" xfId="3967" xr:uid="{950F2850-647A-414B-94E7-5B3E74549EFC}"/>
    <cellStyle name="Moeda 2 5 2 2 2 4 2" xfId="10306" xr:uid="{90922F74-91F9-4AE6-9802-E189DC9E7D60}"/>
    <cellStyle name="Moeda 2 5 2 2 2 5" xfId="7138" xr:uid="{6608DF45-AC14-4304-B8BA-B1E3AF425D0C}"/>
    <cellStyle name="Moeda 2 5 2 2 3" xfId="1211" xr:uid="{6B8D2C1B-5E27-4A11-BCDB-7DC3E8DE4B28}"/>
    <cellStyle name="Moeda 2 5 2 2 3 2" xfId="2782" xr:uid="{72485693-59AE-4693-8C05-A696D2C13318}"/>
    <cellStyle name="Moeda 2 5 2 2 3 2 2" xfId="5952" xr:uid="{B277F1F0-B8E4-4C55-85A5-A801D15FFDF4}"/>
    <cellStyle name="Moeda 2 5 2 2 3 2 2 2" xfId="12291" xr:uid="{37912883-6E0F-4BDE-B04E-8C000B901BBF}"/>
    <cellStyle name="Moeda 2 5 2 2 3 2 3" xfId="9123" xr:uid="{EA8601F5-3CA3-4626-9A09-0CABB29D1E7F}"/>
    <cellStyle name="Moeda 2 5 2 2 3 3" xfId="4383" xr:uid="{DDB33692-FE55-42DD-9E06-CEBEB8DF48A6}"/>
    <cellStyle name="Moeda 2 5 2 2 3 3 2" xfId="10722" xr:uid="{81395A00-8968-4B48-BA28-32CDD9F83BA4}"/>
    <cellStyle name="Moeda 2 5 2 2 3 4" xfId="7554" xr:uid="{34DC8382-53BB-4A05-9F89-7FF82295067D}"/>
    <cellStyle name="Moeda 2 5 2 2 4" xfId="1985" xr:uid="{7C4EFC23-CBE8-4E7C-BD84-575F47277FA3}"/>
    <cellStyle name="Moeda 2 5 2 2 4 2" xfId="5155" xr:uid="{3B255EF1-A25F-4D74-91E3-0C454D044360}"/>
    <cellStyle name="Moeda 2 5 2 2 4 2 2" xfId="11494" xr:uid="{C36FD0BD-DE5B-4DE4-B161-EE6449E021F8}"/>
    <cellStyle name="Moeda 2 5 2 2 4 3" xfId="8326" xr:uid="{E72A411A-4F74-407C-A04D-2C10F374E4DF}"/>
    <cellStyle name="Moeda 2 5 2 2 5" xfId="3586" xr:uid="{51BB009F-6BA2-46AE-B6C0-5E17FF1BB36E}"/>
    <cellStyle name="Moeda 2 5 2 2 5 2" xfId="9925" xr:uid="{5E4FE8A4-7C55-4461-8F8F-F43B9188EC76}"/>
    <cellStyle name="Moeda 2 5 2 2 6" xfId="6757" xr:uid="{8531E854-0DBF-4EE9-847C-B290E8C56D94}"/>
    <cellStyle name="Moeda 2 5 2 3" xfId="590" xr:uid="{455BF4BF-2156-42EB-A728-64FA786B557A}"/>
    <cellStyle name="Moeda 2 5 2 3 2" xfId="1389" xr:uid="{DB3C75A9-C6DE-4F80-8206-6750A27FBFE4}"/>
    <cellStyle name="Moeda 2 5 2 3 2 2" xfId="2960" xr:uid="{3D5BEA62-5018-4AA6-A3DA-48DBD5BAE750}"/>
    <cellStyle name="Moeda 2 5 2 3 2 2 2" xfId="6130" xr:uid="{E0C1894D-A27D-4678-BD30-EAA9AF633AF7}"/>
    <cellStyle name="Moeda 2 5 2 3 2 2 2 2" xfId="12469" xr:uid="{0B974B95-A151-4F36-8851-1334776E02A5}"/>
    <cellStyle name="Moeda 2 5 2 3 2 2 3" xfId="9301" xr:uid="{5C806F6B-62A6-4F58-8061-97A9C0FAEAAE}"/>
    <cellStyle name="Moeda 2 5 2 3 2 3" xfId="4561" xr:uid="{6FF441A3-725F-4F67-88DA-996619A5E7E7}"/>
    <cellStyle name="Moeda 2 5 2 3 2 3 2" xfId="10900" xr:uid="{3AF68D7E-586D-451C-8BD0-A648F682D470}"/>
    <cellStyle name="Moeda 2 5 2 3 2 4" xfId="7732" xr:uid="{18B6881A-B3EE-4947-A914-F237BA051FCB}"/>
    <cellStyle name="Moeda 2 5 2 3 3" xfId="2163" xr:uid="{FEB529D5-1473-4C34-AD7F-9EA380C824FF}"/>
    <cellStyle name="Moeda 2 5 2 3 3 2" xfId="5333" xr:uid="{FBED11E1-3BE2-478E-BB92-815E1040BB39}"/>
    <cellStyle name="Moeda 2 5 2 3 3 2 2" xfId="11672" xr:uid="{EF9824AA-1B35-4847-9FD4-DDE0A0524B28}"/>
    <cellStyle name="Moeda 2 5 2 3 3 3" xfId="8504" xr:uid="{5B177465-BA24-42C8-A612-5BD3817645F3}"/>
    <cellStyle name="Moeda 2 5 2 3 4" xfId="3764" xr:uid="{2547E0D2-64BF-4FD0-A9EA-CFF247B3F6B9}"/>
    <cellStyle name="Moeda 2 5 2 3 4 2" xfId="10103" xr:uid="{F7640D3F-0E49-4FCE-9249-182DCF176B0B}"/>
    <cellStyle name="Moeda 2 5 2 3 5" xfId="6935" xr:uid="{E0937558-BA9F-4E1F-80A1-7C7FBC234B9A}"/>
    <cellStyle name="Moeda 2 5 2 4" xfId="1008" xr:uid="{D818598C-9E2E-47D3-94F3-76C259833A00}"/>
    <cellStyle name="Moeda 2 5 2 4 2" xfId="2579" xr:uid="{A53D1EFE-4FBB-45C5-81DE-808082E2D4CB}"/>
    <cellStyle name="Moeda 2 5 2 4 2 2" xfId="5749" xr:uid="{454D2014-2FCB-4018-B7B1-FA4EA56F7258}"/>
    <cellStyle name="Moeda 2 5 2 4 2 2 2" xfId="12088" xr:uid="{8BDA15A1-3424-42BC-BD23-934F887986B5}"/>
    <cellStyle name="Moeda 2 5 2 4 2 3" xfId="8920" xr:uid="{0E7E0C25-0CC4-45A4-BA8D-10AFF619B8F7}"/>
    <cellStyle name="Moeda 2 5 2 4 3" xfId="4180" xr:uid="{AD7A6AF5-D63B-4942-B435-8E14F3E3EEE4}"/>
    <cellStyle name="Moeda 2 5 2 4 3 2" xfId="10519" xr:uid="{5245E5D4-7021-4088-8FF7-1466C599B3E4}"/>
    <cellStyle name="Moeda 2 5 2 4 4" xfId="7351" xr:uid="{B1D98363-A4F2-4C66-A409-2C22081F3910}"/>
    <cellStyle name="Moeda 2 5 2 5" xfId="1782" xr:uid="{BAE0007C-9DAA-4A7A-B7AB-13210C05DCD1}"/>
    <cellStyle name="Moeda 2 5 2 5 2" xfId="4952" xr:uid="{9A710AED-08E8-44FD-880F-BEC518A1DF10}"/>
    <cellStyle name="Moeda 2 5 2 5 2 2" xfId="11291" xr:uid="{400FD0E4-E43A-41CF-A4BF-76B01832D1FC}"/>
    <cellStyle name="Moeda 2 5 2 5 3" xfId="8123" xr:uid="{6A4DEB18-436A-4D4C-BE7A-CE05CB59C90C}"/>
    <cellStyle name="Moeda 2 5 2 6" xfId="3383" xr:uid="{F8CEE9C0-4BB4-418D-9A2F-4EF2FE503CE6}"/>
    <cellStyle name="Moeda 2 5 2 6 2" xfId="9722" xr:uid="{25631153-2D78-4F27-BCD9-77253B5E15BE}"/>
    <cellStyle name="Moeda 2 5 2 7" xfId="6554" xr:uid="{710ED876-EF8A-4A90-AA10-8F01A2D99F94}"/>
    <cellStyle name="Moeda 2 5 3" xfId="330" xr:uid="{A9769B4E-28E9-454D-9532-63542C84A13B}"/>
    <cellStyle name="Moeda 2 6" xfId="121" xr:uid="{8600D966-1A46-4872-8DFB-9B4973336444}"/>
    <cellStyle name="Moeda 2 6 2" xfId="203" xr:uid="{C614A63C-241B-4FE4-8987-2399E399344A}"/>
    <cellStyle name="Moeda 2 6 2 2" xfId="420" xr:uid="{69D89E12-B7B3-4309-9644-F8A965614903}"/>
    <cellStyle name="Moeda 2 6 2 2 2" xfId="801" xr:uid="{9DF8DBE6-C758-473E-9F18-86D3DB1ABFAC}"/>
    <cellStyle name="Moeda 2 6 2 2 2 2" xfId="1600" xr:uid="{CB0DC274-8E7D-4D06-A1C0-62AF2AED5A0E}"/>
    <cellStyle name="Moeda 2 6 2 2 2 2 2" xfId="3171" xr:uid="{DD21CEED-435D-4653-BC76-E42E9626A890}"/>
    <cellStyle name="Moeda 2 6 2 2 2 2 2 2" xfId="6341" xr:uid="{20FD9B6B-61C7-4114-A1C5-D2794C4EF2D1}"/>
    <cellStyle name="Moeda 2 6 2 2 2 2 2 2 2" xfId="12680" xr:uid="{75E01728-F9FB-4C78-9652-5B1EB9920D20}"/>
    <cellStyle name="Moeda 2 6 2 2 2 2 2 3" xfId="9512" xr:uid="{66195BED-67C0-424C-B702-30257D6D9F83}"/>
    <cellStyle name="Moeda 2 6 2 2 2 2 3" xfId="4772" xr:uid="{5AEF3821-9FE9-49FC-A918-6EAC653057CF}"/>
    <cellStyle name="Moeda 2 6 2 2 2 2 3 2" xfId="11111" xr:uid="{02C9127C-9DC1-4163-88D4-2CE896881146}"/>
    <cellStyle name="Moeda 2 6 2 2 2 2 4" xfId="7943" xr:uid="{655908A6-F272-4C35-A7ED-1EDB68CE1E31}"/>
    <cellStyle name="Moeda 2 6 2 2 2 3" xfId="2374" xr:uid="{8F1A65D0-E65A-4864-BDFB-A53C11B80B84}"/>
    <cellStyle name="Moeda 2 6 2 2 2 3 2" xfId="5544" xr:uid="{24D23917-3241-450C-BC09-C5B846DAB750}"/>
    <cellStyle name="Moeda 2 6 2 2 2 3 2 2" xfId="11883" xr:uid="{DA74757D-57DC-4FE1-A694-ABDD0F229E88}"/>
    <cellStyle name="Moeda 2 6 2 2 2 3 3" xfId="8715" xr:uid="{05261130-E6F1-4576-8381-94A1ED65FA22}"/>
    <cellStyle name="Moeda 2 6 2 2 2 4" xfId="3975" xr:uid="{B9177BFF-5801-459C-AD9C-F20C4CFB015D}"/>
    <cellStyle name="Moeda 2 6 2 2 2 4 2" xfId="10314" xr:uid="{CE65E170-71ED-4D21-8E45-7D226C23E879}"/>
    <cellStyle name="Moeda 2 6 2 2 2 5" xfId="7146" xr:uid="{F5C90981-DB77-4071-AF0E-DCA0D274ABBA}"/>
    <cellStyle name="Moeda 2 6 2 2 3" xfId="1219" xr:uid="{E8D7CD42-1051-4B47-94F4-2B60CF40CB89}"/>
    <cellStyle name="Moeda 2 6 2 2 3 2" xfId="2790" xr:uid="{36C4688A-4271-48FD-972F-CA52276D8CC8}"/>
    <cellStyle name="Moeda 2 6 2 2 3 2 2" xfId="5960" xr:uid="{6CC7C5C6-7243-4292-BD3F-F5D98C17D05E}"/>
    <cellStyle name="Moeda 2 6 2 2 3 2 2 2" xfId="12299" xr:uid="{86503AC9-8135-4680-88F0-92189E45FB82}"/>
    <cellStyle name="Moeda 2 6 2 2 3 2 3" xfId="9131" xr:uid="{A6C38032-E91A-4DD5-B7B9-E1EDA97B1EEC}"/>
    <cellStyle name="Moeda 2 6 2 2 3 3" xfId="4391" xr:uid="{0D3772EE-1720-4794-AD76-F25DA3CAAEA0}"/>
    <cellStyle name="Moeda 2 6 2 2 3 3 2" xfId="10730" xr:uid="{4F8D7DAA-5214-4101-9D35-FFCA72C5B879}"/>
    <cellStyle name="Moeda 2 6 2 2 3 4" xfId="7562" xr:uid="{6EA5B441-5135-494B-BB68-AE754CBCE829}"/>
    <cellStyle name="Moeda 2 6 2 2 4" xfId="1993" xr:uid="{7E31149D-59DB-4D1F-877C-69A5A1284B98}"/>
    <cellStyle name="Moeda 2 6 2 2 4 2" xfId="5163" xr:uid="{C4B8C13C-E5A7-4700-B5EB-441EBA80C4B6}"/>
    <cellStyle name="Moeda 2 6 2 2 4 2 2" xfId="11502" xr:uid="{320A96F8-BA82-43FD-BFA6-4FF574179682}"/>
    <cellStyle name="Moeda 2 6 2 2 4 3" xfId="8334" xr:uid="{76C5F97B-818D-40BD-B9DF-3D2ADA28892D}"/>
    <cellStyle name="Moeda 2 6 2 2 5" xfId="3594" xr:uid="{2A859C94-5223-49FC-BE92-55E3723CC239}"/>
    <cellStyle name="Moeda 2 6 2 2 5 2" xfId="9933" xr:uid="{56BCB233-D209-426A-8971-C148F76BB6AB}"/>
    <cellStyle name="Moeda 2 6 2 2 6" xfId="6765" xr:uid="{7623DA4A-A2DD-42C3-824E-8B616B2D2DE6}"/>
    <cellStyle name="Moeda 2 6 2 3" xfId="598" xr:uid="{B1F73467-2B31-4336-B9BA-E2BBF2FFE4F7}"/>
    <cellStyle name="Moeda 2 6 2 3 2" xfId="1397" xr:uid="{D6BCEC5D-7358-47A7-A535-8CDCF2286C91}"/>
    <cellStyle name="Moeda 2 6 2 3 2 2" xfId="2968" xr:uid="{42074D3D-3DD7-4F69-96FB-5B78E1CFA2D6}"/>
    <cellStyle name="Moeda 2 6 2 3 2 2 2" xfId="6138" xr:uid="{F22F214E-ECA7-4007-81D9-C7BDA9D79382}"/>
    <cellStyle name="Moeda 2 6 2 3 2 2 2 2" xfId="12477" xr:uid="{57D1FCC5-A1A9-4D99-842E-D6D69495EC39}"/>
    <cellStyle name="Moeda 2 6 2 3 2 2 3" xfId="9309" xr:uid="{E0E8A5DC-9905-41C9-8044-10D38AB37E69}"/>
    <cellStyle name="Moeda 2 6 2 3 2 3" xfId="4569" xr:uid="{DBB354F4-B3EB-4074-A515-FEC68170CB48}"/>
    <cellStyle name="Moeda 2 6 2 3 2 3 2" xfId="10908" xr:uid="{AF9289A3-7299-4BB9-9729-7135394A6294}"/>
    <cellStyle name="Moeda 2 6 2 3 2 4" xfId="7740" xr:uid="{0D24B6E1-DA2F-4440-A7BB-785E6FD97996}"/>
    <cellStyle name="Moeda 2 6 2 3 3" xfId="2171" xr:uid="{0FFA1853-53E7-41B1-91C0-E988886189BE}"/>
    <cellStyle name="Moeda 2 6 2 3 3 2" xfId="5341" xr:uid="{C7B19923-C50B-4B63-8017-7AEC8B054B50}"/>
    <cellStyle name="Moeda 2 6 2 3 3 2 2" xfId="11680" xr:uid="{70FA1088-F20D-46CE-A24B-C88E93618EF2}"/>
    <cellStyle name="Moeda 2 6 2 3 3 3" xfId="8512" xr:uid="{3DFC387C-57B1-4EA5-A46E-38D9BDEEB80B}"/>
    <cellStyle name="Moeda 2 6 2 3 4" xfId="3772" xr:uid="{5947D62F-1413-4EB5-A1F6-6CD9AA606EE0}"/>
    <cellStyle name="Moeda 2 6 2 3 4 2" xfId="10111" xr:uid="{08FEF073-F143-427B-B6D9-2F285BFF62BE}"/>
    <cellStyle name="Moeda 2 6 2 3 5" xfId="6943" xr:uid="{6D01EF9F-1648-4BC2-B828-8A5BFA44E00D}"/>
    <cellStyle name="Moeda 2 6 2 4" xfId="1016" xr:uid="{7E151041-E616-4729-B374-0CED10C30C98}"/>
    <cellStyle name="Moeda 2 6 2 4 2" xfId="2587" xr:uid="{EC077D23-BD0F-456C-A6F6-8451BFF013BB}"/>
    <cellStyle name="Moeda 2 6 2 4 2 2" xfId="5757" xr:uid="{DDAE21C2-9B63-4AFC-8409-A3231CE0792A}"/>
    <cellStyle name="Moeda 2 6 2 4 2 2 2" xfId="12096" xr:uid="{D5FEBBF4-455F-43E9-B268-6C5450AF0A18}"/>
    <cellStyle name="Moeda 2 6 2 4 2 3" xfId="8928" xr:uid="{0B1A1B93-8235-4283-A25A-39CC5DA4715B}"/>
    <cellStyle name="Moeda 2 6 2 4 3" xfId="4188" xr:uid="{678519EE-1935-49ED-80F2-F121DF40A94A}"/>
    <cellStyle name="Moeda 2 6 2 4 3 2" xfId="10527" xr:uid="{504887BB-A8A8-40B4-8CDF-2359B616BC75}"/>
    <cellStyle name="Moeda 2 6 2 4 4" xfId="7359" xr:uid="{328D817C-FDB2-4D0B-9ED0-3474FCB8CE1A}"/>
    <cellStyle name="Moeda 2 6 2 5" xfId="1790" xr:uid="{DB4A90A3-6AFB-42AC-BC7B-3FB4A42B7093}"/>
    <cellStyle name="Moeda 2 6 2 5 2" xfId="4960" xr:uid="{04C51BB0-D06C-4F8D-BA9F-96FEDCEB396D}"/>
    <cellStyle name="Moeda 2 6 2 5 2 2" xfId="11299" xr:uid="{ADCB574A-21E1-4608-B8AF-D46989C8D511}"/>
    <cellStyle name="Moeda 2 6 2 5 3" xfId="8131" xr:uid="{239A6B5C-9386-44FE-8108-CB6CA2D066D4}"/>
    <cellStyle name="Moeda 2 6 2 6" xfId="3391" xr:uid="{2A0AB242-360D-4C05-9136-38CDF19EF6D2}"/>
    <cellStyle name="Moeda 2 6 2 6 2" xfId="9730" xr:uid="{1E171B56-9F9F-4816-BEED-76349CDCAF48}"/>
    <cellStyle name="Moeda 2 6 2 7" xfId="6562" xr:uid="{64290B59-E6A3-4E5A-AE39-37B2C3483960}"/>
    <cellStyle name="Moeda 2 6 3" xfId="338" xr:uid="{D1BA2666-6B66-4644-B579-7133CF1CE306}"/>
    <cellStyle name="Moeda 2 7" xfId="75" xr:uid="{06909FCB-987F-4F09-8FE2-641B6D0C3097}"/>
    <cellStyle name="Moeda 2 7 2" xfId="297" xr:uid="{3A7068B5-60D0-4D42-860D-6D86C38087B3}"/>
    <cellStyle name="Moeda 2 7 3" xfId="503" xr:uid="{BA1D6E8D-D247-4A89-B1CC-EFAA8CD11936}"/>
    <cellStyle name="Moeda 2 7 3 2" xfId="1302" xr:uid="{1CEC3D69-356D-4109-879D-66F4BFEBB546}"/>
    <cellStyle name="Moeda 2 7 3 2 2" xfId="2873" xr:uid="{613D4A22-2B34-4B0D-8A03-38001AB0971C}"/>
    <cellStyle name="Moeda 2 7 3 2 2 2" xfId="6043" xr:uid="{790ED145-73F1-46A3-A396-F4ADFCA39CFA}"/>
    <cellStyle name="Moeda 2 7 3 2 2 2 2" xfId="12382" xr:uid="{BA2C53AA-06C7-4619-8338-252399E0DC44}"/>
    <cellStyle name="Moeda 2 7 3 2 2 3" xfId="9214" xr:uid="{E819A7FB-ADF7-48AE-A55B-9A209EF9863B}"/>
    <cellStyle name="Moeda 2 7 3 2 3" xfId="4474" xr:uid="{D894DA54-48A0-4CDF-9D04-3C80A41DB96A}"/>
    <cellStyle name="Moeda 2 7 3 2 3 2" xfId="10813" xr:uid="{F3CD5234-F75E-43AE-B367-C006CEAF8132}"/>
    <cellStyle name="Moeda 2 7 3 2 4" xfId="7645" xr:uid="{81BC24DA-2A63-4D11-BC42-69B57C4C9A6A}"/>
    <cellStyle name="Moeda 2 7 3 3" xfId="2076" xr:uid="{3065C101-5700-43C4-BB58-9CBADB841D58}"/>
    <cellStyle name="Moeda 2 7 3 3 2" xfId="5246" xr:uid="{BB3E8BF1-6491-4281-8C94-A70B0CA90224}"/>
    <cellStyle name="Moeda 2 7 3 3 2 2" xfId="11585" xr:uid="{B944FA2E-7A69-41AD-B48A-245BC1CD7DCE}"/>
    <cellStyle name="Moeda 2 7 3 3 3" xfId="8417" xr:uid="{C843454F-D651-4083-84CD-25F3763CDF1E}"/>
    <cellStyle name="Moeda 2 7 3 4" xfId="3677" xr:uid="{F3C59838-CB67-4483-A8C5-8845631F4BC7}"/>
    <cellStyle name="Moeda 2 7 3 4 2" xfId="10016" xr:uid="{08249CBF-4FC5-4C2E-B366-1052C4FA1C99}"/>
    <cellStyle name="Moeda 2 7 3 5" xfId="6848" xr:uid="{E821E5E8-F3AE-4A41-8380-7DA594F5DA61}"/>
    <cellStyle name="Moeda 2 8" xfId="162" xr:uid="{84550024-2070-4EC6-8681-E1F806253D39}"/>
    <cellStyle name="Moeda 2 8 2" xfId="379" xr:uid="{0FA29C63-767E-4C3D-81E9-8A0166C5190E}"/>
    <cellStyle name="Moeda 2 8 2 2" xfId="760" xr:uid="{9FEB3CCE-80F7-41C9-8659-26F440E3A0F5}"/>
    <cellStyle name="Moeda 2 8 2 2 2" xfId="1559" xr:uid="{2036CD6B-DE97-4639-8021-9C7B2DBD80F8}"/>
    <cellStyle name="Moeda 2 8 2 2 2 2" xfId="3130" xr:uid="{6937885D-A0E1-4169-A9A6-8A18B0C7C552}"/>
    <cellStyle name="Moeda 2 8 2 2 2 2 2" xfId="6300" xr:uid="{D769318B-164E-4382-AC3A-3CB0547859BD}"/>
    <cellStyle name="Moeda 2 8 2 2 2 2 2 2" xfId="12639" xr:uid="{814296E0-C198-499A-90CF-2D0EC938FF71}"/>
    <cellStyle name="Moeda 2 8 2 2 2 2 3" xfId="9471" xr:uid="{287BC026-B42D-4DF7-9CBA-E9B5A64EEEDC}"/>
    <cellStyle name="Moeda 2 8 2 2 2 3" xfId="4731" xr:uid="{1695349E-6B4D-4C53-B7CB-DFA02917BB79}"/>
    <cellStyle name="Moeda 2 8 2 2 2 3 2" xfId="11070" xr:uid="{ACD96BAA-9B4E-4D58-ADAA-D15262B6C128}"/>
    <cellStyle name="Moeda 2 8 2 2 2 4" xfId="7902" xr:uid="{AD1B2CD6-6131-4C6F-A60A-0DCAE210FE57}"/>
    <cellStyle name="Moeda 2 8 2 2 3" xfId="2333" xr:uid="{8A706F13-C17A-4AEC-B794-F4A5F275274D}"/>
    <cellStyle name="Moeda 2 8 2 2 3 2" xfId="5503" xr:uid="{75477F2F-2693-4839-B4D4-A02FC7119374}"/>
    <cellStyle name="Moeda 2 8 2 2 3 2 2" xfId="11842" xr:uid="{B0515FF7-734A-440B-B962-943D4E72E9A8}"/>
    <cellStyle name="Moeda 2 8 2 2 3 3" xfId="8674" xr:uid="{9D7E3979-A535-4C49-8053-117C9737D8EB}"/>
    <cellStyle name="Moeda 2 8 2 2 4" xfId="3934" xr:uid="{F96B2708-4BB9-4E03-A9CE-783009C0C8AC}"/>
    <cellStyle name="Moeda 2 8 2 2 4 2" xfId="10273" xr:uid="{49EB1807-444C-4401-9397-F273F51B751F}"/>
    <cellStyle name="Moeda 2 8 2 2 5" xfId="7105" xr:uid="{ABDD5409-15BA-4DFC-AA8C-D2815E32452A}"/>
    <cellStyle name="Moeda 2 8 2 3" xfId="1178" xr:uid="{51FE9D0A-914E-40B3-A150-7F70DCB71CBE}"/>
    <cellStyle name="Moeda 2 8 2 3 2" xfId="2749" xr:uid="{947D583C-3FBB-462A-BE3D-FB3E6271BEA1}"/>
    <cellStyle name="Moeda 2 8 2 3 2 2" xfId="5919" xr:uid="{C55A0710-107F-40A0-AABA-144699F4D81F}"/>
    <cellStyle name="Moeda 2 8 2 3 2 2 2" xfId="12258" xr:uid="{F2079B22-545E-4A77-9A06-830F6684C172}"/>
    <cellStyle name="Moeda 2 8 2 3 2 3" xfId="9090" xr:uid="{19E19DB1-9EF4-4BF8-8A9A-58BC70C0C2B1}"/>
    <cellStyle name="Moeda 2 8 2 3 3" xfId="4350" xr:uid="{F8AE06B8-4D3A-42FA-8A75-9E6894394B76}"/>
    <cellStyle name="Moeda 2 8 2 3 3 2" xfId="10689" xr:uid="{1A98770F-A471-4E8C-9866-1627519DA852}"/>
    <cellStyle name="Moeda 2 8 2 3 4" xfId="7521" xr:uid="{5B5E6B54-FECF-4B6C-A543-C5DEF7F55724}"/>
    <cellStyle name="Moeda 2 8 2 4" xfId="1952" xr:uid="{F6D6932E-4331-41C7-9D92-B61CE4733468}"/>
    <cellStyle name="Moeda 2 8 2 4 2" xfId="5122" xr:uid="{B2F60FAC-A134-41CC-AD8B-625684FEC6D3}"/>
    <cellStyle name="Moeda 2 8 2 4 2 2" xfId="11461" xr:uid="{6F3A392D-2158-41D5-A545-A90C7B45819D}"/>
    <cellStyle name="Moeda 2 8 2 4 3" xfId="8293" xr:uid="{32B7FFA0-E48F-4539-94FA-54B8BD15F20B}"/>
    <cellStyle name="Moeda 2 8 2 5" xfId="3553" xr:uid="{2B94A144-9695-4AB8-A050-B346FD09A402}"/>
    <cellStyle name="Moeda 2 8 2 5 2" xfId="9892" xr:uid="{8B71D9D5-ECF9-4BDD-9055-A4301AA879BD}"/>
    <cellStyle name="Moeda 2 8 2 6" xfId="6724" xr:uid="{119552DA-87BA-4FE5-95F0-EE282AF20F55}"/>
    <cellStyle name="Moeda 2 8 3" xfId="557" xr:uid="{8E5FF72F-B0E4-45CF-A7F1-C4A5606EF259}"/>
    <cellStyle name="Moeda 2 8 3 2" xfId="1356" xr:uid="{F4B87271-1557-4072-8BE2-AAE1CC3F9499}"/>
    <cellStyle name="Moeda 2 8 3 2 2" xfId="2927" xr:uid="{7852C4C9-3609-4301-9616-FAB7DF4801DB}"/>
    <cellStyle name="Moeda 2 8 3 2 2 2" xfId="6097" xr:uid="{5F85C75E-7A1F-4307-9941-17C7AE245E01}"/>
    <cellStyle name="Moeda 2 8 3 2 2 2 2" xfId="12436" xr:uid="{07F217C0-601E-4EDE-82D8-4A43523E48B5}"/>
    <cellStyle name="Moeda 2 8 3 2 2 3" xfId="9268" xr:uid="{46B316BB-B249-4EEF-99C4-752C22F2D7A1}"/>
    <cellStyle name="Moeda 2 8 3 2 3" xfId="4528" xr:uid="{9017DA0E-956B-41F7-8B1E-023D747F8556}"/>
    <cellStyle name="Moeda 2 8 3 2 3 2" xfId="10867" xr:uid="{BD1A3638-7BAA-46A3-A4C4-110ABE5900C0}"/>
    <cellStyle name="Moeda 2 8 3 2 4" xfId="7699" xr:uid="{842DA4CF-ED70-40FB-932F-0A8D2B5AC97F}"/>
    <cellStyle name="Moeda 2 8 3 3" xfId="2130" xr:uid="{CC4D73B1-627E-40D4-A2C8-B3D2024500CD}"/>
    <cellStyle name="Moeda 2 8 3 3 2" xfId="5300" xr:uid="{FD95F963-A271-42A9-9DEC-D681D566F436}"/>
    <cellStyle name="Moeda 2 8 3 3 2 2" xfId="11639" xr:uid="{3099F68A-DF28-4CB1-88DE-264B1EC1B373}"/>
    <cellStyle name="Moeda 2 8 3 3 3" xfId="8471" xr:uid="{83974D8F-4884-487D-A17C-CCB618A94E4E}"/>
    <cellStyle name="Moeda 2 8 3 4" xfId="3731" xr:uid="{831F4AC5-D788-46CB-B0A1-6922E85E9340}"/>
    <cellStyle name="Moeda 2 8 3 4 2" xfId="10070" xr:uid="{050070CB-6C7E-44FE-B13C-40588F776588}"/>
    <cellStyle name="Moeda 2 8 3 5" xfId="6902" xr:uid="{A2C0000D-53D4-4022-9AF3-D26795BC1E84}"/>
    <cellStyle name="Moeda 2 8 4" xfId="975" xr:uid="{2CB30A0D-CD99-435C-AFB1-221922CAB5DD}"/>
    <cellStyle name="Moeda 2 8 4 2" xfId="2546" xr:uid="{EF27D343-78E0-4A3C-B23D-062E18247DC4}"/>
    <cellStyle name="Moeda 2 8 4 2 2" xfId="5716" xr:uid="{AF33667C-C2E9-4060-A09A-84D796EC67CC}"/>
    <cellStyle name="Moeda 2 8 4 2 2 2" xfId="12055" xr:uid="{00D02290-1AA6-435C-B370-D35469AFAE1F}"/>
    <cellStyle name="Moeda 2 8 4 2 3" xfId="8887" xr:uid="{2A903E7C-BDB7-4C8C-94D7-57FF168DC1B7}"/>
    <cellStyle name="Moeda 2 8 4 3" xfId="4147" xr:uid="{FBB5F0F1-1C78-44B0-8E51-CE811BA54020}"/>
    <cellStyle name="Moeda 2 8 4 3 2" xfId="10486" xr:uid="{D8360A14-9161-469E-937F-7DE85EECF1BD}"/>
    <cellStyle name="Moeda 2 8 4 4" xfId="7318" xr:uid="{19C4485A-7F57-4919-9BD2-88A9F9845E8F}"/>
    <cellStyle name="Moeda 2 8 5" xfId="1749" xr:uid="{36B080AB-A0B0-4F78-9D56-B5E275490ECF}"/>
    <cellStyle name="Moeda 2 8 5 2" xfId="4919" xr:uid="{D222B723-D619-451E-9533-2EE5A56C76E2}"/>
    <cellStyle name="Moeda 2 8 5 2 2" xfId="11258" xr:uid="{74F751B7-DD93-4415-90AC-346CE264448E}"/>
    <cellStyle name="Moeda 2 8 5 3" xfId="8090" xr:uid="{0E71FF94-67BA-481A-9EA7-41F7EB6AEDC3}"/>
    <cellStyle name="Moeda 2 8 6" xfId="3350" xr:uid="{E9180E37-093C-4314-AD44-C74DF8D77C25}"/>
    <cellStyle name="Moeda 2 8 6 2" xfId="9689" xr:uid="{A813D4AC-2C2D-4179-9C8A-609DD44C111C}"/>
    <cellStyle name="Moeda 2 8 7" xfId="6521" xr:uid="{02FEAC28-E4F2-463B-AA4E-3BDC766E4B91}"/>
    <cellStyle name="Moeda 2 9" xfId="239" xr:uid="{1A056978-CA6A-4C18-9279-5244215DE605}"/>
    <cellStyle name="Moeda 3" xfId="19" xr:uid="{4D6CD1E3-072B-4070-A0D2-B5B3BD010142}"/>
    <cellStyle name="Moeda 3 2" xfId="110" xr:uid="{C1AEC5A9-346F-4804-8217-99FB29304675}"/>
    <cellStyle name="Moeda 3 2 2" xfId="192" xr:uid="{CF5CC1C2-5344-4A1F-85A9-39FE1DFB7FD5}"/>
    <cellStyle name="Moeda 3 2 2 2" xfId="409" xr:uid="{45E9745C-569A-4789-89C7-2CFF8D0F72A2}"/>
    <cellStyle name="Moeda 3 2 2 2 2" xfId="790" xr:uid="{27F8DDEB-EFD2-4403-BE13-38B484AD4465}"/>
    <cellStyle name="Moeda 3 2 2 2 2 2" xfId="1589" xr:uid="{FFFBF313-2360-4A4C-AE07-6F4CE21B6108}"/>
    <cellStyle name="Moeda 3 2 2 2 2 2 2" xfId="3160" xr:uid="{97325D77-2084-4A45-9037-7EEDD80CEE21}"/>
    <cellStyle name="Moeda 3 2 2 2 2 2 2 2" xfId="6330" xr:uid="{4CE00EB7-B2B1-4ECD-91A9-67051D15D455}"/>
    <cellStyle name="Moeda 3 2 2 2 2 2 2 2 2" xfId="12669" xr:uid="{304CF132-D9C3-48A9-91EC-FE50C812C53A}"/>
    <cellStyle name="Moeda 3 2 2 2 2 2 2 3" xfId="9501" xr:uid="{B37141A0-949A-4DBB-8BBD-0EEB15750B09}"/>
    <cellStyle name="Moeda 3 2 2 2 2 2 3" xfId="4761" xr:uid="{95B57FA5-2D1F-4AED-B81A-80DD793095E7}"/>
    <cellStyle name="Moeda 3 2 2 2 2 2 3 2" xfId="11100" xr:uid="{6BB50F0E-E6A6-48B1-80D1-1ADF3161AF3A}"/>
    <cellStyle name="Moeda 3 2 2 2 2 2 4" xfId="7932" xr:uid="{B5E829CC-8BBA-488E-8137-1CAB0DDE37AD}"/>
    <cellStyle name="Moeda 3 2 2 2 2 3" xfId="2363" xr:uid="{BFFA6445-4E07-4D4A-85D5-8889798FB80A}"/>
    <cellStyle name="Moeda 3 2 2 2 2 3 2" xfId="5533" xr:uid="{DBAA381C-7202-4188-B83A-ACECD14FF154}"/>
    <cellStyle name="Moeda 3 2 2 2 2 3 2 2" xfId="11872" xr:uid="{8321BCF4-481F-40FD-89D6-C9EB6A852CC9}"/>
    <cellStyle name="Moeda 3 2 2 2 2 3 3" xfId="8704" xr:uid="{855BAB5C-23AA-44AD-B141-E77A1D74B0B7}"/>
    <cellStyle name="Moeda 3 2 2 2 2 4" xfId="3964" xr:uid="{C8EFB4BA-5E74-49D5-B250-E90580DC316E}"/>
    <cellStyle name="Moeda 3 2 2 2 2 4 2" xfId="10303" xr:uid="{2F4D1AA6-54BD-44FD-B27D-19E7B633B251}"/>
    <cellStyle name="Moeda 3 2 2 2 2 5" xfId="7135" xr:uid="{AC168A6D-EDC2-4B86-B9EB-728F3A9FD5E6}"/>
    <cellStyle name="Moeda 3 2 2 2 3" xfId="1208" xr:uid="{6FC74FB2-BB7C-4896-9A79-6FBC3BA5A53C}"/>
    <cellStyle name="Moeda 3 2 2 2 3 2" xfId="2779" xr:uid="{01DF2F69-CCA1-4261-AF86-BC079FE217E3}"/>
    <cellStyle name="Moeda 3 2 2 2 3 2 2" xfId="5949" xr:uid="{4F7F5B19-CC0B-4038-B7A7-89D71FF11A2D}"/>
    <cellStyle name="Moeda 3 2 2 2 3 2 2 2" xfId="12288" xr:uid="{E06FBFBE-D7CE-4853-87F6-317511453993}"/>
    <cellStyle name="Moeda 3 2 2 2 3 2 3" xfId="9120" xr:uid="{F331FB30-7104-4BC9-813C-012A1FBCFD19}"/>
    <cellStyle name="Moeda 3 2 2 2 3 3" xfId="4380" xr:uid="{57ACC428-3BBB-49BD-9E10-2286F78B7416}"/>
    <cellStyle name="Moeda 3 2 2 2 3 3 2" xfId="10719" xr:uid="{BC4B2F27-F70B-44D5-B465-1B0060EF0753}"/>
    <cellStyle name="Moeda 3 2 2 2 3 4" xfId="7551" xr:uid="{E0E9CDC8-22E2-478F-9BF7-279858BFD389}"/>
    <cellStyle name="Moeda 3 2 2 2 4" xfId="1982" xr:uid="{D2928C70-2720-4540-AFB0-A8716BDBD358}"/>
    <cellStyle name="Moeda 3 2 2 2 4 2" xfId="5152" xr:uid="{85494336-4B9A-4775-95CE-83AF5375D1D4}"/>
    <cellStyle name="Moeda 3 2 2 2 4 2 2" xfId="11491" xr:uid="{4E40DC62-71AC-4C62-B193-6CB9AA0BE183}"/>
    <cellStyle name="Moeda 3 2 2 2 4 3" xfId="8323" xr:uid="{DCF52B54-324A-4939-A47E-BA78288CEF65}"/>
    <cellStyle name="Moeda 3 2 2 2 5" xfId="3583" xr:uid="{EB7569AD-5FDA-4C6D-A4F9-BCB1854A8A97}"/>
    <cellStyle name="Moeda 3 2 2 2 5 2" xfId="9922" xr:uid="{937805B7-EE3C-45A6-9203-E65534C91D48}"/>
    <cellStyle name="Moeda 3 2 2 2 6" xfId="6754" xr:uid="{99A12DBF-0518-46CE-9F5F-84DDC17EC28B}"/>
    <cellStyle name="Moeda 3 2 2 3" xfId="587" xr:uid="{1E70998F-71C7-45A2-A91E-B75482408F90}"/>
    <cellStyle name="Moeda 3 2 2 3 2" xfId="1386" xr:uid="{1768E087-3D52-4114-B213-73CE57D3FA9D}"/>
    <cellStyle name="Moeda 3 2 2 3 2 2" xfId="2957" xr:uid="{85DC97D9-5870-4613-8E94-8D174D98CE10}"/>
    <cellStyle name="Moeda 3 2 2 3 2 2 2" xfId="6127" xr:uid="{FCB43AFA-874A-46BB-8D61-EC0947897356}"/>
    <cellStyle name="Moeda 3 2 2 3 2 2 2 2" xfId="12466" xr:uid="{4FC5D812-E418-416B-BC89-666034E60F65}"/>
    <cellStyle name="Moeda 3 2 2 3 2 2 3" xfId="9298" xr:uid="{B1206478-9953-4046-86F6-C3EC1FB223FA}"/>
    <cellStyle name="Moeda 3 2 2 3 2 3" xfId="4558" xr:uid="{F5A7977E-F144-436B-B6D1-B5ABAB28462D}"/>
    <cellStyle name="Moeda 3 2 2 3 2 3 2" xfId="10897" xr:uid="{61096B03-1F88-47F9-8FAE-408E17CA3B75}"/>
    <cellStyle name="Moeda 3 2 2 3 2 4" xfId="7729" xr:uid="{12DAA6E5-DC42-48A6-9F70-C703228499B7}"/>
    <cellStyle name="Moeda 3 2 2 3 3" xfId="2160" xr:uid="{29F0F25A-A7FE-4145-A62B-2D1672824ECC}"/>
    <cellStyle name="Moeda 3 2 2 3 3 2" xfId="5330" xr:uid="{0F20DEC6-BABA-4A6B-8C16-C0B2D3CE67DD}"/>
    <cellStyle name="Moeda 3 2 2 3 3 2 2" xfId="11669" xr:uid="{891270D5-3F0F-458C-8062-DDA4AF98A953}"/>
    <cellStyle name="Moeda 3 2 2 3 3 3" xfId="8501" xr:uid="{3B3475F3-3D95-48B7-BB0D-0C98874AC68F}"/>
    <cellStyle name="Moeda 3 2 2 3 4" xfId="3761" xr:uid="{C0DD6F21-4EA5-47F4-AB98-4474E0F83947}"/>
    <cellStyle name="Moeda 3 2 2 3 4 2" xfId="10100" xr:uid="{47B240B0-E0FB-4CBE-8E47-1317ED866068}"/>
    <cellStyle name="Moeda 3 2 2 3 5" xfId="6932" xr:uid="{8F353A66-E6F3-46BD-9538-7EF2425204ED}"/>
    <cellStyle name="Moeda 3 2 2 4" xfId="1005" xr:uid="{2EA310E7-9F73-4A04-899C-A493D5D62A8D}"/>
    <cellStyle name="Moeda 3 2 2 4 2" xfId="2576" xr:uid="{35BAD681-B43F-49C9-B927-AF75CFCC8632}"/>
    <cellStyle name="Moeda 3 2 2 4 2 2" xfId="5746" xr:uid="{D4667CB5-6ADB-42E5-9E73-2BFB1E402539}"/>
    <cellStyle name="Moeda 3 2 2 4 2 2 2" xfId="12085" xr:uid="{C22F2BE2-B929-4DBB-8597-FCCFF8A09304}"/>
    <cellStyle name="Moeda 3 2 2 4 2 3" xfId="8917" xr:uid="{AD7A72C8-7E73-47C8-94E5-079B19C96ADC}"/>
    <cellStyle name="Moeda 3 2 2 4 3" xfId="4177" xr:uid="{4B20CBDE-6B77-446E-8E82-9256B7E17F3C}"/>
    <cellStyle name="Moeda 3 2 2 4 3 2" xfId="10516" xr:uid="{990DEFF3-F7A7-4074-BCB1-C84E018045AD}"/>
    <cellStyle name="Moeda 3 2 2 4 4" xfId="7348" xr:uid="{DB62034C-83DD-4605-AB19-CD9BD0BC544B}"/>
    <cellStyle name="Moeda 3 2 2 5" xfId="1779" xr:uid="{48453BE3-E6A4-44F2-B7CE-BCD3AC3C6781}"/>
    <cellStyle name="Moeda 3 2 2 5 2" xfId="4949" xr:uid="{ADC273A2-2594-45FC-8B9E-167D501AFC96}"/>
    <cellStyle name="Moeda 3 2 2 5 2 2" xfId="11288" xr:uid="{2526DEFD-A38F-465A-8945-0CE750EDA9D8}"/>
    <cellStyle name="Moeda 3 2 2 5 3" xfId="8120" xr:uid="{1D65BD66-CF6A-4818-9167-DD5947A3D07D}"/>
    <cellStyle name="Moeda 3 2 2 6" xfId="3380" xr:uid="{34AE5E61-9E17-4DEF-94BB-8AC9FD0BC6DA}"/>
    <cellStyle name="Moeda 3 2 2 6 2" xfId="9719" xr:uid="{4A1E8F4A-2DC5-4C8B-B1AA-E7BA5CD6612D}"/>
    <cellStyle name="Moeda 3 2 2 7" xfId="6551" xr:uid="{F4B09D4F-7A96-4844-8585-7BFC2B429345}"/>
    <cellStyle name="Moeda 3 2 3" xfId="327" xr:uid="{17A145FC-D1ED-4B33-BF00-650F0D70DDF2}"/>
    <cellStyle name="Moeda 3 3" xfId="118" xr:uid="{2FE3A624-46DA-46C4-A58A-DD2B3D5B5819}"/>
    <cellStyle name="Moeda 3 3 2" xfId="200" xr:uid="{BD4CA43D-44D3-4D85-87A2-98D74F178AEC}"/>
    <cellStyle name="Moeda 3 3 2 2" xfId="417" xr:uid="{C839C2F4-A7CC-4074-9CB5-7EF939F0D030}"/>
    <cellStyle name="Moeda 3 3 2 2 2" xfId="798" xr:uid="{EFDEF26F-AC67-4077-8A88-45BC08F165BB}"/>
    <cellStyle name="Moeda 3 3 2 2 2 2" xfId="1597" xr:uid="{0C30DD2B-B936-431D-8849-861488FA5F5C}"/>
    <cellStyle name="Moeda 3 3 2 2 2 2 2" xfId="3168" xr:uid="{891D51B5-9B53-4F96-9D90-6083A9A5A194}"/>
    <cellStyle name="Moeda 3 3 2 2 2 2 2 2" xfId="6338" xr:uid="{519C213B-942E-454F-9C59-DFF3971FDACC}"/>
    <cellStyle name="Moeda 3 3 2 2 2 2 2 2 2" xfId="12677" xr:uid="{26C90037-9DED-4C62-B201-536CF323FD4A}"/>
    <cellStyle name="Moeda 3 3 2 2 2 2 2 3" xfId="9509" xr:uid="{CB439C1B-6BC9-4102-8AC6-23E839601F42}"/>
    <cellStyle name="Moeda 3 3 2 2 2 2 3" xfId="4769" xr:uid="{6B21AB21-FBA7-46B9-B30C-0AC20E059E89}"/>
    <cellStyle name="Moeda 3 3 2 2 2 2 3 2" xfId="11108" xr:uid="{769DBC6F-FE30-4CCE-8AB2-51A0F8A4838C}"/>
    <cellStyle name="Moeda 3 3 2 2 2 2 4" xfId="7940" xr:uid="{C6F26D60-780C-424D-B5C4-6DF750441FA5}"/>
    <cellStyle name="Moeda 3 3 2 2 2 3" xfId="2371" xr:uid="{2A3859D4-2EEB-4811-9865-5335CF254215}"/>
    <cellStyle name="Moeda 3 3 2 2 2 3 2" xfId="5541" xr:uid="{8264FEDD-C94A-4137-8214-983779BFD424}"/>
    <cellStyle name="Moeda 3 3 2 2 2 3 2 2" xfId="11880" xr:uid="{37EFB5D0-640A-4A65-97A5-E7799B3D2183}"/>
    <cellStyle name="Moeda 3 3 2 2 2 3 3" xfId="8712" xr:uid="{9ECFB444-F773-496A-9D8C-45609C4F2D92}"/>
    <cellStyle name="Moeda 3 3 2 2 2 4" xfId="3972" xr:uid="{3994E1A2-545D-4A0D-B12C-06E68A49167B}"/>
    <cellStyle name="Moeda 3 3 2 2 2 4 2" xfId="10311" xr:uid="{BAA29807-C936-46EE-9B79-39DA9C14A6CD}"/>
    <cellStyle name="Moeda 3 3 2 2 2 5" xfId="7143" xr:uid="{849BB9C0-D4D2-4D90-A860-D0FAD590B3B4}"/>
    <cellStyle name="Moeda 3 3 2 2 3" xfId="1216" xr:uid="{0CAD4820-E7F1-4986-BC25-957A04302811}"/>
    <cellStyle name="Moeda 3 3 2 2 3 2" xfId="2787" xr:uid="{8870B668-9A5F-497B-A9E9-C65B69ED5019}"/>
    <cellStyle name="Moeda 3 3 2 2 3 2 2" xfId="5957" xr:uid="{1A06B56B-89F8-4C89-AEA9-906D4B31717F}"/>
    <cellStyle name="Moeda 3 3 2 2 3 2 2 2" xfId="12296" xr:uid="{7242F21D-DDFB-4203-8735-E5A43838C38C}"/>
    <cellStyle name="Moeda 3 3 2 2 3 2 3" xfId="9128" xr:uid="{A95F99AF-47E1-4BC9-AA5D-9388452CF865}"/>
    <cellStyle name="Moeda 3 3 2 2 3 3" xfId="4388" xr:uid="{8EA57002-27A2-4CF0-A17C-F9A49920056D}"/>
    <cellStyle name="Moeda 3 3 2 2 3 3 2" xfId="10727" xr:uid="{C48E8B32-7FD1-4D2E-8B39-80D5540C7BB5}"/>
    <cellStyle name="Moeda 3 3 2 2 3 4" xfId="7559" xr:uid="{82412B18-0CD2-47B9-B3A9-FC4A5FD72BB3}"/>
    <cellStyle name="Moeda 3 3 2 2 4" xfId="1990" xr:uid="{6D8412BF-9496-45F4-881D-229CC6E94C32}"/>
    <cellStyle name="Moeda 3 3 2 2 4 2" xfId="5160" xr:uid="{7EA67D77-F508-4210-9FC7-C01623C21143}"/>
    <cellStyle name="Moeda 3 3 2 2 4 2 2" xfId="11499" xr:uid="{2500C680-88D1-4243-ACEE-77681B4F8D0F}"/>
    <cellStyle name="Moeda 3 3 2 2 4 3" xfId="8331" xr:uid="{C05547F9-65C3-4F47-BFB2-7F4F6EE79ABF}"/>
    <cellStyle name="Moeda 3 3 2 2 5" xfId="3591" xr:uid="{C05470FA-6881-4F7D-B6C1-C17C2E45C84F}"/>
    <cellStyle name="Moeda 3 3 2 2 5 2" xfId="9930" xr:uid="{2320E3A9-9093-4ACC-974C-4C7268235640}"/>
    <cellStyle name="Moeda 3 3 2 2 6" xfId="6762" xr:uid="{DD79E303-89D1-4656-A2AB-8757DA0728EF}"/>
    <cellStyle name="Moeda 3 3 2 3" xfId="595" xr:uid="{D6A3804C-2D80-4775-84F3-6E74767B9CAA}"/>
    <cellStyle name="Moeda 3 3 2 3 2" xfId="1394" xr:uid="{C054D4E3-C763-4DDD-BD10-9DC3789DECEE}"/>
    <cellStyle name="Moeda 3 3 2 3 2 2" xfId="2965" xr:uid="{01F06651-C0AD-4010-835F-C28AD9D84250}"/>
    <cellStyle name="Moeda 3 3 2 3 2 2 2" xfId="6135" xr:uid="{810FE8F5-1CA6-4D2A-A643-FB46F40EFC0A}"/>
    <cellStyle name="Moeda 3 3 2 3 2 2 2 2" xfId="12474" xr:uid="{775FA286-F8CE-435C-B808-A96D63834E6A}"/>
    <cellStyle name="Moeda 3 3 2 3 2 2 3" xfId="9306" xr:uid="{E03C2BE3-0167-47B0-B7CA-6CF8CD11C8E6}"/>
    <cellStyle name="Moeda 3 3 2 3 2 3" xfId="4566" xr:uid="{732D8D40-536F-4F57-9106-C6ACD4D5B6BD}"/>
    <cellStyle name="Moeda 3 3 2 3 2 3 2" xfId="10905" xr:uid="{2E21EDFA-B8D6-4032-A14D-A25740F0C635}"/>
    <cellStyle name="Moeda 3 3 2 3 2 4" xfId="7737" xr:uid="{20BC4B7A-DC77-4C73-BF47-662BDBD9BDE7}"/>
    <cellStyle name="Moeda 3 3 2 3 3" xfId="2168" xr:uid="{901F9E43-0903-4265-9806-CFFAAA63F85D}"/>
    <cellStyle name="Moeda 3 3 2 3 3 2" xfId="5338" xr:uid="{25DB49EB-C1D4-4680-9BDD-C90869384DD5}"/>
    <cellStyle name="Moeda 3 3 2 3 3 2 2" xfId="11677" xr:uid="{F5A52635-4644-4336-990C-70FB33543453}"/>
    <cellStyle name="Moeda 3 3 2 3 3 3" xfId="8509" xr:uid="{F155072F-8BD2-430B-BD42-F99AB21E8A29}"/>
    <cellStyle name="Moeda 3 3 2 3 4" xfId="3769" xr:uid="{9B8F4C27-070D-40D4-AA80-C69EB507979A}"/>
    <cellStyle name="Moeda 3 3 2 3 4 2" xfId="10108" xr:uid="{DCBF761C-8D63-4267-B667-ABE2B34E837D}"/>
    <cellStyle name="Moeda 3 3 2 3 5" xfId="6940" xr:uid="{1318108D-EAB2-452A-AE12-2DEC088886B0}"/>
    <cellStyle name="Moeda 3 3 2 4" xfId="1013" xr:uid="{E9B69F2F-7B0D-4F93-82F2-63A05674C3F1}"/>
    <cellStyle name="Moeda 3 3 2 4 2" xfId="2584" xr:uid="{297372EF-4FBE-40CE-9BFF-88470C1FD6F9}"/>
    <cellStyle name="Moeda 3 3 2 4 2 2" xfId="5754" xr:uid="{7C54BFAE-BDF4-4196-BA10-B9CDF9BB4992}"/>
    <cellStyle name="Moeda 3 3 2 4 2 2 2" xfId="12093" xr:uid="{8AC53442-E441-400A-A6A6-3D71D5166D12}"/>
    <cellStyle name="Moeda 3 3 2 4 2 3" xfId="8925" xr:uid="{B642AA2B-20F6-4E60-A875-AE1444AAD4B6}"/>
    <cellStyle name="Moeda 3 3 2 4 3" xfId="4185" xr:uid="{E8B091CC-558E-4360-93F4-B3C5C86DD2DC}"/>
    <cellStyle name="Moeda 3 3 2 4 3 2" xfId="10524" xr:uid="{018E7F83-A5FF-456C-9DAB-BC32585DE504}"/>
    <cellStyle name="Moeda 3 3 2 4 4" xfId="7356" xr:uid="{9FF2DF54-78E9-4CD8-87A4-45F0BF73FD38}"/>
    <cellStyle name="Moeda 3 3 2 5" xfId="1787" xr:uid="{995E8EEA-1C31-4C0E-A1FF-E24C45671D5E}"/>
    <cellStyle name="Moeda 3 3 2 5 2" xfId="4957" xr:uid="{2D0F57A8-BBA9-4459-8334-501CC92E4A27}"/>
    <cellStyle name="Moeda 3 3 2 5 2 2" xfId="11296" xr:uid="{E27B4E1D-0763-4782-B54E-5385C15C68AD}"/>
    <cellStyle name="Moeda 3 3 2 5 3" xfId="8128" xr:uid="{7F65587B-D803-4DB5-83DA-55C3D047D9D4}"/>
    <cellStyle name="Moeda 3 3 2 6" xfId="3388" xr:uid="{D75F38A7-E73C-47A3-A0D7-B430FF167C0D}"/>
    <cellStyle name="Moeda 3 3 2 6 2" xfId="9727" xr:uid="{1FBBD31F-EBAD-43AC-B63A-83832588B4A3}"/>
    <cellStyle name="Moeda 3 3 2 7" xfId="6559" xr:uid="{C9D6D72D-F132-48B3-A962-8E60DEC1A767}"/>
    <cellStyle name="Moeda 3 3 3" xfId="335" xr:uid="{B66C17D6-2063-49E2-A260-B8820D4C8437}"/>
    <cellStyle name="Moeda 3 4" xfId="102" xr:uid="{EBA2A08A-4855-46D2-BB9C-409A27867AB1}"/>
    <cellStyle name="Moeda 3 4 2" xfId="319" xr:uid="{13574A63-DC70-4A7D-808C-D29A90EC3B94}"/>
    <cellStyle name="Moeda 3 4 3" xfId="520" xr:uid="{3DBE7177-FD7B-4446-892C-C845387153B7}"/>
    <cellStyle name="Moeda 3 4 3 2" xfId="1319" xr:uid="{9A62F59F-2EE6-4D5E-8A13-9591E4A06814}"/>
    <cellStyle name="Moeda 3 4 3 2 2" xfId="2890" xr:uid="{7F803BBB-38F6-4C1C-82A1-DC56387199EC}"/>
    <cellStyle name="Moeda 3 4 3 2 2 2" xfId="6060" xr:uid="{D5B2707A-AB73-4336-8A01-7C616936CF1C}"/>
    <cellStyle name="Moeda 3 4 3 2 2 2 2" xfId="12399" xr:uid="{982A4F5E-7EA5-48DF-AF2D-46A5E2831306}"/>
    <cellStyle name="Moeda 3 4 3 2 2 3" xfId="9231" xr:uid="{816D4F12-6C33-4B38-9C1D-33EC9A28C2B0}"/>
    <cellStyle name="Moeda 3 4 3 2 3" xfId="4491" xr:uid="{A0A647E0-BA8E-4BC9-AA3C-ADD9AFC4F835}"/>
    <cellStyle name="Moeda 3 4 3 2 3 2" xfId="10830" xr:uid="{0C53D30B-6C58-4C10-AF77-4FBEFF0F4C56}"/>
    <cellStyle name="Moeda 3 4 3 2 4" xfId="7662" xr:uid="{02BD2A33-7E87-4723-87B8-5BFA3F31B837}"/>
    <cellStyle name="Moeda 3 4 3 3" xfId="2093" xr:uid="{2AA242EC-7238-4233-AE53-09A5EAF3AA3D}"/>
    <cellStyle name="Moeda 3 4 3 3 2" xfId="5263" xr:uid="{5ABEE36B-C51C-4FF4-B266-6473673052F9}"/>
    <cellStyle name="Moeda 3 4 3 3 2 2" xfId="11602" xr:uid="{FD65CD6D-FF97-40D7-846C-08382C898E84}"/>
    <cellStyle name="Moeda 3 4 3 3 3" xfId="8434" xr:uid="{FBCCD436-6209-427F-A90A-1F085FB2FCFB}"/>
    <cellStyle name="Moeda 3 4 3 4" xfId="3694" xr:uid="{CFC102F5-D197-4865-AAD5-66000DE77024}"/>
    <cellStyle name="Moeda 3 4 3 4 2" xfId="10033" xr:uid="{2F35A052-E79E-439B-8C59-17CBB712FC0B}"/>
    <cellStyle name="Moeda 3 4 3 5" xfId="6865" xr:uid="{9386EA23-97F6-4D23-992E-5B367397136E}"/>
    <cellStyle name="Moeda 3 5" xfId="184" xr:uid="{D030453B-7FB1-44DB-A1F1-59DEEBC954D6}"/>
    <cellStyle name="Moeda 3 5 2" xfId="401" xr:uid="{F1B43197-FB65-412C-9599-F3CB8A0F8DED}"/>
    <cellStyle name="Moeda 3 5 2 2" xfId="782" xr:uid="{0D14235F-EC8E-4C4D-B9CE-0FB059CFCDE0}"/>
    <cellStyle name="Moeda 3 5 2 2 2" xfId="1581" xr:uid="{73AC500A-5A59-49C1-A640-11810A7EFC1C}"/>
    <cellStyle name="Moeda 3 5 2 2 2 2" xfId="3152" xr:uid="{7058F75D-9C5A-4385-B1DE-E8794FAF37CE}"/>
    <cellStyle name="Moeda 3 5 2 2 2 2 2" xfId="6322" xr:uid="{D7232123-AD2A-4A41-9A04-48FC4675E859}"/>
    <cellStyle name="Moeda 3 5 2 2 2 2 2 2" xfId="12661" xr:uid="{74E01EFB-F2FE-4C96-8650-3DF3A2EDEC20}"/>
    <cellStyle name="Moeda 3 5 2 2 2 2 3" xfId="9493" xr:uid="{7DFF8F9D-1332-48AA-B277-A9B4FA2A2092}"/>
    <cellStyle name="Moeda 3 5 2 2 2 3" xfId="4753" xr:uid="{C2167C29-14F7-46F2-BC59-4AB09EF7BC9D}"/>
    <cellStyle name="Moeda 3 5 2 2 2 3 2" xfId="11092" xr:uid="{D51DD4DA-391D-47C7-8584-5DBF5393E637}"/>
    <cellStyle name="Moeda 3 5 2 2 2 4" xfId="7924" xr:uid="{10559773-F963-4E4B-B2C8-4684C96CF79C}"/>
    <cellStyle name="Moeda 3 5 2 2 3" xfId="2355" xr:uid="{39B5F071-FBBA-4D02-A954-E153DCA36216}"/>
    <cellStyle name="Moeda 3 5 2 2 3 2" xfId="5525" xr:uid="{F605FB3A-B94D-4897-8900-F02DC2B2EBF5}"/>
    <cellStyle name="Moeda 3 5 2 2 3 2 2" xfId="11864" xr:uid="{D8361EE8-6F0A-46C0-A3DF-A07501D4E740}"/>
    <cellStyle name="Moeda 3 5 2 2 3 3" xfId="8696" xr:uid="{FC19FB54-6E31-4DDC-BB01-745C0B763F13}"/>
    <cellStyle name="Moeda 3 5 2 2 4" xfId="3956" xr:uid="{26AE63C5-74C0-4AA0-B337-83BF04C2977D}"/>
    <cellStyle name="Moeda 3 5 2 2 4 2" xfId="10295" xr:uid="{B6CFE678-89B9-4488-BBD1-C9C6023BF029}"/>
    <cellStyle name="Moeda 3 5 2 2 5" xfId="7127" xr:uid="{EF12AC10-7101-43F3-82C4-EFE46F016B94}"/>
    <cellStyle name="Moeda 3 5 2 3" xfId="1200" xr:uid="{AC5B678D-5FE2-4DDE-B074-892C7F7A776E}"/>
    <cellStyle name="Moeda 3 5 2 3 2" xfId="2771" xr:uid="{4800F456-8388-46CD-BA2A-6E9C7212202B}"/>
    <cellStyle name="Moeda 3 5 2 3 2 2" xfId="5941" xr:uid="{EBFE0D64-4CD6-44FA-B8AE-ABC3AD5DA7B6}"/>
    <cellStyle name="Moeda 3 5 2 3 2 2 2" xfId="12280" xr:uid="{45D48A68-53AA-4D98-ABB9-ECEC535D2E1A}"/>
    <cellStyle name="Moeda 3 5 2 3 2 3" xfId="9112" xr:uid="{8592C6D0-49E8-4483-B6C3-66A10305829C}"/>
    <cellStyle name="Moeda 3 5 2 3 3" xfId="4372" xr:uid="{650A54A2-FD47-42D8-807C-E61534491A3C}"/>
    <cellStyle name="Moeda 3 5 2 3 3 2" xfId="10711" xr:uid="{8DDF0B50-B1FE-422C-92D7-1E1747BEF393}"/>
    <cellStyle name="Moeda 3 5 2 3 4" xfId="7543" xr:uid="{B07FEA1A-9F13-436C-9209-ADACF6D9D3C6}"/>
    <cellStyle name="Moeda 3 5 2 4" xfId="1974" xr:uid="{E0B628C2-AF7F-4938-A0A1-0CEE1427ABD3}"/>
    <cellStyle name="Moeda 3 5 2 4 2" xfId="5144" xr:uid="{D1994D98-65A1-43CD-B67D-C7FEB957ED3C}"/>
    <cellStyle name="Moeda 3 5 2 4 2 2" xfId="11483" xr:uid="{55025041-D9D7-4092-A999-6D617F29A5A1}"/>
    <cellStyle name="Moeda 3 5 2 4 3" xfId="8315" xr:uid="{2C67FAB0-7E01-42B5-BA0A-E4E5BB5CFB47}"/>
    <cellStyle name="Moeda 3 5 2 5" xfId="3575" xr:uid="{A20DF94D-E643-4962-8FDD-D5C6D8269CEF}"/>
    <cellStyle name="Moeda 3 5 2 5 2" xfId="9914" xr:uid="{322DD614-6C67-43D4-9AF7-43DD2CD05113}"/>
    <cellStyle name="Moeda 3 5 2 6" xfId="6746" xr:uid="{4E40B8C4-0A0D-45B3-8355-F3F80BD5AC77}"/>
    <cellStyle name="Moeda 3 5 3" xfId="579" xr:uid="{600216D5-801C-42F0-A778-95E39F1EAD89}"/>
    <cellStyle name="Moeda 3 5 3 2" xfId="1378" xr:uid="{7B722115-A49A-4EC4-9A9C-A668EAE5E22A}"/>
    <cellStyle name="Moeda 3 5 3 2 2" xfId="2949" xr:uid="{AD49FA92-E25C-4C0F-99F0-7D0A53325022}"/>
    <cellStyle name="Moeda 3 5 3 2 2 2" xfId="6119" xr:uid="{E90F99BF-D70D-447E-A288-4B87F09D27C6}"/>
    <cellStyle name="Moeda 3 5 3 2 2 2 2" xfId="12458" xr:uid="{54BEF7F1-530A-4067-B903-9E8C79B0BB29}"/>
    <cellStyle name="Moeda 3 5 3 2 2 3" xfId="9290" xr:uid="{1882F3E1-711D-4444-9387-6C620DC8BD39}"/>
    <cellStyle name="Moeda 3 5 3 2 3" xfId="4550" xr:uid="{4D59EAEC-B5E7-4D13-BBF9-03CD68020451}"/>
    <cellStyle name="Moeda 3 5 3 2 3 2" xfId="10889" xr:uid="{6A38C9E5-2451-4396-ADCA-B3CFC0BE8870}"/>
    <cellStyle name="Moeda 3 5 3 2 4" xfId="7721" xr:uid="{578E2967-CDDE-4BCD-B847-EDB2A191925D}"/>
    <cellStyle name="Moeda 3 5 3 3" xfId="2152" xr:uid="{DEB113FD-1330-40FE-9D8C-0676534DC52E}"/>
    <cellStyle name="Moeda 3 5 3 3 2" xfId="5322" xr:uid="{4F803EBD-E31F-4AA0-BC44-C6FD1B18E0BA}"/>
    <cellStyle name="Moeda 3 5 3 3 2 2" xfId="11661" xr:uid="{01AC3898-D795-4515-912A-244539D54CFF}"/>
    <cellStyle name="Moeda 3 5 3 3 3" xfId="8493" xr:uid="{97EFFDB8-A72C-4AF3-80A6-8DE86BE6B9A8}"/>
    <cellStyle name="Moeda 3 5 3 4" xfId="3753" xr:uid="{F1F06387-BE48-4C93-B45A-162081B6CA94}"/>
    <cellStyle name="Moeda 3 5 3 4 2" xfId="10092" xr:uid="{50272411-BB55-4D0F-A642-948E452187E1}"/>
    <cellStyle name="Moeda 3 5 3 5" xfId="6924" xr:uid="{0EA3923C-A97D-488E-B85C-68176F2D6E38}"/>
    <cellStyle name="Moeda 3 5 4" xfId="997" xr:uid="{6A33AEA6-D3BD-49A2-9DFB-EA567B432D5C}"/>
    <cellStyle name="Moeda 3 5 4 2" xfId="2568" xr:uid="{DE08190D-9224-4EBF-8613-5FA29541722C}"/>
    <cellStyle name="Moeda 3 5 4 2 2" xfId="5738" xr:uid="{E3138C00-4769-4CEE-BD87-B1690B7A30A8}"/>
    <cellStyle name="Moeda 3 5 4 2 2 2" xfId="12077" xr:uid="{9DA1F408-CBAC-400F-B0CC-C5A49D580A12}"/>
    <cellStyle name="Moeda 3 5 4 2 3" xfId="8909" xr:uid="{F8A8BBA2-CCD6-4FD7-863D-DB1D5FDA03F7}"/>
    <cellStyle name="Moeda 3 5 4 3" xfId="4169" xr:uid="{3DFEC218-3EE6-4198-AC7C-1B312CEDE040}"/>
    <cellStyle name="Moeda 3 5 4 3 2" xfId="10508" xr:uid="{50AB953C-E783-4AC8-8E48-E38E3D8FF0AD}"/>
    <cellStyle name="Moeda 3 5 4 4" xfId="7340" xr:uid="{9EEA6D74-515A-49C5-BE55-5A5BAB27AD76}"/>
    <cellStyle name="Moeda 3 5 5" xfId="1771" xr:uid="{75FEFDCD-41AF-4E33-B5DA-5B16676C315D}"/>
    <cellStyle name="Moeda 3 5 5 2" xfId="4941" xr:uid="{7E0BCC42-39B7-4518-AF64-A6CA6181E3F7}"/>
    <cellStyle name="Moeda 3 5 5 2 2" xfId="11280" xr:uid="{9A5A2600-6132-4889-8C68-0AC4E0396991}"/>
    <cellStyle name="Moeda 3 5 5 3" xfId="8112" xr:uid="{A4EA4B4C-4CBB-46DC-A27A-10131F15013B}"/>
    <cellStyle name="Moeda 3 5 6" xfId="3372" xr:uid="{1451271A-AE8E-4E7B-8407-E314BB3445EE}"/>
    <cellStyle name="Moeda 3 5 6 2" xfId="9711" xr:uid="{914AB60C-68F3-46FD-AFC4-A620943660B6}"/>
    <cellStyle name="Moeda 3 5 7" xfId="6543" xr:uid="{67CBC3EE-15A2-45F6-9D07-EEB8AFB13AC9}"/>
    <cellStyle name="Moeda 3 6" xfId="246" xr:uid="{F3EA5A54-A4F2-4402-B015-03D0C4EEBFA2}"/>
    <cellStyle name="Normal" xfId="0" builtinId="0"/>
    <cellStyle name="Normal 10" xfId="22" xr:uid="{697087B3-AC52-4FAD-BA8E-9E8C68C63746}"/>
    <cellStyle name="Normal 10 2" xfId="76" xr:uid="{B2D22591-0968-40D6-A8C8-E69F6AC81EE3}"/>
    <cellStyle name="Normal 10 3" xfId="68" xr:uid="{D66D9560-1C76-466A-AD78-81EA1FEA861C}"/>
    <cellStyle name="Normal 10 3 2" xfId="292" xr:uid="{B453C94D-718A-4724-BEF1-A8B03BE4DC1E}"/>
    <cellStyle name="Normal 10 3 2 2" xfId="682" xr:uid="{A1CA1AC6-3BFE-4B1A-84E0-663D99BABC91}"/>
    <cellStyle name="Normal 10 3 2 2 2" xfId="1481" xr:uid="{C5C20C9D-4B79-4E72-8F8E-98B1694712B6}"/>
    <cellStyle name="Normal 10 3 2 2 2 2" xfId="3052" xr:uid="{0F90EEDC-2924-4C46-AB4A-F3A98BCFB613}"/>
    <cellStyle name="Normal 10 3 2 2 2 2 2" xfId="6222" xr:uid="{444D27B1-0267-42E5-88FD-DA23E8E039C4}"/>
    <cellStyle name="Normal 10 3 2 2 2 2 2 2" xfId="12561" xr:uid="{4F19B7EF-DE39-4DF4-BF59-6F96B4EA73DD}"/>
    <cellStyle name="Normal 10 3 2 2 2 2 3" xfId="9393" xr:uid="{479A8E91-BCF0-474C-9DF4-D324CF42B880}"/>
    <cellStyle name="Normal 10 3 2 2 2 3" xfId="4653" xr:uid="{E693EDC2-A6E1-4C6E-843E-7B1087AF89DB}"/>
    <cellStyle name="Normal 10 3 2 2 2 3 2" xfId="10992" xr:uid="{F64451BA-49A1-4E38-9EEC-504CE4670B8A}"/>
    <cellStyle name="Normal 10 3 2 2 2 4" xfId="7824" xr:uid="{4F75E79D-45FE-4A98-A20C-F656C85F53C1}"/>
    <cellStyle name="Normal 10 3 2 2 3" xfId="2255" xr:uid="{28AFFD40-ACBA-4905-87BC-FFDF5645EFC0}"/>
    <cellStyle name="Normal 10 3 2 2 3 2" xfId="5425" xr:uid="{590D58F4-A65F-4ED5-99DE-FB13C9971EF8}"/>
    <cellStyle name="Normal 10 3 2 2 3 2 2" xfId="11764" xr:uid="{E114E8EC-89EB-4D68-925C-20CF3A67A43D}"/>
    <cellStyle name="Normal 10 3 2 2 3 3" xfId="8596" xr:uid="{422A248F-3161-4D62-A78C-4111436AE893}"/>
    <cellStyle name="Normal 10 3 2 2 4" xfId="3856" xr:uid="{3BECEF40-6B90-4988-8786-BA234737DE1F}"/>
    <cellStyle name="Normal 10 3 2 2 4 2" xfId="10195" xr:uid="{F62CB29F-C651-4408-A85B-A59D41681C89}"/>
    <cellStyle name="Normal 10 3 2 2 5" xfId="7027" xr:uid="{9B818D16-6382-4E77-89A1-0C646511981B}"/>
    <cellStyle name="Normal 10 3 2 3" xfId="1100" xr:uid="{164275A4-34E7-48AF-8E83-12CED729FB7D}"/>
    <cellStyle name="Normal 10 3 2 3 2" xfId="2671" xr:uid="{F3913042-C608-41FC-B8BA-FCC149CCEBD7}"/>
    <cellStyle name="Normal 10 3 2 3 2 2" xfId="5841" xr:uid="{08BF3094-8D17-439C-9F98-B7BD64FB4A1F}"/>
    <cellStyle name="Normal 10 3 2 3 2 2 2" xfId="12180" xr:uid="{BBF5EFDA-C58D-4064-AC61-5953F2D77CB6}"/>
    <cellStyle name="Normal 10 3 2 3 2 3" xfId="9012" xr:uid="{D024D103-7306-4B17-9349-DFAB2C6252FD}"/>
    <cellStyle name="Normal 10 3 2 3 3" xfId="4272" xr:uid="{95071096-A075-4279-8A74-01779227B9C2}"/>
    <cellStyle name="Normal 10 3 2 3 3 2" xfId="10611" xr:uid="{5C48B079-04E6-42A6-9FA3-B188099EF766}"/>
    <cellStyle name="Normal 10 3 2 3 4" xfId="7443" xr:uid="{33270D14-717B-4299-BCF4-BA44EB89756E}"/>
    <cellStyle name="Normal 10 3 2 4" xfId="1874" xr:uid="{B07CBBFA-7737-4F81-9A18-1E7FDCDEF12A}"/>
    <cellStyle name="Normal 10 3 2 4 2" xfId="5044" xr:uid="{ACDC8367-8EA1-41AB-950F-BE579189E0C8}"/>
    <cellStyle name="Normal 10 3 2 4 2 2" xfId="11383" xr:uid="{CA4FC14F-8F8E-49E9-A0D9-CC0A3282DBA1}"/>
    <cellStyle name="Normal 10 3 2 4 3" xfId="8215" xr:uid="{1BEA80C0-FFEA-43F4-93A0-C16012657597}"/>
    <cellStyle name="Normal 10 3 2 5" xfId="3475" xr:uid="{FE4CE192-1A06-4080-9A70-2D6C32156CEF}"/>
    <cellStyle name="Normal 10 3 2 5 2" xfId="9814" xr:uid="{F095C7BB-736E-4418-9D17-6A3E04D20A27}"/>
    <cellStyle name="Normal 10 3 2 6" xfId="6646" xr:uid="{8BF1868E-29A0-4580-AE41-969B5EDDCAEA}"/>
    <cellStyle name="Normal 10 3 3" xfId="499" xr:uid="{CB6845BB-CF73-48B2-8B62-130172D27483}"/>
    <cellStyle name="Normal 10 3 3 2" xfId="1298" xr:uid="{A332A81A-AEC7-449D-853B-852884B084C9}"/>
    <cellStyle name="Normal 10 3 3 2 2" xfId="2869" xr:uid="{361798EA-B28D-415C-AD59-25AFF9FA9744}"/>
    <cellStyle name="Normal 10 3 3 2 2 2" xfId="6039" xr:uid="{FA56B9E3-76DA-46AF-AEBA-2245CF216687}"/>
    <cellStyle name="Normal 10 3 3 2 2 2 2" xfId="12378" xr:uid="{718ECA27-6FEE-409A-9583-62144878AEEF}"/>
    <cellStyle name="Normal 10 3 3 2 2 3" xfId="9210" xr:uid="{5B80AE1D-2C50-4098-B270-62A27F0E70C3}"/>
    <cellStyle name="Normal 10 3 3 2 3" xfId="4470" xr:uid="{5EFEC06A-D329-4929-B7AC-6043E67785BC}"/>
    <cellStyle name="Normal 10 3 3 2 3 2" xfId="10809" xr:uid="{C94F7DFF-3BE8-4311-A2B6-771A4024F6DB}"/>
    <cellStyle name="Normal 10 3 3 2 4" xfId="7641" xr:uid="{6BADAD62-629D-498D-BCEC-940989275C82}"/>
    <cellStyle name="Normal 10 3 3 3" xfId="2072" xr:uid="{25A39F4C-1EB0-4857-8BA0-9D2B6AB0CD5D}"/>
    <cellStyle name="Normal 10 3 3 3 2" xfId="5242" xr:uid="{A375F6EF-28F1-4980-83A7-E591711251DD}"/>
    <cellStyle name="Normal 10 3 3 3 2 2" xfId="11581" xr:uid="{DFBCFA09-667C-4569-B5EC-1DD01DBF17EF}"/>
    <cellStyle name="Normal 10 3 3 3 3" xfId="8413" xr:uid="{840AD6F4-FB34-4E64-BBF4-4BDFFE5F6C17}"/>
    <cellStyle name="Normal 10 3 3 4" xfId="3673" xr:uid="{08967EF3-EF76-4310-B750-4630F0694F8A}"/>
    <cellStyle name="Normal 10 3 3 4 2" xfId="10012" xr:uid="{E59D596A-5093-4DF2-9338-C6447BF50CC9}"/>
    <cellStyle name="Normal 10 3 3 5" xfId="6844" xr:uid="{E1156A1F-2D8E-44A3-A169-C4FD5CF20769}"/>
    <cellStyle name="Normal 10 3 4" xfId="897" xr:uid="{457FC94D-825A-47DC-9222-D5019ADF961F}"/>
    <cellStyle name="Normal 10 3 4 2" xfId="2468" xr:uid="{169B0A75-CCA3-4B5D-9CD0-A3DA0E2C873E}"/>
    <cellStyle name="Normal 10 3 4 2 2" xfId="5638" xr:uid="{7F4A8E9F-5BC9-4083-9CD2-73D00006B46D}"/>
    <cellStyle name="Normal 10 3 4 2 2 2" xfId="11977" xr:uid="{AA82C805-4757-4FF3-93C9-B47AB9066466}"/>
    <cellStyle name="Normal 10 3 4 2 3" xfId="8809" xr:uid="{F3B09D62-1115-4639-8F37-7F8A42FABAAA}"/>
    <cellStyle name="Normal 10 3 4 3" xfId="4069" xr:uid="{633BE271-C50D-45A5-B923-2A27153B9AD9}"/>
    <cellStyle name="Normal 10 3 4 3 2" xfId="10408" xr:uid="{7CF8AB85-B5AC-4ACC-9EB1-E243F937A5F0}"/>
    <cellStyle name="Normal 10 3 4 4" xfId="7240" xr:uid="{0FE3DC75-E05C-4657-BA9F-E8F34B4426B1}"/>
    <cellStyle name="Normal 10 3 5" xfId="1694" xr:uid="{107F01C6-05D2-42F4-97CB-0AA9BFD1DE00}"/>
    <cellStyle name="Normal 10 3 5 2" xfId="4864" xr:uid="{4AB06EEE-0603-421E-B526-B8A63FBD388C}"/>
    <cellStyle name="Normal 10 3 5 2 2" xfId="11203" xr:uid="{A10B8398-063F-4C4E-B72D-C624F073EC6E}"/>
    <cellStyle name="Normal 10 3 5 3" xfId="8035" xr:uid="{F6666CBC-16AE-4EF1-BB62-50623ACD682B}"/>
    <cellStyle name="Normal 10 3 6" xfId="3272" xr:uid="{7A9AB97E-8997-4320-8B5E-F485FB1E7C9A}"/>
    <cellStyle name="Normal 10 3 6 2" xfId="9611" xr:uid="{025B4A88-87B6-4F26-8D1B-52DAAB7D3D6B}"/>
    <cellStyle name="Normal 10 3 7" xfId="6443" xr:uid="{9265498B-2ED9-42F3-A6D8-A584373813BB}"/>
    <cellStyle name="Normal 10 4" xfId="157" xr:uid="{7E6B4723-75E7-4E91-947A-F51CC7C64B8A}"/>
    <cellStyle name="Normal 10 4 2" xfId="374" xr:uid="{8D1D4534-5C35-45E1-AA9F-0E6C97AE84C1}"/>
    <cellStyle name="Normal 10 4 2 2" xfId="755" xr:uid="{B5EE9C1C-F326-4F5A-A37D-EFA1957113C7}"/>
    <cellStyle name="Normal 10 4 2 2 2" xfId="1554" xr:uid="{CEC785F3-F76A-4B22-AFE8-85486781EB16}"/>
    <cellStyle name="Normal 10 4 2 2 2 2" xfId="3125" xr:uid="{26C5862D-2790-41F6-8A16-CA3A2A8A987B}"/>
    <cellStyle name="Normal 10 4 2 2 2 2 2" xfId="6295" xr:uid="{229D9A81-EDF6-4833-9137-BAF693902A1A}"/>
    <cellStyle name="Normal 10 4 2 2 2 2 2 2" xfId="12634" xr:uid="{3A379E40-E668-4F6C-AD1A-ED9C0DF706D7}"/>
    <cellStyle name="Normal 10 4 2 2 2 2 3" xfId="9466" xr:uid="{E7AC53C7-34D7-4F55-B0B3-41D9048DAF82}"/>
    <cellStyle name="Normal 10 4 2 2 2 3" xfId="4726" xr:uid="{5CBA0AC8-84AB-49F6-ADA3-305CA8A48F18}"/>
    <cellStyle name="Normal 10 4 2 2 2 3 2" xfId="11065" xr:uid="{F10A4B01-AB1C-4F53-A81E-4BE94239627D}"/>
    <cellStyle name="Normal 10 4 2 2 2 4" xfId="7897" xr:uid="{55940F27-E28F-4077-8B10-3135A6523F20}"/>
    <cellStyle name="Normal 10 4 2 2 3" xfId="2328" xr:uid="{5B92D669-1395-4647-B1F2-47EC0CF6A2E2}"/>
    <cellStyle name="Normal 10 4 2 2 3 2" xfId="5498" xr:uid="{14C70714-813C-403D-AC3B-219419FFBC16}"/>
    <cellStyle name="Normal 10 4 2 2 3 2 2" xfId="11837" xr:uid="{86E4E14B-1D97-48A1-B022-AC26730FFBF9}"/>
    <cellStyle name="Normal 10 4 2 2 3 3" xfId="8669" xr:uid="{2251D157-BA33-4F02-B282-B7478C03394B}"/>
    <cellStyle name="Normal 10 4 2 2 4" xfId="3929" xr:uid="{879D88D9-4CC4-44AF-B937-DCCC0A1B835A}"/>
    <cellStyle name="Normal 10 4 2 2 4 2" xfId="10268" xr:uid="{03E3FEE4-B090-4548-B5B5-87A3F9782018}"/>
    <cellStyle name="Normal 10 4 2 2 5" xfId="7100" xr:uid="{35F27317-6CAF-477A-AE0B-6BA3CBAAA62E}"/>
    <cellStyle name="Normal 10 4 2 3" xfId="1173" xr:uid="{829627AB-57DD-4535-B83E-17961BFE12C2}"/>
    <cellStyle name="Normal 10 4 2 3 2" xfId="2744" xr:uid="{1694F153-328E-49C6-8B46-F1643644AEB4}"/>
    <cellStyle name="Normal 10 4 2 3 2 2" xfId="5914" xr:uid="{F2B31ECF-9F3D-41B5-9795-7EFE83A07850}"/>
    <cellStyle name="Normal 10 4 2 3 2 2 2" xfId="12253" xr:uid="{97800CEE-24C0-4C1B-9D6A-202AD6163620}"/>
    <cellStyle name="Normal 10 4 2 3 2 3" xfId="9085" xr:uid="{2A4E2EAB-BBCB-4A44-BD04-1DA404CCF781}"/>
    <cellStyle name="Normal 10 4 2 3 3" xfId="4345" xr:uid="{B29C0201-497F-4450-B644-663325E769B1}"/>
    <cellStyle name="Normal 10 4 2 3 3 2" xfId="10684" xr:uid="{B9067275-933E-430A-B22E-7F763A57B2EF}"/>
    <cellStyle name="Normal 10 4 2 3 4" xfId="7516" xr:uid="{803CAABC-6A2C-4DC1-A968-BA3D24F196F1}"/>
    <cellStyle name="Normal 10 4 2 4" xfId="1947" xr:uid="{E3560F5C-B4A6-4DDC-A01F-3C0F863D5661}"/>
    <cellStyle name="Normal 10 4 2 4 2" xfId="5117" xr:uid="{AF9D0E6E-753A-49A7-8F92-A875FA0B3630}"/>
    <cellStyle name="Normal 10 4 2 4 2 2" xfId="11456" xr:uid="{AC3930EC-8BE7-4078-A844-CD440484D06B}"/>
    <cellStyle name="Normal 10 4 2 4 3" xfId="8288" xr:uid="{4EA952FF-839F-4901-9592-DB2530C17329}"/>
    <cellStyle name="Normal 10 4 2 5" xfId="3548" xr:uid="{70B2CD8C-DA6F-497C-A4EC-18FCDC2BB88D}"/>
    <cellStyle name="Normal 10 4 2 5 2" xfId="9887" xr:uid="{1166BA40-5045-42D8-A118-18061BA88EEE}"/>
    <cellStyle name="Normal 10 4 2 6" xfId="6719" xr:uid="{B3B97A3A-36AB-474C-AB00-05F34A8C68E7}"/>
    <cellStyle name="Normal 10 4 3" xfId="552" xr:uid="{2138FBF3-E5D5-41EA-9D4A-B8B7EE7A5E93}"/>
    <cellStyle name="Normal 10 4 3 2" xfId="1351" xr:uid="{9CCA6A89-C037-4173-9471-7296A7338F71}"/>
    <cellStyle name="Normal 10 4 3 2 2" xfId="2922" xr:uid="{FFE6B4E4-BD8F-459B-A88E-18F26C133B54}"/>
    <cellStyle name="Normal 10 4 3 2 2 2" xfId="6092" xr:uid="{545611AF-80ED-4F87-9E89-A17F6F35B0CC}"/>
    <cellStyle name="Normal 10 4 3 2 2 2 2" xfId="12431" xr:uid="{A95BDEA9-D7CB-482E-A5E7-583377B8644F}"/>
    <cellStyle name="Normal 10 4 3 2 2 3" xfId="9263" xr:uid="{276EB3BF-E982-404E-8256-A560876CA02A}"/>
    <cellStyle name="Normal 10 4 3 2 3" xfId="4523" xr:uid="{ABD5B52B-CEFD-49D8-96C7-9656090D6B3B}"/>
    <cellStyle name="Normal 10 4 3 2 3 2" xfId="10862" xr:uid="{AFD49A0A-9D25-43DD-BC74-A53B0EAAEFD9}"/>
    <cellStyle name="Normal 10 4 3 2 4" xfId="7694" xr:uid="{CE81D86F-9B59-4B14-953F-85F026F47826}"/>
    <cellStyle name="Normal 10 4 3 3" xfId="2125" xr:uid="{9280A5B4-E31D-43A3-A632-3D38CCCC41F8}"/>
    <cellStyle name="Normal 10 4 3 3 2" xfId="5295" xr:uid="{B370D3B3-ADBA-4131-BC90-5FFB5C54D92B}"/>
    <cellStyle name="Normal 10 4 3 3 2 2" xfId="11634" xr:uid="{49AE8778-DA67-4E32-A519-6B311CE5D6E6}"/>
    <cellStyle name="Normal 10 4 3 3 3" xfId="8466" xr:uid="{D93F2F5C-A5E6-497F-BB44-47CF8C648346}"/>
    <cellStyle name="Normal 10 4 3 4" xfId="3726" xr:uid="{98A6F3C5-220C-4820-98C6-38F2892A3DEE}"/>
    <cellStyle name="Normal 10 4 3 4 2" xfId="10065" xr:uid="{105E86C3-9462-4575-AEFA-64E1DA3F9E59}"/>
    <cellStyle name="Normal 10 4 3 5" xfId="6897" xr:uid="{300BD288-D562-458B-AB35-9809F08E2472}"/>
    <cellStyle name="Normal 10 4 4" xfId="970" xr:uid="{B75AD791-72AF-4CB7-8C09-86BDA19A08CC}"/>
    <cellStyle name="Normal 10 4 4 2" xfId="2541" xr:uid="{0FFA23A2-1412-4E47-B0CB-12AC53193BF4}"/>
    <cellStyle name="Normal 10 4 4 2 2" xfId="5711" xr:uid="{9767116F-1AFB-4F65-9670-24D0E3BD1297}"/>
    <cellStyle name="Normal 10 4 4 2 2 2" xfId="12050" xr:uid="{0996D63B-FCC9-490C-99E3-CA63A3A57BAA}"/>
    <cellStyle name="Normal 10 4 4 2 3" xfId="8882" xr:uid="{B9AF1BCC-0F25-4FAE-9D5B-45737090EAE1}"/>
    <cellStyle name="Normal 10 4 4 3" xfId="4142" xr:uid="{9596C187-5976-4573-B58C-E43BA6500B5E}"/>
    <cellStyle name="Normal 10 4 4 3 2" xfId="10481" xr:uid="{D1ED686C-26D8-4AF4-9699-A3741C2AB16B}"/>
    <cellStyle name="Normal 10 4 4 4" xfId="7313" xr:uid="{D2F4C5C7-0CCA-4D9E-9AD5-951807DDDF77}"/>
    <cellStyle name="Normal 10 4 5" xfId="1744" xr:uid="{9504E34D-3582-43DB-8398-150FA8D129D8}"/>
    <cellStyle name="Normal 10 4 5 2" xfId="4914" xr:uid="{94A035D9-277B-44F8-BEE4-36E1EA893B37}"/>
    <cellStyle name="Normal 10 4 5 2 2" xfId="11253" xr:uid="{4EF60F4F-61B5-4654-9AE9-2F23101FF8EE}"/>
    <cellStyle name="Normal 10 4 5 3" xfId="8085" xr:uid="{47AB0D8A-09D4-4F68-B9AA-2DC8FFD2ED16}"/>
    <cellStyle name="Normal 10 4 6" xfId="3345" xr:uid="{926D0879-A17B-483B-B510-9F5E545CD827}"/>
    <cellStyle name="Normal 10 4 6 2" xfId="9684" xr:uid="{FE2B7824-3763-4AB2-8037-CA602EEF849B}"/>
    <cellStyle name="Normal 10 4 7" xfId="6516" xr:uid="{FE7728F4-F8A1-4079-A92A-896EA7E80955}"/>
    <cellStyle name="Normal 11" xfId="70" xr:uid="{01CB5E60-C9D9-4725-ADC9-6F952A51DF5D}"/>
    <cellStyle name="Normal 11 2" xfId="159" xr:uid="{4EEB950B-5A99-45A3-B785-C5AD4766E40F}"/>
    <cellStyle name="Normal 11 2 2" xfId="376" xr:uid="{994AAC91-59E4-42A0-A5C2-32980B255A9D}"/>
    <cellStyle name="Normal 11 2 2 2" xfId="757" xr:uid="{052B84FB-1EDF-47B3-B657-CBD7A5EF5BA2}"/>
    <cellStyle name="Normal 11 2 2 2 2" xfId="1556" xr:uid="{DBACC430-BDCF-42DC-9235-1C105B22B724}"/>
    <cellStyle name="Normal 11 2 2 2 2 2" xfId="3127" xr:uid="{2A0C4E1D-3F85-4857-A166-0B8D9261C0E2}"/>
    <cellStyle name="Normal 11 2 2 2 2 2 2" xfId="6297" xr:uid="{BDB37D11-6A1E-4293-BEB5-337F753A1BA4}"/>
    <cellStyle name="Normal 11 2 2 2 2 2 2 2" xfId="12636" xr:uid="{E3659176-E36F-43BC-91E7-607962B92B92}"/>
    <cellStyle name="Normal 11 2 2 2 2 2 3" xfId="9468" xr:uid="{0CB72E69-2193-48B1-B27C-4343227D7D28}"/>
    <cellStyle name="Normal 11 2 2 2 2 3" xfId="4728" xr:uid="{AB611BCC-BAAD-40BC-9D00-BE19BC7ACAD4}"/>
    <cellStyle name="Normal 11 2 2 2 2 3 2" xfId="11067" xr:uid="{9645A01A-DB1F-4B52-BE24-E90A7D42202C}"/>
    <cellStyle name="Normal 11 2 2 2 2 4" xfId="7899" xr:uid="{7DEC24A8-438D-48B1-9B80-61ECBD1B3718}"/>
    <cellStyle name="Normal 11 2 2 2 3" xfId="2330" xr:uid="{D2EA6349-2644-4A82-810B-63365264A406}"/>
    <cellStyle name="Normal 11 2 2 2 3 2" xfId="5500" xr:uid="{7D730AE9-DA79-43D7-95C8-63B46CD97EE3}"/>
    <cellStyle name="Normal 11 2 2 2 3 2 2" xfId="11839" xr:uid="{D0D75F4B-6F11-4046-B401-F1A834DC0CEB}"/>
    <cellStyle name="Normal 11 2 2 2 3 3" xfId="8671" xr:uid="{7ED9A668-E709-4212-86AD-53763C969FFA}"/>
    <cellStyle name="Normal 11 2 2 2 4" xfId="3931" xr:uid="{82FCCC15-2309-42C7-8C31-BF6C2E6AAC96}"/>
    <cellStyle name="Normal 11 2 2 2 4 2" xfId="10270" xr:uid="{9A298295-3619-4A8F-AEFB-D905683F332E}"/>
    <cellStyle name="Normal 11 2 2 2 5" xfId="7102" xr:uid="{B3C662E2-1290-4B16-926F-DFAAA0A5891A}"/>
    <cellStyle name="Normal 11 2 2 3" xfId="1175" xr:uid="{A3E5647E-F88C-4D34-AA48-0AE71D20493E}"/>
    <cellStyle name="Normal 11 2 2 3 2" xfId="2746" xr:uid="{9D6610E4-0437-4109-8F11-9BB84A71B1F8}"/>
    <cellStyle name="Normal 11 2 2 3 2 2" xfId="5916" xr:uid="{9A8235F5-8B62-4C15-884E-3F37DCE27705}"/>
    <cellStyle name="Normal 11 2 2 3 2 2 2" xfId="12255" xr:uid="{BC134424-5B0F-4DF0-AECC-94237B445471}"/>
    <cellStyle name="Normal 11 2 2 3 2 3" xfId="9087" xr:uid="{523409B8-898B-4463-8728-176F2B8F8356}"/>
    <cellStyle name="Normal 11 2 2 3 3" xfId="4347" xr:uid="{E5F80336-C40A-4B78-84E2-75DA88144D68}"/>
    <cellStyle name="Normal 11 2 2 3 3 2" xfId="10686" xr:uid="{9232E259-5742-44BD-91F2-2BE96E5EAB4B}"/>
    <cellStyle name="Normal 11 2 2 3 4" xfId="7518" xr:uid="{FEAA38CA-360D-4E70-868F-5DBB6F9C9AAD}"/>
    <cellStyle name="Normal 11 2 2 4" xfId="1949" xr:uid="{CCC4B48F-103F-453A-B820-CADDEFE78F32}"/>
    <cellStyle name="Normal 11 2 2 4 2" xfId="5119" xr:uid="{ECBBBE74-7C0F-4187-9281-FD94BEFE2557}"/>
    <cellStyle name="Normal 11 2 2 4 2 2" xfId="11458" xr:uid="{5E796707-34A9-4A57-A35A-C35ABADE23E8}"/>
    <cellStyle name="Normal 11 2 2 4 3" xfId="8290" xr:uid="{B2D99246-FA96-4FE6-8FC9-ED6799243037}"/>
    <cellStyle name="Normal 11 2 2 5" xfId="3550" xr:uid="{E5696E6E-A974-4D4E-9535-5A0F16DFF5EC}"/>
    <cellStyle name="Normal 11 2 2 5 2" xfId="9889" xr:uid="{11E819C8-95FA-4FE0-8D7C-F0AAF41FDB2A}"/>
    <cellStyle name="Normal 11 2 2 6" xfId="6721" xr:uid="{C9AC00F6-B5C4-4285-9607-0A6D8FFA23CB}"/>
    <cellStyle name="Normal 11 2 3" xfId="554" xr:uid="{3544ED2C-755A-44F6-824E-8A856A5D9B55}"/>
    <cellStyle name="Normal 11 2 3 2" xfId="1353" xr:uid="{13A3719C-97A3-40B2-B22C-8C5DF9C078EA}"/>
    <cellStyle name="Normal 11 2 3 2 2" xfId="2924" xr:uid="{D2FC229A-E6D8-410C-B3C8-C8725691693B}"/>
    <cellStyle name="Normal 11 2 3 2 2 2" xfId="6094" xr:uid="{004B0C01-06CD-4D60-AEBD-958CF0BF1EE2}"/>
    <cellStyle name="Normal 11 2 3 2 2 2 2" xfId="12433" xr:uid="{DDD8C973-411D-41D7-8D38-0C8B520BB15E}"/>
    <cellStyle name="Normal 11 2 3 2 2 3" xfId="9265" xr:uid="{080F378A-AC9C-4FA2-826C-F729C5DD1908}"/>
    <cellStyle name="Normal 11 2 3 2 3" xfId="4525" xr:uid="{8E6B88A7-2804-4280-ACF6-C03373478387}"/>
    <cellStyle name="Normal 11 2 3 2 3 2" xfId="10864" xr:uid="{C94DAE57-ED60-47E1-ADE5-D35E09C790EE}"/>
    <cellStyle name="Normal 11 2 3 2 4" xfId="7696" xr:uid="{F444D0BF-8F26-4EFF-8489-920A4ABB7942}"/>
    <cellStyle name="Normal 11 2 3 3" xfId="2127" xr:uid="{C42E2DDF-CA35-47CB-B84B-23D679E0CB58}"/>
    <cellStyle name="Normal 11 2 3 3 2" xfId="5297" xr:uid="{E0C59F06-1B46-4155-8526-283BAAFAB421}"/>
    <cellStyle name="Normal 11 2 3 3 2 2" xfId="11636" xr:uid="{196E6EEC-D449-4D76-B7AA-00745DD365A0}"/>
    <cellStyle name="Normal 11 2 3 3 3" xfId="8468" xr:uid="{7D2F1F4D-233B-41C9-8BC2-5CB9E5E366D7}"/>
    <cellStyle name="Normal 11 2 3 4" xfId="3728" xr:uid="{93D236A6-2BA6-4A72-B6A5-FE576E9F7F6F}"/>
    <cellStyle name="Normal 11 2 3 4 2" xfId="10067" xr:uid="{6FE0EB55-2C1B-4E37-B60E-EFCEC3C1AECC}"/>
    <cellStyle name="Normal 11 2 3 5" xfId="6899" xr:uid="{37718A31-18C4-4B27-B52E-64A7EF5B8033}"/>
    <cellStyle name="Normal 11 2 4" xfId="972" xr:uid="{9C32EDEB-C6A5-4B3D-8D49-7F66DD641E21}"/>
    <cellStyle name="Normal 11 2 4 2" xfId="2543" xr:uid="{16E11BE5-2131-4E66-B252-7E0F25908BB0}"/>
    <cellStyle name="Normal 11 2 4 2 2" xfId="5713" xr:uid="{C90346B5-F1F6-400D-8CCD-5FC358A3C72B}"/>
    <cellStyle name="Normal 11 2 4 2 2 2" xfId="12052" xr:uid="{AAAB952F-D22C-429F-8151-EBDB3D4C9AF6}"/>
    <cellStyle name="Normal 11 2 4 2 3" xfId="8884" xr:uid="{85184174-0E54-451A-A1B2-7EBAAB3964BF}"/>
    <cellStyle name="Normal 11 2 4 3" xfId="4144" xr:uid="{AC073E10-78FA-4FF0-836F-950E37C86754}"/>
    <cellStyle name="Normal 11 2 4 3 2" xfId="10483" xr:uid="{43877EC8-1AA1-459F-A208-FE8A8CC3BB47}"/>
    <cellStyle name="Normal 11 2 4 4" xfId="7315" xr:uid="{D439E4D9-04D6-4AEA-BBD6-8C14CDF5DD14}"/>
    <cellStyle name="Normal 11 2 5" xfId="1746" xr:uid="{B67A61DF-D9F3-4072-8E92-87A07283DFC6}"/>
    <cellStyle name="Normal 11 2 5 2" xfId="4916" xr:uid="{6DF9F1D2-9F51-4AA8-B434-080B64961702}"/>
    <cellStyle name="Normal 11 2 5 2 2" xfId="11255" xr:uid="{A4EB7747-A7D7-4745-8165-EB317A8CDB23}"/>
    <cellStyle name="Normal 11 2 5 3" xfId="8087" xr:uid="{DB762EC9-75BD-4ED5-94CE-60860018A551}"/>
    <cellStyle name="Normal 11 2 6" xfId="3347" xr:uid="{E1B7BCED-0D17-4133-858B-1DFAFB40DC08}"/>
    <cellStyle name="Normal 11 2 6 2" xfId="9686" xr:uid="{44E91599-FD1A-402B-AB29-2EA29C2A50F8}"/>
    <cellStyle name="Normal 11 2 7" xfId="6518" xr:uid="{A7AA265F-7404-446A-AFC6-94A8BDBAC932}"/>
    <cellStyle name="Normal 11 3" xfId="294" xr:uid="{BA849878-99EF-4327-9E44-3B8868770037}"/>
    <cellStyle name="Normal 11 3 2" xfId="684" xr:uid="{3F64090C-B9FA-4DDF-A551-59AAE7D3AB41}"/>
    <cellStyle name="Normal 11 3 2 2" xfId="1483" xr:uid="{31B18F11-C68D-40CA-A154-D576AE3CBF50}"/>
    <cellStyle name="Normal 11 3 2 2 2" xfId="3054" xr:uid="{7CC397C5-D694-4092-BD97-BA73CAA03AA6}"/>
    <cellStyle name="Normal 11 3 2 2 2 2" xfId="6224" xr:uid="{33BC6748-A621-4795-A714-39D155970387}"/>
    <cellStyle name="Normal 11 3 2 2 2 2 2" xfId="12563" xr:uid="{CB9E178B-17E1-4B40-89B1-AEE60C3FD0B3}"/>
    <cellStyle name="Normal 11 3 2 2 2 3" xfId="9395" xr:uid="{ED5E97E2-FDD1-465B-A32B-340BE66E7078}"/>
    <cellStyle name="Normal 11 3 2 2 3" xfId="4655" xr:uid="{D8648E8D-E998-419A-8615-3432DF14676D}"/>
    <cellStyle name="Normal 11 3 2 2 3 2" xfId="10994" xr:uid="{4A3B3968-B926-46FA-886E-F3D64B86D98A}"/>
    <cellStyle name="Normal 11 3 2 2 4" xfId="7826" xr:uid="{F28D7B75-0D6C-44C3-B183-65B4329AC2F9}"/>
    <cellStyle name="Normal 11 3 2 3" xfId="2257" xr:uid="{A7C64D3A-7EE7-4A10-B52D-4FEEC6100940}"/>
    <cellStyle name="Normal 11 3 2 3 2" xfId="5427" xr:uid="{2F6839E9-4EF3-47E9-92DD-E586D6688D00}"/>
    <cellStyle name="Normal 11 3 2 3 2 2" xfId="11766" xr:uid="{77F51AB4-9D3B-4E0E-99C9-51B350C19395}"/>
    <cellStyle name="Normal 11 3 2 3 3" xfId="8598" xr:uid="{98E13275-6535-4670-BFE8-4BD7347F2C12}"/>
    <cellStyle name="Normal 11 3 2 4" xfId="3858" xr:uid="{46EF4329-E1B5-4097-BDE7-125C6E435CCE}"/>
    <cellStyle name="Normal 11 3 2 4 2" xfId="10197" xr:uid="{FC973A7D-010A-4E33-BF3C-5C09583287AB}"/>
    <cellStyle name="Normal 11 3 2 5" xfId="7029" xr:uid="{5E34F803-A0F5-4B9F-8C96-02CF0B216C12}"/>
    <cellStyle name="Normal 11 3 3" xfId="1102" xr:uid="{DC5A3760-C3CE-4C16-A87D-F23C1D07174A}"/>
    <cellStyle name="Normal 11 3 3 2" xfId="2673" xr:uid="{5DB05574-1CA8-42C8-BF1D-8385D8215B17}"/>
    <cellStyle name="Normal 11 3 3 2 2" xfId="5843" xr:uid="{D174B6BD-8807-4686-A208-C460C4F44696}"/>
    <cellStyle name="Normal 11 3 3 2 2 2" xfId="12182" xr:uid="{78366D1D-A0AC-4096-8BCD-FBD7C5BBEC6B}"/>
    <cellStyle name="Normal 11 3 3 2 3" xfId="9014" xr:uid="{ED89BE16-865D-401B-B056-4E4F317700C6}"/>
    <cellStyle name="Normal 11 3 3 3" xfId="4274" xr:uid="{2EFCBEDF-B730-494C-8A37-044A10CB097A}"/>
    <cellStyle name="Normal 11 3 3 3 2" xfId="10613" xr:uid="{FA2C71EE-94A4-4079-B3A6-BF9017C8F69E}"/>
    <cellStyle name="Normal 11 3 3 4" xfId="7445" xr:uid="{92DCAD32-C2FA-41DB-8A0C-2AA7DD61592D}"/>
    <cellStyle name="Normal 11 3 4" xfId="1876" xr:uid="{A94419A9-1656-43D1-8945-AF2CC13B5384}"/>
    <cellStyle name="Normal 11 3 4 2" xfId="5046" xr:uid="{B9B01410-7D91-4EF1-88B0-4F2B38610563}"/>
    <cellStyle name="Normal 11 3 4 2 2" xfId="11385" xr:uid="{D6E7AC06-5EB7-4FF0-90E6-3011B90A63FB}"/>
    <cellStyle name="Normal 11 3 4 3" xfId="8217" xr:uid="{67183CBC-6CCB-4ADD-9D13-DFA712C9DB59}"/>
    <cellStyle name="Normal 11 3 5" xfId="3477" xr:uid="{DAEBE6AB-6923-436D-AD56-519D4CCEE9B9}"/>
    <cellStyle name="Normal 11 3 5 2" xfId="9816" xr:uid="{0F2CAD61-608C-4E8D-912D-7A834C4BEB25}"/>
    <cellStyle name="Normal 11 3 6" xfId="6648" xr:uid="{71082994-DFF6-4910-9064-EEBFCEE569B1}"/>
    <cellStyle name="Normal 11 4" xfId="501" xr:uid="{9DE517D5-9516-4D5A-8AC0-E7CF543EDC80}"/>
    <cellStyle name="Normal 11 4 2" xfId="1300" xr:uid="{9F180B7D-028B-448F-9C5E-BA2CAA4570B0}"/>
    <cellStyle name="Normal 11 4 2 2" xfId="2871" xr:uid="{465AAF07-8C26-41D5-A2FC-01DAA7F2CCF5}"/>
    <cellStyle name="Normal 11 4 2 2 2" xfId="6041" xr:uid="{660AC1E5-7334-4AE1-863E-D86B9346A8D2}"/>
    <cellStyle name="Normal 11 4 2 2 2 2" xfId="12380" xr:uid="{90280A45-CF83-424D-96C5-5CCC4A94473B}"/>
    <cellStyle name="Normal 11 4 2 2 3" xfId="9212" xr:uid="{2185F475-8501-41F1-9469-C0F698F41D04}"/>
    <cellStyle name="Normal 11 4 2 3" xfId="4472" xr:uid="{122B64EF-2C32-4955-9336-14CDB2BB5ABA}"/>
    <cellStyle name="Normal 11 4 2 3 2" xfId="10811" xr:uid="{8A6EBC44-95EE-49A5-87E8-DCD9C139B610}"/>
    <cellStyle name="Normal 11 4 2 4" xfId="7643" xr:uid="{6353153E-69E3-4C64-ACEE-4D0AC282643D}"/>
    <cellStyle name="Normal 11 4 3" xfId="2074" xr:uid="{5B2D0AB3-7360-4A31-8193-1893891D6CFF}"/>
    <cellStyle name="Normal 11 4 3 2" xfId="5244" xr:uid="{E99920DE-DBB1-4A81-99AF-B96F057D279C}"/>
    <cellStyle name="Normal 11 4 3 2 2" xfId="11583" xr:uid="{0BE33F98-B899-4D2A-B74C-E0FB20753A86}"/>
    <cellStyle name="Normal 11 4 3 3" xfId="8415" xr:uid="{9680D8E0-5371-436F-AA94-0DB5575F82F2}"/>
    <cellStyle name="Normal 11 4 4" xfId="3675" xr:uid="{A9CCC462-11CD-42B1-8F53-517FE23F14D7}"/>
    <cellStyle name="Normal 11 4 4 2" xfId="10014" xr:uid="{3CBD150F-1094-424E-BEDB-7364BC52396F}"/>
    <cellStyle name="Normal 11 4 5" xfId="6846" xr:uid="{20BBF925-B179-4B50-BD18-FB9069EA2811}"/>
    <cellStyle name="Normal 11 5" xfId="899" xr:uid="{E29C398B-E608-4742-AB4F-524502BE9A64}"/>
    <cellStyle name="Normal 11 5 2" xfId="2470" xr:uid="{AEFC5D5F-887C-43A0-87F5-B8D209CB904D}"/>
    <cellStyle name="Normal 11 5 2 2" xfId="5640" xr:uid="{EA040472-B864-4439-A0E6-D2238D84BC47}"/>
    <cellStyle name="Normal 11 5 2 2 2" xfId="11979" xr:uid="{ABB72C34-6CD8-4C46-BAAC-8F29A70F4CBD}"/>
    <cellStyle name="Normal 11 5 2 3" xfId="8811" xr:uid="{CD487489-CE89-4901-9394-41527083869E}"/>
    <cellStyle name="Normal 11 5 3" xfId="4071" xr:uid="{B5F95FA2-3A3F-4E5F-8346-198A1746042B}"/>
    <cellStyle name="Normal 11 5 3 2" xfId="10410" xr:uid="{09A46092-1CA4-485B-86AF-855A33816AB6}"/>
    <cellStyle name="Normal 11 5 4" xfId="7242" xr:uid="{7A921EDE-7565-41FC-B7FA-DC539C6A7829}"/>
    <cellStyle name="Normal 11 6" xfId="1696" xr:uid="{A11E373E-C146-459A-B4F0-E1E6744B7ED7}"/>
    <cellStyle name="Normal 11 6 2" xfId="4866" xr:uid="{6E0754D0-93B8-4B65-8E2B-F7FC1FDA4D9E}"/>
    <cellStyle name="Normal 11 6 2 2" xfId="11205" xr:uid="{8551209C-3AB3-41E5-A4F0-D71B91D6BF7A}"/>
    <cellStyle name="Normal 11 6 3" xfId="8037" xr:uid="{F220345E-6A74-4355-8B95-E53A91752C7A}"/>
    <cellStyle name="Normal 11 7" xfId="3274" xr:uid="{41B7C144-E639-49BD-973C-2CF534DFA8A1}"/>
    <cellStyle name="Normal 11 7 2" xfId="9613" xr:uid="{E65D328B-7882-4FE9-8162-CEF224FD72FA}"/>
    <cellStyle name="Normal 11 8" xfId="6445" xr:uid="{486026AE-5679-473A-AB6D-85552905024A}"/>
    <cellStyle name="Normal 12" xfId="71" xr:uid="{8EDB35AC-C1F1-47AF-8CCF-EF56FCD9D166}"/>
    <cellStyle name="Normal 12 2" xfId="160" xr:uid="{A0FD1B71-4002-4FE5-9D6D-6DF98DFBC600}"/>
    <cellStyle name="Normal 12 2 2" xfId="377" xr:uid="{0CF248EF-0BC8-4260-8BD6-901E1BDE82DD}"/>
    <cellStyle name="Normal 12 2 2 2" xfId="758" xr:uid="{05833779-D8C2-4D64-A2D9-FADBFCDBB188}"/>
    <cellStyle name="Normal 12 2 2 2 2" xfId="1557" xr:uid="{68D633CF-E84C-436D-85E1-022C67B1BAA8}"/>
    <cellStyle name="Normal 12 2 2 2 2 2" xfId="3128" xr:uid="{B169DC71-C3DA-4183-AB9A-FB7883E8B902}"/>
    <cellStyle name="Normal 12 2 2 2 2 2 2" xfId="6298" xr:uid="{63E6758A-4A70-4979-B2ED-B457199191DD}"/>
    <cellStyle name="Normal 12 2 2 2 2 2 2 2" xfId="12637" xr:uid="{3304F507-DB98-4602-8D07-28E8C43C4919}"/>
    <cellStyle name="Normal 12 2 2 2 2 2 3" xfId="9469" xr:uid="{30E13A87-A068-4184-A671-8030B96C2F50}"/>
    <cellStyle name="Normal 12 2 2 2 2 3" xfId="4729" xr:uid="{91561C4C-FE44-429E-9D3D-C01BCF8D17EC}"/>
    <cellStyle name="Normal 12 2 2 2 2 3 2" xfId="11068" xr:uid="{3CBB9C1E-5461-4698-830E-0C082489C839}"/>
    <cellStyle name="Normal 12 2 2 2 2 4" xfId="7900" xr:uid="{3FF32749-BF5C-4BB4-8B0B-F4A6D3DA86D0}"/>
    <cellStyle name="Normal 12 2 2 2 3" xfId="2331" xr:uid="{95BFA89D-9D88-4857-863F-16F849F61612}"/>
    <cellStyle name="Normal 12 2 2 2 3 2" xfId="5501" xr:uid="{03B9DA09-528D-4DBD-9A09-3932D197EE61}"/>
    <cellStyle name="Normal 12 2 2 2 3 2 2" xfId="11840" xr:uid="{123A0245-96D5-4ACD-93B1-5CFB62145BD1}"/>
    <cellStyle name="Normal 12 2 2 2 3 3" xfId="8672" xr:uid="{2A42EF80-279F-4A0F-B921-B39933AAD320}"/>
    <cellStyle name="Normal 12 2 2 2 4" xfId="3932" xr:uid="{7C4386F4-7307-46B0-BFED-51B845987A38}"/>
    <cellStyle name="Normal 12 2 2 2 4 2" xfId="10271" xr:uid="{700AC481-EE54-443A-8E3D-184F8CED53FF}"/>
    <cellStyle name="Normal 12 2 2 2 5" xfId="7103" xr:uid="{6C069361-2C44-4F75-A89A-0536ACA047B7}"/>
    <cellStyle name="Normal 12 2 2 3" xfId="1176" xr:uid="{E3A8A1E0-2000-47D0-B7AD-ABFF3B962744}"/>
    <cellStyle name="Normal 12 2 2 3 2" xfId="2747" xr:uid="{BE674B8B-DF31-4032-80E4-48B5AF933446}"/>
    <cellStyle name="Normal 12 2 2 3 2 2" xfId="5917" xr:uid="{F5F738C0-4636-492B-A476-05D1F0662931}"/>
    <cellStyle name="Normal 12 2 2 3 2 2 2" xfId="12256" xr:uid="{B9A22B67-6B73-4D68-8083-A36DA63A9BCE}"/>
    <cellStyle name="Normal 12 2 2 3 2 3" xfId="9088" xr:uid="{BCF27E11-B51D-49DB-809C-6E477E615D8C}"/>
    <cellStyle name="Normal 12 2 2 3 3" xfId="4348" xr:uid="{0C4356AC-71D8-4D60-80DB-201F1E34CA12}"/>
    <cellStyle name="Normal 12 2 2 3 3 2" xfId="10687" xr:uid="{AB39133E-C7AB-4599-9A8D-D0DF5C1C4995}"/>
    <cellStyle name="Normal 12 2 2 3 4" xfId="7519" xr:uid="{8DF4EB54-8212-433B-8CEB-0D321D553E60}"/>
    <cellStyle name="Normal 12 2 2 4" xfId="1950" xr:uid="{AF24CD7A-E958-4DBB-904F-D01B1BCBBB3D}"/>
    <cellStyle name="Normal 12 2 2 4 2" xfId="5120" xr:uid="{D82FB90B-6817-477C-8BD6-4FF1823AF393}"/>
    <cellStyle name="Normal 12 2 2 4 2 2" xfId="11459" xr:uid="{BB723C24-B8CA-4E29-8B79-928D9BC6223A}"/>
    <cellStyle name="Normal 12 2 2 4 3" xfId="8291" xr:uid="{33456305-4DE3-416D-A9DA-495F1541C9E3}"/>
    <cellStyle name="Normal 12 2 2 5" xfId="3551" xr:uid="{524FADCB-8957-460B-9A76-BFDBE5141DDC}"/>
    <cellStyle name="Normal 12 2 2 5 2" xfId="9890" xr:uid="{37EC82D1-68A7-4BAB-9E8C-57DA7C360EF0}"/>
    <cellStyle name="Normal 12 2 2 6" xfId="6722" xr:uid="{2E7D7FD9-8D3D-4AF9-9C2F-6629A8D305A6}"/>
    <cellStyle name="Normal 12 2 3" xfId="555" xr:uid="{7A636181-EB45-4AC2-9ECD-82F31B0916C4}"/>
    <cellStyle name="Normal 12 2 3 2" xfId="1354" xr:uid="{96B35976-1D3A-4D53-A5F1-D7BA241F6714}"/>
    <cellStyle name="Normal 12 2 3 2 2" xfId="2925" xr:uid="{3BE5A440-E486-460A-8C7D-E1661D7DBF32}"/>
    <cellStyle name="Normal 12 2 3 2 2 2" xfId="6095" xr:uid="{98BF6B15-AFD2-4CF4-B8F6-B3469B10CB1B}"/>
    <cellStyle name="Normal 12 2 3 2 2 2 2" xfId="12434" xr:uid="{B78006F2-DAE2-4DA3-A2B5-2C5FD5A988E2}"/>
    <cellStyle name="Normal 12 2 3 2 2 3" xfId="9266" xr:uid="{8182F451-1795-4342-8BE8-BE53744FD745}"/>
    <cellStyle name="Normal 12 2 3 2 3" xfId="4526" xr:uid="{50D56098-B719-4850-8530-BC11A1F6C3D4}"/>
    <cellStyle name="Normal 12 2 3 2 3 2" xfId="10865" xr:uid="{2CBE3306-98D0-4EB8-89BD-428488BFFC93}"/>
    <cellStyle name="Normal 12 2 3 2 4" xfId="7697" xr:uid="{8AF195FF-7DFA-493B-BF43-35C7612B9ACC}"/>
    <cellStyle name="Normal 12 2 3 3" xfId="2128" xr:uid="{17269BB8-B43C-46FA-8755-0FCF42467195}"/>
    <cellStyle name="Normal 12 2 3 3 2" xfId="5298" xr:uid="{252C6389-B2DC-4648-825F-6222114E0890}"/>
    <cellStyle name="Normal 12 2 3 3 2 2" xfId="11637" xr:uid="{13DD4B03-2766-464F-A96D-50C02FCBF985}"/>
    <cellStyle name="Normal 12 2 3 3 3" xfId="8469" xr:uid="{5C977B0D-CBCC-43B4-B78B-C83A1CCB84A7}"/>
    <cellStyle name="Normal 12 2 3 4" xfId="3729" xr:uid="{6DC9A315-E0F2-446B-9113-56C200117C07}"/>
    <cellStyle name="Normal 12 2 3 4 2" xfId="10068" xr:uid="{9CED4C04-5B52-4420-8395-F789DD062F24}"/>
    <cellStyle name="Normal 12 2 3 5" xfId="6900" xr:uid="{652B222D-539F-4244-AC70-3F6135CB7E1E}"/>
    <cellStyle name="Normal 12 2 4" xfId="973" xr:uid="{9FBB9CF2-4A4A-474E-8C8A-B91187D6BDC7}"/>
    <cellStyle name="Normal 12 2 4 2" xfId="2544" xr:uid="{FC9A5EAD-EE91-4EA7-948B-2BCA986EF8CD}"/>
    <cellStyle name="Normal 12 2 4 2 2" xfId="5714" xr:uid="{CA0E2ACF-1611-457D-B305-DD487DF0851B}"/>
    <cellStyle name="Normal 12 2 4 2 2 2" xfId="12053" xr:uid="{10B0EE2D-1087-4036-8893-602960BF8531}"/>
    <cellStyle name="Normal 12 2 4 2 3" xfId="8885" xr:uid="{69BE7477-0690-40CF-9B8B-06904744CCA4}"/>
    <cellStyle name="Normal 12 2 4 3" xfId="4145" xr:uid="{9C057D8A-F2B7-44CC-B2D7-0D86304D0D6F}"/>
    <cellStyle name="Normal 12 2 4 3 2" xfId="10484" xr:uid="{07B2C7C0-456E-4738-9788-379121FAEDD4}"/>
    <cellStyle name="Normal 12 2 4 4" xfId="7316" xr:uid="{42E2F8FC-5DE5-4BA1-A983-6D0D584844A8}"/>
    <cellStyle name="Normal 12 2 5" xfId="1747" xr:uid="{6723C4F0-CEC3-43CC-AB57-D223B88CBF02}"/>
    <cellStyle name="Normal 12 2 5 2" xfId="4917" xr:uid="{BC552EE9-F884-44B6-B56E-2A8B833FD8FD}"/>
    <cellStyle name="Normal 12 2 5 2 2" xfId="11256" xr:uid="{F9FFCCBB-96F5-4550-BFA9-FD9C513E8E4B}"/>
    <cellStyle name="Normal 12 2 5 3" xfId="8088" xr:uid="{C67837E9-9B4C-4809-96D3-5D212A64DD09}"/>
    <cellStyle name="Normal 12 2 6" xfId="3348" xr:uid="{A7E50DD9-F45F-49BB-835A-54209A39190E}"/>
    <cellStyle name="Normal 12 2 6 2" xfId="9687" xr:uid="{1D416B3A-68D4-44BF-B9CA-DF0F0EC94217}"/>
    <cellStyle name="Normal 12 2 7" xfId="6519" xr:uid="{C8119724-A907-4EDB-9803-FB7F0A1B7F9A}"/>
    <cellStyle name="Normal 12 3" xfId="295" xr:uid="{F61AEE82-7039-453E-8D67-7AFAD0A69F2A}"/>
    <cellStyle name="Normal 12 3 2" xfId="685" xr:uid="{A2582580-762B-4CCA-AF35-6FE8A72A3EFE}"/>
    <cellStyle name="Normal 12 3 2 2" xfId="1484" xr:uid="{4E762CBB-4580-42B1-B4D0-C4D5E058907C}"/>
    <cellStyle name="Normal 12 3 2 2 2" xfId="3055" xr:uid="{C5919FF0-E746-4522-9A37-ACC108100144}"/>
    <cellStyle name="Normal 12 3 2 2 2 2" xfId="6225" xr:uid="{53906EE7-8B8C-41F9-AB6D-C94A76ABD87F}"/>
    <cellStyle name="Normal 12 3 2 2 2 2 2" xfId="12564" xr:uid="{80C68140-FA7B-431E-8BCB-BF0BAF105558}"/>
    <cellStyle name="Normal 12 3 2 2 2 3" xfId="9396" xr:uid="{DB936DBF-FE7B-4814-B225-D6F793DBC782}"/>
    <cellStyle name="Normal 12 3 2 2 3" xfId="4656" xr:uid="{663626EC-2BFE-4888-B7AF-E470BB397756}"/>
    <cellStyle name="Normal 12 3 2 2 3 2" xfId="10995" xr:uid="{1594C1CE-43BD-41B0-9C88-4D393C781F85}"/>
    <cellStyle name="Normal 12 3 2 2 4" xfId="7827" xr:uid="{A5247D22-EF4E-4CE9-8B8E-009FBBB3160C}"/>
    <cellStyle name="Normal 12 3 2 3" xfId="2258" xr:uid="{6A18B8B0-E723-4D0F-B6FE-BA7B6E0CBA18}"/>
    <cellStyle name="Normal 12 3 2 3 2" xfId="5428" xr:uid="{D08EB9B4-0D91-4ADF-94F4-77FB62DB4C6E}"/>
    <cellStyle name="Normal 12 3 2 3 2 2" xfId="11767" xr:uid="{E4B52665-A99B-49F6-9347-2E2FEC5C7979}"/>
    <cellStyle name="Normal 12 3 2 3 3" xfId="8599" xr:uid="{AC6A7210-4951-4900-AF8E-307CF52607CA}"/>
    <cellStyle name="Normal 12 3 2 4" xfId="3859" xr:uid="{073AC0FF-AE5A-43E8-9E5A-AFE238AF206B}"/>
    <cellStyle name="Normal 12 3 2 4 2" xfId="10198" xr:uid="{8AB2411B-4DE9-4933-8CBA-6417A918E6EE}"/>
    <cellStyle name="Normal 12 3 2 5" xfId="7030" xr:uid="{0203A7CA-C1DA-458B-AD5B-35C5CD11CE07}"/>
    <cellStyle name="Normal 12 3 3" xfId="1103" xr:uid="{216B939F-C4FF-42E6-96E9-529916352BE2}"/>
    <cellStyle name="Normal 12 3 3 2" xfId="2674" xr:uid="{00704B8D-9A99-4A81-BD6A-6C781C570F0B}"/>
    <cellStyle name="Normal 12 3 3 2 2" xfId="5844" xr:uid="{0BE7D050-3B5F-4F27-BB6B-22C881BD2399}"/>
    <cellStyle name="Normal 12 3 3 2 2 2" xfId="12183" xr:uid="{998135D4-12B8-48C3-A235-3C5EE6899C12}"/>
    <cellStyle name="Normal 12 3 3 2 3" xfId="9015" xr:uid="{5878FB8D-EC56-4BE9-82E1-C18C31C6A226}"/>
    <cellStyle name="Normal 12 3 3 3" xfId="4275" xr:uid="{C71C4238-EA95-4DF5-8046-31311C58A15A}"/>
    <cellStyle name="Normal 12 3 3 3 2" xfId="10614" xr:uid="{E9E69E2C-1566-4ED8-8844-E26BC32B0485}"/>
    <cellStyle name="Normal 12 3 3 4" xfId="7446" xr:uid="{09F1C839-5EE6-42C0-9B23-C16435CDD13B}"/>
    <cellStyle name="Normal 12 3 4" xfId="1877" xr:uid="{D10AC7A6-EE3F-4252-9BB1-2DE46957528C}"/>
    <cellStyle name="Normal 12 3 4 2" xfId="5047" xr:uid="{F9487CFF-7A44-4F54-B234-BA8E0C5D6B56}"/>
    <cellStyle name="Normal 12 3 4 2 2" xfId="11386" xr:uid="{679FCC13-C20E-45C9-BE07-EE3253F2488A}"/>
    <cellStyle name="Normal 12 3 4 3" xfId="8218" xr:uid="{70B3A26E-CA19-44B1-8540-708359B7B12C}"/>
    <cellStyle name="Normal 12 3 5" xfId="3478" xr:uid="{64684961-671E-4DD4-A821-5C451C0BA35C}"/>
    <cellStyle name="Normal 12 3 5 2" xfId="9817" xr:uid="{471184D7-5C58-4A8B-9A94-778F4CAA692A}"/>
    <cellStyle name="Normal 12 3 6" xfId="6649" xr:uid="{953E81C4-80F3-4D33-8E7D-34DC6C9E60D8}"/>
    <cellStyle name="Normal 12 4" xfId="502" xr:uid="{B59530E5-459D-4299-B3C4-91A58A160802}"/>
    <cellStyle name="Normal 12 4 2" xfId="1301" xr:uid="{1AA1F944-BCE4-4A26-97E3-6BEC8C87A2CB}"/>
    <cellStyle name="Normal 12 4 2 2" xfId="2872" xr:uid="{305406BC-BDDE-415F-AD48-ADE5F9BA65AC}"/>
    <cellStyle name="Normal 12 4 2 2 2" xfId="6042" xr:uid="{5B5E1EF1-29AD-4702-8F97-DE9BC9612971}"/>
    <cellStyle name="Normal 12 4 2 2 2 2" xfId="12381" xr:uid="{4C580738-7E2E-4AD7-AAE3-D4C919948C29}"/>
    <cellStyle name="Normal 12 4 2 2 3" xfId="9213" xr:uid="{D6E3374E-6193-412E-A276-428035A35D91}"/>
    <cellStyle name="Normal 12 4 2 3" xfId="4473" xr:uid="{F85C78C5-785A-43C6-BC8D-ECCA0B2A51BF}"/>
    <cellStyle name="Normal 12 4 2 3 2" xfId="10812" xr:uid="{38A85343-AF9F-41E4-9B4A-A1D9AED72EA8}"/>
    <cellStyle name="Normal 12 4 2 4" xfId="7644" xr:uid="{D17ACAF8-94DC-40D3-AE2F-AB2757550FE0}"/>
    <cellStyle name="Normal 12 4 3" xfId="2075" xr:uid="{6488588F-680A-4EEF-89C1-4F7192E34E03}"/>
    <cellStyle name="Normal 12 4 3 2" xfId="5245" xr:uid="{2B0F9AA8-C5BB-4989-B15A-2331E0811534}"/>
    <cellStyle name="Normal 12 4 3 2 2" xfId="11584" xr:uid="{3EB5D067-882A-4540-B1E3-A294F153E848}"/>
    <cellStyle name="Normal 12 4 3 3" xfId="8416" xr:uid="{1FE4F10A-CD49-4133-8411-29A93D7C9570}"/>
    <cellStyle name="Normal 12 4 4" xfId="3676" xr:uid="{7352C15D-54BA-43D7-B84D-53A0000A563C}"/>
    <cellStyle name="Normal 12 4 4 2" xfId="10015" xr:uid="{64C48699-166D-42C0-AF5F-12D80AC2CB6D}"/>
    <cellStyle name="Normal 12 4 5" xfId="6847" xr:uid="{97ADB936-68FE-4C34-A313-A6D96145F830}"/>
    <cellStyle name="Normal 12 5" xfId="900" xr:uid="{34C7AB75-7F6E-46DC-9FC3-ED9BB6305020}"/>
    <cellStyle name="Normal 12 5 2" xfId="2471" xr:uid="{17955A06-E5C6-4999-AF2C-33411C2F6B8C}"/>
    <cellStyle name="Normal 12 5 2 2" xfId="5641" xr:uid="{C71C4954-A49D-4DFA-8493-7092AEA51AF1}"/>
    <cellStyle name="Normal 12 5 2 2 2" xfId="11980" xr:uid="{51711A19-F059-41BD-8DC9-72BA4D0BA177}"/>
    <cellStyle name="Normal 12 5 2 3" xfId="8812" xr:uid="{0EF054FE-FD7E-44B3-87D4-D712A614BCC3}"/>
    <cellStyle name="Normal 12 5 3" xfId="4072" xr:uid="{67D5E268-5C30-4EB1-B3BB-88E6061AD42E}"/>
    <cellStyle name="Normal 12 5 3 2" xfId="10411" xr:uid="{1ECEED89-7404-4C6D-A2D2-721EF4FA2F96}"/>
    <cellStyle name="Normal 12 5 4" xfId="7243" xr:uid="{17B75B77-053D-4A36-AFFE-B64D4E2F2386}"/>
    <cellStyle name="Normal 12 6" xfId="1697" xr:uid="{6A195D58-EF78-4F94-AFCD-EE247D8664A0}"/>
    <cellStyle name="Normal 12 6 2" xfId="4867" xr:uid="{ADDEC757-77EA-41EC-AE40-5829F3595426}"/>
    <cellStyle name="Normal 12 6 2 2" xfId="11206" xr:uid="{0F2FB627-A721-43EB-8805-2517D494B372}"/>
    <cellStyle name="Normal 12 6 3" xfId="8038" xr:uid="{DDF2F26D-EDD0-4EC4-8884-83D6470B3042}"/>
    <cellStyle name="Normal 12 7" xfId="3275" xr:uid="{AEA360A1-D029-44C2-88FD-7EACB67D3B85}"/>
    <cellStyle name="Normal 12 7 2" xfId="9614" xr:uid="{366B9CBA-4A99-42E8-B029-0BF65B90AABE}"/>
    <cellStyle name="Normal 12 8" xfId="6446" xr:uid="{E6917A01-2E83-437B-A3CC-162A6631C256}"/>
    <cellStyle name="Normal 13" xfId="81" xr:uid="{6C525D5F-6CFC-4572-AE77-52760CB5FCFB}"/>
    <cellStyle name="Normal 13 2" xfId="167" xr:uid="{17380690-797B-4045-B7FE-7476B2EE24DA}"/>
    <cellStyle name="Normal 13 2 2" xfId="384" xr:uid="{BB8F9A9C-E08E-4DA0-A9E5-426D09D1723C}"/>
    <cellStyle name="Normal 13 2 2 2" xfId="765" xr:uid="{20413E63-677E-4233-AFFE-DDAA9ED1F217}"/>
    <cellStyle name="Normal 13 2 2 2 2" xfId="1564" xr:uid="{5293049F-DC83-4025-84E4-A3604CDB9459}"/>
    <cellStyle name="Normal 13 2 2 2 2 2" xfId="3135" xr:uid="{92ABBD84-3112-4679-A185-1A9205912CAD}"/>
    <cellStyle name="Normal 13 2 2 2 2 2 2" xfId="6305" xr:uid="{5098DBD7-2A5A-4B34-AE0A-102EE4B0A109}"/>
    <cellStyle name="Normal 13 2 2 2 2 2 2 2" xfId="12644" xr:uid="{29F89E2E-E0E9-4BDC-B78F-0A97A47E461E}"/>
    <cellStyle name="Normal 13 2 2 2 2 2 3" xfId="9476" xr:uid="{913F9DF7-9CC5-4ED5-817A-945C65B4313B}"/>
    <cellStyle name="Normal 13 2 2 2 2 3" xfId="4736" xr:uid="{89C29B63-16B2-4533-8FB0-99AA5E017A9D}"/>
    <cellStyle name="Normal 13 2 2 2 2 3 2" xfId="11075" xr:uid="{BA007318-CA6B-4170-A4EF-5A6AE4F619DB}"/>
    <cellStyle name="Normal 13 2 2 2 2 4" xfId="7907" xr:uid="{AE5AF0DF-DC66-4523-8A2A-CD78FA37FD91}"/>
    <cellStyle name="Normal 13 2 2 2 3" xfId="2338" xr:uid="{6C52865E-BE7F-4911-B7E7-06F5535BDD6C}"/>
    <cellStyle name="Normal 13 2 2 2 3 2" xfId="5508" xr:uid="{2BE9C3BF-85ED-4775-A7C1-B9528362F80F}"/>
    <cellStyle name="Normal 13 2 2 2 3 2 2" xfId="11847" xr:uid="{E7FEE61E-1154-4CED-A35D-AFB7A24A268B}"/>
    <cellStyle name="Normal 13 2 2 2 3 3" xfId="8679" xr:uid="{885CADF8-CCF0-42BF-8D00-3B27BEAD5EF4}"/>
    <cellStyle name="Normal 13 2 2 2 4" xfId="3939" xr:uid="{C4946ABF-F4DD-4DDF-A080-73BC7C1591C9}"/>
    <cellStyle name="Normal 13 2 2 2 4 2" xfId="10278" xr:uid="{4B081D29-2006-4DF5-A59B-6A178BEB590C}"/>
    <cellStyle name="Normal 13 2 2 2 5" xfId="7110" xr:uid="{C55F70BC-E65A-4193-BC40-568740FDF25E}"/>
    <cellStyle name="Normal 13 2 2 3" xfId="1183" xr:uid="{ED786275-640C-42B9-9FEB-E8B0EDDE0E1E}"/>
    <cellStyle name="Normal 13 2 2 3 2" xfId="2754" xr:uid="{E325D916-25DC-49BB-8B8A-2CC1B647092A}"/>
    <cellStyle name="Normal 13 2 2 3 2 2" xfId="5924" xr:uid="{944A8FCF-8513-48A9-A1B2-BE410E910DE8}"/>
    <cellStyle name="Normal 13 2 2 3 2 2 2" xfId="12263" xr:uid="{AC3BC24F-0B1F-4E6D-BA81-2EAD7CA30C40}"/>
    <cellStyle name="Normal 13 2 2 3 2 3" xfId="9095" xr:uid="{B02AF35C-C3D6-4E9A-9B1F-4C89CBC471DC}"/>
    <cellStyle name="Normal 13 2 2 3 3" xfId="4355" xr:uid="{0450BA9D-D10D-4786-827B-4F39D5395D65}"/>
    <cellStyle name="Normal 13 2 2 3 3 2" xfId="10694" xr:uid="{E7077060-2FBD-4423-8EBC-BC370390CD55}"/>
    <cellStyle name="Normal 13 2 2 3 4" xfId="7526" xr:uid="{AEB3A8AA-608F-41B2-A83D-56A502D3B962}"/>
    <cellStyle name="Normal 13 2 2 4" xfId="1957" xr:uid="{607D8DA6-BE54-40F8-B255-82E97BC76834}"/>
    <cellStyle name="Normal 13 2 2 4 2" xfId="5127" xr:uid="{C22F79D8-99C7-4F2A-A65E-50FEFBD7C37F}"/>
    <cellStyle name="Normal 13 2 2 4 2 2" xfId="11466" xr:uid="{8EB021A3-A81B-427E-BA17-5874BA45312B}"/>
    <cellStyle name="Normal 13 2 2 4 3" xfId="8298" xr:uid="{CCC9A81F-ACC9-4DE7-B78A-B22119E77D68}"/>
    <cellStyle name="Normal 13 2 2 5" xfId="3558" xr:uid="{67E831D0-932F-477F-8200-B8610AF8B6EB}"/>
    <cellStyle name="Normal 13 2 2 5 2" xfId="9897" xr:uid="{237A4B87-0584-4369-B1E0-7132410B43D3}"/>
    <cellStyle name="Normal 13 2 2 6" xfId="6729" xr:uid="{F128A717-CE64-4EB7-8DF4-DF8844C6C28F}"/>
    <cellStyle name="Normal 13 2 3" xfId="562" xr:uid="{B61C0577-8CE2-4839-A694-83D463715A4F}"/>
    <cellStyle name="Normal 13 2 3 2" xfId="1361" xr:uid="{391495AA-D525-49C5-951B-6F736B6A83E8}"/>
    <cellStyle name="Normal 13 2 3 2 2" xfId="2932" xr:uid="{257E4601-B0F3-40E0-BBBE-7DAAAE6D64CF}"/>
    <cellStyle name="Normal 13 2 3 2 2 2" xfId="6102" xr:uid="{823F6023-2940-4369-A693-6C0FEBB595C7}"/>
    <cellStyle name="Normal 13 2 3 2 2 2 2" xfId="12441" xr:uid="{826FE525-C7C0-4CFE-9DAD-8B2CF86954F2}"/>
    <cellStyle name="Normal 13 2 3 2 2 3" xfId="9273" xr:uid="{EF954FAA-AFFF-4294-8F36-360419F13FB5}"/>
    <cellStyle name="Normal 13 2 3 2 3" xfId="4533" xr:uid="{4FC30077-F3AD-40BD-8A26-22AA179DD5F8}"/>
    <cellStyle name="Normal 13 2 3 2 3 2" xfId="10872" xr:uid="{63CC6DF8-B024-4CDB-9CAB-876862648124}"/>
    <cellStyle name="Normal 13 2 3 2 4" xfId="7704" xr:uid="{185EF986-A168-42EC-9185-D991F5FF9725}"/>
    <cellStyle name="Normal 13 2 3 3" xfId="2135" xr:uid="{C9B76ECE-45B7-43AE-94AB-B642D1D06D91}"/>
    <cellStyle name="Normal 13 2 3 3 2" xfId="5305" xr:uid="{B2D9D3E8-C0D7-402D-931D-FCD803D61026}"/>
    <cellStyle name="Normal 13 2 3 3 2 2" xfId="11644" xr:uid="{F134C843-58B1-4BF3-AEDF-E2891BDA71D2}"/>
    <cellStyle name="Normal 13 2 3 3 3" xfId="8476" xr:uid="{39B8DE59-4110-4450-918F-B3C3D26FC379}"/>
    <cellStyle name="Normal 13 2 3 4" xfId="3736" xr:uid="{73ECB21D-2615-41BD-B320-8AE068BF6F43}"/>
    <cellStyle name="Normal 13 2 3 4 2" xfId="10075" xr:uid="{C3CA9DA6-4DD0-4023-850D-67AF7E7EC104}"/>
    <cellStyle name="Normal 13 2 3 5" xfId="6907" xr:uid="{7C4F9A28-44CA-4A81-9745-244823465FF3}"/>
    <cellStyle name="Normal 13 2 4" xfId="980" xr:uid="{A4AADFCF-D1B3-4B04-82C2-4AA1C0C359CC}"/>
    <cellStyle name="Normal 13 2 4 2" xfId="2551" xr:uid="{EF2B74CB-D847-4A7D-A742-B23F465C63E0}"/>
    <cellStyle name="Normal 13 2 4 2 2" xfId="5721" xr:uid="{802BD910-7732-46D5-8BB8-10B6F302C487}"/>
    <cellStyle name="Normal 13 2 4 2 2 2" xfId="12060" xr:uid="{37351654-590F-4979-8583-F313EB94643D}"/>
    <cellStyle name="Normal 13 2 4 2 3" xfId="8892" xr:uid="{DAC6A2AE-1E76-4887-A3A7-D6F6FFD114FD}"/>
    <cellStyle name="Normal 13 2 4 3" xfId="4152" xr:uid="{E44F2355-644C-46A4-8675-5462A497F616}"/>
    <cellStyle name="Normal 13 2 4 3 2" xfId="10491" xr:uid="{70523376-CEC5-49A8-8FDE-0DD5126E490C}"/>
    <cellStyle name="Normal 13 2 4 4" xfId="7323" xr:uid="{BE6216DF-96A6-483E-8650-04FEB4777C56}"/>
    <cellStyle name="Normal 13 2 5" xfId="1754" xr:uid="{C01272C4-C320-471B-8D27-ABCD1BB9A266}"/>
    <cellStyle name="Normal 13 2 5 2" xfId="4924" xr:uid="{EE13B7BE-4C5A-4EF6-9D5E-BD05399426D3}"/>
    <cellStyle name="Normal 13 2 5 2 2" xfId="11263" xr:uid="{F2A8365C-51F8-451E-9690-C695FF9623A5}"/>
    <cellStyle name="Normal 13 2 5 3" xfId="8095" xr:uid="{2358BAEE-3FC0-457C-86C5-FB9082824284}"/>
    <cellStyle name="Normal 13 2 6" xfId="3355" xr:uid="{448F5B39-918A-4631-A7A1-F2D54CE42F60}"/>
    <cellStyle name="Normal 13 2 6 2" xfId="9694" xr:uid="{5DBA0AA4-2270-4FEE-ABED-E36AF83C6CD9}"/>
    <cellStyle name="Normal 13 2 7" xfId="6526" xr:uid="{A667EE1A-300F-48D0-BA63-8A1FF229E738}"/>
    <cellStyle name="Normal 13 3" xfId="302" xr:uid="{C465AFA5-51D8-4767-A98E-0793439D335F}"/>
    <cellStyle name="Normal 13 3 2" xfId="691" xr:uid="{2327122C-5811-4A8A-AD95-D509CA22BF46}"/>
    <cellStyle name="Normal 13 3 2 2" xfId="1490" xr:uid="{44811660-85BE-4D4A-9C39-14254CA08ACA}"/>
    <cellStyle name="Normal 13 3 2 2 2" xfId="3061" xr:uid="{BBC0BCE6-D5AA-4844-836F-95F16B3B344B}"/>
    <cellStyle name="Normal 13 3 2 2 2 2" xfId="6231" xr:uid="{026A205B-1211-4FDF-BF20-EE156C7C8B6E}"/>
    <cellStyle name="Normal 13 3 2 2 2 2 2" xfId="12570" xr:uid="{198628A9-FF85-4686-8AE2-F4DE24EE1817}"/>
    <cellStyle name="Normal 13 3 2 2 2 3" xfId="9402" xr:uid="{C68600B0-7ED5-4B1E-A3FA-3C1EAE7B8A6B}"/>
    <cellStyle name="Normal 13 3 2 2 3" xfId="4662" xr:uid="{1454DF7B-A56F-42D6-8707-6924A9DDAF60}"/>
    <cellStyle name="Normal 13 3 2 2 3 2" xfId="11001" xr:uid="{F7EBE7E2-24AC-48A0-971A-122B3E3BAE67}"/>
    <cellStyle name="Normal 13 3 2 2 4" xfId="7833" xr:uid="{4484503E-1483-4316-B1FB-4EF696F24992}"/>
    <cellStyle name="Normal 13 3 2 3" xfId="2264" xr:uid="{39B1C6D2-9492-44B5-8CAC-341F80FBC392}"/>
    <cellStyle name="Normal 13 3 2 3 2" xfId="5434" xr:uid="{4000073C-EFC7-478E-B437-D116BE525E17}"/>
    <cellStyle name="Normal 13 3 2 3 2 2" xfId="11773" xr:uid="{71AAA21D-5BB1-403C-9CDA-30736B35AC36}"/>
    <cellStyle name="Normal 13 3 2 3 3" xfId="8605" xr:uid="{F799B6EB-AD04-487D-B2E8-91DA9C52C04F}"/>
    <cellStyle name="Normal 13 3 2 4" xfId="3865" xr:uid="{B39EA5D0-16EE-45F2-A410-73AA6AA652B8}"/>
    <cellStyle name="Normal 13 3 2 4 2" xfId="10204" xr:uid="{235DBD12-52B1-4F36-B222-CAF0C2C60C9C}"/>
    <cellStyle name="Normal 13 3 2 5" xfId="7036" xr:uid="{8EE3E2FA-5DDA-4B1B-AF1D-18D5AABED16F}"/>
    <cellStyle name="Normal 13 3 3" xfId="1109" xr:uid="{FE61A896-8533-49B5-B52D-55F34B6EAB7D}"/>
    <cellStyle name="Normal 13 3 3 2" xfId="2680" xr:uid="{25A26552-BE87-44B0-AE1F-8098AA89BDBC}"/>
    <cellStyle name="Normal 13 3 3 2 2" xfId="5850" xr:uid="{D6DAFB98-61A8-4BF2-8C61-45A09DCDE287}"/>
    <cellStyle name="Normal 13 3 3 2 2 2" xfId="12189" xr:uid="{D2604A5F-A94F-403B-8755-100F2F5CA076}"/>
    <cellStyle name="Normal 13 3 3 2 3" xfId="9021" xr:uid="{8EA033AB-AF93-4C24-B0EA-B11A7DF58D85}"/>
    <cellStyle name="Normal 13 3 3 3" xfId="4281" xr:uid="{7E112A7A-D044-4246-A464-F7064855B6FC}"/>
    <cellStyle name="Normal 13 3 3 3 2" xfId="10620" xr:uid="{E9243198-A398-435B-AB06-0FA848D83BC1}"/>
    <cellStyle name="Normal 13 3 3 4" xfId="7452" xr:uid="{34DB47B0-4C17-49E6-A91D-7D89F164AA2B}"/>
    <cellStyle name="Normal 13 3 4" xfId="1883" xr:uid="{E12FBBF4-9389-453B-9465-574539CF223F}"/>
    <cellStyle name="Normal 13 3 4 2" xfId="5053" xr:uid="{4A475D72-2461-420A-A8F2-F6B3F6D5C403}"/>
    <cellStyle name="Normal 13 3 4 2 2" xfId="11392" xr:uid="{9031A8DD-0776-4945-A0E7-B6E43222C7B1}"/>
    <cellStyle name="Normal 13 3 4 3" xfId="8224" xr:uid="{F2A17EF0-1859-4396-B1B1-0BEDF131C916}"/>
    <cellStyle name="Normal 13 3 5" xfId="3484" xr:uid="{8003B5C6-5DC2-4B2B-88CE-49C980423D71}"/>
    <cellStyle name="Normal 13 3 5 2" xfId="9823" xr:uid="{6C76D4E5-1916-4200-BCD8-BEE2D1F17B9F}"/>
    <cellStyle name="Normal 13 3 6" xfId="6655" xr:uid="{F6E7A8FE-0B25-4140-8B23-651CBAB2E9B4}"/>
    <cellStyle name="Normal 13 4" xfId="508" xr:uid="{15726CE7-EA40-42E0-937A-2445D6E9B103}"/>
    <cellStyle name="Normal 13 4 2" xfId="1307" xr:uid="{C244134E-26A5-40E9-B6CA-9086AB70D58C}"/>
    <cellStyle name="Normal 13 4 2 2" xfId="2878" xr:uid="{9A3BFB40-54EC-4DDB-96D9-14EC8D434447}"/>
    <cellStyle name="Normal 13 4 2 2 2" xfId="6048" xr:uid="{9988BDE7-9C9E-4D2A-84AD-A4944D72FE7D}"/>
    <cellStyle name="Normal 13 4 2 2 2 2" xfId="12387" xr:uid="{E97E7EA8-6230-442C-9915-B6AD6EEDEC2F}"/>
    <cellStyle name="Normal 13 4 2 2 3" xfId="9219" xr:uid="{A898151F-F4A8-4D2C-9BCC-E13E1A115CB8}"/>
    <cellStyle name="Normal 13 4 2 3" xfId="4479" xr:uid="{4E6968B9-D261-4FE5-B48A-1AAD3B0ED291}"/>
    <cellStyle name="Normal 13 4 2 3 2" xfId="10818" xr:uid="{D659AEAF-1862-43E5-9010-45F726CC9F3A}"/>
    <cellStyle name="Normal 13 4 2 4" xfId="7650" xr:uid="{6094B01E-2A02-4B21-89C3-52A73EF077F7}"/>
    <cellStyle name="Normal 13 4 3" xfId="2081" xr:uid="{D5924A17-3A97-4860-8D66-39B5245F29BD}"/>
    <cellStyle name="Normal 13 4 3 2" xfId="5251" xr:uid="{C711AD48-9599-40B6-9582-601089699E97}"/>
    <cellStyle name="Normal 13 4 3 2 2" xfId="11590" xr:uid="{2CB9C255-CBC7-4427-B611-F2E64D67AC33}"/>
    <cellStyle name="Normal 13 4 3 3" xfId="8422" xr:uid="{DB5456F8-E53A-4892-8233-2185FB737912}"/>
    <cellStyle name="Normal 13 4 4" xfId="3682" xr:uid="{BB379EA7-4DFB-4880-9AF1-19559D5911EB}"/>
    <cellStyle name="Normal 13 4 4 2" xfId="10021" xr:uid="{81EB16AF-30EE-447B-87CD-8D5A95D50930}"/>
    <cellStyle name="Normal 13 4 5" xfId="6853" xr:uid="{1D70E701-C011-4FF0-B743-D0EFCCFC400E}"/>
    <cellStyle name="Normal 13 5" xfId="906" xr:uid="{36644B28-F123-4761-B2B4-43EC12ED8016}"/>
    <cellStyle name="Normal 13 5 2" xfId="2477" xr:uid="{A9897D3B-524F-4F4D-997A-43ABEF063C7E}"/>
    <cellStyle name="Normal 13 5 2 2" xfId="5647" xr:uid="{427348C9-027F-45C8-A16E-7ACF2D2DF0B3}"/>
    <cellStyle name="Normal 13 5 2 2 2" xfId="11986" xr:uid="{8137C88D-0B5D-4525-8102-BDEE9AC3735C}"/>
    <cellStyle name="Normal 13 5 2 3" xfId="8818" xr:uid="{ABAFAAEA-52FD-4A53-A26D-FD76A65F1B48}"/>
    <cellStyle name="Normal 13 5 3" xfId="4078" xr:uid="{603CB8CA-5E6E-40A2-BD6C-A02DCFE27303}"/>
    <cellStyle name="Normal 13 5 3 2" xfId="10417" xr:uid="{CAE1162E-84D5-4A64-AFB7-113FF8CCDD2F}"/>
    <cellStyle name="Normal 13 5 4" xfId="7249" xr:uid="{44F0411D-8964-42BF-BB54-716FF8206A80}"/>
    <cellStyle name="Normal 13 6" xfId="1702" xr:uid="{37D54B58-16F3-466E-A384-FD5A6A09535C}"/>
    <cellStyle name="Normal 13 6 2" xfId="4872" xr:uid="{51A471B0-FF47-4CD0-9E92-8A3AA04A8B79}"/>
    <cellStyle name="Normal 13 6 2 2" xfId="11211" xr:uid="{0A99D0B0-5DA8-48E2-88B7-5B26BC07EDA9}"/>
    <cellStyle name="Normal 13 6 3" xfId="8043" xr:uid="{BCF8C989-BB87-4E4B-81D0-B5F81EA553CA}"/>
    <cellStyle name="Normal 13 7" xfId="3281" xr:uid="{1C5DA7ED-C1DF-4D99-A87D-13270ED4766E}"/>
    <cellStyle name="Normal 13 7 2" xfId="9620" xr:uid="{08F3F1E4-0275-496A-BB49-2AB645CE20F3}"/>
    <cellStyle name="Normal 13 8" xfId="6452" xr:uid="{7D48FD6F-21C1-478F-BD14-709B7749A8CD}"/>
    <cellStyle name="Normal 14" xfId="87" xr:uid="{A5154AB0-7315-4234-82FF-D7337C2CB041}"/>
    <cellStyle name="Normal 14 2" xfId="96" xr:uid="{8F7EDDE5-A484-4B8D-87E5-0FA5DC62FC08}"/>
    <cellStyle name="Normal 14 3" xfId="173" xr:uid="{7E7C78E6-41A7-467E-807C-3B2AB6BDBA69}"/>
    <cellStyle name="Normal 14 3 2" xfId="390" xr:uid="{0FA31F17-F37D-4648-9CC3-29E42B2E5688}"/>
    <cellStyle name="Normal 14 3 2 2" xfId="771" xr:uid="{8D8453B5-3C94-4F5F-A03F-85189C675614}"/>
    <cellStyle name="Normal 14 3 2 2 2" xfId="1570" xr:uid="{37094F72-612C-439C-9368-A171CF4C75F7}"/>
    <cellStyle name="Normal 14 3 2 2 2 2" xfId="3141" xr:uid="{1F5408DA-5348-4D83-AA3F-971595C19F08}"/>
    <cellStyle name="Normal 14 3 2 2 2 2 2" xfId="6311" xr:uid="{77799D5F-C883-4882-9442-0A6164F9A700}"/>
    <cellStyle name="Normal 14 3 2 2 2 2 2 2" xfId="12650" xr:uid="{37A020A2-C6E2-4D91-888C-7ED1F079163B}"/>
    <cellStyle name="Normal 14 3 2 2 2 2 3" xfId="9482" xr:uid="{94683832-FD19-4221-88D8-5C476D5F33CA}"/>
    <cellStyle name="Normal 14 3 2 2 2 3" xfId="4742" xr:uid="{EC9948FC-F367-44FF-BC9A-80BE1FEDDD2D}"/>
    <cellStyle name="Normal 14 3 2 2 2 3 2" xfId="11081" xr:uid="{39C9233D-FC0D-4E70-981B-16FED993CFA0}"/>
    <cellStyle name="Normal 14 3 2 2 2 4" xfId="7913" xr:uid="{F10D7EFE-1032-4A74-8312-B9D81914EA4D}"/>
    <cellStyle name="Normal 14 3 2 2 3" xfId="2344" xr:uid="{266FD3EA-BBBE-4707-A39E-B98902BF38A5}"/>
    <cellStyle name="Normal 14 3 2 2 3 2" xfId="5514" xr:uid="{98D818E5-369B-4124-8CA9-4685E9B04690}"/>
    <cellStyle name="Normal 14 3 2 2 3 2 2" xfId="11853" xr:uid="{F6C55A4B-D33A-4E9D-B40A-85850089B6C6}"/>
    <cellStyle name="Normal 14 3 2 2 3 3" xfId="8685" xr:uid="{9C78F96F-CDF9-4554-9E91-34C53FB7F979}"/>
    <cellStyle name="Normal 14 3 2 2 4" xfId="3945" xr:uid="{6571A7E6-19D7-44B6-9E02-F95D3B3B558B}"/>
    <cellStyle name="Normal 14 3 2 2 4 2" xfId="10284" xr:uid="{E8F3F28D-FF33-4866-808B-82D9D90960EE}"/>
    <cellStyle name="Normal 14 3 2 2 5" xfId="7116" xr:uid="{B33B9A15-CCD1-4D66-A183-4FE5016BD04D}"/>
    <cellStyle name="Normal 14 3 2 3" xfId="1189" xr:uid="{C5E238DF-7B16-4C40-987F-8149F5C7367B}"/>
    <cellStyle name="Normal 14 3 2 3 2" xfId="2760" xr:uid="{124F2491-68DC-47DE-AB9C-345D22AFFBA4}"/>
    <cellStyle name="Normal 14 3 2 3 2 2" xfId="5930" xr:uid="{117377A8-BE3D-41F2-85DC-E47B09D031F3}"/>
    <cellStyle name="Normal 14 3 2 3 2 2 2" xfId="12269" xr:uid="{6BB13A8F-0672-4BB8-AC54-5AAEDE29FE40}"/>
    <cellStyle name="Normal 14 3 2 3 2 3" xfId="9101" xr:uid="{A97658F3-8FD7-4196-A207-A633778C1A88}"/>
    <cellStyle name="Normal 14 3 2 3 3" xfId="4361" xr:uid="{94706566-E8F9-4A9C-88D7-29DDB7AD2F54}"/>
    <cellStyle name="Normal 14 3 2 3 3 2" xfId="10700" xr:uid="{8C9FAF54-E8AD-4AC7-BE47-EE21C8818B91}"/>
    <cellStyle name="Normal 14 3 2 3 4" xfId="7532" xr:uid="{5E1C7E5B-1F08-4AFD-B8B2-1FAB9F2CE953}"/>
    <cellStyle name="Normal 14 3 2 4" xfId="1963" xr:uid="{E00E793B-6229-46D8-8072-BC0751218DAC}"/>
    <cellStyle name="Normal 14 3 2 4 2" xfId="5133" xr:uid="{9F299750-B462-453A-A94E-D7AA37321281}"/>
    <cellStyle name="Normal 14 3 2 4 2 2" xfId="11472" xr:uid="{36B88F47-8E2B-445E-BCF9-F4FC41E1F4F6}"/>
    <cellStyle name="Normal 14 3 2 4 3" xfId="8304" xr:uid="{10C49472-8C20-49A2-AD4B-4DE092BCB502}"/>
    <cellStyle name="Normal 14 3 2 5" xfId="3564" xr:uid="{7327129B-DEC2-4595-ADFA-D4340BCB9E72}"/>
    <cellStyle name="Normal 14 3 2 5 2" xfId="9903" xr:uid="{47F1415A-F244-4C93-BE3D-9F4EE142E5EC}"/>
    <cellStyle name="Normal 14 3 2 6" xfId="6735" xr:uid="{CAE2C2F2-B275-4D3D-A57C-8AA1D5C185E0}"/>
    <cellStyle name="Normal 14 3 3" xfId="568" xr:uid="{C649C745-8D55-47DF-AF40-6AB7C1EDFF09}"/>
    <cellStyle name="Normal 14 3 3 2" xfId="1367" xr:uid="{12409B5F-00A6-412B-B535-EC3352857FA1}"/>
    <cellStyle name="Normal 14 3 3 2 2" xfId="2938" xr:uid="{1EDF0F10-6D00-4C40-A51B-77DD2EDC9B99}"/>
    <cellStyle name="Normal 14 3 3 2 2 2" xfId="6108" xr:uid="{F7995301-E753-43B6-8A16-A7AADDE36627}"/>
    <cellStyle name="Normal 14 3 3 2 2 2 2" xfId="12447" xr:uid="{BA1BE7AE-5B1B-4A14-B084-9558419048CC}"/>
    <cellStyle name="Normal 14 3 3 2 2 3" xfId="9279" xr:uid="{F7497656-2A9E-4219-9C02-BDA50E5BFAAF}"/>
    <cellStyle name="Normal 14 3 3 2 3" xfId="4539" xr:uid="{9679A593-9D34-4020-A7B4-289EB2D44A96}"/>
    <cellStyle name="Normal 14 3 3 2 3 2" xfId="10878" xr:uid="{B80082A2-A4A8-4F2C-997D-AE2930ABBEE1}"/>
    <cellStyle name="Normal 14 3 3 2 4" xfId="7710" xr:uid="{6577BDEC-CE8B-4783-9CBC-580442C80A61}"/>
    <cellStyle name="Normal 14 3 3 3" xfId="2141" xr:uid="{CF6EC788-F701-4931-9A7D-3CD526E45981}"/>
    <cellStyle name="Normal 14 3 3 3 2" xfId="5311" xr:uid="{77C5794F-C3D3-4FBA-BA07-63A833042DAC}"/>
    <cellStyle name="Normal 14 3 3 3 2 2" xfId="11650" xr:uid="{B9A68FA2-0DC2-423E-9102-87F277DD68BE}"/>
    <cellStyle name="Normal 14 3 3 3 3" xfId="8482" xr:uid="{303E69E3-6EFD-447B-88EC-1A81595A2495}"/>
    <cellStyle name="Normal 14 3 3 4" xfId="3742" xr:uid="{AE62BE41-EAD0-4FC8-AE84-3997B392E41B}"/>
    <cellStyle name="Normal 14 3 3 4 2" xfId="10081" xr:uid="{63863934-2E1A-4307-A019-8A0D631279ED}"/>
    <cellStyle name="Normal 14 3 3 5" xfId="6913" xr:uid="{21F7699C-242A-4F1C-9060-9CC4BD39FD86}"/>
    <cellStyle name="Normal 14 3 4" xfId="986" xr:uid="{26DD5D07-F1F4-40F6-8021-F416BA2FC9D4}"/>
    <cellStyle name="Normal 14 3 4 2" xfId="2557" xr:uid="{6D31EF2C-EEE0-45FD-9F38-BC0C97D95901}"/>
    <cellStyle name="Normal 14 3 4 2 2" xfId="5727" xr:uid="{AA2B8E16-C99A-4864-8D9A-40087AE43BF2}"/>
    <cellStyle name="Normal 14 3 4 2 2 2" xfId="12066" xr:uid="{C19050E0-6A10-4A54-B75D-DBFB4A934740}"/>
    <cellStyle name="Normal 14 3 4 2 3" xfId="8898" xr:uid="{84486B8A-1C96-4801-BB80-D6B6856CA00E}"/>
    <cellStyle name="Normal 14 3 4 3" xfId="4158" xr:uid="{57507E7D-05A3-4957-99C8-99BCACB667B0}"/>
    <cellStyle name="Normal 14 3 4 3 2" xfId="10497" xr:uid="{3755CB65-3EE5-4A9A-99AA-46D1B124811B}"/>
    <cellStyle name="Normal 14 3 4 4" xfId="7329" xr:uid="{A7C1E9F5-0602-497E-A40C-FBDE7E113E68}"/>
    <cellStyle name="Normal 14 3 5" xfId="1760" xr:uid="{239E87D0-F7AE-490F-860D-7CD6FEE13085}"/>
    <cellStyle name="Normal 14 3 5 2" xfId="4930" xr:uid="{B91230C1-0B19-47A8-9EE8-31F792154D69}"/>
    <cellStyle name="Normal 14 3 5 2 2" xfId="11269" xr:uid="{8087091F-42BA-46FE-B7BF-6459E239F7E5}"/>
    <cellStyle name="Normal 14 3 5 3" xfId="8101" xr:uid="{B4E32AD4-A837-4C9D-B0A1-5D4D7F2BA84A}"/>
    <cellStyle name="Normal 14 3 6" xfId="3361" xr:uid="{FBCE6055-09C7-43DF-B5E7-1705CCB9EFC2}"/>
    <cellStyle name="Normal 14 3 6 2" xfId="9700" xr:uid="{186AF501-CB1E-4921-9198-9A8AA33AC9AA}"/>
    <cellStyle name="Normal 14 3 7" xfId="6532" xr:uid="{77BFEB9F-4461-484E-A9F2-DA7367D8C953}"/>
    <cellStyle name="Normal 14 4" xfId="308" xr:uid="{FE2BEFB3-62BD-41AD-B507-E949C64360C0}"/>
    <cellStyle name="Normal 14 4 2" xfId="696" xr:uid="{D6333368-0298-4A6D-98CF-5C389D6AE001}"/>
    <cellStyle name="Normal 14 4 2 2" xfId="1495" xr:uid="{799FD145-2564-412B-9648-8D508AD2F0B0}"/>
    <cellStyle name="Normal 14 4 2 2 2" xfId="3066" xr:uid="{09C0BC49-7E27-4326-9D36-5AB6D6E98E77}"/>
    <cellStyle name="Normal 14 4 2 2 2 2" xfId="6236" xr:uid="{314789DB-D3AB-41A9-81AB-6DD964DF85A9}"/>
    <cellStyle name="Normal 14 4 2 2 2 2 2" xfId="12575" xr:uid="{FE550EEB-DD51-47C4-BE67-DA658315FF24}"/>
    <cellStyle name="Normal 14 4 2 2 2 3" xfId="9407" xr:uid="{3D391749-0E31-4A49-8B12-5A815A9C1AAF}"/>
    <cellStyle name="Normal 14 4 2 2 3" xfId="4667" xr:uid="{C918AA79-50AA-4C3F-8FA4-8508D15CDC6C}"/>
    <cellStyle name="Normal 14 4 2 2 3 2" xfId="11006" xr:uid="{B89EAB8E-C1C8-44E4-BBDB-8AE6EBCB5266}"/>
    <cellStyle name="Normal 14 4 2 2 4" xfId="7838" xr:uid="{904C1D98-5720-47EC-90AA-39F53106370F}"/>
    <cellStyle name="Normal 14 4 2 3" xfId="2269" xr:uid="{CEBC5CCF-18BC-4F09-A341-C24B270E139E}"/>
    <cellStyle name="Normal 14 4 2 3 2" xfId="5439" xr:uid="{B7CEF890-6C74-4F1E-A825-AA76A17FD0EA}"/>
    <cellStyle name="Normal 14 4 2 3 2 2" xfId="11778" xr:uid="{09281446-7D64-42D3-8A87-04953D11E1C9}"/>
    <cellStyle name="Normal 14 4 2 3 3" xfId="8610" xr:uid="{C05F1187-E404-4C32-B8C0-AD23692FBFA0}"/>
    <cellStyle name="Normal 14 4 2 4" xfId="3870" xr:uid="{F3CB3FF3-7D4D-4D94-B761-26995EEFB96F}"/>
    <cellStyle name="Normal 14 4 2 4 2" xfId="10209" xr:uid="{FB1B28FD-580F-4788-A0B2-28015E9DAB52}"/>
    <cellStyle name="Normal 14 4 2 5" xfId="7041" xr:uid="{0C958C3C-CA2F-4F7E-A701-AA74C4F19BA9}"/>
    <cellStyle name="Normal 14 4 3" xfId="1114" xr:uid="{D0B15C4E-7946-48FD-925E-C7FFF4B230DF}"/>
    <cellStyle name="Normal 14 4 3 2" xfId="2685" xr:uid="{1E8F9347-B296-4AA8-9A61-E6929C94AC9B}"/>
    <cellStyle name="Normal 14 4 3 2 2" xfId="5855" xr:uid="{B128AAFB-F353-441C-80D7-8DB2242C650A}"/>
    <cellStyle name="Normal 14 4 3 2 2 2" xfId="12194" xr:uid="{5A6A60BB-D4C7-4639-9D1A-98E3F3915811}"/>
    <cellStyle name="Normal 14 4 3 2 3" xfId="9026" xr:uid="{C2BDE995-A969-4A40-82DA-E6A40C0B9BAF}"/>
    <cellStyle name="Normal 14 4 3 3" xfId="4286" xr:uid="{C2CC5CAD-C1E7-4092-BF58-4C9D260FC896}"/>
    <cellStyle name="Normal 14 4 3 3 2" xfId="10625" xr:uid="{BBEE3E67-2433-4404-8471-7C3F66DAE3FE}"/>
    <cellStyle name="Normal 14 4 3 4" xfId="7457" xr:uid="{1463125F-7124-49B0-9B05-A9160D0E43DC}"/>
    <cellStyle name="Normal 14 4 4" xfId="1888" xr:uid="{0B0644C9-32B8-4259-805D-894CFCD6E107}"/>
    <cellStyle name="Normal 14 4 4 2" xfId="5058" xr:uid="{E9A44C1A-1489-4929-9097-B4A53A6A1FD6}"/>
    <cellStyle name="Normal 14 4 4 2 2" xfId="11397" xr:uid="{22525935-F1E6-48DF-8975-02354CCA6C64}"/>
    <cellStyle name="Normal 14 4 4 3" xfId="8229" xr:uid="{0C8CC92E-EFE6-4FAB-BAFD-E0D9554F07E6}"/>
    <cellStyle name="Normal 14 4 5" xfId="3489" xr:uid="{FE8FA2AA-D20A-4158-8796-346FA9A63C2D}"/>
    <cellStyle name="Normal 14 4 5 2" xfId="9828" xr:uid="{587F9CD7-AE69-4ABB-B660-CE4E123BB578}"/>
    <cellStyle name="Normal 14 4 6" xfId="6660" xr:uid="{4D132618-D0CD-4063-9349-6E8610A1C2FA}"/>
    <cellStyle name="Normal 14 5" xfId="513" xr:uid="{B732CA27-C4C4-4A5D-A97E-EB723A50793D}"/>
    <cellStyle name="Normal 14 5 2" xfId="1312" xr:uid="{B5330888-C718-4754-A2A2-6625E0DB6536}"/>
    <cellStyle name="Normal 14 5 2 2" xfId="2883" xr:uid="{0CD9B821-7608-41BC-AE1E-00D9667EDA4F}"/>
    <cellStyle name="Normal 14 5 2 2 2" xfId="6053" xr:uid="{053D6C97-8F3D-477C-A606-A4E1B4CA2F49}"/>
    <cellStyle name="Normal 14 5 2 2 2 2" xfId="12392" xr:uid="{3238CE32-C4E1-4FD0-AE3D-582AF0149BE1}"/>
    <cellStyle name="Normal 14 5 2 2 3" xfId="9224" xr:uid="{39244436-79F4-44FA-86C3-E6DB1E6B7E2C}"/>
    <cellStyle name="Normal 14 5 2 3" xfId="4484" xr:uid="{6C05E4C2-1295-47F2-AAAB-E382F4B1A667}"/>
    <cellStyle name="Normal 14 5 2 3 2" xfId="10823" xr:uid="{F3C9145C-7516-46F1-BC72-A0CA8FE0000D}"/>
    <cellStyle name="Normal 14 5 2 4" xfId="7655" xr:uid="{7E941AFC-EBD7-4212-8439-E61850164444}"/>
    <cellStyle name="Normal 14 5 3" xfId="2086" xr:uid="{05C3E3E4-FC9E-4DF3-9DF3-48FF5A917136}"/>
    <cellStyle name="Normal 14 5 3 2" xfId="5256" xr:uid="{50F51346-81FE-44B0-8A88-1C15A10F8CFB}"/>
    <cellStyle name="Normal 14 5 3 2 2" xfId="11595" xr:uid="{306C6215-A911-444E-B938-9F67D5336B13}"/>
    <cellStyle name="Normal 14 5 3 3" xfId="8427" xr:uid="{FB5E0C32-52FD-41AE-A92C-607625B232AF}"/>
    <cellStyle name="Normal 14 5 4" xfId="3687" xr:uid="{587D23E7-FA4A-4690-A93F-B2B2834BA47C}"/>
    <cellStyle name="Normal 14 5 4 2" xfId="10026" xr:uid="{37265BE8-846B-4F9D-AD20-5078E543A0D2}"/>
    <cellStyle name="Normal 14 5 5" xfId="6858" xr:uid="{37BEDAA6-1EC0-4DA4-882B-8BBDEDFA671E}"/>
    <cellStyle name="Normal 14 6" xfId="911" xr:uid="{4D489536-2E70-4640-B5F4-F2DFF89E59C0}"/>
    <cellStyle name="Normal 14 6 2" xfId="2482" xr:uid="{CC89A6AF-49C7-425F-8D6B-A34D3199D1AF}"/>
    <cellStyle name="Normal 14 6 2 2" xfId="5652" xr:uid="{8BAEB2E3-BC9C-4FC0-8CAE-7D952DFBF933}"/>
    <cellStyle name="Normal 14 6 2 2 2" xfId="11991" xr:uid="{9259C0BC-5C02-4D8E-A24D-761CC8C7DB26}"/>
    <cellStyle name="Normal 14 6 2 3" xfId="8823" xr:uid="{156E0229-3122-4BA2-888C-5DB25796C363}"/>
    <cellStyle name="Normal 14 6 3" xfId="4083" xr:uid="{79247E9A-22C8-418B-BA38-BB52CAFE2D12}"/>
    <cellStyle name="Normal 14 6 3 2" xfId="10422" xr:uid="{EA011425-7F29-4FC0-BA43-7DC4A7816D3E}"/>
    <cellStyle name="Normal 14 6 4" xfId="7254" xr:uid="{A3080625-B59B-4013-A33A-8079FE33C061}"/>
    <cellStyle name="Normal 14 7" xfId="1706" xr:uid="{BB1DABF2-E946-4686-AD92-402E6F9968D2}"/>
    <cellStyle name="Normal 14 7 2" xfId="4876" xr:uid="{AB7CB781-8AFA-4174-89D8-444FBA8299D0}"/>
    <cellStyle name="Normal 14 7 2 2" xfId="11215" xr:uid="{133F248D-091B-4AE6-A3C6-A6008D01C11D}"/>
    <cellStyle name="Normal 14 7 3" xfId="8047" xr:uid="{9C7BC042-55F8-4231-A61D-B72207927118}"/>
    <cellStyle name="Normal 14 8" xfId="3286" xr:uid="{4FD649CE-453B-4ABB-B47A-9DE3B0430642}"/>
    <cellStyle name="Normal 14 8 2" xfId="9625" xr:uid="{403BF957-E97F-492C-8BE3-9EB97F1A8727}"/>
    <cellStyle name="Normal 14 9" xfId="6457" xr:uid="{94CE299B-92B8-46C0-96E6-5479BD205E2F}"/>
    <cellStyle name="Normal 15" xfId="93" xr:uid="{25B2A500-FDB8-429E-9369-51A920D5C6AF}"/>
    <cellStyle name="Normal 15 2" xfId="179" xr:uid="{BDD7C2AA-74C6-416D-B46D-7CD038EBAF31}"/>
    <cellStyle name="Normal 15 2 2" xfId="396" xr:uid="{D4877E19-4517-4D71-8248-0A84496F4BE9}"/>
    <cellStyle name="Normal 15 2 2 2" xfId="777" xr:uid="{C0BE8932-9DB5-46FF-A528-7B9496FDAC1F}"/>
    <cellStyle name="Normal 15 2 2 2 2" xfId="1576" xr:uid="{49320B65-5358-428C-9216-F0C921E39ACF}"/>
    <cellStyle name="Normal 15 2 2 2 2 2" xfId="3147" xr:uid="{731951CD-0553-481F-A6E4-0DC74263FD6C}"/>
    <cellStyle name="Normal 15 2 2 2 2 2 2" xfId="6317" xr:uid="{6AC4F140-AE4B-4CF8-8DCF-91841B304B37}"/>
    <cellStyle name="Normal 15 2 2 2 2 2 2 2" xfId="12656" xr:uid="{92D9CEF9-7801-4C0C-B214-9AD1F1BC875A}"/>
    <cellStyle name="Normal 15 2 2 2 2 2 3" xfId="9488" xr:uid="{AFB00737-9012-4773-879E-D534FF410D07}"/>
    <cellStyle name="Normal 15 2 2 2 2 3" xfId="4748" xr:uid="{1164FE41-6EE3-4764-A211-2EDEC5061124}"/>
    <cellStyle name="Normal 15 2 2 2 2 3 2" xfId="11087" xr:uid="{753713B1-C402-4470-9B1A-0C4891F6A44F}"/>
    <cellStyle name="Normal 15 2 2 2 2 4" xfId="7919" xr:uid="{3FA7E7EF-36F2-498B-A008-CB04C54C8E89}"/>
    <cellStyle name="Normal 15 2 2 2 3" xfId="2350" xr:uid="{4572D3C1-DB29-4032-AEE4-465A838265E3}"/>
    <cellStyle name="Normal 15 2 2 2 3 2" xfId="5520" xr:uid="{F1D9BB67-A529-4027-A3F7-6FCE84457498}"/>
    <cellStyle name="Normal 15 2 2 2 3 2 2" xfId="11859" xr:uid="{46633055-9241-405F-8661-F63FB342C715}"/>
    <cellStyle name="Normal 15 2 2 2 3 3" xfId="8691" xr:uid="{10197464-F70A-4773-85B2-98099649C513}"/>
    <cellStyle name="Normal 15 2 2 2 4" xfId="3951" xr:uid="{AD794F72-0E65-4806-A4D4-00827DF83019}"/>
    <cellStyle name="Normal 15 2 2 2 4 2" xfId="10290" xr:uid="{FC0C3EBD-DF4B-4269-9A94-AA29A3801832}"/>
    <cellStyle name="Normal 15 2 2 2 5" xfId="7122" xr:uid="{48BC9148-D37E-4D22-BE83-F1789E2EB403}"/>
    <cellStyle name="Normal 15 2 2 3" xfId="1195" xr:uid="{18B5F9B2-A1DB-4E30-962E-16EC885F0B82}"/>
    <cellStyle name="Normal 15 2 2 3 2" xfId="2766" xr:uid="{BA437AD8-11A6-4A8F-A26E-D5C3CE2EE583}"/>
    <cellStyle name="Normal 15 2 2 3 2 2" xfId="5936" xr:uid="{479E9BE0-55E8-4151-B4F1-F07B20AE09DB}"/>
    <cellStyle name="Normal 15 2 2 3 2 2 2" xfId="12275" xr:uid="{0FAC9BC9-2C11-4479-ADA4-990DBB0B1F82}"/>
    <cellStyle name="Normal 15 2 2 3 2 3" xfId="9107" xr:uid="{33A523D9-1671-4B6D-9A82-6B9943F8AA0A}"/>
    <cellStyle name="Normal 15 2 2 3 3" xfId="4367" xr:uid="{466C9DE8-C494-4FD2-AC53-E0E38C0DD285}"/>
    <cellStyle name="Normal 15 2 2 3 3 2" xfId="10706" xr:uid="{9BB3D340-16E6-463D-B7B7-52A625A29DB0}"/>
    <cellStyle name="Normal 15 2 2 3 4" xfId="7538" xr:uid="{2C8E6690-43B7-4D7D-9F40-2DFC8E4C23C0}"/>
    <cellStyle name="Normal 15 2 2 4" xfId="1969" xr:uid="{602D65F6-2535-47BB-BAB1-3E2A9841D6CA}"/>
    <cellStyle name="Normal 15 2 2 4 2" xfId="5139" xr:uid="{C06A269F-33AF-4C60-8227-1405E2E8E505}"/>
    <cellStyle name="Normal 15 2 2 4 2 2" xfId="11478" xr:uid="{0A735569-C03A-4BB8-8F13-9A10C47D1C1C}"/>
    <cellStyle name="Normal 15 2 2 4 3" xfId="8310" xr:uid="{719C1574-33B8-4EA4-BE95-139FAE54A138}"/>
    <cellStyle name="Normal 15 2 2 5" xfId="3570" xr:uid="{B63432E3-4FB8-4FBA-9C6F-BEF594436EEA}"/>
    <cellStyle name="Normal 15 2 2 5 2" xfId="9909" xr:uid="{92DA960A-71F6-4994-A07C-ED5A810917F6}"/>
    <cellStyle name="Normal 15 2 2 6" xfId="6741" xr:uid="{C36DC0F6-FFED-455E-86C9-F205817DDEA7}"/>
    <cellStyle name="Normal 15 2 3" xfId="574" xr:uid="{DC32AC48-8B87-4563-AA9E-8E06F588C73C}"/>
    <cellStyle name="Normal 15 2 3 2" xfId="1373" xr:uid="{082E506D-DBAE-423C-9EEF-59706494DA1B}"/>
    <cellStyle name="Normal 15 2 3 2 2" xfId="2944" xr:uid="{A2C4A518-C766-443C-9688-74FF33CB6B1F}"/>
    <cellStyle name="Normal 15 2 3 2 2 2" xfId="6114" xr:uid="{380C9BE2-7D4A-4E9D-B56F-D53C2B7DC027}"/>
    <cellStyle name="Normal 15 2 3 2 2 2 2" xfId="12453" xr:uid="{C484C5C6-4C41-4AEA-B390-D065262317BE}"/>
    <cellStyle name="Normal 15 2 3 2 2 3" xfId="9285" xr:uid="{F1EA508E-9EDB-4F26-8961-FDB44FC94CFB}"/>
    <cellStyle name="Normal 15 2 3 2 3" xfId="4545" xr:uid="{486F8455-C740-480E-8CE3-3A39006A704E}"/>
    <cellStyle name="Normal 15 2 3 2 3 2" xfId="10884" xr:uid="{9F28282E-67C3-4FAC-BE7C-150DC317E5A6}"/>
    <cellStyle name="Normal 15 2 3 2 4" xfId="7716" xr:uid="{0B2B1041-4999-4A1E-A965-5061331F1317}"/>
    <cellStyle name="Normal 15 2 3 3" xfId="2147" xr:uid="{C5918307-04B1-4D89-8898-4F919B349A2E}"/>
    <cellStyle name="Normal 15 2 3 3 2" xfId="5317" xr:uid="{E728B6AE-0377-49E1-9C8F-E1048B1A91F6}"/>
    <cellStyle name="Normal 15 2 3 3 2 2" xfId="11656" xr:uid="{9BBCC016-284F-4C39-83D5-72B918324C07}"/>
    <cellStyle name="Normal 15 2 3 3 3" xfId="8488" xr:uid="{E18DBA0C-307E-433E-8D37-4DF5EEF81FA2}"/>
    <cellStyle name="Normal 15 2 3 4" xfId="3748" xr:uid="{B77E2281-E6DC-4448-8E01-8153B37709FC}"/>
    <cellStyle name="Normal 15 2 3 4 2" xfId="10087" xr:uid="{457A5FD0-FF55-46A0-A120-9B34C60AC096}"/>
    <cellStyle name="Normal 15 2 3 5" xfId="6919" xr:uid="{D78AD6F1-AB20-4EBE-8416-5FC0C547CB80}"/>
    <cellStyle name="Normal 15 2 4" xfId="992" xr:uid="{33312BA4-CD76-4F85-ADCF-5D81623C6110}"/>
    <cellStyle name="Normal 15 2 4 2" xfId="2563" xr:uid="{D806A84D-423D-4FF1-B4D0-26869D5A6A36}"/>
    <cellStyle name="Normal 15 2 4 2 2" xfId="5733" xr:uid="{FF44A300-A829-438F-8EBF-9C8CDDC05447}"/>
    <cellStyle name="Normal 15 2 4 2 2 2" xfId="12072" xr:uid="{3C209C6A-3DE7-4701-9CAC-2FF7FC0B28CD}"/>
    <cellStyle name="Normal 15 2 4 2 3" xfId="8904" xr:uid="{44F2CC8B-9603-4F0D-97B6-013512632145}"/>
    <cellStyle name="Normal 15 2 4 3" xfId="4164" xr:uid="{ADD8D67F-F3CA-4F05-BB32-7DA3DAB164F8}"/>
    <cellStyle name="Normal 15 2 4 3 2" xfId="10503" xr:uid="{244167D6-1285-411A-86C6-91E81CF19310}"/>
    <cellStyle name="Normal 15 2 4 4" xfId="7335" xr:uid="{CA861C33-4DD3-4EBC-8F9A-AC154BFA1C95}"/>
    <cellStyle name="Normal 15 2 5" xfId="1766" xr:uid="{1C1DEB4D-3BC6-4072-A8AE-79F4685F5526}"/>
    <cellStyle name="Normal 15 2 5 2" xfId="4936" xr:uid="{0FAF7970-BC8C-47FB-944E-1B3D25A1CBEB}"/>
    <cellStyle name="Normal 15 2 5 2 2" xfId="11275" xr:uid="{55718A41-78FD-47ED-8E32-F41D128C0AF6}"/>
    <cellStyle name="Normal 15 2 5 3" xfId="8107" xr:uid="{CE34CBCD-D593-40E8-A5C3-730F869F6109}"/>
    <cellStyle name="Normal 15 2 6" xfId="3367" xr:uid="{F057696B-F73E-42C1-99B6-72A3C7B121BF}"/>
    <cellStyle name="Normal 15 2 6 2" xfId="9706" xr:uid="{07BF8611-F99E-4A2A-B067-407B4047FFBA}"/>
    <cellStyle name="Normal 15 2 7" xfId="6538" xr:uid="{6D3F7834-DF10-47AF-9C52-5E2EE9028ADB}"/>
    <cellStyle name="Normal 15 3" xfId="314" xr:uid="{6F570F01-ABA5-4311-8748-B9D2EF7B1E5B}"/>
    <cellStyle name="Normal 15 3 2" xfId="701" xr:uid="{ACFD0004-B3AA-4822-844F-285A897F6152}"/>
    <cellStyle name="Normal 15 3 2 2" xfId="1500" xr:uid="{8C9BA168-4304-41CE-908C-B7245CC6E8E8}"/>
    <cellStyle name="Normal 15 3 2 2 2" xfId="3071" xr:uid="{831D6497-7EC7-4F8F-A345-5E9525A2D3EE}"/>
    <cellStyle name="Normal 15 3 2 2 2 2" xfId="6241" xr:uid="{CE77A84C-46F0-412E-B3C1-C97989C0B9C4}"/>
    <cellStyle name="Normal 15 3 2 2 2 2 2" xfId="12580" xr:uid="{904B28CB-6DF5-4FC3-9B78-DEF1C70DE98E}"/>
    <cellStyle name="Normal 15 3 2 2 2 3" xfId="9412" xr:uid="{1F151828-62D3-490D-AFB4-8DA2A1B1DC10}"/>
    <cellStyle name="Normal 15 3 2 2 3" xfId="4672" xr:uid="{8581E53B-249A-4A62-A368-9B9517F166E1}"/>
    <cellStyle name="Normal 15 3 2 2 3 2" xfId="11011" xr:uid="{6A0EB813-62B9-498C-A00A-000C0CF7E570}"/>
    <cellStyle name="Normal 15 3 2 2 4" xfId="7843" xr:uid="{5B3712C6-21CD-43F1-AE09-B0FE84C0C286}"/>
    <cellStyle name="Normal 15 3 2 3" xfId="2274" xr:uid="{3567EDD3-5267-42E4-BD2D-23B5BDA907DB}"/>
    <cellStyle name="Normal 15 3 2 3 2" xfId="5444" xr:uid="{2CB3C598-1847-4390-AC24-536E3CE88A70}"/>
    <cellStyle name="Normal 15 3 2 3 2 2" xfId="11783" xr:uid="{70FD4F4A-CA98-4A26-BDEA-42AD57E20A68}"/>
    <cellStyle name="Normal 15 3 2 3 3" xfId="8615" xr:uid="{75A248C5-2442-4F77-A5DF-9B005768DA5B}"/>
    <cellStyle name="Normal 15 3 2 4" xfId="3875" xr:uid="{1D0415CC-8BB6-46B1-B05F-CBB63983A86A}"/>
    <cellStyle name="Normal 15 3 2 4 2" xfId="10214" xr:uid="{D197BFDF-1E3B-4F3F-89D6-C4251608AE09}"/>
    <cellStyle name="Normal 15 3 2 5" xfId="7046" xr:uid="{8F97C738-F124-4B15-888C-2B7016534CAE}"/>
    <cellStyle name="Normal 15 3 3" xfId="1119" xr:uid="{423BF9D5-0C5E-407C-8426-D05F4F908775}"/>
    <cellStyle name="Normal 15 3 3 2" xfId="2690" xr:uid="{C9B4E75B-410F-4B69-89A4-82FCCD4CD963}"/>
    <cellStyle name="Normal 15 3 3 2 2" xfId="5860" xr:uid="{D0A2C575-01AD-4E30-AD7A-C6C4A1E75E47}"/>
    <cellStyle name="Normal 15 3 3 2 2 2" xfId="12199" xr:uid="{E481ED79-36EB-4461-BAEF-7ABC43578F15}"/>
    <cellStyle name="Normal 15 3 3 2 3" xfId="9031" xr:uid="{FEE2BE58-6485-442C-9AAC-3A6EEB380BD3}"/>
    <cellStyle name="Normal 15 3 3 3" xfId="4291" xr:uid="{7AE3123C-36B3-4131-B4F0-7DD444977128}"/>
    <cellStyle name="Normal 15 3 3 3 2" xfId="10630" xr:uid="{ED444C70-A1A2-4D0A-9AB5-58520AD28C6E}"/>
    <cellStyle name="Normal 15 3 3 4" xfId="7462" xr:uid="{AA1331EC-6CCC-49D6-81D6-D2357D6CAF10}"/>
    <cellStyle name="Normal 15 3 4" xfId="1893" xr:uid="{33A140E5-CF74-436B-984B-A9B3489382A6}"/>
    <cellStyle name="Normal 15 3 4 2" xfId="5063" xr:uid="{E2E4D800-4268-4E93-92B9-7DB8D2B017AF}"/>
    <cellStyle name="Normal 15 3 4 2 2" xfId="11402" xr:uid="{A2CB6C44-6773-44FD-B4AC-921C7075F93F}"/>
    <cellStyle name="Normal 15 3 4 3" xfId="8234" xr:uid="{A8C2BBAF-7ECF-489F-8017-806C092D559D}"/>
    <cellStyle name="Normal 15 3 5" xfId="3494" xr:uid="{59B4A5B6-31E0-44BD-8890-735897F513FD}"/>
    <cellStyle name="Normal 15 3 5 2" xfId="9833" xr:uid="{2BCD3B22-D465-4F74-8247-90C78F85BD7E}"/>
    <cellStyle name="Normal 15 3 6" xfId="6665" xr:uid="{D2E8751D-1325-444D-B019-99BDC32A2739}"/>
    <cellStyle name="Normal 15 4" xfId="517" xr:uid="{18368B08-DBE4-41E5-8910-E31EF333688B}"/>
    <cellStyle name="Normal 15 4 2" xfId="1316" xr:uid="{E50793F8-8BA2-4ED2-A99D-F0E9C1A38530}"/>
    <cellStyle name="Normal 15 4 2 2" xfId="2887" xr:uid="{C663D05D-0DBB-4C6F-B508-2CC29F8EA2A6}"/>
    <cellStyle name="Normal 15 4 2 2 2" xfId="6057" xr:uid="{F2D229E1-D0A2-42F1-A016-F8976941000E}"/>
    <cellStyle name="Normal 15 4 2 2 2 2" xfId="12396" xr:uid="{CDB201B2-89FC-4138-8753-50FCA5ABB04F}"/>
    <cellStyle name="Normal 15 4 2 2 3" xfId="9228" xr:uid="{C01DBAE4-687E-4744-AB2E-9719AB477207}"/>
    <cellStyle name="Normal 15 4 2 3" xfId="4488" xr:uid="{0951FCF8-E257-4577-BCAB-BF3292C79E0F}"/>
    <cellStyle name="Normal 15 4 2 3 2" xfId="10827" xr:uid="{BE2C7ACC-C02C-4ACB-AD09-AA24560B0C2F}"/>
    <cellStyle name="Normal 15 4 2 4" xfId="7659" xr:uid="{F129D90F-AA05-4753-9A78-D150FB97A85D}"/>
    <cellStyle name="Normal 15 4 3" xfId="2090" xr:uid="{642B43DA-4E52-419A-A6FA-4D53D17E6CCD}"/>
    <cellStyle name="Normal 15 4 3 2" xfId="5260" xr:uid="{AA16BFBB-ED14-4DAE-8190-654AF25E8ED0}"/>
    <cellStyle name="Normal 15 4 3 2 2" xfId="11599" xr:uid="{6EB0241D-CA89-4199-8A5B-CD50C30179EE}"/>
    <cellStyle name="Normal 15 4 3 3" xfId="8431" xr:uid="{DF5AA84B-8EF2-4210-9858-62D5BCB7A318}"/>
    <cellStyle name="Normal 15 4 4" xfId="3691" xr:uid="{BA8673B5-5C97-4C8B-B36D-3B578040BBEF}"/>
    <cellStyle name="Normal 15 4 4 2" xfId="10030" xr:uid="{83B1F742-2D07-42EF-B4D0-51573F1F3F2E}"/>
    <cellStyle name="Normal 15 4 5" xfId="6862" xr:uid="{19CEAC6E-4E37-4F32-B358-EFC710D8D342}"/>
    <cellStyle name="Normal 15 5" xfId="916" xr:uid="{6F41FF27-E4CE-4272-A8C9-1A2B382320E4}"/>
    <cellStyle name="Normal 15 5 2" xfId="2487" xr:uid="{4172800A-4573-41FB-85F2-34C5F80620F6}"/>
    <cellStyle name="Normal 15 5 2 2" xfId="5657" xr:uid="{7FEA3FAF-19C2-41DF-AC46-7D8A5E78944F}"/>
    <cellStyle name="Normal 15 5 2 2 2" xfId="11996" xr:uid="{58F3D579-066C-4CA0-9F01-A400091CCF28}"/>
    <cellStyle name="Normal 15 5 2 3" xfId="8828" xr:uid="{BFD5E11C-D314-4D50-B8A6-02882C2DFEC3}"/>
    <cellStyle name="Normal 15 5 3" xfId="4088" xr:uid="{D896A2F0-072F-434E-B673-4C2C0CA43F5E}"/>
    <cellStyle name="Normal 15 5 3 2" xfId="10427" xr:uid="{46790216-3500-4632-B9F0-3529CC66F715}"/>
    <cellStyle name="Normal 15 5 4" xfId="7259" xr:uid="{8CBEA7AB-CAAA-4F01-839E-FCD4A64A05CF}"/>
    <cellStyle name="Normal 15 6" xfId="1710" xr:uid="{2733B1B6-9890-4549-8D56-AE3BA9FFEC6D}"/>
    <cellStyle name="Normal 15 6 2" xfId="4880" xr:uid="{500F9D51-6024-4EED-9F3F-E11E0557E2D8}"/>
    <cellStyle name="Normal 15 6 2 2" xfId="11219" xr:uid="{D6667158-3EC6-40C0-9FF4-4D1C9A98D616}"/>
    <cellStyle name="Normal 15 6 3" xfId="8051" xr:uid="{90F79AC6-69B4-4242-AA52-3C65DE9D8964}"/>
    <cellStyle name="Normal 15 7" xfId="3291" xr:uid="{126D85CB-C3AF-4314-9647-BCFB060B0603}"/>
    <cellStyle name="Normal 15 7 2" xfId="9630" xr:uid="{C8FA3962-F18A-4441-B461-CFA4F4F1C77E}"/>
    <cellStyle name="Normal 15 8" xfId="6462" xr:uid="{0C3C6FD2-AFA9-4324-B69D-42842A3B90E1}"/>
    <cellStyle name="Normal 16" xfId="97" xr:uid="{7E00AA45-2B89-4C06-86CB-59A97EDC305B}"/>
    <cellStyle name="Normal 16 2" xfId="1636" xr:uid="{656DD270-7754-4799-8A3F-0AFC09FB82D9}"/>
    <cellStyle name="Normal 16 2 2" xfId="3207" xr:uid="{3F57DF68-F5BE-47C8-9BDA-BBD4C828811B}"/>
    <cellStyle name="Normal 16 2 2 2" xfId="6377" xr:uid="{A6CA7F67-05DB-4A0A-ABCD-8C9C5B1303C5}"/>
    <cellStyle name="Normal 16 2 2 2 2" xfId="12716" xr:uid="{5E196080-2B4C-4AC8-B7F8-5FA3C526EEDE}"/>
    <cellStyle name="Normal 16 2 2 3" xfId="9548" xr:uid="{D269B114-4E80-4480-B3D7-BE8C86845AD6}"/>
    <cellStyle name="Normal 16 2 3" xfId="4808" xr:uid="{EA97BDE2-A306-4A3E-9A0D-E12368DEB5D3}"/>
    <cellStyle name="Normal 16 2 3 2" xfId="11147" xr:uid="{E5F8DCC9-7D2D-4827-87B2-19565A85B257}"/>
    <cellStyle name="Normal 16 2 4" xfId="7979" xr:uid="{C9FDF977-E5C0-4742-BD39-307E8F3A7590}"/>
    <cellStyle name="Normal 17" xfId="94" xr:uid="{4B6884A7-A136-431E-8E69-CE25E8D443C8}"/>
    <cellStyle name="Normal 17 2" xfId="180" xr:uid="{2526A4D3-548A-457E-AE35-6D31350DBD93}"/>
    <cellStyle name="Normal 17 2 2" xfId="397" xr:uid="{7F08D1F2-6C0A-45B3-9CD1-866B1801D40D}"/>
    <cellStyle name="Normal 17 2 2 2" xfId="778" xr:uid="{60E0136B-4494-4C9F-B4DF-C40F80D8C825}"/>
    <cellStyle name="Normal 17 2 2 2 2" xfId="1577" xr:uid="{64A8C7FC-CDB5-44EC-B342-27B9358046F9}"/>
    <cellStyle name="Normal 17 2 2 2 2 2" xfId="3148" xr:uid="{E1DD580B-E49F-4156-8F88-D073F84A9AC0}"/>
    <cellStyle name="Normal 17 2 2 2 2 2 2" xfId="6318" xr:uid="{71F64D89-B9CF-4813-8C52-3F55C7C69FBB}"/>
    <cellStyle name="Normal 17 2 2 2 2 2 2 2" xfId="12657" xr:uid="{249CE84F-EA7D-4C01-B04A-C34BD8DC9E6F}"/>
    <cellStyle name="Normal 17 2 2 2 2 2 3" xfId="9489" xr:uid="{49D3BDF9-1642-4611-AD7B-AFD2C0283761}"/>
    <cellStyle name="Normal 17 2 2 2 2 3" xfId="4749" xr:uid="{3554E0C2-80E9-4686-B299-04C241CDB00A}"/>
    <cellStyle name="Normal 17 2 2 2 2 3 2" xfId="11088" xr:uid="{32C0373D-7B50-4B37-A37F-5692E3BC8834}"/>
    <cellStyle name="Normal 17 2 2 2 2 4" xfId="7920" xr:uid="{F502DDB3-9012-48BB-8CAF-5B532FDD7B64}"/>
    <cellStyle name="Normal 17 2 2 2 3" xfId="2351" xr:uid="{4F7B27FA-5454-4940-AAF5-19509F0C982E}"/>
    <cellStyle name="Normal 17 2 2 2 3 2" xfId="5521" xr:uid="{AC28CE1D-427E-41B3-8A2F-1311626EDDB9}"/>
    <cellStyle name="Normal 17 2 2 2 3 2 2" xfId="11860" xr:uid="{92A9E70C-D7ED-41BC-9D64-56BCDBB5BE94}"/>
    <cellStyle name="Normal 17 2 2 2 3 3" xfId="8692" xr:uid="{B65EE59C-46E8-4CA5-887E-A0B331C6F50A}"/>
    <cellStyle name="Normal 17 2 2 2 4" xfId="3952" xr:uid="{75A3B42F-F8EF-4DC9-8B91-3C0073C4856B}"/>
    <cellStyle name="Normal 17 2 2 2 4 2" xfId="10291" xr:uid="{93F46DC7-19EC-4C40-8715-FE81D9C95923}"/>
    <cellStyle name="Normal 17 2 2 2 5" xfId="7123" xr:uid="{97A25E12-EEBF-4EA9-9228-314808157A12}"/>
    <cellStyle name="Normal 17 2 2 3" xfId="1196" xr:uid="{324D77AC-D087-429A-A237-138D8365C460}"/>
    <cellStyle name="Normal 17 2 2 3 2" xfId="2767" xr:uid="{76590CD3-DA08-4588-9C31-3999B4FA8D6C}"/>
    <cellStyle name="Normal 17 2 2 3 2 2" xfId="5937" xr:uid="{6BD5C537-5F42-4924-BFDF-1B1C0F4FFC78}"/>
    <cellStyle name="Normal 17 2 2 3 2 2 2" xfId="12276" xr:uid="{1907FDB8-37D9-47D1-A780-D1F2D8F5A8DA}"/>
    <cellStyle name="Normal 17 2 2 3 2 3" xfId="9108" xr:uid="{FB988AD3-CBC6-4A4F-AF2F-D10A9524775A}"/>
    <cellStyle name="Normal 17 2 2 3 3" xfId="4368" xr:uid="{1A092B87-771B-425A-96E1-A06D44C98CDC}"/>
    <cellStyle name="Normal 17 2 2 3 3 2" xfId="10707" xr:uid="{5175987D-9C7C-4396-81D2-366A0DAA0F19}"/>
    <cellStyle name="Normal 17 2 2 3 4" xfId="7539" xr:uid="{8F5F9735-9F97-4BB7-BE0A-846C2B30432F}"/>
    <cellStyle name="Normal 17 2 2 4" xfId="1970" xr:uid="{FE488FF1-6987-4135-98E1-B7B8F0C75DD4}"/>
    <cellStyle name="Normal 17 2 2 4 2" xfId="5140" xr:uid="{83D6F315-88C0-4C46-8C51-719B5926E961}"/>
    <cellStyle name="Normal 17 2 2 4 2 2" xfId="11479" xr:uid="{E3CFAF53-86F2-4CF8-A931-7FD983F3C8E8}"/>
    <cellStyle name="Normal 17 2 2 4 3" xfId="8311" xr:uid="{36A3042C-FF34-46A9-BC00-A68906960CA1}"/>
    <cellStyle name="Normal 17 2 2 5" xfId="3571" xr:uid="{CE05E499-99AC-4E09-816A-6B023CC4542C}"/>
    <cellStyle name="Normal 17 2 2 5 2" xfId="9910" xr:uid="{776CF9E3-114B-4225-B623-CCB46F372DEB}"/>
    <cellStyle name="Normal 17 2 2 6" xfId="6742" xr:uid="{AF7282CF-37F8-4658-96A9-0D9C89307AF7}"/>
    <cellStyle name="Normal 17 2 3" xfId="575" xr:uid="{DF9384F1-60C2-4E7C-B38F-371B532B45B6}"/>
    <cellStyle name="Normal 17 2 3 2" xfId="1374" xr:uid="{D581E838-D182-4E97-B860-1FC0404D524A}"/>
    <cellStyle name="Normal 17 2 3 2 2" xfId="2945" xr:uid="{FBD889DC-08EB-4188-9DC7-F1E5FB22D89D}"/>
    <cellStyle name="Normal 17 2 3 2 2 2" xfId="6115" xr:uid="{19CE12A7-3B4F-4EC7-BA19-740514C05D8D}"/>
    <cellStyle name="Normal 17 2 3 2 2 2 2" xfId="12454" xr:uid="{09C71646-9E50-433F-AB92-AD0DBA7A4064}"/>
    <cellStyle name="Normal 17 2 3 2 2 3" xfId="9286" xr:uid="{8665E845-EFEB-4780-AFC8-BB0AE3A6306F}"/>
    <cellStyle name="Normal 17 2 3 2 3" xfId="4546" xr:uid="{9ACDFB2D-4411-42BD-A47B-A6EEC4720C61}"/>
    <cellStyle name="Normal 17 2 3 2 3 2" xfId="10885" xr:uid="{613B9BF1-BD5F-4916-8635-2AF77338CBF4}"/>
    <cellStyle name="Normal 17 2 3 2 4" xfId="7717" xr:uid="{482CDC79-9E44-4A53-AF4B-25196029E6BF}"/>
    <cellStyle name="Normal 17 2 3 3" xfId="2148" xr:uid="{D2D30DCF-858B-48BA-B334-71011D8BBD56}"/>
    <cellStyle name="Normal 17 2 3 3 2" xfId="5318" xr:uid="{CBDFF1F3-BF66-4878-BC49-7126CCD76364}"/>
    <cellStyle name="Normal 17 2 3 3 2 2" xfId="11657" xr:uid="{6A93E717-5A7C-4781-899C-7C715C03BB1B}"/>
    <cellStyle name="Normal 17 2 3 3 3" xfId="8489" xr:uid="{ACF1923B-8BDF-4D3A-847E-9C0F9210A952}"/>
    <cellStyle name="Normal 17 2 3 4" xfId="3749" xr:uid="{C5B9CE8C-F897-4438-8201-74230BD3D617}"/>
    <cellStyle name="Normal 17 2 3 4 2" xfId="10088" xr:uid="{49A8A327-D2B0-4EC6-B851-715447036C2D}"/>
    <cellStyle name="Normal 17 2 3 5" xfId="6920" xr:uid="{8133D8E9-F22E-49AC-BE49-3FA6675EAD64}"/>
    <cellStyle name="Normal 17 2 4" xfId="993" xr:uid="{859B365E-5BA9-47CB-BDA5-5C09932D3961}"/>
    <cellStyle name="Normal 17 2 4 2" xfId="2564" xr:uid="{064C6124-D9AD-4403-8FFF-362075A04917}"/>
    <cellStyle name="Normal 17 2 4 2 2" xfId="5734" xr:uid="{A9CD7CE9-ED47-4011-88B2-4BC9D59BF2DD}"/>
    <cellStyle name="Normal 17 2 4 2 2 2" xfId="12073" xr:uid="{D33EE511-A548-4034-8E1B-7E50343EB229}"/>
    <cellStyle name="Normal 17 2 4 2 3" xfId="8905" xr:uid="{04E33E48-D3F0-4284-97ED-972525396EB6}"/>
    <cellStyle name="Normal 17 2 4 3" xfId="4165" xr:uid="{0267B6F2-E85F-449A-8C5B-FBB5B8760F01}"/>
    <cellStyle name="Normal 17 2 4 3 2" xfId="10504" xr:uid="{429E1D55-1C28-4BF8-93A1-5A9E05DD3E91}"/>
    <cellStyle name="Normal 17 2 4 4" xfId="7336" xr:uid="{A616FE73-84D0-4A9D-A6EF-728770298AE5}"/>
    <cellStyle name="Normal 17 2 5" xfId="1767" xr:uid="{87B67780-DBBF-4859-89D0-D854F0F313BB}"/>
    <cellStyle name="Normal 17 2 5 2" xfId="4937" xr:uid="{51962522-8E89-4045-82CC-7A59FE5E4E6F}"/>
    <cellStyle name="Normal 17 2 5 2 2" xfId="11276" xr:uid="{36446F09-FF05-4127-8132-967D6755E2FC}"/>
    <cellStyle name="Normal 17 2 5 3" xfId="8108" xr:uid="{28B58D83-EDBA-4E1D-95F2-192549C47B64}"/>
    <cellStyle name="Normal 17 2 6" xfId="3368" xr:uid="{70FE6DFC-BF40-40AC-B7A2-42FA3B1BA68A}"/>
    <cellStyle name="Normal 17 2 6 2" xfId="9707" xr:uid="{B7BE2269-7148-476D-AB6B-CC6F1CC15BFC}"/>
    <cellStyle name="Normal 17 2 7" xfId="6539" xr:uid="{307BA6B2-3E8F-4E14-B37D-EB24A9BEA3F9}"/>
    <cellStyle name="Normal 17 3" xfId="315" xr:uid="{85EEFFE0-5593-42FA-A601-40CCFE9DE3DC}"/>
    <cellStyle name="Normal 17 3 2" xfId="702" xr:uid="{DB36BA9E-3691-4CB9-99BA-8773BD17809E}"/>
    <cellStyle name="Normal 17 3 2 2" xfId="1501" xr:uid="{CECF1A0F-2C32-444B-A234-B3E9398DD358}"/>
    <cellStyle name="Normal 17 3 2 2 2" xfId="3072" xr:uid="{B451E5FC-6DA6-43C6-A37F-B7319AA006AE}"/>
    <cellStyle name="Normal 17 3 2 2 2 2" xfId="6242" xr:uid="{F4CD0416-6087-4E78-B660-8AE8D8573BEE}"/>
    <cellStyle name="Normal 17 3 2 2 2 2 2" xfId="12581" xr:uid="{F78B6909-817C-45BF-A839-405EB220F79E}"/>
    <cellStyle name="Normal 17 3 2 2 2 3" xfId="9413" xr:uid="{6459C379-21D5-4299-9E9F-507F9A4D7C6F}"/>
    <cellStyle name="Normal 17 3 2 2 3" xfId="4673" xr:uid="{7E1B3652-E081-48B6-B4C0-6B6F10417FC2}"/>
    <cellStyle name="Normal 17 3 2 2 3 2" xfId="11012" xr:uid="{8C5FD1A8-CB02-4D97-B19E-4631291061AE}"/>
    <cellStyle name="Normal 17 3 2 2 4" xfId="7844" xr:uid="{E05779C5-94AD-4233-ABCF-9053C3EAA6CE}"/>
    <cellStyle name="Normal 17 3 2 3" xfId="2275" xr:uid="{BE403EE7-6A22-4FB6-8DF1-119E5C1D591D}"/>
    <cellStyle name="Normal 17 3 2 3 2" xfId="5445" xr:uid="{40D42149-4CBA-4C26-AFA2-A8FD2EDB99B7}"/>
    <cellStyle name="Normal 17 3 2 3 2 2" xfId="11784" xr:uid="{25A3F152-6453-4453-BA96-4CC61D6F690D}"/>
    <cellStyle name="Normal 17 3 2 3 3" xfId="8616" xr:uid="{14F9F776-A2A4-466B-B5E2-BEBED4A6C247}"/>
    <cellStyle name="Normal 17 3 2 4" xfId="3876" xr:uid="{64F7F1FD-C6D9-416D-90AE-B120647AB3BF}"/>
    <cellStyle name="Normal 17 3 2 4 2" xfId="10215" xr:uid="{66C29EC6-A72C-4602-836C-98428F0F430E}"/>
    <cellStyle name="Normal 17 3 2 5" xfId="7047" xr:uid="{81F33B61-972D-4E82-AFE9-EE4F28F8AF7D}"/>
    <cellStyle name="Normal 17 3 3" xfId="1120" xr:uid="{047B9D8C-F83E-4D26-98A3-1BD13E7B5CDC}"/>
    <cellStyle name="Normal 17 3 3 2" xfId="2691" xr:uid="{52B1C918-9A24-4DEC-903E-14582BB5E067}"/>
    <cellStyle name="Normal 17 3 3 2 2" xfId="5861" xr:uid="{DFFA9FF8-B820-465B-9006-C82C7349561A}"/>
    <cellStyle name="Normal 17 3 3 2 2 2" xfId="12200" xr:uid="{67577107-03AD-4FEB-AA84-6E693A752045}"/>
    <cellStyle name="Normal 17 3 3 2 3" xfId="9032" xr:uid="{4B2130AD-1EC1-405C-AC5B-5F4EC3B1A936}"/>
    <cellStyle name="Normal 17 3 3 3" xfId="4292" xr:uid="{8674DB4D-A28F-49EB-8351-F4DEAFCAD7F4}"/>
    <cellStyle name="Normal 17 3 3 3 2" xfId="10631" xr:uid="{07DF8A66-ECD3-478A-8E6D-EF722318FC9C}"/>
    <cellStyle name="Normal 17 3 3 4" xfId="7463" xr:uid="{E68D479C-4A99-47EA-B9A7-024B78746F29}"/>
    <cellStyle name="Normal 17 3 4" xfId="1894" xr:uid="{8A366465-68DB-45E8-987B-5E994E91BF02}"/>
    <cellStyle name="Normal 17 3 4 2" xfId="5064" xr:uid="{78F3BDD7-E44B-4656-821C-0648D4885AC0}"/>
    <cellStyle name="Normal 17 3 4 2 2" xfId="11403" xr:uid="{FE2495C6-0EBB-4F13-BFC1-8B3234A6CEE0}"/>
    <cellStyle name="Normal 17 3 4 3" xfId="8235" xr:uid="{3BA28B1F-71AD-4330-BAF6-E04BA4CC7394}"/>
    <cellStyle name="Normal 17 3 5" xfId="3495" xr:uid="{439825A1-5BCB-4357-A444-2016EA37D13B}"/>
    <cellStyle name="Normal 17 3 5 2" xfId="9834" xr:uid="{7A572D63-9C77-4626-BB14-88E072021524}"/>
    <cellStyle name="Normal 17 3 6" xfId="6666" xr:uid="{017AB374-665E-4DF3-9D7E-78C410601EB4}"/>
    <cellStyle name="Normal 17 4" xfId="518" xr:uid="{5F7BD1CA-E04E-4327-91D1-3B6A3A984BA7}"/>
    <cellStyle name="Normal 17 4 2" xfId="1317" xr:uid="{9D843CF2-F183-4589-8A6F-EE5BBDFFFB29}"/>
    <cellStyle name="Normal 17 4 2 2" xfId="2888" xr:uid="{B3BAF754-FE03-424C-890D-595E455D0F43}"/>
    <cellStyle name="Normal 17 4 2 2 2" xfId="6058" xr:uid="{A498BB17-FE09-42CF-BBDE-06858973E0D9}"/>
    <cellStyle name="Normal 17 4 2 2 2 2" xfId="12397" xr:uid="{AEFAB5D8-DCFE-4317-AE15-04E0E63DF100}"/>
    <cellStyle name="Normal 17 4 2 2 3" xfId="9229" xr:uid="{FBA87103-B83D-4DC0-A02D-6D4354571285}"/>
    <cellStyle name="Normal 17 4 2 3" xfId="4489" xr:uid="{BC4BEB70-85F7-4896-8C94-398CE9E67288}"/>
    <cellStyle name="Normal 17 4 2 3 2" xfId="10828" xr:uid="{08595E0E-239C-4AF2-9006-392774E376B1}"/>
    <cellStyle name="Normal 17 4 2 4" xfId="7660" xr:uid="{880D4656-8469-4A27-AA43-3405FA5229F0}"/>
    <cellStyle name="Normal 17 4 3" xfId="2091" xr:uid="{1B024B3F-070F-44F0-BC0D-B6E1A651FC23}"/>
    <cellStyle name="Normal 17 4 3 2" xfId="5261" xr:uid="{153522B6-C90B-4C66-816A-69E7C929759D}"/>
    <cellStyle name="Normal 17 4 3 2 2" xfId="11600" xr:uid="{7C7AF413-FAC1-494E-B086-997698C9DD45}"/>
    <cellStyle name="Normal 17 4 3 3" xfId="8432" xr:uid="{0B830941-88C6-4267-B937-58826FB9AA7B}"/>
    <cellStyle name="Normal 17 4 4" xfId="3692" xr:uid="{E5CADFEC-F2F7-4702-B756-6B13A105E614}"/>
    <cellStyle name="Normal 17 4 4 2" xfId="10031" xr:uid="{0614A74B-0309-41B3-BC30-7B80AB25CB8F}"/>
    <cellStyle name="Normal 17 4 5" xfId="6863" xr:uid="{019B7E52-A008-451F-9F65-2372D1B6D11B}"/>
    <cellStyle name="Normal 17 5" xfId="917" xr:uid="{89E22B6B-28D6-4744-B795-9457CF19BD0F}"/>
    <cellStyle name="Normal 17 5 2" xfId="2488" xr:uid="{9A7AD5AA-79CD-4A48-8256-801A82005448}"/>
    <cellStyle name="Normal 17 5 2 2" xfId="5658" xr:uid="{B11A6FA6-DBAB-457C-AABE-259AF3DF5929}"/>
    <cellStyle name="Normal 17 5 2 2 2" xfId="11997" xr:uid="{E1785D68-B3D3-4258-AC90-A8BCA0327A69}"/>
    <cellStyle name="Normal 17 5 2 3" xfId="8829" xr:uid="{02FA40F0-D7C8-43ED-A8A1-7FD42B3A245B}"/>
    <cellStyle name="Normal 17 5 3" xfId="4089" xr:uid="{B7EF58D9-8626-472C-A726-37B00A3B86D2}"/>
    <cellStyle name="Normal 17 5 3 2" xfId="10428" xr:uid="{D5D82B2D-1672-4849-A0B4-95C775CB50E4}"/>
    <cellStyle name="Normal 17 5 4" xfId="7260" xr:uid="{03C81577-CEF8-4790-B464-3B55414697D5}"/>
    <cellStyle name="Normal 17 6" xfId="1711" xr:uid="{DAADE96B-4E10-4F54-94FF-D69A982EBDA0}"/>
    <cellStyle name="Normal 17 6 2" xfId="4881" xr:uid="{E68B2CB5-CFC7-4FE4-9C3C-B883948FD10B}"/>
    <cellStyle name="Normal 17 6 2 2" xfId="11220" xr:uid="{58176845-B036-4C5F-81AE-DEE4B348E095}"/>
    <cellStyle name="Normal 17 6 3" xfId="8052" xr:uid="{7A779838-01C5-40DE-83D4-49BE8999F033}"/>
    <cellStyle name="Normal 17 7" xfId="3292" xr:uid="{2A54F8C0-84F3-4335-93E4-406284BC96B9}"/>
    <cellStyle name="Normal 17 7 2" xfId="9631" xr:uid="{4F42A9C5-23B9-46E2-B9EF-4F1667E20FF0}"/>
    <cellStyle name="Normal 17 8" xfId="6463" xr:uid="{BE379F6A-659E-4E6C-B230-9A2994C249D9}"/>
    <cellStyle name="Normal 18" xfId="54" xr:uid="{C794F5F4-CA52-4F17-89AA-F21D30B01116}"/>
    <cellStyle name="Normal 18 2" xfId="278" xr:uid="{773B4064-7CA9-4E93-AB44-502FF6A74E99}"/>
    <cellStyle name="Normal 18 2 2" xfId="668" xr:uid="{C4C38D17-D94B-4535-A537-DAB34E115F6E}"/>
    <cellStyle name="Normal 18 2 2 2" xfId="1467" xr:uid="{B9E3085D-13F4-400A-9272-DC37984919AF}"/>
    <cellStyle name="Normal 18 2 2 2 2" xfId="3038" xr:uid="{3AA51226-B38A-41ED-9255-CBBA91B81195}"/>
    <cellStyle name="Normal 18 2 2 2 2 2" xfId="6208" xr:uid="{C40FDD0A-FEB8-4FFB-98BC-96A51C1515AE}"/>
    <cellStyle name="Normal 18 2 2 2 2 2 2" xfId="12547" xr:uid="{F7E2A6D4-C93A-49D0-8332-EA1E328CC698}"/>
    <cellStyle name="Normal 18 2 2 2 2 3" xfId="9379" xr:uid="{DC0C7430-808D-4535-BD6A-6DE9134E762A}"/>
    <cellStyle name="Normal 18 2 2 2 3" xfId="4639" xr:uid="{00CFD821-7CD8-4F31-A887-DFDE06A2CB1E}"/>
    <cellStyle name="Normal 18 2 2 2 3 2" xfId="10978" xr:uid="{9DF6EEAD-E3F5-426E-B53B-C43CA696B3CD}"/>
    <cellStyle name="Normal 18 2 2 2 4" xfId="7810" xr:uid="{C34B7746-7592-40F9-8400-D61958302442}"/>
    <cellStyle name="Normal 18 2 2 3" xfId="2241" xr:uid="{EAD5B977-5AAB-4AB4-98A9-F0A9560495F6}"/>
    <cellStyle name="Normal 18 2 2 3 2" xfId="5411" xr:uid="{284CD16A-33EF-43D8-BD02-5EE54F9F57C7}"/>
    <cellStyle name="Normal 18 2 2 3 2 2" xfId="11750" xr:uid="{34E0FF7F-1D54-4D62-B6B1-5D5827F9C589}"/>
    <cellStyle name="Normal 18 2 2 3 3" xfId="8582" xr:uid="{63FE562B-5E3F-42B3-810C-EC9AFA0BC589}"/>
    <cellStyle name="Normal 18 2 2 4" xfId="3842" xr:uid="{63B7F75B-5338-40DC-A7EB-32693CE1594F}"/>
    <cellStyle name="Normal 18 2 2 4 2" xfId="10181" xr:uid="{5C078E97-6F77-4232-B09B-42F0787D9B0C}"/>
    <cellStyle name="Normal 18 2 2 5" xfId="7013" xr:uid="{9B2D8073-F146-4967-A0C3-3DCF30627247}"/>
    <cellStyle name="Normal 18 2 3" xfId="1086" xr:uid="{868978CD-D79B-4A32-9DC3-AC4899A6B64A}"/>
    <cellStyle name="Normal 18 2 3 2" xfId="2657" xr:uid="{586D9EC4-004C-4263-98A9-5C18E171F78D}"/>
    <cellStyle name="Normal 18 2 3 2 2" xfId="5827" xr:uid="{863222D1-C4D5-4C49-8E5C-1B2EC7E1FE5B}"/>
    <cellStyle name="Normal 18 2 3 2 2 2" xfId="12166" xr:uid="{86C3FB33-98A3-4247-81E9-183809FA9B2E}"/>
    <cellStyle name="Normal 18 2 3 2 3" xfId="8998" xr:uid="{3924C84E-8FF0-4601-84E9-A99B2F72BC7A}"/>
    <cellStyle name="Normal 18 2 3 3" xfId="4258" xr:uid="{F4C54122-6B33-49B2-AA34-6673C20009EF}"/>
    <cellStyle name="Normal 18 2 3 3 2" xfId="10597" xr:uid="{1447DA6E-1A21-46AB-9404-4F847FC444D9}"/>
    <cellStyle name="Normal 18 2 3 4" xfId="7429" xr:uid="{082ABFB8-BEDD-4CF4-8703-B2BEA22ABAB6}"/>
    <cellStyle name="Normal 18 2 4" xfId="1860" xr:uid="{16489C85-A588-4EFE-A1FF-951A41950CEE}"/>
    <cellStyle name="Normal 18 2 4 2" xfId="5030" xr:uid="{84014F3D-293A-4E99-BD1A-8DB9993E6D2A}"/>
    <cellStyle name="Normal 18 2 4 2 2" xfId="11369" xr:uid="{5596C7FC-8A26-4522-8B7D-A368F2218377}"/>
    <cellStyle name="Normal 18 2 4 3" xfId="8201" xr:uid="{9B99AC33-2AAA-48B9-89E9-0BF49998A0F0}"/>
    <cellStyle name="Normal 18 2 5" xfId="3461" xr:uid="{20314054-3A5B-4226-B7B0-110CA0ACFFFF}"/>
    <cellStyle name="Normal 18 2 5 2" xfId="9800" xr:uid="{B02D69C1-D95C-4135-A0F5-650E2CB39949}"/>
    <cellStyle name="Normal 18 2 6" xfId="6632" xr:uid="{D6DD6DD9-AD51-40EF-8218-9CFFF315BA3E}"/>
    <cellStyle name="Normal 18 3" xfId="485" xr:uid="{15A568B0-2CC4-41EC-9107-73FE26EE6F08}"/>
    <cellStyle name="Normal 18 3 2" xfId="1284" xr:uid="{7AA5D9E5-B0D2-457C-8DA8-6F4DF7E6FCD7}"/>
    <cellStyle name="Normal 18 3 2 2" xfId="2855" xr:uid="{8EA580D4-0131-4D80-A42B-C10DC254B538}"/>
    <cellStyle name="Normal 18 3 2 2 2" xfId="6025" xr:uid="{20D76885-2093-47E8-8343-1AABCAD4B440}"/>
    <cellStyle name="Normal 18 3 2 2 2 2" xfId="12364" xr:uid="{A5AED958-B926-47CD-9B23-F4D61C737076}"/>
    <cellStyle name="Normal 18 3 2 2 3" xfId="9196" xr:uid="{53AC0020-14EA-47C4-B838-83A249D54BCF}"/>
    <cellStyle name="Normal 18 3 2 3" xfId="4456" xr:uid="{CD57A3B9-4051-4E8A-BB0B-811F8C09F4F6}"/>
    <cellStyle name="Normal 18 3 2 3 2" xfId="10795" xr:uid="{C221F045-ADF9-4065-9BCF-73A27FFF05BE}"/>
    <cellStyle name="Normal 18 3 2 4" xfId="7627" xr:uid="{F72D46E8-8C8D-4164-99B1-EA5BE4F69BD9}"/>
    <cellStyle name="Normal 18 3 3" xfId="2058" xr:uid="{9EF3BDC5-53C7-43DD-B0E6-59C64507315D}"/>
    <cellStyle name="Normal 18 3 3 2" xfId="5228" xr:uid="{81618571-827D-4F7C-A073-651709649283}"/>
    <cellStyle name="Normal 18 3 3 2 2" xfId="11567" xr:uid="{9494FD1A-DF0E-4138-B268-99C4A0601CD9}"/>
    <cellStyle name="Normal 18 3 3 3" xfId="8399" xr:uid="{85A6CCB3-797C-4424-A78A-A29FB0D7D9D6}"/>
    <cellStyle name="Normal 18 3 4" xfId="3659" xr:uid="{68BB8DA0-60D5-43AA-8A59-8571E55EDDCC}"/>
    <cellStyle name="Normal 18 3 4 2" xfId="9998" xr:uid="{83E0BF6A-66BB-45DD-8256-2FD54A7044B6}"/>
    <cellStyle name="Normal 18 3 5" xfId="6830" xr:uid="{58DED91D-C580-4966-B6BE-6040E9343AB9}"/>
    <cellStyle name="Normal 18 4" xfId="883" xr:uid="{947F889B-37FF-4487-BAFD-47FE23B36060}"/>
    <cellStyle name="Normal 18 4 2" xfId="2454" xr:uid="{40D03250-27A7-4DE6-8045-24C65CB52921}"/>
    <cellStyle name="Normal 18 4 2 2" xfId="5624" xr:uid="{866105A0-06F3-4D44-B3D5-A600EC5480D8}"/>
    <cellStyle name="Normal 18 4 2 2 2" xfId="11963" xr:uid="{5888B33A-3A1F-4D79-9ABB-DE3B0A231436}"/>
    <cellStyle name="Normal 18 4 2 3" xfId="8795" xr:uid="{0ED8473C-2488-44AB-9C51-2FA17DF0024B}"/>
    <cellStyle name="Normal 18 4 3" xfId="4055" xr:uid="{02C29320-E1D0-4E63-B246-05692C7D9B73}"/>
    <cellStyle name="Normal 18 4 3 2" xfId="10394" xr:uid="{99F7C9BE-8D1F-46F4-B1E1-9D77B0DC18CC}"/>
    <cellStyle name="Normal 18 4 4" xfId="7226" xr:uid="{2820E917-F814-4FDE-A913-818F16EF4D9C}"/>
    <cellStyle name="Normal 18 5" xfId="1680" xr:uid="{84F33197-DDBE-46B2-9942-39DD800B71C0}"/>
    <cellStyle name="Normal 18 5 2" xfId="4850" xr:uid="{F3310615-632A-4530-B7B8-26AEECB0E334}"/>
    <cellStyle name="Normal 18 5 2 2" xfId="11189" xr:uid="{6D0DC1FC-9202-4298-979F-CD443DA6D27D}"/>
    <cellStyle name="Normal 18 5 3" xfId="8021" xr:uid="{0DAA8375-018A-4648-B884-C8DB284FB313}"/>
    <cellStyle name="Normal 18 6" xfId="3258" xr:uid="{6D52A49D-B8BC-42C9-B799-7FC3F36725C9}"/>
    <cellStyle name="Normal 18 6 2" xfId="9597" xr:uid="{7C8DCE87-D69D-4A0D-902F-F229F1B965B5}"/>
    <cellStyle name="Normal 18 7" xfId="6429" xr:uid="{40F7EF85-DD39-4DAA-A2FB-CB83BD9E90EE}"/>
    <cellStyle name="Normal 19" xfId="141" xr:uid="{2DBEA6B3-4D40-493F-8C65-4DDC5055CDA4}"/>
    <cellStyle name="Normal 19 2" xfId="358" xr:uid="{FC942F4D-BAE8-44B2-ABB3-4F04161D539D}"/>
    <cellStyle name="Normal 19 2 2" xfId="739" xr:uid="{43E56A33-290E-4759-A3E6-642B56E33C43}"/>
    <cellStyle name="Normal 19 2 2 2" xfId="1538" xr:uid="{C9AAADC9-9B71-4345-9165-5A009955DA5F}"/>
    <cellStyle name="Normal 19 2 2 2 2" xfId="3109" xr:uid="{6FA5F931-D928-4B85-9A55-6B36D312891B}"/>
    <cellStyle name="Normal 19 2 2 2 2 2" xfId="6279" xr:uid="{560A85B7-D764-4DF7-97F1-579CCEFDDB12}"/>
    <cellStyle name="Normal 19 2 2 2 2 2 2" xfId="12618" xr:uid="{CF2ABD3F-97A0-4BBF-B3FB-15C61BBCA65B}"/>
    <cellStyle name="Normal 19 2 2 2 2 3" xfId="9450" xr:uid="{4C3E1CB1-94B0-4375-BB6A-F57D7AD4EF9F}"/>
    <cellStyle name="Normal 19 2 2 2 3" xfId="4710" xr:uid="{E78001C3-2F43-4A87-81FA-09DBFD8B4B69}"/>
    <cellStyle name="Normal 19 2 2 2 3 2" xfId="11049" xr:uid="{DD0FF212-81A7-405B-8702-237344DDF41B}"/>
    <cellStyle name="Normal 19 2 2 2 4" xfId="7881" xr:uid="{1985F209-CA87-40BC-BAA3-82AF26594BEF}"/>
    <cellStyle name="Normal 19 2 2 3" xfId="2312" xr:uid="{E493145E-7118-4D5E-AD31-46A93C9786C1}"/>
    <cellStyle name="Normal 19 2 2 3 2" xfId="5482" xr:uid="{E1C2977D-4876-4648-8D85-172C070E82A9}"/>
    <cellStyle name="Normal 19 2 2 3 2 2" xfId="11821" xr:uid="{2B1570C6-ACBA-41FD-A6A9-940B8DE681C0}"/>
    <cellStyle name="Normal 19 2 2 3 3" xfId="8653" xr:uid="{EF2A7A28-4D19-4FAF-BB5F-4F9E012A16DA}"/>
    <cellStyle name="Normal 19 2 2 4" xfId="3913" xr:uid="{E9E07AAF-4CBE-4FFC-914E-0FB0F32DBC9A}"/>
    <cellStyle name="Normal 19 2 2 4 2" xfId="10252" xr:uid="{00872984-41E6-4AFE-A0F2-25D4C95E6A96}"/>
    <cellStyle name="Normal 19 2 2 5" xfId="7084" xr:uid="{3D308C3A-5E4C-4724-87EC-E0CB3A85819B}"/>
    <cellStyle name="Normal 19 2 3" xfId="1157" xr:uid="{1A118FA6-3209-4B07-885A-A65F419EABEA}"/>
    <cellStyle name="Normal 19 2 3 2" xfId="2728" xr:uid="{7670FADF-2549-40D2-BB18-973B7AD6584A}"/>
    <cellStyle name="Normal 19 2 3 2 2" xfId="5898" xr:uid="{6C9CD195-0EC6-4D47-836B-BC14335080A6}"/>
    <cellStyle name="Normal 19 2 3 2 2 2" xfId="12237" xr:uid="{4D0DDB30-3FD3-4F28-981A-E9EB46BE38B6}"/>
    <cellStyle name="Normal 19 2 3 2 3" xfId="9069" xr:uid="{BDC2C74A-F604-43AC-AC0B-0EA62B8281FD}"/>
    <cellStyle name="Normal 19 2 3 3" xfId="4329" xr:uid="{8822FA67-4D7E-4022-B936-87B9E772F7B2}"/>
    <cellStyle name="Normal 19 2 3 3 2" xfId="10668" xr:uid="{73426F91-16AD-424F-8DA6-1B15C3B52267}"/>
    <cellStyle name="Normal 19 2 3 4" xfId="7500" xr:uid="{87B3DFA6-50FD-4C17-9999-94400B8A1BBD}"/>
    <cellStyle name="Normal 19 2 4" xfId="1931" xr:uid="{CB59C6A6-ADFE-401E-9F08-30FDAC79AB9E}"/>
    <cellStyle name="Normal 19 2 4 2" xfId="5101" xr:uid="{21E96C1E-26D7-4B83-83C8-9B5518BE1269}"/>
    <cellStyle name="Normal 19 2 4 2 2" xfId="11440" xr:uid="{31C41DF0-F3C5-4FAC-9D8F-F9BF9944D307}"/>
    <cellStyle name="Normal 19 2 4 3" xfId="8272" xr:uid="{63461A5D-2FC2-4C6D-B1F5-39041FF283AD}"/>
    <cellStyle name="Normal 19 2 5" xfId="3532" xr:uid="{6E4DC8F3-9113-45D0-9083-F36F099B5803}"/>
    <cellStyle name="Normal 19 2 5 2" xfId="9871" xr:uid="{EF3C8365-0D44-4ECC-A8AC-C5869473C1C9}"/>
    <cellStyle name="Normal 19 2 6" xfId="6703" xr:uid="{4C87A39F-721E-46D8-8372-13F01CB2F8EF}"/>
    <cellStyle name="Normal 19 3" xfId="536" xr:uid="{666DCEFF-BB9A-4580-BA40-4C94BD072243}"/>
    <cellStyle name="Normal 19 3 2" xfId="1335" xr:uid="{2EDCB36D-F3BD-4C36-BD6A-10AA5868C6CA}"/>
    <cellStyle name="Normal 19 3 2 2" xfId="2906" xr:uid="{1CF3A523-8422-4909-A6FF-7D5FB2DD13AF}"/>
    <cellStyle name="Normal 19 3 2 2 2" xfId="6076" xr:uid="{F601A1AC-5DBA-4F80-B4AF-B025A6B3C9FE}"/>
    <cellStyle name="Normal 19 3 2 2 2 2" xfId="12415" xr:uid="{B9E437B3-9A94-48C7-B6F9-8BB9CC0E94B3}"/>
    <cellStyle name="Normal 19 3 2 2 3" xfId="9247" xr:uid="{B13CC683-9521-42DD-87A6-9CB127BF5B40}"/>
    <cellStyle name="Normal 19 3 2 3" xfId="4507" xr:uid="{E384292B-5B5A-408C-B477-FD8A16EB33CA}"/>
    <cellStyle name="Normal 19 3 2 3 2" xfId="10846" xr:uid="{E49E2475-2729-49EB-A37E-85A14C0224D2}"/>
    <cellStyle name="Normal 19 3 2 4" xfId="7678" xr:uid="{40CC9CF7-8EF2-4D17-B209-5EEEDF816190}"/>
    <cellStyle name="Normal 19 3 3" xfId="2109" xr:uid="{6FB810F6-9D00-47BD-BB7A-730F90CCD157}"/>
    <cellStyle name="Normal 19 3 3 2" xfId="5279" xr:uid="{F7C44312-8F75-4A18-87ED-CCFEA92F89AE}"/>
    <cellStyle name="Normal 19 3 3 2 2" xfId="11618" xr:uid="{C0D908D2-8C41-473A-B742-B262FD3B86A3}"/>
    <cellStyle name="Normal 19 3 3 3" xfId="8450" xr:uid="{9F136EFE-1525-4822-ABD3-4EF600E92A1D}"/>
    <cellStyle name="Normal 19 3 4" xfId="3710" xr:uid="{8ADA72ED-5211-4057-BDD8-C014789D4E87}"/>
    <cellStyle name="Normal 19 3 4 2" xfId="10049" xr:uid="{5FA790F6-D69D-4AEF-8D9B-24D08378F129}"/>
    <cellStyle name="Normal 19 3 5" xfId="6881" xr:uid="{8EE611C4-CE57-4425-A958-CDE994C97E3A}"/>
    <cellStyle name="Normal 19 4" xfId="954" xr:uid="{1BB00CF5-CDBB-4103-B026-0215A891AF5C}"/>
    <cellStyle name="Normal 19 4 2" xfId="2525" xr:uid="{2AE2C7C5-B3F6-4B5C-9C56-D2453E2F230B}"/>
    <cellStyle name="Normal 19 4 2 2" xfId="5695" xr:uid="{FA4A32CB-6EDA-4C32-81E7-EEA3D425A3C3}"/>
    <cellStyle name="Normal 19 4 2 2 2" xfId="12034" xr:uid="{F5F8C500-8BF8-482E-ABEF-92701C3481CC}"/>
    <cellStyle name="Normal 19 4 2 3" xfId="8866" xr:uid="{C5E0D532-D754-4284-B53C-5B191442D407}"/>
    <cellStyle name="Normal 19 4 3" xfId="4126" xr:uid="{F8F4AEA4-7545-4E38-B24C-50A0676F6B54}"/>
    <cellStyle name="Normal 19 4 3 2" xfId="10465" xr:uid="{91F83FBA-DF3E-454A-BD5E-528E47E3FD87}"/>
    <cellStyle name="Normal 19 4 4" xfId="7297" xr:uid="{C7C48E8F-D7AC-4E5D-84A5-48E855A385D4}"/>
    <cellStyle name="Normal 19 5" xfId="1728" xr:uid="{DEED5AC6-5BB3-427A-AFF9-61C6FB00561A}"/>
    <cellStyle name="Normal 19 5 2" xfId="4898" xr:uid="{115A42E1-D44C-42BD-B6F7-501073EF79FE}"/>
    <cellStyle name="Normal 19 5 2 2" xfId="11237" xr:uid="{B694DF43-8CC7-4495-A0B8-5ADB63780E2C}"/>
    <cellStyle name="Normal 19 5 3" xfId="8069" xr:uid="{2EE4AC1B-56B9-4741-8358-AB86DEAEF5F3}"/>
    <cellStyle name="Normal 19 6" xfId="3329" xr:uid="{37BFE45D-D092-4C8F-9897-C9D38F0B6CE6}"/>
    <cellStyle name="Normal 19 6 2" xfId="9668" xr:uid="{F0D7E203-A6A3-4CBE-BDA1-92CB19720E0B}"/>
    <cellStyle name="Normal 19 7" xfId="6500" xr:uid="{BD352C87-BC82-4BF7-BD88-F50288BE6A8E}"/>
    <cellStyle name="Normal 2" xfId="2" xr:uid="{00000000-0005-0000-0000-000002000000}"/>
    <cellStyle name="Normal 2 2" xfId="20" xr:uid="{ADA73C6D-40E9-4194-B0A8-DACE94F85D81}"/>
    <cellStyle name="Normal 2 2 2" xfId="1639" xr:uid="{66BA9460-93A9-4BB8-8867-6C213E0BEA46}"/>
    <cellStyle name="Normal 2 3" xfId="28" xr:uid="{DA9A5015-C119-47FF-9A62-D9FFB8BA0A12}"/>
    <cellStyle name="Normal 2 3 10" xfId="3232" xr:uid="{295DE44A-8297-472F-856A-64B0CCD30C1A}"/>
    <cellStyle name="Normal 2 3 10 2" xfId="9571" xr:uid="{BDDDE514-3B9C-45E7-A53E-3C9D9DDAAD6C}"/>
    <cellStyle name="Normal 2 3 11" xfId="6403" xr:uid="{E92120AE-20F4-4A41-8691-AF71E112C82A}"/>
    <cellStyle name="Normal 2 3 2" xfId="37" xr:uid="{85CB4957-1CC6-4AA5-B89B-546B6DD4E836}"/>
    <cellStyle name="Normal 2 3 2 2" xfId="261" xr:uid="{CB7B3673-A20D-4B65-8561-227845E5B3D7}"/>
    <cellStyle name="Normal 2 3 2 2 2" xfId="651" xr:uid="{E4F6BCEE-9444-4948-B1B5-31D61019DCCE}"/>
    <cellStyle name="Normal 2 3 2 2 2 2" xfId="1450" xr:uid="{0A256FAB-0F00-48B8-AF5D-C22820E4E535}"/>
    <cellStyle name="Normal 2 3 2 2 2 2 2" xfId="3021" xr:uid="{81F082DB-92F1-4754-814A-6064C80E96CC}"/>
    <cellStyle name="Normal 2 3 2 2 2 2 2 2" xfId="6191" xr:uid="{B85B856D-D090-4305-968F-09B5C9F94D47}"/>
    <cellStyle name="Normal 2 3 2 2 2 2 2 2 2" xfId="12530" xr:uid="{D2B55825-00C7-455B-A767-FF59D5EE1E94}"/>
    <cellStyle name="Normal 2 3 2 2 2 2 2 3" xfId="9362" xr:uid="{424F996A-A406-4C25-8E44-2ED8CDFB3D14}"/>
    <cellStyle name="Normal 2 3 2 2 2 2 3" xfId="4622" xr:uid="{8B5C8957-B15F-45E3-BA04-C6054E32991E}"/>
    <cellStyle name="Normal 2 3 2 2 2 2 3 2" xfId="10961" xr:uid="{6BE4B0FB-9299-43D6-AF74-0F1F8B3672AF}"/>
    <cellStyle name="Normal 2 3 2 2 2 2 4" xfId="7793" xr:uid="{D9276AC6-FCFA-46FE-A053-E8BB9A1720E5}"/>
    <cellStyle name="Normal 2 3 2 2 2 3" xfId="2224" xr:uid="{72422BA2-BFB8-48DE-97E5-AB1C2AA8CEA8}"/>
    <cellStyle name="Normal 2 3 2 2 2 3 2" xfId="5394" xr:uid="{58D4CDD3-FC25-45B1-B687-365EABBA6DCB}"/>
    <cellStyle name="Normal 2 3 2 2 2 3 2 2" xfId="11733" xr:uid="{2B3E179F-0B23-4783-8202-6A424FE5DBD3}"/>
    <cellStyle name="Normal 2 3 2 2 2 3 3" xfId="8565" xr:uid="{2D0AE851-91D0-4A6F-9A35-1A893FC5FDD6}"/>
    <cellStyle name="Normal 2 3 2 2 2 4" xfId="3825" xr:uid="{72188BBF-7BE2-42AD-8D9C-47DCA3548D25}"/>
    <cellStyle name="Normal 2 3 2 2 2 4 2" xfId="10164" xr:uid="{2CF85E87-3485-43C8-B478-1355D73CB669}"/>
    <cellStyle name="Normal 2 3 2 2 2 5" xfId="6996" xr:uid="{4ED0F1F9-EB79-4E71-9D2B-600CDB20CBD1}"/>
    <cellStyle name="Normal 2 3 2 2 3" xfId="1069" xr:uid="{E920FACD-1780-43B5-B607-5616FBB20078}"/>
    <cellStyle name="Normal 2 3 2 2 3 2" xfId="2640" xr:uid="{B1AF813D-5381-4B37-8AB5-871A5C8FB36A}"/>
    <cellStyle name="Normal 2 3 2 2 3 2 2" xfId="5810" xr:uid="{16EA2F06-78F6-4533-96F8-C57D7D3D7528}"/>
    <cellStyle name="Normal 2 3 2 2 3 2 2 2" xfId="12149" xr:uid="{AF59E40E-5B8D-456B-B063-6673A3CF9516}"/>
    <cellStyle name="Normal 2 3 2 2 3 2 3" xfId="8981" xr:uid="{F5EFD28B-0960-41AF-A884-DFB293CA6B7A}"/>
    <cellStyle name="Normal 2 3 2 2 3 3" xfId="4241" xr:uid="{C96F6D4B-C518-47BD-904E-9A996C4794A8}"/>
    <cellStyle name="Normal 2 3 2 2 3 3 2" xfId="10580" xr:uid="{573A3BCC-EB03-4C94-9629-538E599B07B1}"/>
    <cellStyle name="Normal 2 3 2 2 3 4" xfId="7412" xr:uid="{AADE00A5-5B28-4C59-B9E2-3FEB8402D387}"/>
    <cellStyle name="Normal 2 3 2 2 4" xfId="1843" xr:uid="{09B0293A-6067-4235-BB18-9099FE67A334}"/>
    <cellStyle name="Normal 2 3 2 2 4 2" xfId="5013" xr:uid="{ECF015E5-E958-4961-8F37-C9CABAC45BBD}"/>
    <cellStyle name="Normal 2 3 2 2 4 2 2" xfId="11352" xr:uid="{50192974-B4F7-423B-ACC7-36E485D942BE}"/>
    <cellStyle name="Normal 2 3 2 2 4 3" xfId="8184" xr:uid="{F3558C81-5CF3-4E16-A8E6-7A68E610DBD1}"/>
    <cellStyle name="Normal 2 3 2 2 5" xfId="3444" xr:uid="{1558C827-6FE7-49F7-BBB0-7A252904083A}"/>
    <cellStyle name="Normal 2 3 2 2 5 2" xfId="9783" xr:uid="{3E2C96E6-4791-4B06-8EF3-41642C1508A3}"/>
    <cellStyle name="Normal 2 3 2 2 6" xfId="6615" xr:uid="{C827968F-C266-4DC6-9EC6-EBF0F6C0D443}"/>
    <cellStyle name="Normal 2 3 2 3" xfId="471" xr:uid="{4F104B7A-9A6E-4A4F-857D-F6584F97CAFF}"/>
    <cellStyle name="Normal 2 3 2 3 2" xfId="1270" xr:uid="{A74BFA60-8962-4CDE-A16F-44CCFA8D990A}"/>
    <cellStyle name="Normal 2 3 2 3 2 2" xfId="2841" xr:uid="{05E913D6-3742-4DA5-9CB6-6486895C2787}"/>
    <cellStyle name="Normal 2 3 2 3 2 2 2" xfId="6011" xr:uid="{BA5AD3FC-56A8-4F67-9B02-3F823F89D929}"/>
    <cellStyle name="Normal 2 3 2 3 2 2 2 2" xfId="12350" xr:uid="{85CE0373-BC56-4D89-B92D-5908E0E97A13}"/>
    <cellStyle name="Normal 2 3 2 3 2 2 3" xfId="9182" xr:uid="{DD595B14-087E-48E3-B412-C0E605DED624}"/>
    <cellStyle name="Normal 2 3 2 3 2 3" xfId="4442" xr:uid="{B0C2F2F3-6544-4FE3-AF05-1030C590C20F}"/>
    <cellStyle name="Normal 2 3 2 3 2 3 2" xfId="10781" xr:uid="{E5F06C03-3653-4435-99BB-4E50A6863067}"/>
    <cellStyle name="Normal 2 3 2 3 2 4" xfId="7613" xr:uid="{9B0AAC65-6486-446E-BA5A-7DD1489A39AF}"/>
    <cellStyle name="Normal 2 3 2 3 3" xfId="2044" xr:uid="{1C25FBCB-D361-48BE-9D01-D11CC89FE03D}"/>
    <cellStyle name="Normal 2 3 2 3 3 2" xfId="5214" xr:uid="{7133BD7C-F288-4112-96EF-5C107D869A39}"/>
    <cellStyle name="Normal 2 3 2 3 3 2 2" xfId="11553" xr:uid="{0C40ED2D-617E-4B71-8D4D-199B2573880E}"/>
    <cellStyle name="Normal 2 3 2 3 3 3" xfId="8385" xr:uid="{7817C55C-A9CC-46C4-A911-0CB6F007100F}"/>
    <cellStyle name="Normal 2 3 2 3 4" xfId="3645" xr:uid="{38B981FF-14E5-41FB-95F2-793E00844FD6}"/>
    <cellStyle name="Normal 2 3 2 3 4 2" xfId="9984" xr:uid="{488CFC16-0EEF-4EB2-ABD2-E3E9AE3C5035}"/>
    <cellStyle name="Normal 2 3 2 3 5" xfId="6816" xr:uid="{F82C4682-B391-4028-A223-CE8EFB7A0235}"/>
    <cellStyle name="Normal 2 3 2 4" xfId="866" xr:uid="{696D8888-6E94-45A2-8A2E-BBF052BB549F}"/>
    <cellStyle name="Normal 2 3 2 4 2" xfId="2437" xr:uid="{31D73851-B653-443E-9DB9-86A24C35E3C8}"/>
    <cellStyle name="Normal 2 3 2 4 2 2" xfId="5607" xr:uid="{934AB7D0-29BB-4F03-8DA9-75A41A89CC8C}"/>
    <cellStyle name="Normal 2 3 2 4 2 2 2" xfId="11946" xr:uid="{C09377EA-3C61-4163-84E9-73C00614E352}"/>
    <cellStyle name="Normal 2 3 2 4 2 3" xfId="8778" xr:uid="{9BC5CCAF-B8DE-4468-BF95-6DD620F6729D}"/>
    <cellStyle name="Normal 2 3 2 4 3" xfId="4038" xr:uid="{1F33F4D1-F14E-44A8-AB80-2F9B3E3D3414}"/>
    <cellStyle name="Normal 2 3 2 4 3 2" xfId="10377" xr:uid="{BBA2F564-5907-432B-A42D-06280932B057}"/>
    <cellStyle name="Normal 2 3 2 4 4" xfId="7209" xr:uid="{39F01E31-22A0-49FA-BF72-B722C71872B3}"/>
    <cellStyle name="Normal 2 3 2 5" xfId="1666" xr:uid="{9BB0A6BF-6B69-4622-A57D-E3452EBC53BF}"/>
    <cellStyle name="Normal 2 3 2 5 2" xfId="4836" xr:uid="{EE69996B-E1BF-4E9E-BAFA-D6B0214B96FA}"/>
    <cellStyle name="Normal 2 3 2 5 2 2" xfId="11175" xr:uid="{40AEBA6E-0F68-43B8-B9EE-2D8877DF6E6E}"/>
    <cellStyle name="Normal 2 3 2 5 3" xfId="8007" xr:uid="{734EFE22-0EB1-4EB3-994C-563337E35735}"/>
    <cellStyle name="Normal 2 3 2 6" xfId="3241" xr:uid="{38722255-E8AF-48EA-99B5-39D362516D24}"/>
    <cellStyle name="Normal 2 3 2 6 2" xfId="9580" xr:uid="{4BEBB2FC-31BE-440B-ADBE-6E989714B1B6}"/>
    <cellStyle name="Normal 2 3 2 7" xfId="6412" xr:uid="{D46255E0-9F5A-4B5A-ADBE-96F761903BD7}"/>
    <cellStyle name="Normal 2 3 3" xfId="45" xr:uid="{3B428797-4C32-4F48-A3FE-5E778D210998}"/>
    <cellStyle name="Normal 2 3 3 2" xfId="269" xr:uid="{7E3EA5C6-131A-439E-AA25-1244D48FDDB2}"/>
    <cellStyle name="Normal 2 3 3 2 2" xfId="659" xr:uid="{D58909DB-11E2-4EC0-BDE8-65D9176F39D6}"/>
    <cellStyle name="Normal 2 3 3 2 2 2" xfId="1458" xr:uid="{C804238F-7C8A-4910-9740-0AE100D95BD1}"/>
    <cellStyle name="Normal 2 3 3 2 2 2 2" xfId="3029" xr:uid="{073013A6-FFD9-4112-B8F4-3F4B190F8981}"/>
    <cellStyle name="Normal 2 3 3 2 2 2 2 2" xfId="6199" xr:uid="{B2B59863-D7D0-4499-A96D-B3585C44E12C}"/>
    <cellStyle name="Normal 2 3 3 2 2 2 2 2 2" xfId="12538" xr:uid="{0FC214C3-5FFD-46F8-B475-A4D92A462755}"/>
    <cellStyle name="Normal 2 3 3 2 2 2 2 3" xfId="9370" xr:uid="{7D94BF2B-9274-4CA3-AF66-186AE7DA5E18}"/>
    <cellStyle name="Normal 2 3 3 2 2 2 3" xfId="4630" xr:uid="{96DF2213-1445-4030-B40D-AF5174ABA0F7}"/>
    <cellStyle name="Normal 2 3 3 2 2 2 3 2" xfId="10969" xr:uid="{D72B593D-1CAC-4883-B5EF-490C695EF051}"/>
    <cellStyle name="Normal 2 3 3 2 2 2 4" xfId="7801" xr:uid="{92D3F035-C220-4BA7-ADEA-25FB65796720}"/>
    <cellStyle name="Normal 2 3 3 2 2 3" xfId="2232" xr:uid="{12603F38-C7B3-48A7-904F-A1894A1A7E68}"/>
    <cellStyle name="Normal 2 3 3 2 2 3 2" xfId="5402" xr:uid="{31310AF5-AD2B-4F50-B088-66CF8D8A24E0}"/>
    <cellStyle name="Normal 2 3 3 2 2 3 2 2" xfId="11741" xr:uid="{1BF642D8-464C-4EF0-A114-BAB1EFE1B861}"/>
    <cellStyle name="Normal 2 3 3 2 2 3 3" xfId="8573" xr:uid="{D57F598C-6A76-4194-933C-015F4BE4A10F}"/>
    <cellStyle name="Normal 2 3 3 2 2 4" xfId="3833" xr:uid="{6EE6D131-EC40-4B0F-989A-0BA98B1011D2}"/>
    <cellStyle name="Normal 2 3 3 2 2 4 2" xfId="10172" xr:uid="{2267661C-9DDF-4534-A965-56781CF943C9}"/>
    <cellStyle name="Normal 2 3 3 2 2 5" xfId="7004" xr:uid="{95DECE35-386C-473F-AB88-A132FD2AFCAE}"/>
    <cellStyle name="Normal 2 3 3 2 3" xfId="1077" xr:uid="{5BFE49B7-27A5-486E-B4DD-C28ADF84ED1D}"/>
    <cellStyle name="Normal 2 3 3 2 3 2" xfId="2648" xr:uid="{1C2FC018-30AA-4AF1-A6A4-457EF3A37208}"/>
    <cellStyle name="Normal 2 3 3 2 3 2 2" xfId="5818" xr:uid="{CE21BFB5-8893-4FA8-9609-253CD053D999}"/>
    <cellStyle name="Normal 2 3 3 2 3 2 2 2" xfId="12157" xr:uid="{C4AF913F-8667-41B1-8851-A4BE32CEFC8B}"/>
    <cellStyle name="Normal 2 3 3 2 3 2 3" xfId="8989" xr:uid="{078B0B5D-8EE0-4A21-B775-DC93FD676CEE}"/>
    <cellStyle name="Normal 2 3 3 2 3 3" xfId="4249" xr:uid="{D9F7B502-E70E-4446-861C-0B88A186C6B9}"/>
    <cellStyle name="Normal 2 3 3 2 3 3 2" xfId="10588" xr:uid="{444628C5-848A-412B-AFD9-6C1EFE319335}"/>
    <cellStyle name="Normal 2 3 3 2 3 4" xfId="7420" xr:uid="{8C85D119-ECEF-42B6-8A9A-6EBCD49DE2E1}"/>
    <cellStyle name="Normal 2 3 3 2 4" xfId="1851" xr:uid="{159627A9-76C0-4143-9AE5-E13F43027616}"/>
    <cellStyle name="Normal 2 3 3 2 4 2" xfId="5021" xr:uid="{4E1F85BD-35C5-49B8-ABCD-7AE713C3408F}"/>
    <cellStyle name="Normal 2 3 3 2 4 2 2" xfId="11360" xr:uid="{EE80123D-54A2-489C-9F2D-2C636FFE9844}"/>
    <cellStyle name="Normal 2 3 3 2 4 3" xfId="8192" xr:uid="{AAB838D6-F5FE-4196-B8E0-4D084E69E81A}"/>
    <cellStyle name="Normal 2 3 3 2 5" xfId="3452" xr:uid="{769D9BFD-8B6D-41A7-88ED-48EFA1006022}"/>
    <cellStyle name="Normal 2 3 3 2 5 2" xfId="9791" xr:uid="{62DB5473-DD6E-4CF8-8052-DAB6C68C34C5}"/>
    <cellStyle name="Normal 2 3 3 2 6" xfId="6623" xr:uid="{0734775F-7E28-4B4F-AD37-1FC5C40BD696}"/>
    <cellStyle name="Normal 2 3 3 3" xfId="477" xr:uid="{C1C69548-7D25-4C91-B57D-C6F1E99362E6}"/>
    <cellStyle name="Normal 2 3 3 3 2" xfId="1276" xr:uid="{7D024E69-B3BF-4D0C-96D9-7306E4A74388}"/>
    <cellStyle name="Normal 2 3 3 3 2 2" xfId="2847" xr:uid="{D9BE88F4-E53B-4A8F-9356-74C3B6550B59}"/>
    <cellStyle name="Normal 2 3 3 3 2 2 2" xfId="6017" xr:uid="{51F819C9-E4D6-40A5-8EA6-ACC41974DECF}"/>
    <cellStyle name="Normal 2 3 3 3 2 2 2 2" xfId="12356" xr:uid="{95AC7467-BFAA-42D5-B66B-AD48072B7346}"/>
    <cellStyle name="Normal 2 3 3 3 2 2 3" xfId="9188" xr:uid="{087D51B3-1B1E-4E2C-BA49-F7D392AF8600}"/>
    <cellStyle name="Normal 2 3 3 3 2 3" xfId="4448" xr:uid="{F7EADFD4-DDCB-4AFC-AA24-27F6A0DF134F}"/>
    <cellStyle name="Normal 2 3 3 3 2 3 2" xfId="10787" xr:uid="{2D7C8B48-F8F2-4DD7-BD41-C0A4FCCE5D2F}"/>
    <cellStyle name="Normal 2 3 3 3 2 4" xfId="7619" xr:uid="{82196FFA-465A-4B11-8960-14DBA8727719}"/>
    <cellStyle name="Normal 2 3 3 3 3" xfId="2050" xr:uid="{7110F841-7E32-42E7-94AB-B1B342F5C8C6}"/>
    <cellStyle name="Normal 2 3 3 3 3 2" xfId="5220" xr:uid="{2BDA504B-4BC9-4353-852F-DF54FD009678}"/>
    <cellStyle name="Normal 2 3 3 3 3 2 2" xfId="11559" xr:uid="{177AA4B0-8067-4190-AD20-083604F6BC5E}"/>
    <cellStyle name="Normal 2 3 3 3 3 3" xfId="8391" xr:uid="{68CA5848-805A-4CE1-8EAF-A928EB2D967E}"/>
    <cellStyle name="Normal 2 3 3 3 4" xfId="3651" xr:uid="{12BE521A-E271-421E-A98A-B64598787316}"/>
    <cellStyle name="Normal 2 3 3 3 4 2" xfId="9990" xr:uid="{43A97795-1CE9-4861-9F0C-DD4A53A4AC87}"/>
    <cellStyle name="Normal 2 3 3 3 5" xfId="6822" xr:uid="{15824445-F458-4711-B08E-A7B6996E2716}"/>
    <cellStyle name="Normal 2 3 3 4" xfId="874" xr:uid="{E6A1A949-C99B-4B38-B83C-AAE1A45392FD}"/>
    <cellStyle name="Normal 2 3 3 4 2" xfId="2445" xr:uid="{55BBBB1D-1BC2-4622-B92A-2E8FC9F748DD}"/>
    <cellStyle name="Normal 2 3 3 4 2 2" xfId="5615" xr:uid="{7A84D408-741F-48F4-985A-FE2366AFF319}"/>
    <cellStyle name="Normal 2 3 3 4 2 2 2" xfId="11954" xr:uid="{B507BC97-EBE7-41EB-B0AD-21EF25630B62}"/>
    <cellStyle name="Normal 2 3 3 4 2 3" xfId="8786" xr:uid="{3BE866B0-7EBF-4C7D-A69E-E2B8F24952CF}"/>
    <cellStyle name="Normal 2 3 3 4 3" xfId="4046" xr:uid="{2DF3C80B-5B29-4AD9-83C5-111BBDFD9B71}"/>
    <cellStyle name="Normal 2 3 3 4 3 2" xfId="10385" xr:uid="{159FBEAA-1E50-4756-A26E-7899FD110AA3}"/>
    <cellStyle name="Normal 2 3 3 4 4" xfId="7217" xr:uid="{8C2AA6AE-9AF9-4FC0-874C-F52932D3661B}"/>
    <cellStyle name="Normal 2 3 3 5" xfId="1672" xr:uid="{07419014-21DB-4751-BC34-8EA5B66BFDA8}"/>
    <cellStyle name="Normal 2 3 3 5 2" xfId="4842" xr:uid="{D9FB0973-F410-4E5F-BF58-7987CC3A4507}"/>
    <cellStyle name="Normal 2 3 3 5 2 2" xfId="11181" xr:uid="{0B88DE2A-B8DF-4F46-9CD5-CD76DB1FA4C2}"/>
    <cellStyle name="Normal 2 3 3 5 3" xfId="8013" xr:uid="{CFFE9BAD-23FA-45FF-91BC-689A92ADADB6}"/>
    <cellStyle name="Normal 2 3 3 6" xfId="3249" xr:uid="{F5C0698F-809C-489E-83AB-B58490226D02}"/>
    <cellStyle name="Normal 2 3 3 6 2" xfId="9588" xr:uid="{A05ED09A-B5AE-46CE-B2C2-FC19CC42774E}"/>
    <cellStyle name="Normal 2 3 3 7" xfId="6420" xr:uid="{848B7AE4-A42B-457B-B8DC-E6567F659091}"/>
    <cellStyle name="Normal 2 3 4" xfId="77" xr:uid="{B3C0F26D-9855-466E-ABF4-273AAAA1AAA7}"/>
    <cellStyle name="Normal 2 3 4 2" xfId="298" xr:uid="{A6008835-4692-4212-8999-D90034A45158}"/>
    <cellStyle name="Normal 2 3 4 2 2" xfId="687" xr:uid="{6B860731-95F1-464D-A52D-2C0D6DFAC55C}"/>
    <cellStyle name="Normal 2 3 4 2 2 2" xfId="1486" xr:uid="{1188D945-6366-4192-9856-2BD32CDC08D6}"/>
    <cellStyle name="Normal 2 3 4 2 2 2 2" xfId="3057" xr:uid="{3776487E-C1E6-49FC-899F-1974EB0DF9E6}"/>
    <cellStyle name="Normal 2 3 4 2 2 2 2 2" xfId="6227" xr:uid="{6AEBF292-A0B2-4BBB-94DC-E5BD45E31262}"/>
    <cellStyle name="Normal 2 3 4 2 2 2 2 2 2" xfId="12566" xr:uid="{FA07B459-6A85-4879-B146-492FD805E94E}"/>
    <cellStyle name="Normal 2 3 4 2 2 2 2 3" xfId="9398" xr:uid="{84734984-4C6F-4F85-9131-773C5B319834}"/>
    <cellStyle name="Normal 2 3 4 2 2 2 3" xfId="4658" xr:uid="{B1B14E15-A336-4763-BF40-A89366275C5A}"/>
    <cellStyle name="Normal 2 3 4 2 2 2 3 2" xfId="10997" xr:uid="{CF6F3E6C-DF1E-4C5F-B15B-9E2B285A1DE3}"/>
    <cellStyle name="Normal 2 3 4 2 2 2 4" xfId="7829" xr:uid="{89178000-418B-4DE7-AA67-20ECFA24D8FA}"/>
    <cellStyle name="Normal 2 3 4 2 2 3" xfId="2260" xr:uid="{6FCC2704-F0AF-4F2C-94C8-E44EF1F8A17F}"/>
    <cellStyle name="Normal 2 3 4 2 2 3 2" xfId="5430" xr:uid="{0B24CAA7-7C45-4376-86F0-61458C2E8C9A}"/>
    <cellStyle name="Normal 2 3 4 2 2 3 2 2" xfId="11769" xr:uid="{6C4820F7-61D8-4DE1-8425-6C1FAAE544B1}"/>
    <cellStyle name="Normal 2 3 4 2 2 3 3" xfId="8601" xr:uid="{8EFF95A3-A984-4AB5-841C-E1B7C83979CF}"/>
    <cellStyle name="Normal 2 3 4 2 2 4" xfId="3861" xr:uid="{30059A2F-D199-4614-98E0-2730469AB06E}"/>
    <cellStyle name="Normal 2 3 4 2 2 4 2" xfId="10200" xr:uid="{DB8676CF-8272-4050-BE47-4345D488D750}"/>
    <cellStyle name="Normal 2 3 4 2 2 5" xfId="7032" xr:uid="{1770F123-4555-43D6-A67B-3D733B8C985E}"/>
    <cellStyle name="Normal 2 3 4 2 3" xfId="1105" xr:uid="{AECE6AF9-D05C-480E-820A-6BD5D8754CB9}"/>
    <cellStyle name="Normal 2 3 4 2 3 2" xfId="2676" xr:uid="{D32F7B5D-B123-4C78-B4C7-F0FA16BE6F15}"/>
    <cellStyle name="Normal 2 3 4 2 3 2 2" xfId="5846" xr:uid="{18012E0E-6C64-46A5-B9FF-3CF74CC4B67D}"/>
    <cellStyle name="Normal 2 3 4 2 3 2 2 2" xfId="12185" xr:uid="{B7021221-2725-401A-81A9-DBBC6B7B12CE}"/>
    <cellStyle name="Normal 2 3 4 2 3 2 3" xfId="9017" xr:uid="{4A660332-EBCA-4F3B-9395-E5AE2B946F2E}"/>
    <cellStyle name="Normal 2 3 4 2 3 3" xfId="4277" xr:uid="{B2915654-9E66-4FC0-B69D-8313832C087E}"/>
    <cellStyle name="Normal 2 3 4 2 3 3 2" xfId="10616" xr:uid="{29328B43-BA98-498D-A2AD-5C316F939E22}"/>
    <cellStyle name="Normal 2 3 4 2 3 4" xfId="7448" xr:uid="{17ADD078-B8D9-45A3-8D93-9AF418215E93}"/>
    <cellStyle name="Normal 2 3 4 2 4" xfId="1879" xr:uid="{5D202056-F747-42F5-A0BF-506ADC435847}"/>
    <cellStyle name="Normal 2 3 4 2 4 2" xfId="5049" xr:uid="{3C736BEC-35C1-45C2-B9CC-8E7589658FCE}"/>
    <cellStyle name="Normal 2 3 4 2 4 2 2" xfId="11388" xr:uid="{44878C84-8C85-4A38-AA27-EC0F0257ACD5}"/>
    <cellStyle name="Normal 2 3 4 2 4 3" xfId="8220" xr:uid="{A9B2A94B-1BBB-4389-A236-F64C603989AC}"/>
    <cellStyle name="Normal 2 3 4 2 5" xfId="3480" xr:uid="{DD475DFD-F92F-4E46-917E-3442A647E70B}"/>
    <cellStyle name="Normal 2 3 4 2 5 2" xfId="9819" xr:uid="{FE9C3226-18A1-49C3-8608-A8A0CD99164F}"/>
    <cellStyle name="Normal 2 3 4 2 6" xfId="6651" xr:uid="{C20C1D1A-66AF-4159-9881-E149EA2911D9}"/>
    <cellStyle name="Normal 2 3 4 3" xfId="504" xr:uid="{F2DF262D-AFFF-4356-BE28-0E6BD7CFE7BB}"/>
    <cellStyle name="Normal 2 3 4 3 2" xfId="1303" xr:uid="{7B64830B-D394-4815-AEA7-F40DD9DDC060}"/>
    <cellStyle name="Normal 2 3 4 3 2 2" xfId="2874" xr:uid="{8D829FD9-7E60-4E0B-8F76-7E45042DEA2E}"/>
    <cellStyle name="Normal 2 3 4 3 2 2 2" xfId="6044" xr:uid="{1D7EFD0C-3BC3-4490-9B14-A5FB0FA099E2}"/>
    <cellStyle name="Normal 2 3 4 3 2 2 2 2" xfId="12383" xr:uid="{C179AFE3-8C1D-4F94-8F83-46D05DEB8469}"/>
    <cellStyle name="Normal 2 3 4 3 2 2 3" xfId="9215" xr:uid="{030BC092-DC1C-4DDF-A9D5-E254C6AFA571}"/>
    <cellStyle name="Normal 2 3 4 3 2 3" xfId="4475" xr:uid="{E3B2DD0E-3F4A-4496-8DD0-25CED4340FCE}"/>
    <cellStyle name="Normal 2 3 4 3 2 3 2" xfId="10814" xr:uid="{8B6D7556-6115-404E-ABA6-6122CC4B9E08}"/>
    <cellStyle name="Normal 2 3 4 3 2 4" xfId="7646" xr:uid="{B6A5915D-73F6-4504-ADC9-0AE70180A505}"/>
    <cellStyle name="Normal 2 3 4 3 3" xfId="2077" xr:uid="{D62BA2A5-FA44-4D9E-BE89-9567588F6472}"/>
    <cellStyle name="Normal 2 3 4 3 3 2" xfId="5247" xr:uid="{583B8C05-9AA5-46D8-B18C-7F9E5E3A39BB}"/>
    <cellStyle name="Normal 2 3 4 3 3 2 2" xfId="11586" xr:uid="{7682ED8F-8F02-4E78-9E56-FBF5857945D0}"/>
    <cellStyle name="Normal 2 3 4 3 3 3" xfId="8418" xr:uid="{4663E6C8-6D00-49DB-9551-FCD117A24CAB}"/>
    <cellStyle name="Normal 2 3 4 3 4" xfId="3678" xr:uid="{0F6E6516-D118-46C9-8BB7-FEE386533A33}"/>
    <cellStyle name="Normal 2 3 4 3 4 2" xfId="10017" xr:uid="{32813D19-8B54-4E5D-BAB5-07DD2487D8FC}"/>
    <cellStyle name="Normal 2 3 4 3 5" xfId="6849" xr:uid="{9C683DDB-F626-4365-82C9-1AC4D0FA9F2C}"/>
    <cellStyle name="Normal 2 3 4 4" xfId="902" xr:uid="{FEF0FF4E-BA34-4450-8B89-9849E3164C4B}"/>
    <cellStyle name="Normal 2 3 4 4 2" xfId="2473" xr:uid="{D874C3E9-2CCE-4EE2-B956-E871EC22A3D5}"/>
    <cellStyle name="Normal 2 3 4 4 2 2" xfId="5643" xr:uid="{CA4C865C-D7BF-4A2C-B983-1F8A563649FA}"/>
    <cellStyle name="Normal 2 3 4 4 2 2 2" xfId="11982" xr:uid="{95A01A32-2A96-4CF3-B77E-479060E0479D}"/>
    <cellStyle name="Normal 2 3 4 4 2 3" xfId="8814" xr:uid="{A5F3217D-07AA-4FB1-9C46-B38D2EEDCDCE}"/>
    <cellStyle name="Normal 2 3 4 4 3" xfId="4074" xr:uid="{D9388162-A085-4D90-8306-59B89587D816}"/>
    <cellStyle name="Normal 2 3 4 4 3 2" xfId="10413" xr:uid="{763EA029-9926-4E2E-AB79-61670D697FE3}"/>
    <cellStyle name="Normal 2 3 4 4 4" xfId="7245" xr:uid="{E9B2527A-20AF-499D-8F78-9EB791B720A1}"/>
    <cellStyle name="Normal 2 3 4 5" xfId="1698" xr:uid="{17FEA359-1AA4-4877-A844-81BA9EEBEFB7}"/>
    <cellStyle name="Normal 2 3 4 5 2" xfId="4868" xr:uid="{56251029-87F8-40D7-A156-7B840A56C03E}"/>
    <cellStyle name="Normal 2 3 4 5 2 2" xfId="11207" xr:uid="{D86EA51D-9225-4040-9FE6-1D23E37447FA}"/>
    <cellStyle name="Normal 2 3 4 5 3" xfId="8039" xr:uid="{6BAFFE99-79FD-4E19-99C0-5A3021C2410C}"/>
    <cellStyle name="Normal 2 3 4 6" xfId="3277" xr:uid="{6D796C23-A382-466F-B60D-6C00D0749D52}"/>
    <cellStyle name="Normal 2 3 4 6 2" xfId="9616" xr:uid="{27892037-E8D8-4707-91CA-9CF4B85E497D}"/>
    <cellStyle name="Normal 2 3 4 7" xfId="6448" xr:uid="{CD52C30F-AD5A-4E80-9DE3-CE5EF640256F}"/>
    <cellStyle name="Normal 2 3 5" xfId="163" xr:uid="{322B5C38-6024-4845-9359-334907564361}"/>
    <cellStyle name="Normal 2 3 5 2" xfId="380" xr:uid="{184B4C1A-99D6-404B-996A-1AE6C77C4D3A}"/>
    <cellStyle name="Normal 2 3 5 2 2" xfId="761" xr:uid="{2A78D738-88E5-4EAB-82CF-345BF8C6E219}"/>
    <cellStyle name="Normal 2 3 5 2 2 2" xfId="1560" xr:uid="{9C9CF285-472A-4742-9419-8FBC9DA69DCA}"/>
    <cellStyle name="Normal 2 3 5 2 2 2 2" xfId="3131" xr:uid="{16B09C9B-58FE-4742-A4AD-FFECE3D22D06}"/>
    <cellStyle name="Normal 2 3 5 2 2 2 2 2" xfId="6301" xr:uid="{9F994D45-F0B5-4CBF-A07D-E64B6998EAB1}"/>
    <cellStyle name="Normal 2 3 5 2 2 2 2 2 2" xfId="12640" xr:uid="{714FE132-7675-4B67-8905-471568D2A9CF}"/>
    <cellStyle name="Normal 2 3 5 2 2 2 2 3" xfId="9472" xr:uid="{6D215F1D-CC14-4951-A6D2-6B7B9D1DCFD7}"/>
    <cellStyle name="Normal 2 3 5 2 2 2 3" xfId="4732" xr:uid="{31519A4C-9E8C-48AE-A15A-CF56B37E1DE3}"/>
    <cellStyle name="Normal 2 3 5 2 2 2 3 2" xfId="11071" xr:uid="{C5F5F5E0-AF26-40A9-97D2-1FAAAC18D343}"/>
    <cellStyle name="Normal 2 3 5 2 2 2 4" xfId="7903" xr:uid="{16FB337B-80E7-458E-8825-CB1F33659BCB}"/>
    <cellStyle name="Normal 2 3 5 2 2 3" xfId="2334" xr:uid="{A0F190AB-67DE-4EF3-9102-87E997B64F1E}"/>
    <cellStyle name="Normal 2 3 5 2 2 3 2" xfId="5504" xr:uid="{0106B229-C6BC-4976-928F-A7DE11F34342}"/>
    <cellStyle name="Normal 2 3 5 2 2 3 2 2" xfId="11843" xr:uid="{65B212AA-2EAC-4C6B-9A70-FA3F7262EEE3}"/>
    <cellStyle name="Normal 2 3 5 2 2 3 3" xfId="8675" xr:uid="{0977E6E4-FCD5-4F00-AD77-CE82EFA58CEC}"/>
    <cellStyle name="Normal 2 3 5 2 2 4" xfId="3935" xr:uid="{2219A5F1-3C54-4530-BE1D-A0BA33C10E6E}"/>
    <cellStyle name="Normal 2 3 5 2 2 4 2" xfId="10274" xr:uid="{377119E1-ACC3-486F-9587-8B1FB8D9BD5F}"/>
    <cellStyle name="Normal 2 3 5 2 2 5" xfId="7106" xr:uid="{0D06D1CA-4690-46F8-9800-F36D18309352}"/>
    <cellStyle name="Normal 2 3 5 2 3" xfId="1179" xr:uid="{9B67DDAE-69F9-4F0C-9E3E-E7C8C6C77C75}"/>
    <cellStyle name="Normal 2 3 5 2 3 2" xfId="2750" xr:uid="{D9535C3E-FFC6-4402-AB55-E565313A4141}"/>
    <cellStyle name="Normal 2 3 5 2 3 2 2" xfId="5920" xr:uid="{0431F46B-B37A-4A74-9C96-05D2004BE6DA}"/>
    <cellStyle name="Normal 2 3 5 2 3 2 2 2" xfId="12259" xr:uid="{72915E86-F3E9-4B89-B00D-494526418919}"/>
    <cellStyle name="Normal 2 3 5 2 3 2 3" xfId="9091" xr:uid="{3DB3E2B3-E88A-4191-AF36-5435A34A0A33}"/>
    <cellStyle name="Normal 2 3 5 2 3 3" xfId="4351" xr:uid="{2ECB242E-9110-4E9C-992F-5909712F0DD1}"/>
    <cellStyle name="Normal 2 3 5 2 3 3 2" xfId="10690" xr:uid="{C1A97A86-88D4-4A7D-AC86-A7135D56998A}"/>
    <cellStyle name="Normal 2 3 5 2 3 4" xfId="7522" xr:uid="{9DA43950-0CB1-4313-B8A2-7114CC2032A1}"/>
    <cellStyle name="Normal 2 3 5 2 4" xfId="1953" xr:uid="{759C822D-B610-430A-964A-01AABD7B5C9D}"/>
    <cellStyle name="Normal 2 3 5 2 4 2" xfId="5123" xr:uid="{7D2FD9A8-D800-4DE2-B9B9-8BE7AA6F92FE}"/>
    <cellStyle name="Normal 2 3 5 2 4 2 2" xfId="11462" xr:uid="{F0240259-ABE6-42C6-B251-FA6E788B1443}"/>
    <cellStyle name="Normal 2 3 5 2 4 3" xfId="8294" xr:uid="{ED0EBBA8-9153-4E01-B345-F5A3F967E255}"/>
    <cellStyle name="Normal 2 3 5 2 5" xfId="3554" xr:uid="{8F31B5BB-31C4-4F89-8401-B06BDAA24ED2}"/>
    <cellStyle name="Normal 2 3 5 2 5 2" xfId="9893" xr:uid="{2E4D0894-0A82-495E-B54C-E29391BCC634}"/>
    <cellStyle name="Normal 2 3 5 2 6" xfId="6725" xr:uid="{439E9083-1152-4A75-9CAE-0D65C8C4BC9A}"/>
    <cellStyle name="Normal 2 3 5 3" xfId="558" xr:uid="{EF29F9A9-8EBE-4708-BD15-1310EAD8C800}"/>
    <cellStyle name="Normal 2 3 5 3 2" xfId="1357" xr:uid="{D479BA7D-5F97-4F88-8F31-A4424416E5C4}"/>
    <cellStyle name="Normal 2 3 5 3 2 2" xfId="2928" xr:uid="{9961DA93-79EB-49F6-8957-B14FE226EFE0}"/>
    <cellStyle name="Normal 2 3 5 3 2 2 2" xfId="6098" xr:uid="{10B09009-BF1C-4CA8-81FD-BF3A387EB0FF}"/>
    <cellStyle name="Normal 2 3 5 3 2 2 2 2" xfId="12437" xr:uid="{68CD9047-DCCC-4D1F-B56A-735EAC409B7A}"/>
    <cellStyle name="Normal 2 3 5 3 2 2 3" xfId="9269" xr:uid="{4845E9F1-3DCD-4479-8D50-2A7AE7201641}"/>
    <cellStyle name="Normal 2 3 5 3 2 3" xfId="4529" xr:uid="{02B29A3A-7A60-44D7-BF5B-F9688AABB866}"/>
    <cellStyle name="Normal 2 3 5 3 2 3 2" xfId="10868" xr:uid="{3324A967-FFA7-42EF-A4B0-0D77FA9DEF7B}"/>
    <cellStyle name="Normal 2 3 5 3 2 4" xfId="7700" xr:uid="{E6C9A479-D074-4372-8FE0-D522821E7ACB}"/>
    <cellStyle name="Normal 2 3 5 3 3" xfId="2131" xr:uid="{004EF67C-E1A5-4D33-AFD5-F3351D91F026}"/>
    <cellStyle name="Normal 2 3 5 3 3 2" xfId="5301" xr:uid="{E38BAD91-CA45-4BB9-A6EC-7907FA851E4A}"/>
    <cellStyle name="Normal 2 3 5 3 3 2 2" xfId="11640" xr:uid="{4A11C22D-E5AE-43D1-BDA3-9C15EC98A7A4}"/>
    <cellStyle name="Normal 2 3 5 3 3 3" xfId="8472" xr:uid="{AC52F9EE-ECD1-415A-8549-60E31CA18D42}"/>
    <cellStyle name="Normal 2 3 5 3 4" xfId="3732" xr:uid="{CF401507-D0F2-4D5D-9493-537218061753}"/>
    <cellStyle name="Normal 2 3 5 3 4 2" xfId="10071" xr:uid="{39B37F28-2940-4C22-91F0-5C783550CD1A}"/>
    <cellStyle name="Normal 2 3 5 3 5" xfId="6903" xr:uid="{09209471-72E3-450E-BF79-D7E71993228A}"/>
    <cellStyle name="Normal 2 3 5 4" xfId="976" xr:uid="{A1531EBA-A79C-4978-9C68-4F0A7D893558}"/>
    <cellStyle name="Normal 2 3 5 4 2" xfId="2547" xr:uid="{D970365E-DD7D-4890-94A3-38811D7CCD08}"/>
    <cellStyle name="Normal 2 3 5 4 2 2" xfId="5717" xr:uid="{F92ADF77-5098-43F5-89BA-A61C50909625}"/>
    <cellStyle name="Normal 2 3 5 4 2 2 2" xfId="12056" xr:uid="{F9F0363A-CF54-4050-93CC-41A456B5BA19}"/>
    <cellStyle name="Normal 2 3 5 4 2 3" xfId="8888" xr:uid="{36A0713B-670E-4290-8030-37B802087506}"/>
    <cellStyle name="Normal 2 3 5 4 3" xfId="4148" xr:uid="{2009A674-B9DB-4EA7-A5C9-8EFC64F32DB7}"/>
    <cellStyle name="Normal 2 3 5 4 3 2" xfId="10487" xr:uid="{4672C76D-8E18-46C0-9347-425819EB77C4}"/>
    <cellStyle name="Normal 2 3 5 4 4" xfId="7319" xr:uid="{92A73DBA-D36B-44D5-98FA-E0F7CC742E71}"/>
    <cellStyle name="Normal 2 3 5 5" xfId="1750" xr:uid="{787843B7-276B-4D95-8E6B-C0D691638E0A}"/>
    <cellStyle name="Normal 2 3 5 5 2" xfId="4920" xr:uid="{F857B59E-F2EC-4336-9E82-14C22B9D31A0}"/>
    <cellStyle name="Normal 2 3 5 5 2 2" xfId="11259" xr:uid="{50E1C965-462C-4E28-AD42-30E172BB2C23}"/>
    <cellStyle name="Normal 2 3 5 5 3" xfId="8091" xr:uid="{40726BAE-82AE-4090-B970-6A882B43A196}"/>
    <cellStyle name="Normal 2 3 5 6" xfId="3351" xr:uid="{55F335CE-7F3B-4AB8-9F09-095A5E735F0D}"/>
    <cellStyle name="Normal 2 3 5 6 2" xfId="9690" xr:uid="{DF3B8E50-6163-4B1E-95AD-40C0549900CC}"/>
    <cellStyle name="Normal 2 3 5 7" xfId="6522" xr:uid="{F8D01202-53F6-44D2-9E76-A4ED91948DDB}"/>
    <cellStyle name="Normal 2 3 6" xfId="252" xr:uid="{51A785B5-0737-4DE2-B4BF-3A80D4B4FE79}"/>
    <cellStyle name="Normal 2 3 6 2" xfId="642" xr:uid="{50D69C17-647B-46FC-A4E8-A5B17E08F260}"/>
    <cellStyle name="Normal 2 3 6 2 2" xfId="1441" xr:uid="{D4E10DFE-B055-4A4E-B7EF-AD436713B51D}"/>
    <cellStyle name="Normal 2 3 6 2 2 2" xfId="3012" xr:uid="{CFC5A76C-5403-427B-8A89-F7167D297B6F}"/>
    <cellStyle name="Normal 2 3 6 2 2 2 2" xfId="6182" xr:uid="{22CCDFCA-0A1A-4C08-B0EA-F0F23BE09048}"/>
    <cellStyle name="Normal 2 3 6 2 2 2 2 2" xfId="12521" xr:uid="{A6C2354F-4D1D-4AA0-B812-BD3B84BE08C0}"/>
    <cellStyle name="Normal 2 3 6 2 2 2 3" xfId="9353" xr:uid="{4ABBCDAB-2155-41EB-A7C8-4660BC5AFEA9}"/>
    <cellStyle name="Normal 2 3 6 2 2 3" xfId="4613" xr:uid="{2420A044-AFEE-4E8A-B9C0-9B61B774CA1D}"/>
    <cellStyle name="Normal 2 3 6 2 2 3 2" xfId="10952" xr:uid="{619745C9-A946-4246-AC02-690FC0EA13C9}"/>
    <cellStyle name="Normal 2 3 6 2 2 4" xfId="7784" xr:uid="{7EFD5DAB-57E6-4C2E-82FF-4F94D8FADCEC}"/>
    <cellStyle name="Normal 2 3 6 2 3" xfId="2215" xr:uid="{6FB2B3B7-2113-40F0-9D2C-09AADB7D5F9C}"/>
    <cellStyle name="Normal 2 3 6 2 3 2" xfId="5385" xr:uid="{D56B6484-4F00-456E-9B52-D217E82EFF3C}"/>
    <cellStyle name="Normal 2 3 6 2 3 2 2" xfId="11724" xr:uid="{B43B4ECA-7E28-44FA-B0D0-B5E6F1675849}"/>
    <cellStyle name="Normal 2 3 6 2 3 3" xfId="8556" xr:uid="{4485C687-25A2-4F1A-B2F1-DB2253DA428A}"/>
    <cellStyle name="Normal 2 3 6 2 4" xfId="3816" xr:uid="{684795A5-3870-4C99-A5AE-228A5D8C0AFE}"/>
    <cellStyle name="Normal 2 3 6 2 4 2" xfId="10155" xr:uid="{7BAB5282-DFC3-405B-9BDB-C81D67C834E2}"/>
    <cellStyle name="Normal 2 3 6 2 5" xfId="6987" xr:uid="{9EF772E3-13B6-4D66-A244-C1D991A7E43E}"/>
    <cellStyle name="Normal 2 3 6 3" xfId="1060" xr:uid="{D585AE33-8463-4526-B32A-5F7B8B0D90BF}"/>
    <cellStyle name="Normal 2 3 6 3 2" xfId="2631" xr:uid="{5D536891-296E-4FDC-82FC-9F0D220A5911}"/>
    <cellStyle name="Normal 2 3 6 3 2 2" xfId="5801" xr:uid="{CCE36301-76AC-4216-937C-BDB7BC50976E}"/>
    <cellStyle name="Normal 2 3 6 3 2 2 2" xfId="12140" xr:uid="{8845162F-1724-4EC7-B1B3-CFCB3A94C4E7}"/>
    <cellStyle name="Normal 2 3 6 3 2 3" xfId="8972" xr:uid="{90B756BE-A678-414F-995C-F231F6651A10}"/>
    <cellStyle name="Normal 2 3 6 3 3" xfId="4232" xr:uid="{5147D2A6-28AB-4056-8E5B-3085894A6CCE}"/>
    <cellStyle name="Normal 2 3 6 3 3 2" xfId="10571" xr:uid="{F54AB6AB-479B-4645-B191-8E088EDBC3A8}"/>
    <cellStyle name="Normal 2 3 6 3 4" xfId="7403" xr:uid="{D1789ABD-EAEB-4C8D-950E-B68945717ADE}"/>
    <cellStyle name="Normal 2 3 6 4" xfId="1834" xr:uid="{226E76C0-4A69-4074-881D-8C6809B4B766}"/>
    <cellStyle name="Normal 2 3 6 4 2" xfId="5004" xr:uid="{4CEDC2BA-4B7E-4BE7-A53A-7B05B3602E3E}"/>
    <cellStyle name="Normal 2 3 6 4 2 2" xfId="11343" xr:uid="{274F3034-4D08-49A0-8352-6F95AB796C85}"/>
    <cellStyle name="Normal 2 3 6 4 3" xfId="8175" xr:uid="{C6F36B36-E40D-4C2F-90CF-6C46E69A7C74}"/>
    <cellStyle name="Normal 2 3 6 5" xfId="3435" xr:uid="{DC7F6AA3-8D76-4437-B3AE-75855A5B7387}"/>
    <cellStyle name="Normal 2 3 6 5 2" xfId="9774" xr:uid="{F2BA8CE4-BCE2-49A7-810E-E5BF91385530}"/>
    <cellStyle name="Normal 2 3 6 6" xfId="6606" xr:uid="{DE7E7B3A-95B0-4758-90D4-46988C6588B8}"/>
    <cellStyle name="Normal 2 3 7" xfId="464" xr:uid="{AABF697B-1F3C-4FE3-9C4B-383E3C939B0F}"/>
    <cellStyle name="Normal 2 3 7 2" xfId="1263" xr:uid="{19EFA756-4129-4673-9E61-F605B964D323}"/>
    <cellStyle name="Normal 2 3 7 2 2" xfId="2834" xr:uid="{BEA12D43-E298-45F8-ABE1-FB508CD4F13D}"/>
    <cellStyle name="Normal 2 3 7 2 2 2" xfId="6004" xr:uid="{8FC03820-9485-4AB8-948B-E6B406BA415E}"/>
    <cellStyle name="Normal 2 3 7 2 2 2 2" xfId="12343" xr:uid="{19234880-35EC-4EFE-BD19-8281FA8AB94D}"/>
    <cellStyle name="Normal 2 3 7 2 2 3" xfId="9175" xr:uid="{67B33646-4853-4EFA-8A2A-2559E06C4771}"/>
    <cellStyle name="Normal 2 3 7 2 3" xfId="4435" xr:uid="{0815CE53-6837-40ED-A6B6-CFBC540E501F}"/>
    <cellStyle name="Normal 2 3 7 2 3 2" xfId="10774" xr:uid="{545EC450-8FBE-424A-A7D9-16AACE348BE3}"/>
    <cellStyle name="Normal 2 3 7 2 4" xfId="7606" xr:uid="{F3B0345C-F26D-4DBD-AC1B-1EBD493E4FA3}"/>
    <cellStyle name="Normal 2 3 7 3" xfId="2037" xr:uid="{023806FF-1AD8-485F-8EDF-1EB8354DEC5A}"/>
    <cellStyle name="Normal 2 3 7 3 2" xfId="5207" xr:uid="{804CCFBE-BCA7-40E8-95AB-F85DC6C06AFB}"/>
    <cellStyle name="Normal 2 3 7 3 2 2" xfId="11546" xr:uid="{2009B15F-E759-4425-AF0B-1322625575DC}"/>
    <cellStyle name="Normal 2 3 7 3 3" xfId="8378" xr:uid="{04B3E3D7-6A53-4860-A8F3-80FC1DA4E87A}"/>
    <cellStyle name="Normal 2 3 7 4" xfId="3638" xr:uid="{4F978ABE-D48B-4B9B-98E2-EB9E79542CDA}"/>
    <cellStyle name="Normal 2 3 7 4 2" xfId="9977" xr:uid="{76FE94B0-B826-4FAD-A434-227179F8D621}"/>
    <cellStyle name="Normal 2 3 7 5" xfId="6809" xr:uid="{159C27FA-8D1E-409E-854D-9CEA49F77481}"/>
    <cellStyle name="Normal 2 3 8" xfId="857" xr:uid="{98FF3420-80E9-41F2-8936-08B2B6FC3680}"/>
    <cellStyle name="Normal 2 3 8 2" xfId="2428" xr:uid="{FC46B2C8-B419-40CC-9640-D70A6B179411}"/>
    <cellStyle name="Normal 2 3 8 2 2" xfId="5598" xr:uid="{D88638EF-9D5A-4246-BAF6-01A1DB3A270D}"/>
    <cellStyle name="Normal 2 3 8 2 2 2" xfId="11937" xr:uid="{0CCC3560-5DD3-49A6-B44D-231F5B7E0B7C}"/>
    <cellStyle name="Normal 2 3 8 2 3" xfId="8769" xr:uid="{F19202A7-EEC3-45FD-9328-1D35CC777BB5}"/>
    <cellStyle name="Normal 2 3 8 3" xfId="4029" xr:uid="{55AE9007-AC80-46BD-BDDE-37C82CB0B24A}"/>
    <cellStyle name="Normal 2 3 8 3 2" xfId="10368" xr:uid="{2B2D63DC-05BF-4CC6-BBAC-CD9D213F11BF}"/>
    <cellStyle name="Normal 2 3 8 4" xfId="7200" xr:uid="{18D09CE3-7C62-4B7F-B8D5-C08309D74FC0}"/>
    <cellStyle name="Normal 2 3 9" xfId="1659" xr:uid="{40BF737C-067D-450B-8827-78BDC183DB51}"/>
    <cellStyle name="Normal 2 3 9 2" xfId="4829" xr:uid="{F04DA224-64BF-4FBA-81A6-53876CA3F26A}"/>
    <cellStyle name="Normal 2 3 9 2 2" xfId="11168" xr:uid="{BD9ED370-0A5E-4A27-9F2E-AA704F374F3D}"/>
    <cellStyle name="Normal 2 3 9 3" xfId="8000" xr:uid="{F939DEA4-6035-475C-84FE-E3818E31554E}"/>
    <cellStyle name="Normal 2 4" xfId="23" xr:uid="{34CC9B35-5621-4525-B3FD-771DCF21B8DE}"/>
    <cellStyle name="Normal 2 4 10" xfId="6399" xr:uid="{E0D7A7E7-8D36-47C2-94DB-3CF1509D9AF5}"/>
    <cellStyle name="Normal 2 4 2" xfId="84" xr:uid="{E2F75AFF-FE6B-4AA1-8601-B84935CA5724}"/>
    <cellStyle name="Normal 2 4 2 2" xfId="305" xr:uid="{1BB0A85A-5381-41BD-83FB-99C8B02C5FBD}"/>
    <cellStyle name="Normal 2 4 2 2 2" xfId="693" xr:uid="{82C36512-44EE-4FBF-A1CF-A1C48F27145A}"/>
    <cellStyle name="Normal 2 4 2 2 2 2" xfId="1492" xr:uid="{1AE1C832-1F93-4996-91C4-C39428D1C3F5}"/>
    <cellStyle name="Normal 2 4 2 2 2 2 2" xfId="3063" xr:uid="{FC615E4E-7F0D-4267-BDD8-F26E873A32BD}"/>
    <cellStyle name="Normal 2 4 2 2 2 2 2 2" xfId="6233" xr:uid="{68075280-936B-4A34-8C30-BF3F1BE6F2B9}"/>
    <cellStyle name="Normal 2 4 2 2 2 2 2 2 2" xfId="12572" xr:uid="{17DEE9F1-29C0-4351-87C0-0F5662852DFE}"/>
    <cellStyle name="Normal 2 4 2 2 2 2 2 3" xfId="9404" xr:uid="{11D3423F-7A05-4C32-B90A-09CA8024AB87}"/>
    <cellStyle name="Normal 2 4 2 2 2 2 3" xfId="4664" xr:uid="{01CC6491-FA5A-412F-8431-2D5D15569B71}"/>
    <cellStyle name="Normal 2 4 2 2 2 2 3 2" xfId="11003" xr:uid="{D538331A-ED99-4B6F-8E4C-01C049179E3E}"/>
    <cellStyle name="Normal 2 4 2 2 2 2 4" xfId="7835" xr:uid="{B0527625-8FD4-42D6-AEDA-710B37391C92}"/>
    <cellStyle name="Normal 2 4 2 2 2 3" xfId="2266" xr:uid="{A8A21B7A-531C-4943-AE83-729C989B5D1B}"/>
    <cellStyle name="Normal 2 4 2 2 2 3 2" xfId="5436" xr:uid="{16E7C260-6968-4394-9D4A-CA1829B8720E}"/>
    <cellStyle name="Normal 2 4 2 2 2 3 2 2" xfId="11775" xr:uid="{ACB6B44F-C146-4DA5-AA70-DF0D3BEB6C87}"/>
    <cellStyle name="Normal 2 4 2 2 2 3 3" xfId="8607" xr:uid="{673D5081-ED25-4343-88AA-AD75AC786507}"/>
    <cellStyle name="Normal 2 4 2 2 2 4" xfId="3867" xr:uid="{95C15B3F-BA47-4A5A-B33E-B7EBD51ACECF}"/>
    <cellStyle name="Normal 2 4 2 2 2 4 2" xfId="10206" xr:uid="{6574D044-BE8E-46EF-AF38-5C78C7E1E868}"/>
    <cellStyle name="Normal 2 4 2 2 2 5" xfId="7038" xr:uid="{21EFE7A2-81AD-4A28-82AE-9CD5CBAC2B37}"/>
    <cellStyle name="Normal 2 4 2 2 3" xfId="1111" xr:uid="{05D7B4B7-058B-4AF4-BC0A-2BDD039173F4}"/>
    <cellStyle name="Normal 2 4 2 2 3 2" xfId="2682" xr:uid="{90531252-AC3D-42CB-8BC0-43E756988C9B}"/>
    <cellStyle name="Normal 2 4 2 2 3 2 2" xfId="5852" xr:uid="{C3970218-B4ED-4FE8-9D95-2B552E179725}"/>
    <cellStyle name="Normal 2 4 2 2 3 2 2 2" xfId="12191" xr:uid="{65C87D1C-70FB-4162-922F-BD63F47DDD79}"/>
    <cellStyle name="Normal 2 4 2 2 3 2 3" xfId="9023" xr:uid="{766E1E24-02EE-4BF1-8232-328D51BD67E6}"/>
    <cellStyle name="Normal 2 4 2 2 3 3" xfId="4283" xr:uid="{97D53D3C-5A03-48EF-88F1-FBB75E6CA471}"/>
    <cellStyle name="Normal 2 4 2 2 3 3 2" xfId="10622" xr:uid="{4ADC3FBC-5B38-4075-99C6-D7252C2F3C5A}"/>
    <cellStyle name="Normal 2 4 2 2 3 4" xfId="7454" xr:uid="{7BC95B9D-6BFA-43B3-8C7A-234E30C44906}"/>
    <cellStyle name="Normal 2 4 2 2 4" xfId="1885" xr:uid="{37209F78-3FAE-462E-B822-F112DF423A4D}"/>
    <cellStyle name="Normal 2 4 2 2 4 2" xfId="5055" xr:uid="{07EAD9B4-3CD9-4A21-BD3E-493F5A1AEE08}"/>
    <cellStyle name="Normal 2 4 2 2 4 2 2" xfId="11394" xr:uid="{AD059419-5C66-40CA-9F3C-786A5A3E419C}"/>
    <cellStyle name="Normal 2 4 2 2 4 3" xfId="8226" xr:uid="{3BBE22D2-8288-42D5-8DA5-A49866254A27}"/>
    <cellStyle name="Normal 2 4 2 2 5" xfId="3486" xr:uid="{2944CDE5-0510-4729-AA61-B690424A95B8}"/>
    <cellStyle name="Normal 2 4 2 2 5 2" xfId="9825" xr:uid="{D5925A50-3DB9-417F-A91B-9139E2E9EF2F}"/>
    <cellStyle name="Normal 2 4 2 2 6" xfId="6657" xr:uid="{CE9AFB0B-2B7C-46DA-A000-0E4C253B2948}"/>
    <cellStyle name="Normal 2 4 2 3" xfId="510" xr:uid="{A663940A-9836-47D4-A949-29C88477405C}"/>
    <cellStyle name="Normal 2 4 2 3 2" xfId="1309" xr:uid="{6A1765D2-ADE9-43A1-B10C-F615174246B6}"/>
    <cellStyle name="Normal 2 4 2 3 2 2" xfId="2880" xr:uid="{A472437D-A7AD-4273-95F8-A8E731264DC1}"/>
    <cellStyle name="Normal 2 4 2 3 2 2 2" xfId="6050" xr:uid="{D36CB82C-5F9A-4208-8267-97259354517D}"/>
    <cellStyle name="Normal 2 4 2 3 2 2 2 2" xfId="12389" xr:uid="{59FD1EFC-369B-446B-89CC-2B781C5261C2}"/>
    <cellStyle name="Normal 2 4 2 3 2 2 3" xfId="9221" xr:uid="{CD8C392D-7DA3-491F-BE49-4FA93F6A33BF}"/>
    <cellStyle name="Normal 2 4 2 3 2 3" xfId="4481" xr:uid="{AF5713F7-D17E-4AAE-B65D-896986B09B59}"/>
    <cellStyle name="Normal 2 4 2 3 2 3 2" xfId="10820" xr:uid="{8855F6DE-A33C-4004-9D10-E65EDF1D746A}"/>
    <cellStyle name="Normal 2 4 2 3 2 4" xfId="7652" xr:uid="{FD54E58C-B5D7-499C-AB19-2B5C6F4821DD}"/>
    <cellStyle name="Normal 2 4 2 3 3" xfId="2083" xr:uid="{64993682-5D06-4EB6-90B2-3EAD4258F271}"/>
    <cellStyle name="Normal 2 4 2 3 3 2" xfId="5253" xr:uid="{067C2C6B-437E-4E38-829D-65205FB8EB70}"/>
    <cellStyle name="Normal 2 4 2 3 3 2 2" xfId="11592" xr:uid="{A77F0952-33B7-4505-86B3-251259E18369}"/>
    <cellStyle name="Normal 2 4 2 3 3 3" xfId="8424" xr:uid="{5F1D7230-6F3C-4BAA-AE90-C39EEF4CCDC6}"/>
    <cellStyle name="Normal 2 4 2 3 4" xfId="3684" xr:uid="{6FAA41B4-3001-4B61-AD35-95AC28C2B2B3}"/>
    <cellStyle name="Normal 2 4 2 3 4 2" xfId="10023" xr:uid="{98285596-8BA2-4D27-AC0F-78107A518105}"/>
    <cellStyle name="Normal 2 4 2 3 5" xfId="6855" xr:uid="{EE07EA15-8766-48D8-A76A-8A71233A26BC}"/>
    <cellStyle name="Normal 2 4 2 4" xfId="908" xr:uid="{D6A2A354-99B5-47EF-8D2A-7F757E2E1280}"/>
    <cellStyle name="Normal 2 4 2 4 2" xfId="2479" xr:uid="{F8088F9B-C3A2-4077-8B1D-453FD78B586A}"/>
    <cellStyle name="Normal 2 4 2 4 2 2" xfId="5649" xr:uid="{6C8B03F7-315C-4EC5-B799-AA408E754F8D}"/>
    <cellStyle name="Normal 2 4 2 4 2 2 2" xfId="11988" xr:uid="{3636B8A4-6983-41F7-81A0-EFFBC3EDF35C}"/>
    <cellStyle name="Normal 2 4 2 4 2 3" xfId="8820" xr:uid="{AEB76543-E9A1-44B7-94B3-EFE9FEBDEE3B}"/>
    <cellStyle name="Normal 2 4 2 4 3" xfId="4080" xr:uid="{87FD8A30-D050-49E1-B287-A4DB9BF6500F}"/>
    <cellStyle name="Normal 2 4 2 4 3 2" xfId="10419" xr:uid="{7C1FE324-A6C3-4725-BFFF-53DE2FB43899}"/>
    <cellStyle name="Normal 2 4 2 4 4" xfId="7251" xr:uid="{4C2E304D-5C72-4EFD-8525-A35D4BEC7972}"/>
    <cellStyle name="Normal 2 4 2 5" xfId="1703" xr:uid="{A2D8BBDB-8BA0-45B0-91A4-28025B9B9A04}"/>
    <cellStyle name="Normal 2 4 2 5 2" xfId="4873" xr:uid="{B6368FD5-D177-49BB-A63E-19A0642D79A0}"/>
    <cellStyle name="Normal 2 4 2 5 2 2" xfId="11212" xr:uid="{AACE1ECE-9982-45B5-AADB-9ECED233DD81}"/>
    <cellStyle name="Normal 2 4 2 5 3" xfId="8044" xr:uid="{2793D131-5E86-4B36-90F9-0103723BF72C}"/>
    <cellStyle name="Normal 2 4 2 6" xfId="3283" xr:uid="{DF63FBB6-B30F-4B60-B3BF-CBFD645E0D27}"/>
    <cellStyle name="Normal 2 4 2 6 2" xfId="9622" xr:uid="{8643D581-BC56-4C79-AA1F-9D7E08DACB47}"/>
    <cellStyle name="Normal 2 4 2 7" xfId="6454" xr:uid="{1D7F7A07-3204-463C-A589-7CB156933E64}"/>
    <cellStyle name="Normal 2 4 3" xfId="170" xr:uid="{2BF92923-102C-4CF4-B58C-BD0F18C0138B}"/>
    <cellStyle name="Normal 2 4 3 2" xfId="387" xr:uid="{B5809864-858B-41A5-A4D7-E4C66FB104C9}"/>
    <cellStyle name="Normal 2 4 3 2 2" xfId="768" xr:uid="{8C8107B3-5115-41F3-8276-DBFA5E15B281}"/>
    <cellStyle name="Normal 2 4 3 2 2 2" xfId="1567" xr:uid="{D1A84C3F-8CDA-48B9-AF12-34FFBFA04C23}"/>
    <cellStyle name="Normal 2 4 3 2 2 2 2" xfId="3138" xr:uid="{C8DD8B23-C30A-4BB8-95E3-CAEC14191B15}"/>
    <cellStyle name="Normal 2 4 3 2 2 2 2 2" xfId="6308" xr:uid="{3AD074AC-1C4C-4DB8-BB67-4D895DA0B829}"/>
    <cellStyle name="Normal 2 4 3 2 2 2 2 2 2" xfId="12647" xr:uid="{FFB1B75E-3609-4B61-8034-67359DD2DBF7}"/>
    <cellStyle name="Normal 2 4 3 2 2 2 2 3" xfId="9479" xr:uid="{C04D72C2-6125-45A6-9A37-1BA70BE6EC54}"/>
    <cellStyle name="Normal 2 4 3 2 2 2 3" xfId="4739" xr:uid="{D229E8AB-8637-44DA-AB03-A835D8A370AC}"/>
    <cellStyle name="Normal 2 4 3 2 2 2 3 2" xfId="11078" xr:uid="{BAE56D6F-F105-438A-9434-D76EA3AA749C}"/>
    <cellStyle name="Normal 2 4 3 2 2 2 4" xfId="7910" xr:uid="{B9C5AF65-8512-4C30-9905-A1135D40AC13}"/>
    <cellStyle name="Normal 2 4 3 2 2 3" xfId="2341" xr:uid="{57B5234F-62CE-42E3-AF78-E1EF739837F8}"/>
    <cellStyle name="Normal 2 4 3 2 2 3 2" xfId="5511" xr:uid="{57E47944-89B9-4854-B9F2-003C49468B8A}"/>
    <cellStyle name="Normal 2 4 3 2 2 3 2 2" xfId="11850" xr:uid="{3D58A76A-4647-4B48-A666-F3AE0C01B30D}"/>
    <cellStyle name="Normal 2 4 3 2 2 3 3" xfId="8682" xr:uid="{D62B9559-2A62-4B05-8A4F-AF1780410261}"/>
    <cellStyle name="Normal 2 4 3 2 2 4" xfId="3942" xr:uid="{AFFE12EB-E55B-42AF-B281-521D370030C4}"/>
    <cellStyle name="Normal 2 4 3 2 2 4 2" xfId="10281" xr:uid="{C7B35B94-E3BB-4E8C-B1B6-3AEE5A89233D}"/>
    <cellStyle name="Normal 2 4 3 2 2 5" xfId="7113" xr:uid="{CB3282BB-CDB6-4728-B7FF-2BFEBF4F7F83}"/>
    <cellStyle name="Normal 2 4 3 2 3" xfId="1186" xr:uid="{B9A9E819-0C05-4550-9326-9DE750B9CA8D}"/>
    <cellStyle name="Normal 2 4 3 2 3 2" xfId="2757" xr:uid="{8B5D26F7-8349-4608-B132-712F417060EF}"/>
    <cellStyle name="Normal 2 4 3 2 3 2 2" xfId="5927" xr:uid="{3F643E32-80CA-42C9-B80E-9F6B9045AF10}"/>
    <cellStyle name="Normal 2 4 3 2 3 2 2 2" xfId="12266" xr:uid="{895EBB69-8408-4FB1-ACFB-339C40262E52}"/>
    <cellStyle name="Normal 2 4 3 2 3 2 3" xfId="9098" xr:uid="{75A02A49-885F-4CCB-8248-55D8B348F106}"/>
    <cellStyle name="Normal 2 4 3 2 3 3" xfId="4358" xr:uid="{1619FA00-7AE2-45E6-808D-7B374693E5C2}"/>
    <cellStyle name="Normal 2 4 3 2 3 3 2" xfId="10697" xr:uid="{59321640-264C-4BF2-94C7-AC5EE6C58BCC}"/>
    <cellStyle name="Normal 2 4 3 2 3 4" xfId="7529" xr:uid="{BDF97A22-7F2F-400F-B338-EA6B1C532314}"/>
    <cellStyle name="Normal 2 4 3 2 4" xfId="1960" xr:uid="{7C97827C-3421-4005-B452-AA657BC3893D}"/>
    <cellStyle name="Normal 2 4 3 2 4 2" xfId="5130" xr:uid="{4C3D0F7A-2E33-465E-9727-216BFCD78093}"/>
    <cellStyle name="Normal 2 4 3 2 4 2 2" xfId="11469" xr:uid="{76DB73F2-FD7A-4BBA-B945-319C55BE4657}"/>
    <cellStyle name="Normal 2 4 3 2 4 3" xfId="8301" xr:uid="{197D9164-0EAB-411A-BEAA-016531C90C82}"/>
    <cellStyle name="Normal 2 4 3 2 5" xfId="3561" xr:uid="{D139A1BA-8A2C-433D-B611-AA786F73FB30}"/>
    <cellStyle name="Normal 2 4 3 2 5 2" xfId="9900" xr:uid="{7AE0A228-49F9-4B79-8337-27881F4069D9}"/>
    <cellStyle name="Normal 2 4 3 2 6" xfId="6732" xr:uid="{9E0474CC-B71F-4170-BD40-D7AAD6E7B3E3}"/>
    <cellStyle name="Normal 2 4 3 3" xfId="565" xr:uid="{B1D9A84A-6FA0-42BB-B011-5482F9C878EE}"/>
    <cellStyle name="Normal 2 4 3 3 2" xfId="1364" xr:uid="{F33946DB-8823-4635-921E-30CCCCDB8B4D}"/>
    <cellStyle name="Normal 2 4 3 3 2 2" xfId="2935" xr:uid="{B2D6E545-DDB5-4D41-832B-1BF9149595DC}"/>
    <cellStyle name="Normal 2 4 3 3 2 2 2" xfId="6105" xr:uid="{887E48AF-0EDD-4ED6-8AB7-44AC318C4DCB}"/>
    <cellStyle name="Normal 2 4 3 3 2 2 2 2" xfId="12444" xr:uid="{92C2602D-747E-49F7-8AC1-C57A89513B84}"/>
    <cellStyle name="Normal 2 4 3 3 2 2 3" xfId="9276" xr:uid="{6D0ADB4A-2C97-4B93-ACC6-A4D4A6805335}"/>
    <cellStyle name="Normal 2 4 3 3 2 3" xfId="4536" xr:uid="{78855CCE-7848-4C06-BD90-E9BB73E01008}"/>
    <cellStyle name="Normal 2 4 3 3 2 3 2" xfId="10875" xr:uid="{1504B02F-34B5-42DE-8F27-62C9E0968860}"/>
    <cellStyle name="Normal 2 4 3 3 2 4" xfId="7707" xr:uid="{EE7F87D1-C7B2-4B0F-9B90-592530C520DA}"/>
    <cellStyle name="Normal 2 4 3 3 3" xfId="2138" xr:uid="{E50C1960-3A05-4AC7-A19E-E4A25F49010E}"/>
    <cellStyle name="Normal 2 4 3 3 3 2" xfId="5308" xr:uid="{843552A2-78BE-4B35-9434-A771F90ACEAC}"/>
    <cellStyle name="Normal 2 4 3 3 3 2 2" xfId="11647" xr:uid="{7675E89D-8D96-480A-B276-49377C0CB1B2}"/>
    <cellStyle name="Normal 2 4 3 3 3 3" xfId="8479" xr:uid="{5E79F264-BA87-4C1A-9148-6252E76EFE08}"/>
    <cellStyle name="Normal 2 4 3 3 4" xfId="3739" xr:uid="{5F5093FA-A7CF-4063-964D-62BED7F6C01E}"/>
    <cellStyle name="Normal 2 4 3 3 4 2" xfId="10078" xr:uid="{5C75F594-86F1-46F5-99CA-EE65A7A1B3AE}"/>
    <cellStyle name="Normal 2 4 3 3 5" xfId="6910" xr:uid="{5DE18398-6115-40BE-B822-69339CF7DDCC}"/>
    <cellStyle name="Normal 2 4 3 4" xfId="983" xr:uid="{05D009C1-0C0A-468C-BCD1-E20136EC585A}"/>
    <cellStyle name="Normal 2 4 3 4 2" xfId="2554" xr:uid="{83182A50-0659-4801-B247-CC7AF9ECD7E7}"/>
    <cellStyle name="Normal 2 4 3 4 2 2" xfId="5724" xr:uid="{2F048062-64AE-4721-A334-B26C17843E1F}"/>
    <cellStyle name="Normal 2 4 3 4 2 2 2" xfId="12063" xr:uid="{B620C8FF-9366-4FA8-BBFF-DF430EBD6D97}"/>
    <cellStyle name="Normal 2 4 3 4 2 3" xfId="8895" xr:uid="{75D62286-5B8B-46D3-B7E1-5442F4F08D16}"/>
    <cellStyle name="Normal 2 4 3 4 3" xfId="4155" xr:uid="{A5D3C60A-788D-4EA0-97F5-EEC842998B11}"/>
    <cellStyle name="Normal 2 4 3 4 3 2" xfId="10494" xr:uid="{DCBC502A-C934-411C-B0AE-4861212778ED}"/>
    <cellStyle name="Normal 2 4 3 4 4" xfId="7326" xr:uid="{90698193-0292-4BDC-BF80-923F6A64093A}"/>
    <cellStyle name="Normal 2 4 3 5" xfId="1757" xr:uid="{513D6C29-58CF-44ED-9539-45C247FE6A73}"/>
    <cellStyle name="Normal 2 4 3 5 2" xfId="4927" xr:uid="{CFFE8C48-2F37-4DFB-A780-E9A88AB1A08B}"/>
    <cellStyle name="Normal 2 4 3 5 2 2" xfId="11266" xr:uid="{76B5EB0F-4AE7-45DA-BDAE-E4DB385BB51B}"/>
    <cellStyle name="Normal 2 4 3 5 3" xfId="8098" xr:uid="{85276269-452F-4FE7-B303-ADE7366790B1}"/>
    <cellStyle name="Normal 2 4 3 6" xfId="3358" xr:uid="{A9CD0FFC-0EBE-4549-B47E-C1E42C63FBFD}"/>
    <cellStyle name="Normal 2 4 3 6 2" xfId="9697" xr:uid="{39A29102-998C-43D1-B9E5-37D52612816F}"/>
    <cellStyle name="Normal 2 4 3 7" xfId="6529" xr:uid="{4EB295F6-F917-433D-BF1A-20FE48DA57BC}"/>
    <cellStyle name="Normal 2 4 4" xfId="247" xr:uid="{FF38B1D7-DC1B-4679-845A-F8DD01FE587B}"/>
    <cellStyle name="Normal 2 4 4 2" xfId="638" xr:uid="{7D5F702D-35F6-4C8A-A9B7-E4185310600A}"/>
    <cellStyle name="Normal 2 4 4 2 2" xfId="1437" xr:uid="{A430BF06-DA38-448C-8D5C-EC8386E5CF83}"/>
    <cellStyle name="Normal 2 4 4 2 2 2" xfId="3008" xr:uid="{1BF71400-7FFF-40C7-B97D-38C4CAD3C470}"/>
    <cellStyle name="Normal 2 4 4 2 2 2 2" xfId="6178" xr:uid="{8D9DF654-63A5-4CC5-86C8-10259F367C96}"/>
    <cellStyle name="Normal 2 4 4 2 2 2 2 2" xfId="12517" xr:uid="{7081FF34-DD3E-4A48-B959-83007E990848}"/>
    <cellStyle name="Normal 2 4 4 2 2 2 3" xfId="9349" xr:uid="{F31E3E95-461D-4632-9869-762CA4CDDC4B}"/>
    <cellStyle name="Normal 2 4 4 2 2 3" xfId="4609" xr:uid="{6FCE31EF-0C41-4ECE-93B0-6D14B3A3FB54}"/>
    <cellStyle name="Normal 2 4 4 2 2 3 2" xfId="10948" xr:uid="{EBA96CA7-7835-470D-97A7-B1426FF0DF95}"/>
    <cellStyle name="Normal 2 4 4 2 2 4" xfId="7780" xr:uid="{A9B20F2D-A15E-4B70-95B7-E499746744DE}"/>
    <cellStyle name="Normal 2 4 4 2 3" xfId="2211" xr:uid="{E2CF47B2-B05C-4C36-93A9-9DAA4562FB7E}"/>
    <cellStyle name="Normal 2 4 4 2 3 2" xfId="5381" xr:uid="{C29B6463-DD51-4E17-AE30-7997B11C3F58}"/>
    <cellStyle name="Normal 2 4 4 2 3 2 2" xfId="11720" xr:uid="{26866AAD-87A0-4713-8DAF-921B15A644F6}"/>
    <cellStyle name="Normal 2 4 4 2 3 3" xfId="8552" xr:uid="{6024E751-8362-4565-A536-B6EE394F2E4B}"/>
    <cellStyle name="Normal 2 4 4 2 4" xfId="3812" xr:uid="{7BB068E2-ABB3-4AE1-A5BF-C4EB6DB9ED97}"/>
    <cellStyle name="Normal 2 4 4 2 4 2" xfId="10151" xr:uid="{A78C54FC-CBE3-41E4-B24A-38FF13817066}"/>
    <cellStyle name="Normal 2 4 4 2 5" xfId="6983" xr:uid="{8BBC2AE2-84FA-48BC-B224-BEE3279A7DC8}"/>
    <cellStyle name="Normal 2 4 4 3" xfId="1056" xr:uid="{C319D40F-9C2A-4930-8DEF-EFD190E2D542}"/>
    <cellStyle name="Normal 2 4 4 3 2" xfId="2627" xr:uid="{4AFE90D3-EE8F-44BE-9C78-0A49EC9C9B2C}"/>
    <cellStyle name="Normal 2 4 4 3 2 2" xfId="5797" xr:uid="{FDF4E960-0E33-4074-8055-FBFB659D8413}"/>
    <cellStyle name="Normal 2 4 4 3 2 2 2" xfId="12136" xr:uid="{2DEBBA3A-7F15-414F-BC62-67050546E0DF}"/>
    <cellStyle name="Normal 2 4 4 3 2 3" xfId="8968" xr:uid="{6A99F03A-59C2-4FC1-9EEA-0437859F6193}"/>
    <cellStyle name="Normal 2 4 4 3 3" xfId="4228" xr:uid="{053138EC-790D-438C-B8AC-F50196E4EB9C}"/>
    <cellStyle name="Normal 2 4 4 3 3 2" xfId="10567" xr:uid="{04A03809-72E5-4EF1-AE13-235103B96820}"/>
    <cellStyle name="Normal 2 4 4 3 4" xfId="7399" xr:uid="{C01B1AB1-7448-4240-B9FF-A7883F1EF616}"/>
    <cellStyle name="Normal 2 4 4 4" xfId="1830" xr:uid="{3939F40F-F923-4B27-8A83-95D5E71FC8F9}"/>
    <cellStyle name="Normal 2 4 4 4 2" xfId="5000" xr:uid="{8FBCC0D0-AA0C-4BE7-B2DE-F0CB47D6D381}"/>
    <cellStyle name="Normal 2 4 4 4 2 2" xfId="11339" xr:uid="{83F1ED22-77B9-47A5-935D-434A57840F92}"/>
    <cellStyle name="Normal 2 4 4 4 3" xfId="8171" xr:uid="{C1E07DA3-568F-4918-9EE5-CD2B8EEF86D0}"/>
    <cellStyle name="Normal 2 4 4 5" xfId="3431" xr:uid="{86E44391-A66F-45C5-9514-D736AFCD12B0}"/>
    <cellStyle name="Normal 2 4 4 5 2" xfId="9770" xr:uid="{ED2D2936-A601-4DE5-A612-B571BA039750}"/>
    <cellStyle name="Normal 2 4 4 6" xfId="6602" xr:uid="{9BEC4CA0-9B44-438A-B9A6-164BA121272C}"/>
    <cellStyle name="Normal 2 4 5" xfId="461" xr:uid="{F1B8B588-3A7C-4FDD-AEC0-9218DEA12E9F}"/>
    <cellStyle name="Normal 2 4 5 2" xfId="1260" xr:uid="{CF239D61-5C99-4A19-B2D3-EB8A0E8B1384}"/>
    <cellStyle name="Normal 2 4 5 2 2" xfId="2831" xr:uid="{EC6507D1-FD90-4F11-B479-F982F054B872}"/>
    <cellStyle name="Normal 2 4 5 2 2 2" xfId="6001" xr:uid="{52413142-1730-4BA0-AC40-2155B439AF70}"/>
    <cellStyle name="Normal 2 4 5 2 2 2 2" xfId="12340" xr:uid="{9E67B460-FD70-4194-9737-03F86F333585}"/>
    <cellStyle name="Normal 2 4 5 2 2 3" xfId="9172" xr:uid="{3D351045-89B6-47E1-BDB4-65897E29F942}"/>
    <cellStyle name="Normal 2 4 5 2 3" xfId="4432" xr:uid="{2280C2D0-8504-4C95-948F-153D242571F6}"/>
    <cellStyle name="Normal 2 4 5 2 3 2" xfId="10771" xr:uid="{913ED7D5-8BD5-40B4-9297-B549AB77EC9A}"/>
    <cellStyle name="Normal 2 4 5 2 4" xfId="7603" xr:uid="{A17BA2BD-5E1F-4EC9-89C4-5ACBE87B43E5}"/>
    <cellStyle name="Normal 2 4 5 3" xfId="2034" xr:uid="{B8299DA7-70C0-4500-9FB4-88963840495B}"/>
    <cellStyle name="Normal 2 4 5 3 2" xfId="5204" xr:uid="{8571BD9D-6607-4DA3-905D-258F02A74F0C}"/>
    <cellStyle name="Normal 2 4 5 3 2 2" xfId="11543" xr:uid="{611F59D9-4868-4A24-A7C4-2AE408990E80}"/>
    <cellStyle name="Normal 2 4 5 3 3" xfId="8375" xr:uid="{57256711-A2E4-4C19-8806-64BF840F2D44}"/>
    <cellStyle name="Normal 2 4 5 4" xfId="3635" xr:uid="{8DAF79B7-D509-445C-B71B-BA3A4D1032D9}"/>
    <cellStyle name="Normal 2 4 5 4 2" xfId="9974" xr:uid="{A623BB33-A3A2-4D7B-94C1-0B703E126A88}"/>
    <cellStyle name="Normal 2 4 5 5" xfId="6806" xr:uid="{333A4F1A-BC75-4CCD-A5C5-99E8211A4AD6}"/>
    <cellStyle name="Normal 2 4 6" xfId="1637" xr:uid="{72036D1A-1EAE-4FB5-B1AA-2AD636285434}"/>
    <cellStyle name="Normal 2 4 7" xfId="853" xr:uid="{3A0AEF0E-3654-4D97-A734-134942A52700}"/>
    <cellStyle name="Normal 2 4 7 2" xfId="2424" xr:uid="{D2825514-BF0C-4129-A7CF-02BE3605BD23}"/>
    <cellStyle name="Normal 2 4 7 2 2" xfId="5594" xr:uid="{71BF5911-2C88-4FD5-9431-1B88AD5F6866}"/>
    <cellStyle name="Normal 2 4 7 2 2 2" xfId="11933" xr:uid="{BCCC2004-6E67-4479-8FBE-C81CA93193B3}"/>
    <cellStyle name="Normal 2 4 7 2 3" xfId="8765" xr:uid="{A31F0D58-172C-4162-88E3-1E9AB1C57A6A}"/>
    <cellStyle name="Normal 2 4 7 3" xfId="4025" xr:uid="{7ACD892F-E90C-4FA1-ACA6-44F4ACCA6354}"/>
    <cellStyle name="Normal 2 4 7 3 2" xfId="10364" xr:uid="{31E9240D-757D-45B2-B4D0-2E2816E07691}"/>
    <cellStyle name="Normal 2 4 7 4" xfId="7196" xr:uid="{75193ED9-04C3-44AD-8894-40415B39E660}"/>
    <cellStyle name="Normal 2 4 8" xfId="1656" xr:uid="{02472F3D-8A63-4445-8C67-5F46FA151394}"/>
    <cellStyle name="Normal 2 4 8 2" xfId="4826" xr:uid="{61C4BAC1-B667-402B-ACD6-D6A584A55FF0}"/>
    <cellStyle name="Normal 2 4 8 2 2" xfId="11165" xr:uid="{4BAFAC39-5ECD-4594-BE35-6474D8746DC3}"/>
    <cellStyle name="Normal 2 4 8 3" xfId="7997" xr:uid="{5FD725D3-DDF3-4A18-8CBD-ED5DA712B14B}"/>
    <cellStyle name="Normal 2 4 9" xfId="3228" xr:uid="{88A815BC-BCA3-4E42-846F-9F2B37E6079E}"/>
    <cellStyle name="Normal 2 4 9 2" xfId="9567" xr:uid="{887DC070-AF81-4C48-9968-24721D32F5F7}"/>
    <cellStyle name="Normal 2 5" xfId="33" xr:uid="{86880694-6B3C-416A-AB13-EC46D3881680}"/>
    <cellStyle name="Normal 2 5 2" xfId="90" xr:uid="{4DB28C09-38E0-49BB-981C-88A2451DDCEF}"/>
    <cellStyle name="Normal 2 5 2 2" xfId="311" xr:uid="{3619BD1C-59CF-4C3B-9277-CE392A42D111}"/>
    <cellStyle name="Normal 2 5 2 2 2" xfId="698" xr:uid="{56A2894C-1BA9-41B8-8E3A-E13D2BF099EA}"/>
    <cellStyle name="Normal 2 5 2 2 2 2" xfId="1497" xr:uid="{9353686E-A946-4654-B6A4-B0C9BECD2E6E}"/>
    <cellStyle name="Normal 2 5 2 2 2 2 2" xfId="3068" xr:uid="{AF92D155-1298-40E0-A112-4B0E96B4E0CD}"/>
    <cellStyle name="Normal 2 5 2 2 2 2 2 2" xfId="6238" xr:uid="{647885B1-4EDB-4257-BF7D-9235D1874306}"/>
    <cellStyle name="Normal 2 5 2 2 2 2 2 2 2" xfId="12577" xr:uid="{D190EF10-6B8E-4237-96C5-1B6728FEDB54}"/>
    <cellStyle name="Normal 2 5 2 2 2 2 2 3" xfId="9409" xr:uid="{76A8090C-3A58-4DF4-9851-DD8AD283E8FC}"/>
    <cellStyle name="Normal 2 5 2 2 2 2 3" xfId="4669" xr:uid="{F701A549-11D6-4BCF-B8E8-E64A525AFF8B}"/>
    <cellStyle name="Normal 2 5 2 2 2 2 3 2" xfId="11008" xr:uid="{EDE1689F-A10C-4098-9C57-7D5B4FE7F6C5}"/>
    <cellStyle name="Normal 2 5 2 2 2 2 4" xfId="7840" xr:uid="{679A1919-00CB-495B-BFB0-CED6511C47CB}"/>
    <cellStyle name="Normal 2 5 2 2 2 3" xfId="2271" xr:uid="{3FF3A3AF-7EF2-4BE4-AF80-84B346BB3FC3}"/>
    <cellStyle name="Normal 2 5 2 2 2 3 2" xfId="5441" xr:uid="{2FF4F9D5-A2BA-43A8-839F-32C0BA0172D2}"/>
    <cellStyle name="Normal 2 5 2 2 2 3 2 2" xfId="11780" xr:uid="{75F04932-8195-4C82-BA1E-6B0240E2F1CF}"/>
    <cellStyle name="Normal 2 5 2 2 2 3 3" xfId="8612" xr:uid="{274C173C-99E3-41A2-8A81-E1872DA6734A}"/>
    <cellStyle name="Normal 2 5 2 2 2 4" xfId="3872" xr:uid="{E40EB13F-D55B-457C-9C2F-9CB8E8F4AEAD}"/>
    <cellStyle name="Normal 2 5 2 2 2 4 2" xfId="10211" xr:uid="{4D474DD3-D20B-449F-B88F-0476A59D6BFE}"/>
    <cellStyle name="Normal 2 5 2 2 2 5" xfId="7043" xr:uid="{32FBDF46-51F1-4D0A-85E3-6840DACE0829}"/>
    <cellStyle name="Normal 2 5 2 2 3" xfId="1116" xr:uid="{6C870747-FBCC-4B57-B289-1A6750E83DF4}"/>
    <cellStyle name="Normal 2 5 2 2 3 2" xfId="2687" xr:uid="{37E49CA2-A1B7-4C07-9711-9D02CF3534F1}"/>
    <cellStyle name="Normal 2 5 2 2 3 2 2" xfId="5857" xr:uid="{E69C0605-6EFB-4270-8A13-BFAFFA32695E}"/>
    <cellStyle name="Normal 2 5 2 2 3 2 2 2" xfId="12196" xr:uid="{8099C010-2A4D-4E40-BEBA-539C499373B9}"/>
    <cellStyle name="Normal 2 5 2 2 3 2 3" xfId="9028" xr:uid="{77BDD67F-E088-4B5E-BF02-4766ACAF3BDC}"/>
    <cellStyle name="Normal 2 5 2 2 3 3" xfId="4288" xr:uid="{B57D2DE6-033B-4595-9F4F-89F034637A61}"/>
    <cellStyle name="Normal 2 5 2 2 3 3 2" xfId="10627" xr:uid="{3D8616D5-92A7-429F-8ADE-2CBD72B9C1D2}"/>
    <cellStyle name="Normal 2 5 2 2 3 4" xfId="7459" xr:uid="{1BCB07AD-C6FC-47C1-AD7E-92D154FF33D5}"/>
    <cellStyle name="Normal 2 5 2 2 4" xfId="1890" xr:uid="{52B0C037-43A4-4A59-A5D6-ABE67A14AFEF}"/>
    <cellStyle name="Normal 2 5 2 2 4 2" xfId="5060" xr:uid="{796CE76B-BF63-4BEB-8CE4-A71978AB065B}"/>
    <cellStyle name="Normal 2 5 2 2 4 2 2" xfId="11399" xr:uid="{CB01FA8E-AC9D-4319-BEFA-3B267FC2CAB9}"/>
    <cellStyle name="Normal 2 5 2 2 4 3" xfId="8231" xr:uid="{B88B2C2B-84A6-4BED-8810-6B729C2D5CEE}"/>
    <cellStyle name="Normal 2 5 2 2 5" xfId="3491" xr:uid="{D9A8565D-97F4-4F0F-AB4E-9972E8FDAE31}"/>
    <cellStyle name="Normal 2 5 2 2 5 2" xfId="9830" xr:uid="{7EEBE3B7-7210-481C-BD8A-B7214B1F5965}"/>
    <cellStyle name="Normal 2 5 2 2 6" xfId="6662" xr:uid="{320C134D-F260-4D39-AF7E-B3A893927BC5}"/>
    <cellStyle name="Normal 2 5 2 3" xfId="514" xr:uid="{7A1F40B0-18EE-4B6C-8D0F-E45CC352D684}"/>
    <cellStyle name="Normal 2 5 2 3 2" xfId="1313" xr:uid="{17ACBDCA-818C-4999-AFEC-1D23EB46662B}"/>
    <cellStyle name="Normal 2 5 2 3 2 2" xfId="2884" xr:uid="{51529F74-8904-45E0-964F-A469E6B09242}"/>
    <cellStyle name="Normal 2 5 2 3 2 2 2" xfId="6054" xr:uid="{F5742BA9-3670-415B-A5C8-21E550307AF1}"/>
    <cellStyle name="Normal 2 5 2 3 2 2 2 2" xfId="12393" xr:uid="{6D37A5EA-DB42-4F5E-B30A-49A305E7AA92}"/>
    <cellStyle name="Normal 2 5 2 3 2 2 3" xfId="9225" xr:uid="{89210DE6-1E2A-4D47-981D-0D5477B3F7AA}"/>
    <cellStyle name="Normal 2 5 2 3 2 3" xfId="4485" xr:uid="{4E1DAE00-744F-41DC-8189-8882AA4B5128}"/>
    <cellStyle name="Normal 2 5 2 3 2 3 2" xfId="10824" xr:uid="{3D9777EB-52A7-45C9-8B25-731D2C77327B}"/>
    <cellStyle name="Normal 2 5 2 3 2 4" xfId="7656" xr:uid="{96366BAF-FB2F-4233-A18A-F77AA7578B29}"/>
    <cellStyle name="Normal 2 5 2 3 3" xfId="2087" xr:uid="{618F3C48-7142-492C-B48B-153A4D7CDDB8}"/>
    <cellStyle name="Normal 2 5 2 3 3 2" xfId="5257" xr:uid="{C8CD6E79-E05B-4A6C-80DF-E2E663CDD434}"/>
    <cellStyle name="Normal 2 5 2 3 3 2 2" xfId="11596" xr:uid="{98FAB03E-8CD9-4059-8E0B-5D9B5685DCDB}"/>
    <cellStyle name="Normal 2 5 2 3 3 3" xfId="8428" xr:uid="{781B23AD-0F7B-422C-8E80-95ADCC7956A1}"/>
    <cellStyle name="Normal 2 5 2 3 4" xfId="3688" xr:uid="{4647BA24-D241-4C90-B04D-257659BCB766}"/>
    <cellStyle name="Normal 2 5 2 3 4 2" xfId="10027" xr:uid="{4733F304-DB0F-43A9-A71A-A8632B75C926}"/>
    <cellStyle name="Normal 2 5 2 3 5" xfId="6859" xr:uid="{6C654221-FDEC-419B-9BC0-F2CF96AF28ED}"/>
    <cellStyle name="Normal 2 5 2 4" xfId="913" xr:uid="{3D627CF1-829F-490A-871A-2611D61C095E}"/>
    <cellStyle name="Normal 2 5 2 4 2" xfId="2484" xr:uid="{F2AC6DC9-3FB6-44B0-879C-6EEF688458F7}"/>
    <cellStyle name="Normal 2 5 2 4 2 2" xfId="5654" xr:uid="{9EC1DFB3-00DA-452E-AAD0-A4A83483262F}"/>
    <cellStyle name="Normal 2 5 2 4 2 2 2" xfId="11993" xr:uid="{8466D570-C692-4C82-BA05-DF0F1F578F67}"/>
    <cellStyle name="Normal 2 5 2 4 2 3" xfId="8825" xr:uid="{AAAB5424-25D6-4F40-9372-FE8F0105031B}"/>
    <cellStyle name="Normal 2 5 2 4 3" xfId="4085" xr:uid="{38D2F7AF-6B28-47C3-9778-A23C0D266C87}"/>
    <cellStyle name="Normal 2 5 2 4 3 2" xfId="10424" xr:uid="{1DD65E7C-322A-43B1-B761-A83B90B4DB79}"/>
    <cellStyle name="Normal 2 5 2 4 4" xfId="7256" xr:uid="{EBD9D6C0-8B09-4223-940D-F5432CDDEFE9}"/>
    <cellStyle name="Normal 2 5 2 5" xfId="1707" xr:uid="{4F076143-4786-4632-A34F-056EC630A411}"/>
    <cellStyle name="Normal 2 5 2 5 2" xfId="4877" xr:uid="{2FA4F560-8222-46D3-AC23-D280F8797009}"/>
    <cellStyle name="Normal 2 5 2 5 2 2" xfId="11216" xr:uid="{45C2BAF8-8FD4-4B84-9F9E-F7D982B862CB}"/>
    <cellStyle name="Normal 2 5 2 5 3" xfId="8048" xr:uid="{38AEA663-B816-4D26-BEB4-CA7668063756}"/>
    <cellStyle name="Normal 2 5 2 6" xfId="3288" xr:uid="{FCBF8B2F-C742-46D3-8EDC-6843E224F1DA}"/>
    <cellStyle name="Normal 2 5 2 6 2" xfId="9627" xr:uid="{5EC9C3C3-F086-4281-9CDB-706F8DE8B9BB}"/>
    <cellStyle name="Normal 2 5 2 7" xfId="6459" xr:uid="{128C4C34-1830-4653-9EA0-5C910D381922}"/>
    <cellStyle name="Normal 2 5 3" xfId="176" xr:uid="{CD9DE2F8-B04D-4571-A97A-690907E2EA85}"/>
    <cellStyle name="Normal 2 5 3 2" xfId="393" xr:uid="{A3324CFC-00CB-4DCB-8BE2-4862C5675EBC}"/>
    <cellStyle name="Normal 2 5 3 2 2" xfId="774" xr:uid="{35E918A0-E0A0-44CD-BC5A-6E15AE5DD9B3}"/>
    <cellStyle name="Normal 2 5 3 2 2 2" xfId="1573" xr:uid="{696AE75C-66B7-4B26-A459-416FA2A7EF88}"/>
    <cellStyle name="Normal 2 5 3 2 2 2 2" xfId="3144" xr:uid="{99218BCB-4B2F-462A-A444-70341C7A9C80}"/>
    <cellStyle name="Normal 2 5 3 2 2 2 2 2" xfId="6314" xr:uid="{B013A4F4-ABA3-42B7-85B6-CB16F8FDC201}"/>
    <cellStyle name="Normal 2 5 3 2 2 2 2 2 2" xfId="12653" xr:uid="{DF47EDD1-3F50-401E-9845-98785D7FAD38}"/>
    <cellStyle name="Normal 2 5 3 2 2 2 2 3" xfId="9485" xr:uid="{BB72462F-80F3-4DD4-961F-616B93FE3D89}"/>
    <cellStyle name="Normal 2 5 3 2 2 2 3" xfId="4745" xr:uid="{CF87AD42-F5A2-4E7F-8AE5-4A9CBD174744}"/>
    <cellStyle name="Normal 2 5 3 2 2 2 3 2" xfId="11084" xr:uid="{7841BF4E-1654-45D1-B195-07B555E29C67}"/>
    <cellStyle name="Normal 2 5 3 2 2 2 4" xfId="7916" xr:uid="{E130E98D-2C8E-4D29-A455-CE62887AFB64}"/>
    <cellStyle name="Normal 2 5 3 2 2 3" xfId="2347" xr:uid="{43925C3D-2DAA-4467-ACD6-2D4AFD2887C7}"/>
    <cellStyle name="Normal 2 5 3 2 2 3 2" xfId="5517" xr:uid="{C525C129-7354-46D3-81A8-96F1CC9804BD}"/>
    <cellStyle name="Normal 2 5 3 2 2 3 2 2" xfId="11856" xr:uid="{F725D82A-E329-499E-A317-0C1562EFD0A4}"/>
    <cellStyle name="Normal 2 5 3 2 2 3 3" xfId="8688" xr:uid="{957BCAA5-74AC-4FD7-B2F1-42C2A4DBCA5D}"/>
    <cellStyle name="Normal 2 5 3 2 2 4" xfId="3948" xr:uid="{5A6D6C86-ADC7-4B73-BCEF-80EEAA39CCAE}"/>
    <cellStyle name="Normal 2 5 3 2 2 4 2" xfId="10287" xr:uid="{CDB73C3B-E799-48C0-8B2A-93EE0AEB25ED}"/>
    <cellStyle name="Normal 2 5 3 2 2 5" xfId="7119" xr:uid="{85EEDCE2-1C52-4223-9A7B-768FAB42FA0A}"/>
    <cellStyle name="Normal 2 5 3 2 3" xfId="1192" xr:uid="{97CAAA73-5714-4FB6-B138-013B89262EB1}"/>
    <cellStyle name="Normal 2 5 3 2 3 2" xfId="2763" xr:uid="{EC189E15-24CA-4AFE-9696-4D3BDACA33A8}"/>
    <cellStyle name="Normal 2 5 3 2 3 2 2" xfId="5933" xr:uid="{DB6621C5-137D-436F-9C96-D83D43DA27F7}"/>
    <cellStyle name="Normal 2 5 3 2 3 2 2 2" xfId="12272" xr:uid="{BAD0340F-B9F0-4E9E-8316-38ABFBE87A1E}"/>
    <cellStyle name="Normal 2 5 3 2 3 2 3" xfId="9104" xr:uid="{A99E034D-D1C6-4C93-9EFB-9AE7B409B341}"/>
    <cellStyle name="Normal 2 5 3 2 3 3" xfId="4364" xr:uid="{7BE013C4-8C39-4FEB-897D-87C328250335}"/>
    <cellStyle name="Normal 2 5 3 2 3 3 2" xfId="10703" xr:uid="{159444C2-A9A1-43D6-B39A-33A56379AB45}"/>
    <cellStyle name="Normal 2 5 3 2 3 4" xfId="7535" xr:uid="{DE07F438-3BD1-40F6-A58C-8CD3AF248735}"/>
    <cellStyle name="Normal 2 5 3 2 4" xfId="1966" xr:uid="{95488808-B3EF-4B1E-AD44-FD62FC4AA587}"/>
    <cellStyle name="Normal 2 5 3 2 4 2" xfId="5136" xr:uid="{E8907D80-1CBB-4D92-A9C8-952CDA0C1CD9}"/>
    <cellStyle name="Normal 2 5 3 2 4 2 2" xfId="11475" xr:uid="{4C59660C-A298-4887-AA38-77C8617CC630}"/>
    <cellStyle name="Normal 2 5 3 2 4 3" xfId="8307" xr:uid="{445ACB77-7BBA-40EC-BBF5-70B21C4744A6}"/>
    <cellStyle name="Normal 2 5 3 2 5" xfId="3567" xr:uid="{3E03C91C-896B-4164-B7AD-78E049FDFD58}"/>
    <cellStyle name="Normal 2 5 3 2 5 2" xfId="9906" xr:uid="{E4E126EB-7BD3-4DA5-B8B0-3E898D7EFD4F}"/>
    <cellStyle name="Normal 2 5 3 2 6" xfId="6738" xr:uid="{2B93985B-BB81-48EB-ADCE-269D913550E3}"/>
    <cellStyle name="Normal 2 5 3 3" xfId="571" xr:uid="{D161293C-8D94-4566-8634-C711F24CA27C}"/>
    <cellStyle name="Normal 2 5 3 3 2" xfId="1370" xr:uid="{2BAE9E96-465C-4854-87AE-EE960039797A}"/>
    <cellStyle name="Normal 2 5 3 3 2 2" xfId="2941" xr:uid="{B7489F95-0A58-432A-B9C2-FF73B23C1E3D}"/>
    <cellStyle name="Normal 2 5 3 3 2 2 2" xfId="6111" xr:uid="{4102E864-7E4C-43FA-B9C3-A48A7CBE8622}"/>
    <cellStyle name="Normal 2 5 3 3 2 2 2 2" xfId="12450" xr:uid="{546BC522-B469-41DE-B38C-0F69BEE8CC13}"/>
    <cellStyle name="Normal 2 5 3 3 2 2 3" xfId="9282" xr:uid="{7371A68E-AC02-4E96-B952-EE070487ED48}"/>
    <cellStyle name="Normal 2 5 3 3 2 3" xfId="4542" xr:uid="{BB7B299C-6BAC-4158-B64C-56A1BAFF6B7D}"/>
    <cellStyle name="Normal 2 5 3 3 2 3 2" xfId="10881" xr:uid="{E6E9FA9D-BC65-4190-B6C3-DF0B37B67BD6}"/>
    <cellStyle name="Normal 2 5 3 3 2 4" xfId="7713" xr:uid="{D1E4A966-C97B-4ECE-9FE1-61F4C0F0ED78}"/>
    <cellStyle name="Normal 2 5 3 3 3" xfId="2144" xr:uid="{DAD18AAC-D0CC-4D81-94F7-023D5E89CBFC}"/>
    <cellStyle name="Normal 2 5 3 3 3 2" xfId="5314" xr:uid="{5D524052-9CFB-4318-ACDC-F5C3A6DEEF4D}"/>
    <cellStyle name="Normal 2 5 3 3 3 2 2" xfId="11653" xr:uid="{8EF36884-9A16-4791-BD78-000A6422AC44}"/>
    <cellStyle name="Normal 2 5 3 3 3 3" xfId="8485" xr:uid="{AC86C32F-FC7F-46B2-8DF7-48CEE967F3F0}"/>
    <cellStyle name="Normal 2 5 3 3 4" xfId="3745" xr:uid="{F56CFB80-2682-4728-B2FB-F7B3E1A8B9C5}"/>
    <cellStyle name="Normal 2 5 3 3 4 2" xfId="10084" xr:uid="{26A1D15D-A9EC-4859-96A2-DC5BD05B1EB0}"/>
    <cellStyle name="Normal 2 5 3 3 5" xfId="6916" xr:uid="{A626D991-88E6-4B49-B529-03F2C488B6C0}"/>
    <cellStyle name="Normal 2 5 3 4" xfId="989" xr:uid="{682283C9-8ACC-4FB4-9822-F1D0DBF8E734}"/>
    <cellStyle name="Normal 2 5 3 4 2" xfId="2560" xr:uid="{85331921-68F9-4CD4-B478-61361698964D}"/>
    <cellStyle name="Normal 2 5 3 4 2 2" xfId="5730" xr:uid="{A0DE4684-AF5D-4D5F-A024-0713D6B1645B}"/>
    <cellStyle name="Normal 2 5 3 4 2 2 2" xfId="12069" xr:uid="{AAF52402-73FD-4800-9B08-395A176B58AA}"/>
    <cellStyle name="Normal 2 5 3 4 2 3" xfId="8901" xr:uid="{99E50F4E-6774-4998-8028-6B220C8ED406}"/>
    <cellStyle name="Normal 2 5 3 4 3" xfId="4161" xr:uid="{091FAD1A-EBF3-4F2B-BDF9-6B7BC155EC76}"/>
    <cellStyle name="Normal 2 5 3 4 3 2" xfId="10500" xr:uid="{2896EB66-F92A-48B7-BDCB-F6BB003E5A64}"/>
    <cellStyle name="Normal 2 5 3 4 4" xfId="7332" xr:uid="{4782B795-8FE1-461E-AB0C-31C8B3DA422F}"/>
    <cellStyle name="Normal 2 5 3 5" xfId="1763" xr:uid="{782F9605-0CFD-4D35-AC4E-10A1C6D7AB2A}"/>
    <cellStyle name="Normal 2 5 3 5 2" xfId="4933" xr:uid="{6FB7A775-17CA-4445-8937-430F3A60BE38}"/>
    <cellStyle name="Normal 2 5 3 5 2 2" xfId="11272" xr:uid="{78E85B80-C5AE-4845-816E-8E51EA81BE35}"/>
    <cellStyle name="Normal 2 5 3 5 3" xfId="8104" xr:uid="{9098ED4D-75AA-4ACA-8E25-5F6E454D277B}"/>
    <cellStyle name="Normal 2 5 3 6" xfId="3364" xr:uid="{90E9B1DF-7CF8-4252-ADEA-FB6BAE4B40F9}"/>
    <cellStyle name="Normal 2 5 3 6 2" xfId="9703" xr:uid="{9C31D4BD-0487-4EA5-ABA7-34DC27C630ED}"/>
    <cellStyle name="Normal 2 5 3 7" xfId="6535" xr:uid="{750B43FC-1596-40AF-BBD3-D9271326B70B}"/>
    <cellStyle name="Normal 2 5 4" xfId="257" xr:uid="{AE43C478-BE39-4908-B7C6-EE08BACCD9DC}"/>
    <cellStyle name="Normal 2 5 4 2" xfId="647" xr:uid="{714B46BC-560A-408C-AD16-F31A01EB5A41}"/>
    <cellStyle name="Normal 2 5 4 2 2" xfId="1446" xr:uid="{5F53B47C-E680-490E-B172-B012010EED40}"/>
    <cellStyle name="Normal 2 5 4 2 2 2" xfId="3017" xr:uid="{17842CCE-FE85-49E7-9AE8-833674368B8D}"/>
    <cellStyle name="Normal 2 5 4 2 2 2 2" xfId="6187" xr:uid="{27A28BB3-1090-4E50-A40A-E88CC98714D7}"/>
    <cellStyle name="Normal 2 5 4 2 2 2 2 2" xfId="12526" xr:uid="{2CBAB555-1257-4E4E-B6F8-6224E8F33741}"/>
    <cellStyle name="Normal 2 5 4 2 2 2 3" xfId="9358" xr:uid="{37099824-DF0D-4B52-A768-8335FC5F9860}"/>
    <cellStyle name="Normal 2 5 4 2 2 3" xfId="4618" xr:uid="{D3F3C038-F202-43CF-95E1-99DBB17F8D52}"/>
    <cellStyle name="Normal 2 5 4 2 2 3 2" xfId="10957" xr:uid="{5A241C00-C7B4-49C7-932A-90CA45D9245F}"/>
    <cellStyle name="Normal 2 5 4 2 2 4" xfId="7789" xr:uid="{AE76CF1D-3C1E-4F81-8BDC-671EF68FF3D3}"/>
    <cellStyle name="Normal 2 5 4 2 3" xfId="2220" xr:uid="{AE497BB7-2598-47DA-A286-01E62350E2EC}"/>
    <cellStyle name="Normal 2 5 4 2 3 2" xfId="5390" xr:uid="{E2ED03FD-4240-498C-B505-7C28DA8FD519}"/>
    <cellStyle name="Normal 2 5 4 2 3 2 2" xfId="11729" xr:uid="{9DDBDF44-070B-43DD-9976-7FB5BE640F64}"/>
    <cellStyle name="Normal 2 5 4 2 3 3" xfId="8561" xr:uid="{958F5DD8-7170-4686-9C30-0566D89C18C0}"/>
    <cellStyle name="Normal 2 5 4 2 4" xfId="3821" xr:uid="{A80F2E29-B0AA-4044-B47C-3C03F2EB82FC}"/>
    <cellStyle name="Normal 2 5 4 2 4 2" xfId="10160" xr:uid="{799A2D25-EF6A-41A8-8B8B-1455AD24032C}"/>
    <cellStyle name="Normal 2 5 4 2 5" xfId="6992" xr:uid="{89FBEF8F-7976-4947-9D80-119B2A28F24E}"/>
    <cellStyle name="Normal 2 5 4 3" xfId="1065" xr:uid="{12F72E8F-4299-44A6-AC90-EB677CA1B119}"/>
    <cellStyle name="Normal 2 5 4 3 2" xfId="2636" xr:uid="{7571F95F-3EF9-48DC-B53B-81B8A0505C66}"/>
    <cellStyle name="Normal 2 5 4 3 2 2" xfId="5806" xr:uid="{CB221343-D4C1-43A7-BCA8-C62C97DE5280}"/>
    <cellStyle name="Normal 2 5 4 3 2 2 2" xfId="12145" xr:uid="{4F6901C0-1D03-4F35-BB11-56EF2CE135CF}"/>
    <cellStyle name="Normal 2 5 4 3 2 3" xfId="8977" xr:uid="{74BC60E3-800E-4E09-8223-A672B43C5A5B}"/>
    <cellStyle name="Normal 2 5 4 3 3" xfId="4237" xr:uid="{DB33AF68-F43E-40A7-999E-FE2B92A3EAC8}"/>
    <cellStyle name="Normal 2 5 4 3 3 2" xfId="10576" xr:uid="{6E3F1056-A73D-4392-A1A2-F6DC344C1C9B}"/>
    <cellStyle name="Normal 2 5 4 3 4" xfId="7408" xr:uid="{9FD1AF0E-D6B0-4F03-A09E-8C79F6DFD164}"/>
    <cellStyle name="Normal 2 5 4 4" xfId="1839" xr:uid="{38626981-FF0F-4AC5-8BEE-862E654A3C20}"/>
    <cellStyle name="Normal 2 5 4 4 2" xfId="5009" xr:uid="{D657835D-B901-4463-AB0F-BDBD134A2BE0}"/>
    <cellStyle name="Normal 2 5 4 4 2 2" xfId="11348" xr:uid="{47CD8519-7249-4E28-8CFF-F907DF9BB182}"/>
    <cellStyle name="Normal 2 5 4 4 3" xfId="8180" xr:uid="{BA1640C6-1559-4625-9B90-5E3D880C2A25}"/>
    <cellStyle name="Normal 2 5 4 5" xfId="3440" xr:uid="{A7CA4EC6-A7C6-4C9A-B2C7-5501CBB853D9}"/>
    <cellStyle name="Normal 2 5 4 5 2" xfId="9779" xr:uid="{F1FE202F-86CD-47EC-81E4-75D6C69F5264}"/>
    <cellStyle name="Normal 2 5 4 6" xfId="6611" xr:uid="{3B831BB7-7C15-4CEC-8312-F5FAB84EF622}"/>
    <cellStyle name="Normal 2 5 5" xfId="468" xr:uid="{12E06D80-2892-4380-8183-D0BF89EEC8DF}"/>
    <cellStyle name="Normal 2 5 5 2" xfId="1267" xr:uid="{5B45A0F0-6A41-4242-8B8D-42111E9FAB71}"/>
    <cellStyle name="Normal 2 5 5 2 2" xfId="2838" xr:uid="{8662404F-C78B-4C19-9906-DF4FA2C4DE0A}"/>
    <cellStyle name="Normal 2 5 5 2 2 2" xfId="6008" xr:uid="{02A05A5A-6C89-44BA-8B8A-F5DA110DAF87}"/>
    <cellStyle name="Normal 2 5 5 2 2 2 2" xfId="12347" xr:uid="{AD0108A5-B4AE-4A9E-AF4C-169324ECBA0C}"/>
    <cellStyle name="Normal 2 5 5 2 2 3" xfId="9179" xr:uid="{F4DADC38-F781-475F-B0B7-F54AFDE762F2}"/>
    <cellStyle name="Normal 2 5 5 2 3" xfId="4439" xr:uid="{68CE41CE-3009-4EDD-8CCF-A0744D349942}"/>
    <cellStyle name="Normal 2 5 5 2 3 2" xfId="10778" xr:uid="{B1F4F2C9-E4B3-407B-8575-EF24768D662D}"/>
    <cellStyle name="Normal 2 5 5 2 4" xfId="7610" xr:uid="{59615B8E-B90C-42BC-98BF-D74133DFEF6E}"/>
    <cellStyle name="Normal 2 5 5 3" xfId="2041" xr:uid="{9622CDC3-9023-4D0E-BA27-2465A19C7EF4}"/>
    <cellStyle name="Normal 2 5 5 3 2" xfId="5211" xr:uid="{E08574FA-4E73-4D9D-98FC-C23C1FC399EB}"/>
    <cellStyle name="Normal 2 5 5 3 2 2" xfId="11550" xr:uid="{D2F7D3D5-5817-4EFB-9A76-044F37468DF9}"/>
    <cellStyle name="Normal 2 5 5 3 3" xfId="8382" xr:uid="{5F248EB4-8DE4-4B01-B7C5-575E0431FCA2}"/>
    <cellStyle name="Normal 2 5 5 4" xfId="3642" xr:uid="{18CD6039-0E14-41DF-BA4D-08691EA3CD20}"/>
    <cellStyle name="Normal 2 5 5 4 2" xfId="9981" xr:uid="{BD115270-D395-4D52-B2A2-3D76885DFB7F}"/>
    <cellStyle name="Normal 2 5 5 5" xfId="6813" xr:uid="{040171A5-A5E1-4A57-A6E1-B2188952BC3E}"/>
    <cellStyle name="Normal 2 5 6" xfId="862" xr:uid="{8AE8B011-1589-40F5-A2AB-EB3579A0D5F8}"/>
    <cellStyle name="Normal 2 5 6 2" xfId="2433" xr:uid="{A7445074-B772-4F8E-9EB7-57828FB32A83}"/>
    <cellStyle name="Normal 2 5 6 2 2" xfId="5603" xr:uid="{E0F7DAD7-F578-4B7B-93C0-E804197451E8}"/>
    <cellStyle name="Normal 2 5 6 2 2 2" xfId="11942" xr:uid="{9E9F5E86-210F-492D-AA88-8183CE4A9E25}"/>
    <cellStyle name="Normal 2 5 6 2 3" xfId="8774" xr:uid="{6449F629-3378-419F-B2F5-C27DE1C8F548}"/>
    <cellStyle name="Normal 2 5 6 3" xfId="4034" xr:uid="{6C8787CC-592A-4CB3-A37C-44663CC0A037}"/>
    <cellStyle name="Normal 2 5 6 3 2" xfId="10373" xr:uid="{00907649-8B55-44C7-9856-342786173E00}"/>
    <cellStyle name="Normal 2 5 6 4" xfId="7205" xr:uid="{D66FDD27-9864-4D92-83BC-DD53DFB71607}"/>
    <cellStyle name="Normal 2 5 7" xfId="1663" xr:uid="{48271175-D2B8-4E4A-8256-992A11D80CAC}"/>
    <cellStyle name="Normal 2 5 7 2" xfId="4833" xr:uid="{83FEA111-64F4-4B13-9C58-AF0C245EB78B}"/>
    <cellStyle name="Normal 2 5 7 2 2" xfId="11172" xr:uid="{3B92FA36-E0D9-48F2-AA06-A6E8CBFC9E9F}"/>
    <cellStyle name="Normal 2 5 7 3" xfId="8004" xr:uid="{BACC8F47-A75B-4DEC-94D6-D5E53CBB1F2A}"/>
    <cellStyle name="Normal 2 5 8" xfId="3237" xr:uid="{A8F391B2-EE0E-400B-99A1-CE637D0E8DB4}"/>
    <cellStyle name="Normal 2 5 8 2" xfId="9576" xr:uid="{27574F45-E7E8-4F2F-B7A8-388859D1AA03}"/>
    <cellStyle name="Normal 2 5 9" xfId="6408" xr:uid="{0D055049-3F7B-4E5B-94DC-64B9283DBF27}"/>
    <cellStyle name="Normal 2 6" xfId="41" xr:uid="{1EC62314-27F0-4E3A-9BB4-6B646C1FCA98}"/>
    <cellStyle name="Normal 2 6 2" xfId="265" xr:uid="{C651159A-B472-4B53-B40A-25A6D56DB38C}"/>
    <cellStyle name="Normal 2 6 2 2" xfId="655" xr:uid="{EB57E604-00B8-4371-A310-4C74334EC608}"/>
    <cellStyle name="Normal 2 6 2 2 2" xfId="1454" xr:uid="{205D32E9-E2EE-4649-9163-8B88D7A00CE6}"/>
    <cellStyle name="Normal 2 6 2 2 2 2" xfId="3025" xr:uid="{D7210D97-F5B4-4950-8A06-550D231EF26D}"/>
    <cellStyle name="Normal 2 6 2 2 2 2 2" xfId="6195" xr:uid="{7BF1B61B-CC33-4B7A-9FDC-E7A3151248C1}"/>
    <cellStyle name="Normal 2 6 2 2 2 2 2 2" xfId="12534" xr:uid="{0A35CA64-66E6-4E26-9294-BADBAC39AC33}"/>
    <cellStyle name="Normal 2 6 2 2 2 2 3" xfId="9366" xr:uid="{7CA3F504-8AA6-41F5-999A-45AB719D273A}"/>
    <cellStyle name="Normal 2 6 2 2 2 3" xfId="4626" xr:uid="{9AF1F7EE-479E-49F4-9B9B-43ABB8507B7B}"/>
    <cellStyle name="Normal 2 6 2 2 2 3 2" xfId="10965" xr:uid="{4BC55319-622A-4988-B635-3071AAAE4ACA}"/>
    <cellStyle name="Normal 2 6 2 2 2 4" xfId="7797" xr:uid="{71155488-8B0F-4A96-9D62-25362DCDEECE}"/>
    <cellStyle name="Normal 2 6 2 2 3" xfId="2228" xr:uid="{26A22963-139C-4688-BAF0-5ED7029DD50B}"/>
    <cellStyle name="Normal 2 6 2 2 3 2" xfId="5398" xr:uid="{2830F803-B621-4769-BAFD-6F6F7725E1DA}"/>
    <cellStyle name="Normal 2 6 2 2 3 2 2" xfId="11737" xr:uid="{362FB73C-2076-4376-B5E2-C7BB103BEC88}"/>
    <cellStyle name="Normal 2 6 2 2 3 3" xfId="8569" xr:uid="{03C6C050-5365-4772-B54E-A82FC6D07067}"/>
    <cellStyle name="Normal 2 6 2 2 4" xfId="3829" xr:uid="{4ED0A73D-51B3-4B16-AE5A-18E21D705CE1}"/>
    <cellStyle name="Normal 2 6 2 2 4 2" xfId="10168" xr:uid="{9494F163-9B08-43B9-8933-87400C1B3FE6}"/>
    <cellStyle name="Normal 2 6 2 2 5" xfId="7000" xr:uid="{2E6F51A5-D41D-4250-A233-54EFA556053A}"/>
    <cellStyle name="Normal 2 6 2 3" xfId="1073" xr:uid="{8162BF0E-B0AE-46F8-BFAC-A91974D4E2F7}"/>
    <cellStyle name="Normal 2 6 2 3 2" xfId="2644" xr:uid="{386F6AF5-5D01-4A15-9578-E061BA5367C4}"/>
    <cellStyle name="Normal 2 6 2 3 2 2" xfId="5814" xr:uid="{9E14D7CE-3E0A-4059-AAB2-15802F20FD07}"/>
    <cellStyle name="Normal 2 6 2 3 2 2 2" xfId="12153" xr:uid="{C5EDDE3C-49FD-4C48-A62B-2672D0749EF5}"/>
    <cellStyle name="Normal 2 6 2 3 2 3" xfId="8985" xr:uid="{416666E4-24CB-4CBB-BE53-CE3B71ECB48C}"/>
    <cellStyle name="Normal 2 6 2 3 3" xfId="4245" xr:uid="{DE0881F5-58C3-4740-B060-2A782FC5C8C0}"/>
    <cellStyle name="Normal 2 6 2 3 3 2" xfId="10584" xr:uid="{5E8BA27A-93A5-4EFF-92FA-681A34AED5D9}"/>
    <cellStyle name="Normal 2 6 2 3 4" xfId="7416" xr:uid="{C00A7FC9-ABE9-4657-91C6-36A5196FB273}"/>
    <cellStyle name="Normal 2 6 2 4" xfId="1847" xr:uid="{73BC8998-883A-4783-BABA-B12796D98E8E}"/>
    <cellStyle name="Normal 2 6 2 4 2" xfId="5017" xr:uid="{83048303-9034-48CF-A7C9-E5828374D4F2}"/>
    <cellStyle name="Normal 2 6 2 4 2 2" xfId="11356" xr:uid="{A6308C52-20E4-480C-AFD0-3334E6FB2377}"/>
    <cellStyle name="Normal 2 6 2 4 3" xfId="8188" xr:uid="{A24B5167-512E-447C-A58E-4B2724F9DBEA}"/>
    <cellStyle name="Normal 2 6 2 5" xfId="3448" xr:uid="{8113009F-060D-4A89-A2A0-803090977423}"/>
    <cellStyle name="Normal 2 6 2 5 2" xfId="9787" xr:uid="{02882B0B-8310-409A-8D13-6245A563DA03}"/>
    <cellStyle name="Normal 2 6 2 6" xfId="6619" xr:uid="{F333D233-8804-4A7B-993B-37207475B7CB}"/>
    <cellStyle name="Normal 2 6 3" xfId="474" xr:uid="{8303688B-E22E-4B04-93F8-2592F3771D87}"/>
    <cellStyle name="Normal 2 6 3 2" xfId="1273" xr:uid="{15B65063-4AEE-40B2-A023-00FB2317A5E5}"/>
    <cellStyle name="Normal 2 6 3 2 2" xfId="2844" xr:uid="{545E1825-8F20-4A6D-AED9-1C8406F59C3E}"/>
    <cellStyle name="Normal 2 6 3 2 2 2" xfId="6014" xr:uid="{538CDA43-6E51-4A03-98D9-04101464A383}"/>
    <cellStyle name="Normal 2 6 3 2 2 2 2" xfId="12353" xr:uid="{1077F1C7-AF11-4FD9-A6F4-EDE968CE6F6D}"/>
    <cellStyle name="Normal 2 6 3 2 2 3" xfId="9185" xr:uid="{AE352DA8-4AD3-4B40-B652-E65728CBD82E}"/>
    <cellStyle name="Normal 2 6 3 2 3" xfId="4445" xr:uid="{B6C172BF-92B8-4469-9503-FC8A7544C85D}"/>
    <cellStyle name="Normal 2 6 3 2 3 2" xfId="10784" xr:uid="{4F531806-4CA3-40E5-AD3D-831FD0EA3FCA}"/>
    <cellStyle name="Normal 2 6 3 2 4" xfId="7616" xr:uid="{498782B1-6E77-4C20-B291-FAD8A91C2C91}"/>
    <cellStyle name="Normal 2 6 3 3" xfId="2047" xr:uid="{AE29B86E-80B2-4681-A192-158BAB55A787}"/>
    <cellStyle name="Normal 2 6 3 3 2" xfId="5217" xr:uid="{48338904-EF21-4951-9A7D-4108DB20FBB7}"/>
    <cellStyle name="Normal 2 6 3 3 2 2" xfId="11556" xr:uid="{D76E9FE1-3F96-491C-8E8F-032BCC6A022A}"/>
    <cellStyle name="Normal 2 6 3 3 3" xfId="8388" xr:uid="{2525A671-581F-4F2B-8966-004173B89B6C}"/>
    <cellStyle name="Normal 2 6 3 4" xfId="3648" xr:uid="{88D401E2-B050-4375-A448-3563D94D51FC}"/>
    <cellStyle name="Normal 2 6 3 4 2" xfId="9987" xr:uid="{E078AA6D-7A52-4245-9DBE-780174D170F9}"/>
    <cellStyle name="Normal 2 6 3 5" xfId="6819" xr:uid="{96733A61-111F-4D52-A2D5-E4A1353B542C}"/>
    <cellStyle name="Normal 2 6 4" xfId="870" xr:uid="{DDA94EF4-4B4D-4699-A61B-D8926313CF77}"/>
    <cellStyle name="Normal 2 6 4 2" xfId="2441" xr:uid="{2A355EDB-D310-405C-910D-71488EBE0D7E}"/>
    <cellStyle name="Normal 2 6 4 2 2" xfId="5611" xr:uid="{598377A6-FD07-4B26-B07B-0C6290CBF9AB}"/>
    <cellStyle name="Normal 2 6 4 2 2 2" xfId="11950" xr:uid="{D8CB9FE8-26E9-4B10-98D7-F7F99CE3D437}"/>
    <cellStyle name="Normal 2 6 4 2 3" xfId="8782" xr:uid="{CB7A7371-0365-4556-A17D-A2FE31177CF4}"/>
    <cellStyle name="Normal 2 6 4 3" xfId="4042" xr:uid="{843A4832-ABB6-41F7-B246-ED17608B0EA3}"/>
    <cellStyle name="Normal 2 6 4 3 2" xfId="10381" xr:uid="{4552FC1F-A28E-4675-AE94-8652B08A0D3A}"/>
    <cellStyle name="Normal 2 6 4 4" xfId="7213" xr:uid="{6953F4E7-0653-41D4-9F3A-4164430ACB15}"/>
    <cellStyle name="Normal 2 6 5" xfId="1669" xr:uid="{285B1DEF-36D4-4C81-A896-28BBD120001D}"/>
    <cellStyle name="Normal 2 6 5 2" xfId="4839" xr:uid="{E5F572CE-200A-4675-B796-8B438876293E}"/>
    <cellStyle name="Normal 2 6 5 2 2" xfId="11178" xr:uid="{05112139-0408-4BF6-84FA-D2748078BF88}"/>
    <cellStyle name="Normal 2 6 5 3" xfId="8010" xr:uid="{A89C53EC-B703-465E-93C4-A297CCA0036B}"/>
    <cellStyle name="Normal 2 6 6" xfId="3245" xr:uid="{818FB261-10D9-4B19-A3E5-8E9C89DCEC7F}"/>
    <cellStyle name="Normal 2 6 6 2" xfId="9584" xr:uid="{7E744254-6795-46A0-AF73-7E02B7DB1D75}"/>
    <cellStyle name="Normal 2 6 7" xfId="6416" xr:uid="{E12DF163-90C0-455C-B580-83A5AE8B2EE0}"/>
    <cellStyle name="Normal 20" xfId="144" xr:uid="{85E7C88A-9718-4862-8BC1-42D0E89A8F8F}"/>
    <cellStyle name="Normal 20 2" xfId="361" xr:uid="{2A9EDA97-8E73-48E4-9157-286446D12E15}"/>
    <cellStyle name="Normal 20 2 2" xfId="742" xr:uid="{4A828C7D-EB4E-4E02-AD41-5E40771E447C}"/>
    <cellStyle name="Normal 20 2 2 2" xfId="1541" xr:uid="{66E02091-F4C8-46FD-8EF0-FAA6532390D7}"/>
    <cellStyle name="Normal 20 2 2 2 2" xfId="3112" xr:uid="{EE8147D6-404A-48C3-8950-606D64D806AD}"/>
    <cellStyle name="Normal 20 2 2 2 2 2" xfId="6282" xr:uid="{6A27B085-5458-4A4A-8A57-637C7764A2A2}"/>
    <cellStyle name="Normal 20 2 2 2 2 2 2" xfId="12621" xr:uid="{10937B2E-24E8-48F4-AD1D-BCE970031960}"/>
    <cellStyle name="Normal 20 2 2 2 2 3" xfId="9453" xr:uid="{349C74D2-82D9-483C-A91A-32A9E4D50EA4}"/>
    <cellStyle name="Normal 20 2 2 2 3" xfId="4713" xr:uid="{C2A4023A-3EAE-4AAA-A093-5F19BAAB3DEB}"/>
    <cellStyle name="Normal 20 2 2 2 3 2" xfId="11052" xr:uid="{B8D380F0-C953-4ACF-BAC3-957FBFB344B4}"/>
    <cellStyle name="Normal 20 2 2 2 4" xfId="7884" xr:uid="{4FE86C1A-F80E-46F7-931F-C1664A97F4AA}"/>
    <cellStyle name="Normal 20 2 2 3" xfId="2315" xr:uid="{02DF2374-59EF-4A2A-BB54-F8DF506127EE}"/>
    <cellStyle name="Normal 20 2 2 3 2" xfId="5485" xr:uid="{A3C8230E-9D78-424F-9236-64060DDF01D6}"/>
    <cellStyle name="Normal 20 2 2 3 2 2" xfId="11824" xr:uid="{9E968E6E-B46B-46B4-84E4-A8AEDCC04A72}"/>
    <cellStyle name="Normal 20 2 2 3 3" xfId="8656" xr:uid="{FE626526-D841-4210-98DD-7FFC2DFB7E39}"/>
    <cellStyle name="Normal 20 2 2 4" xfId="3916" xr:uid="{5DEEB1A1-84B6-49F1-A4C5-41B93AFBE518}"/>
    <cellStyle name="Normal 20 2 2 4 2" xfId="10255" xr:uid="{25C0CBC1-CCBF-430F-B332-4D4B226F7319}"/>
    <cellStyle name="Normal 20 2 2 5" xfId="7087" xr:uid="{36E7A3C4-4A1E-41C3-96D9-9BF59F6DAF16}"/>
    <cellStyle name="Normal 20 2 3" xfId="1160" xr:uid="{4A39209C-0F3E-46AC-80B0-25E01ADA6118}"/>
    <cellStyle name="Normal 20 2 3 2" xfId="2731" xr:uid="{726568E4-369D-41DB-A533-55616DBCDA02}"/>
    <cellStyle name="Normal 20 2 3 2 2" xfId="5901" xr:uid="{56A919C6-E38D-44CD-B8D0-E391D63E4E9E}"/>
    <cellStyle name="Normal 20 2 3 2 2 2" xfId="12240" xr:uid="{F72824E4-4578-4E7A-8DFE-A6FEC5CEA0CD}"/>
    <cellStyle name="Normal 20 2 3 2 3" xfId="9072" xr:uid="{F8044D16-EC04-4886-85B3-C99E86E5D9A1}"/>
    <cellStyle name="Normal 20 2 3 3" xfId="4332" xr:uid="{5AB7D915-36BE-4B30-9CE7-F438550CA60F}"/>
    <cellStyle name="Normal 20 2 3 3 2" xfId="10671" xr:uid="{0F2A105A-238C-4C68-8E3E-B913C7B827A7}"/>
    <cellStyle name="Normal 20 2 3 4" xfId="7503" xr:uid="{2B65622F-487C-4818-824B-E968BD51C040}"/>
    <cellStyle name="Normal 20 2 4" xfId="1934" xr:uid="{8B52F769-74C4-4EE3-B914-B2FBF5F2EAC0}"/>
    <cellStyle name="Normal 20 2 4 2" xfId="5104" xr:uid="{C1CA6988-8588-4FF4-B0DB-A087598DB1A1}"/>
    <cellStyle name="Normal 20 2 4 2 2" xfId="11443" xr:uid="{C8C83337-9A9F-4CD0-90E2-50D8C928F71C}"/>
    <cellStyle name="Normal 20 2 4 3" xfId="8275" xr:uid="{949D8EB7-F2E2-4187-95FD-62DCAAE53A8F}"/>
    <cellStyle name="Normal 20 2 5" xfId="3535" xr:uid="{86DB95DA-2446-4DF3-9A53-60E601EB7959}"/>
    <cellStyle name="Normal 20 2 5 2" xfId="9874" xr:uid="{070E6E36-897B-4E0A-9524-06A703EF683C}"/>
    <cellStyle name="Normal 20 2 6" xfId="6706" xr:uid="{2DA2C5D2-FEC1-4226-B986-B480FCA13DCF}"/>
    <cellStyle name="Normal 20 3" xfId="539" xr:uid="{99C50C20-A744-4C98-BDC8-5389BFDBEB93}"/>
    <cellStyle name="Normal 20 3 2" xfId="1338" xr:uid="{5F161DE7-9619-409F-A8EF-BA3AA061034E}"/>
    <cellStyle name="Normal 20 3 2 2" xfId="2909" xr:uid="{CB93E15B-C0CB-434A-B7F7-82FE10486A2B}"/>
    <cellStyle name="Normal 20 3 2 2 2" xfId="6079" xr:uid="{7C45B30E-3AF5-4FD7-AEC5-BFFAC8FCEB96}"/>
    <cellStyle name="Normal 20 3 2 2 2 2" xfId="12418" xr:uid="{6D5FC190-3969-44BB-9364-4D9CB41FA6BE}"/>
    <cellStyle name="Normal 20 3 2 2 3" xfId="9250" xr:uid="{060D98D5-DC60-47DD-81F1-164386C59477}"/>
    <cellStyle name="Normal 20 3 2 3" xfId="4510" xr:uid="{1982530A-D325-47AB-AECC-3E0723C7088D}"/>
    <cellStyle name="Normal 20 3 2 3 2" xfId="10849" xr:uid="{A1FBAF31-2B64-43D2-BB2B-D02F9AEA3161}"/>
    <cellStyle name="Normal 20 3 2 4" xfId="7681" xr:uid="{B5E16421-34EB-452D-8E26-C2E36C49E539}"/>
    <cellStyle name="Normal 20 3 3" xfId="2112" xr:uid="{88DC3541-9E8E-4C15-918D-C96D21176AC4}"/>
    <cellStyle name="Normal 20 3 3 2" xfId="5282" xr:uid="{1940759A-3913-415B-A23D-499C66DC3360}"/>
    <cellStyle name="Normal 20 3 3 2 2" xfId="11621" xr:uid="{CDB83CED-CB28-40CC-B099-93B7C8E28D84}"/>
    <cellStyle name="Normal 20 3 3 3" xfId="8453" xr:uid="{ED842567-15E9-476B-80F3-B9A0B2F8F81E}"/>
    <cellStyle name="Normal 20 3 4" xfId="3713" xr:uid="{4EABBF2C-ECEB-46A7-BD5E-03A0C67523E1}"/>
    <cellStyle name="Normal 20 3 4 2" xfId="10052" xr:uid="{5C79C835-22D5-4987-8C84-F7F09AE47D04}"/>
    <cellStyle name="Normal 20 3 5" xfId="6884" xr:uid="{CFA9FA07-0BA4-4CB0-880C-78A555D44858}"/>
    <cellStyle name="Normal 20 4" xfId="957" xr:uid="{5FFBABF4-4F68-4C16-A6B1-1FAE5B34E5DD}"/>
    <cellStyle name="Normal 20 4 2" xfId="2528" xr:uid="{EB5914E6-1CAD-4845-9AF0-E8CA0AC2FF44}"/>
    <cellStyle name="Normal 20 4 2 2" xfId="5698" xr:uid="{B757AB56-D1B9-4F9B-A3F1-FBF5DCDE961D}"/>
    <cellStyle name="Normal 20 4 2 2 2" xfId="12037" xr:uid="{09EF451E-DE29-4A5B-A159-2D474690C442}"/>
    <cellStyle name="Normal 20 4 2 3" xfId="8869" xr:uid="{223F79DE-808C-45AF-9F9C-98A9ACA4AE63}"/>
    <cellStyle name="Normal 20 4 3" xfId="4129" xr:uid="{F1A373BC-68E4-4EC3-AB32-CC235154D29F}"/>
    <cellStyle name="Normal 20 4 3 2" xfId="10468" xr:uid="{B328DFDC-5A1C-4469-8E07-D3BA5237F978}"/>
    <cellStyle name="Normal 20 4 4" xfId="7300" xr:uid="{93C97930-43F0-495E-854C-20BC18039EAD}"/>
    <cellStyle name="Normal 20 5" xfId="1731" xr:uid="{B8CC9591-CB0E-4A8B-855E-330B13290D0F}"/>
    <cellStyle name="Normal 20 5 2" xfId="4901" xr:uid="{4608A89C-E48A-4521-9D30-0783B82D80AF}"/>
    <cellStyle name="Normal 20 5 2 2" xfId="11240" xr:uid="{5B1EA380-4E04-4DC2-95F5-2F66B6305D22}"/>
    <cellStyle name="Normal 20 5 3" xfId="8072" xr:uid="{430981A6-F965-4D09-BA6D-28CA3233305C}"/>
    <cellStyle name="Normal 20 6" xfId="3332" xr:uid="{981E5AC7-9300-4CE9-B629-0E8F99A3CF8B}"/>
    <cellStyle name="Normal 20 6 2" xfId="9671" xr:uid="{F3448190-EAF6-4B06-8A1F-88E3A9CBFC03}"/>
    <cellStyle name="Normal 20 7" xfId="6503" xr:uid="{24416AAB-07C1-4F05-9EFB-EBCAE1F6AC78}"/>
    <cellStyle name="Normal 21" xfId="230" xr:uid="{33F2B1D1-2A3E-45DD-B3E8-7312433F3CAE}"/>
    <cellStyle name="Normal 21 2" xfId="1638" xr:uid="{15CF4D50-B3EE-42A1-B596-8240380D499E}"/>
    <cellStyle name="Normal 21 2 2" xfId="3208" xr:uid="{C6B52BEC-4270-48C6-9B0B-F5ED72EF3FD6}"/>
    <cellStyle name="Normal 21 2 2 2" xfId="6378" xr:uid="{275C14C7-FFBC-4EEB-BDA1-B671C791D303}"/>
    <cellStyle name="Normal 21 2 2 2 2" xfId="12717" xr:uid="{AAD7E50C-FEE0-4C75-9932-F66E7B8097A2}"/>
    <cellStyle name="Normal 21 2 2 3" xfId="9549" xr:uid="{053ACD77-6847-484B-A9F1-D85CF46B8011}"/>
    <cellStyle name="Normal 21 2 3" xfId="4809" xr:uid="{E07683C9-49E9-44AF-93C0-B0FD795C03F1}"/>
    <cellStyle name="Normal 21 2 3 2" xfId="11148" xr:uid="{33EBE7D2-2942-4C28-A7E3-15C34F04A017}"/>
    <cellStyle name="Normal 21 2 4" xfId="7980" xr:uid="{2A65FBD0-851A-4AF3-9C1D-431BCBDBE078}"/>
    <cellStyle name="Normal 22" xfId="229" xr:uid="{34AED5C9-A3C1-46CB-BF50-70CBC3575A4B}"/>
    <cellStyle name="Normal 22 2" xfId="624" xr:uid="{96181B81-4691-4C75-9880-01A87DF07A2E}"/>
    <cellStyle name="Normal 22 2 2" xfId="1423" xr:uid="{8CF34DFA-10DA-42AF-B259-7607EE24802B}"/>
    <cellStyle name="Normal 22 2 2 2" xfId="2994" xr:uid="{5C444F7E-9B38-4F9E-BF8E-64BF26E53DEF}"/>
    <cellStyle name="Normal 22 2 2 2 2" xfId="6164" xr:uid="{85E4563A-3A8B-46D8-B52F-DCE775469D7F}"/>
    <cellStyle name="Normal 22 2 2 2 2 2" xfId="12503" xr:uid="{AFD2F98C-8E97-4008-959A-60A758206831}"/>
    <cellStyle name="Normal 22 2 2 2 3" xfId="9335" xr:uid="{86900708-51B0-48BF-9097-8455E459123C}"/>
    <cellStyle name="Normal 22 2 2 3" xfId="4595" xr:uid="{567D9E35-535C-4E2C-8B4F-F20A9FB3B568}"/>
    <cellStyle name="Normal 22 2 2 3 2" xfId="10934" xr:uid="{8F0B44B8-DED1-4E1B-BB4A-07D0C683CF97}"/>
    <cellStyle name="Normal 22 2 2 4" xfId="7766" xr:uid="{0328AF5D-A77A-449B-B1DC-E54E894F956A}"/>
    <cellStyle name="Normal 22 2 3" xfId="2197" xr:uid="{B9EC7E53-F144-413E-AA98-F4AE1D3B868B}"/>
    <cellStyle name="Normal 22 2 3 2" xfId="5367" xr:uid="{EDF387D7-AA28-4454-86FE-00143C15C1ED}"/>
    <cellStyle name="Normal 22 2 3 2 2" xfId="11706" xr:uid="{E2CA971F-5D46-454A-B7FC-21ECFEABF2E8}"/>
    <cellStyle name="Normal 22 2 3 3" xfId="8538" xr:uid="{2FFEC727-0CA3-4106-9B8E-A454DE80A600}"/>
    <cellStyle name="Normal 22 2 4" xfId="3798" xr:uid="{FCFA8A6C-0809-474C-B71F-5B6B8F62F751}"/>
    <cellStyle name="Normal 22 2 4 2" xfId="10137" xr:uid="{84C96511-98D6-4118-B617-B8C16920DEED}"/>
    <cellStyle name="Normal 22 2 5" xfId="6969" xr:uid="{51946048-7ABF-46A3-B85F-4B952A350371}"/>
    <cellStyle name="Normal 22 3" xfId="1042" xr:uid="{DA88DCA0-51EF-43E8-B1D6-1527290BFE74}"/>
    <cellStyle name="Normal 22 3 2" xfId="2613" xr:uid="{014CBDE7-5382-49C8-8C0F-63BE177F2C11}"/>
    <cellStyle name="Normal 22 3 2 2" xfId="5783" xr:uid="{1B72A413-A327-4583-81A5-5C4722E2821A}"/>
    <cellStyle name="Normal 22 3 2 2 2" xfId="12122" xr:uid="{B57EC396-279E-41C2-ABB9-55F71D2860A6}"/>
    <cellStyle name="Normal 22 3 2 3" xfId="8954" xr:uid="{C7C2D9AB-8423-40FE-9F94-665D6334D1E6}"/>
    <cellStyle name="Normal 22 3 3" xfId="4214" xr:uid="{9FFAE4F2-15EF-4D91-93E1-D38FF24238E9}"/>
    <cellStyle name="Normal 22 3 3 2" xfId="10553" xr:uid="{964D1A21-7DC7-4604-A62C-7FAC20E61027}"/>
    <cellStyle name="Normal 22 3 4" xfId="7385" xr:uid="{C9758075-9A10-451F-A3C5-D2E2419C34EE}"/>
    <cellStyle name="Normal 22 4" xfId="1816" xr:uid="{ED63E9A7-624D-466E-8CCE-3FBBAB6EDCEF}"/>
    <cellStyle name="Normal 22 4 2" xfId="4986" xr:uid="{9F5948EE-7E74-416D-A8A3-4A40F22FB91B}"/>
    <cellStyle name="Normal 22 4 2 2" xfId="11325" xr:uid="{28E34AA0-8FC9-4849-A961-45274C2ABF21}"/>
    <cellStyle name="Normal 22 4 3" xfId="8157" xr:uid="{3A302744-DE12-48E7-BA4B-AEEABBCC3192}"/>
    <cellStyle name="Normal 22 5" xfId="3417" xr:uid="{78FD7FFB-8B39-426E-AF66-58534919E9E2}"/>
    <cellStyle name="Normal 22 5 2" xfId="9756" xr:uid="{B699BC08-67A6-4283-B748-3278CA1DCDBD}"/>
    <cellStyle name="Normal 22 6" xfId="6588" xr:uid="{63AC511C-EBE2-409F-92B5-F92D839D6F2B}"/>
    <cellStyle name="Normal 23" xfId="447" xr:uid="{AF798E95-AC3D-4533-A1AD-255A313F021D}"/>
    <cellStyle name="Normal 23 2" xfId="828" xr:uid="{287F2FEB-99DA-4205-8119-3A6FF14F0A61}"/>
    <cellStyle name="Normal 23 2 2" xfId="1627" xr:uid="{A0675FCC-AFB1-42E1-9727-2F3D1784DFC8}"/>
    <cellStyle name="Normal 23 2 2 2" xfId="3198" xr:uid="{A14D134A-2A12-41CA-A7E4-2DAAA7A1048D}"/>
    <cellStyle name="Normal 23 2 2 2 2" xfId="6368" xr:uid="{26324BE0-0E65-4D8E-AD73-BAEF6D4F7D9F}"/>
    <cellStyle name="Normal 23 2 2 2 2 2" xfId="12707" xr:uid="{C9A2E76A-EF6C-4C82-AE9A-52B63BFF508B}"/>
    <cellStyle name="Normal 23 2 2 2 3" xfId="9539" xr:uid="{7477A44D-5D32-468C-8EFC-FB17AB7F1D33}"/>
    <cellStyle name="Normal 23 2 2 3" xfId="4799" xr:uid="{8DAB1EAF-18B0-42AC-B245-3415AEB8EDCA}"/>
    <cellStyle name="Normal 23 2 2 3 2" xfId="11138" xr:uid="{A0774FA5-C745-43C9-8C18-4F902BC89799}"/>
    <cellStyle name="Normal 23 2 2 4" xfId="7970" xr:uid="{D3634ABD-2F8E-4E4B-8FE8-F381C4C2198D}"/>
    <cellStyle name="Normal 23 2 3" xfId="2401" xr:uid="{59163987-D3B2-466A-A725-477AC8AF6E2D}"/>
    <cellStyle name="Normal 23 2 3 2" xfId="5571" xr:uid="{EA5995B9-F8BB-40EA-A3CE-7616FA7DA305}"/>
    <cellStyle name="Normal 23 2 3 2 2" xfId="11910" xr:uid="{35E15E3B-8D05-4417-9979-166B8058B07B}"/>
    <cellStyle name="Normal 23 2 3 3" xfId="8742" xr:uid="{05BEB464-7827-4476-8876-ADBC729ADEDA}"/>
    <cellStyle name="Normal 23 2 4" xfId="4002" xr:uid="{84E8AE5E-A2A7-4819-9B14-80F739E4736C}"/>
    <cellStyle name="Normal 23 2 4 2" xfId="10341" xr:uid="{335AF1DB-BF29-48E9-BED2-E450812307D6}"/>
    <cellStyle name="Normal 23 2 5" xfId="7173" xr:uid="{87D137C0-2458-4948-BB3D-DA539A0A34DA}"/>
    <cellStyle name="Normal 23 3" xfId="1246" xr:uid="{B8F5D926-6F4B-43E1-B410-D6A27C789A9F}"/>
    <cellStyle name="Normal 23 3 2" xfId="2817" xr:uid="{126BB032-7410-43A9-81D3-D0139C1183AB}"/>
    <cellStyle name="Normal 23 3 2 2" xfId="5987" xr:uid="{DE9C3934-4FE1-40FF-A556-AD90CA7BEEE7}"/>
    <cellStyle name="Normal 23 3 2 2 2" xfId="12326" xr:uid="{4E71E445-BFC6-4F00-88A3-058A550B5908}"/>
    <cellStyle name="Normal 23 3 2 3" xfId="9158" xr:uid="{FE18FE1E-BE8F-448E-9F02-E20CBF7531FA}"/>
    <cellStyle name="Normal 23 3 3" xfId="4418" xr:uid="{0F1CA9B2-768F-48C1-8F10-35B53D876D85}"/>
    <cellStyle name="Normal 23 3 3 2" xfId="10757" xr:uid="{35C330B7-E4FE-4250-9A01-FC457A3AB0CB}"/>
    <cellStyle name="Normal 23 3 4" xfId="7589" xr:uid="{FAC76E4F-5A7C-432F-B741-8D0981B7446C}"/>
    <cellStyle name="Normal 23 4" xfId="2020" xr:uid="{D88BA510-755B-42FD-B4F2-EDA488798FAF}"/>
    <cellStyle name="Normal 23 4 2" xfId="5190" xr:uid="{E2F188E4-1727-4A24-BE75-3B50FDB068AB}"/>
    <cellStyle name="Normal 23 4 2 2" xfId="11529" xr:uid="{06CA6799-9BC8-4F19-B50A-9A47FEFDC909}"/>
    <cellStyle name="Normal 23 4 3" xfId="8361" xr:uid="{38D66461-1CD6-40AF-A526-31DAFFDF1FE6}"/>
    <cellStyle name="Normal 23 5" xfId="3621" xr:uid="{B1EB0508-2B38-4847-A76B-25666E9FB6EC}"/>
    <cellStyle name="Normal 23 5 2" xfId="9960" xr:uid="{2DA56B71-8BB1-48C8-A2B7-2CD707E9D828}"/>
    <cellStyle name="Normal 23 6" xfId="6792" xr:uid="{93E1159C-AE7F-4C8C-AB6A-530C687577C1}"/>
    <cellStyle name="Normal 24" xfId="448" xr:uid="{649C3B17-930D-47D8-8A9D-666857A1FBC3}"/>
    <cellStyle name="Normal 24 2" xfId="829" xr:uid="{2C793351-7895-4C74-81FE-23CD7A8B49A6}"/>
    <cellStyle name="Normal 24 2 2" xfId="1628" xr:uid="{33EE46A1-F11A-4CB9-8CE3-4DD80F6560FF}"/>
    <cellStyle name="Normal 24 2 2 2" xfId="3199" xr:uid="{5DAFB00E-CB5D-41FA-96A1-7DD7B5943416}"/>
    <cellStyle name="Normal 24 2 2 2 2" xfId="6369" xr:uid="{6AF618F1-E919-4CE2-8185-56DFE7B0C5DB}"/>
    <cellStyle name="Normal 24 2 2 2 2 2" xfId="12708" xr:uid="{994A9299-68C2-4A38-8355-7F42F07EC793}"/>
    <cellStyle name="Normal 24 2 2 2 3" xfId="9540" xr:uid="{4C173894-4216-485C-B1DE-3BDCA9CDF49D}"/>
    <cellStyle name="Normal 24 2 2 3" xfId="4800" xr:uid="{FD4C3FF9-6969-47F0-B124-34DD7C391DD1}"/>
    <cellStyle name="Normal 24 2 2 3 2" xfId="11139" xr:uid="{37802D02-D012-4642-9D49-BB87180827B2}"/>
    <cellStyle name="Normal 24 2 2 4" xfId="7971" xr:uid="{5329F824-88A1-4033-BE13-888B0B325416}"/>
    <cellStyle name="Normal 24 2 3" xfId="2402" xr:uid="{208732A8-255F-4D2E-BA83-86E4CA4DCB9C}"/>
    <cellStyle name="Normal 24 2 3 2" xfId="5572" xr:uid="{A2C6DC28-B1BC-4C90-8EAE-6CD357FC7E7D}"/>
    <cellStyle name="Normal 24 2 3 2 2" xfId="11911" xr:uid="{D2973967-AB31-4FB1-851D-808AEE58E3EE}"/>
    <cellStyle name="Normal 24 2 3 3" xfId="8743" xr:uid="{A68C4BD9-49E6-4181-98D2-778BF810D785}"/>
    <cellStyle name="Normal 24 2 4" xfId="4003" xr:uid="{069CEF9E-6A50-49A5-870D-5667A00F6682}"/>
    <cellStyle name="Normal 24 2 4 2" xfId="10342" xr:uid="{1BFCF264-B0B5-4AC1-B0FC-AA1843B6B1F9}"/>
    <cellStyle name="Normal 24 2 5" xfId="7174" xr:uid="{5F18444F-E1E3-4E10-A0B0-9148C9D1C8EE}"/>
    <cellStyle name="Normal 24 3" xfId="1247" xr:uid="{67C7802E-AF85-40CE-A9AA-8EABE9D7716F}"/>
    <cellStyle name="Normal 24 3 2" xfId="2818" xr:uid="{DCD18D12-B386-4DE7-A57F-061CEE6577CB}"/>
    <cellStyle name="Normal 24 3 2 2" xfId="5988" xr:uid="{BD20FC6D-CB3B-4A90-86BB-FA3137767CD5}"/>
    <cellStyle name="Normal 24 3 2 2 2" xfId="12327" xr:uid="{1D157C29-626B-4A92-A89E-CE64F621B97A}"/>
    <cellStyle name="Normal 24 3 2 3" xfId="9159" xr:uid="{E1F498A4-348F-4537-AE1E-CECA4EBB5EFB}"/>
    <cellStyle name="Normal 24 3 3" xfId="4419" xr:uid="{BE7A1FC3-2889-4B67-935A-1074EEA95227}"/>
    <cellStyle name="Normal 24 3 3 2" xfId="10758" xr:uid="{97DFF285-337F-4CBF-A45C-5467219A63EA}"/>
    <cellStyle name="Normal 24 3 4" xfId="7590" xr:uid="{A460E852-E951-4430-A4A0-C847FEF7EF61}"/>
    <cellStyle name="Normal 24 4" xfId="2021" xr:uid="{70D747DD-63DB-4B6A-A812-60DFD06997DB}"/>
    <cellStyle name="Normal 24 4 2" xfId="5191" xr:uid="{F2773872-7473-405B-8C7B-BF72B4D5AC7D}"/>
    <cellStyle name="Normal 24 4 2 2" xfId="11530" xr:uid="{44148212-E7CF-4FE8-8E85-45BAEE32CB2D}"/>
    <cellStyle name="Normal 24 4 3" xfId="8362" xr:uid="{47F6D198-B7FB-47CE-B4CA-23715D000595}"/>
    <cellStyle name="Normal 24 5" xfId="3622" xr:uid="{9A89B4C4-C34F-429C-B567-07C803B4CACE}"/>
    <cellStyle name="Normal 24 5 2" xfId="9961" xr:uid="{906E08E9-AB29-4EF7-A0A7-78572E22FA0D}"/>
    <cellStyle name="Normal 24 6" xfId="6793" xr:uid="{B83016D3-6219-49B6-B8AC-CB2628CFE92B}"/>
    <cellStyle name="Normal 25" xfId="831" xr:uid="{A50FB407-CFCB-4055-B3AE-15CEBA539D95}"/>
    <cellStyle name="Normal 25 2" xfId="1630" xr:uid="{ADF7A2ED-4817-4D37-A90A-67F5C1E362C1}"/>
    <cellStyle name="Normal 25 2 2" xfId="3201" xr:uid="{3FA32933-305E-4CDC-A4FB-09B5FC630A9A}"/>
    <cellStyle name="Normal 25 2 2 2" xfId="6371" xr:uid="{312502E2-FBED-467E-8105-140DA62C041D}"/>
    <cellStyle name="Normal 25 2 2 2 2" xfId="12710" xr:uid="{D39F5075-B33B-4A02-9F34-A93C3411F92B}"/>
    <cellStyle name="Normal 25 2 2 3" xfId="9542" xr:uid="{944BEBB5-FE13-4758-8287-DE53BE6B0321}"/>
    <cellStyle name="Normal 25 2 3" xfId="4802" xr:uid="{7A09E90C-F2E5-4AE7-8146-B3D9918D5EAC}"/>
    <cellStyle name="Normal 25 2 3 2" xfId="11141" xr:uid="{47EAF84D-7B49-479A-9830-1F177CCEAFDC}"/>
    <cellStyle name="Normal 25 2 4" xfId="7973" xr:uid="{7E0F5599-5F06-4C66-B7E5-E05FAAD08686}"/>
    <cellStyle name="Normal 25 3" xfId="2404" xr:uid="{90B9B3E4-5B0B-4EEA-9CAB-DF346B532306}"/>
    <cellStyle name="Normal 25 3 2" xfId="5574" xr:uid="{4D95080E-B182-40B1-809D-0FFE4CA55AC0}"/>
    <cellStyle name="Normal 25 3 2 2" xfId="11913" xr:uid="{06D291D6-2A5A-496A-8AF0-C2B1955D4C29}"/>
    <cellStyle name="Normal 25 3 3" xfId="8745" xr:uid="{0E3224C1-9253-4D08-BA9A-FC4937B6D289}"/>
    <cellStyle name="Normal 25 4" xfId="4005" xr:uid="{CD6CE0E1-2D45-4D44-9A96-A93A78884A38}"/>
    <cellStyle name="Normal 25 4 2" xfId="10344" xr:uid="{DE6927EB-3795-4308-8AD9-A65192EFAFE8}"/>
    <cellStyle name="Normal 25 5" xfId="7176" xr:uid="{96AC6EB2-B0D6-4A32-91AF-8AF61D70134C}"/>
    <cellStyle name="Normal 26" xfId="834" xr:uid="{FB84E395-7263-4025-8596-76BBD1713A1E}"/>
    <cellStyle name="Normal 26 2" xfId="1633" xr:uid="{4F0635EC-E3DB-4F93-BA42-A3FD6E338EC5}"/>
    <cellStyle name="Normal 26 2 2" xfId="3204" xr:uid="{BC110212-2375-4C7A-8C6D-B7B6297C0F71}"/>
    <cellStyle name="Normal 26 2 2 2" xfId="6374" xr:uid="{D673F40E-504F-4584-9C80-214F7D683F8E}"/>
    <cellStyle name="Normal 26 2 2 2 2" xfId="12713" xr:uid="{296F30FA-39A4-4B4E-80E5-60485E4A6A2D}"/>
    <cellStyle name="Normal 26 2 2 3" xfId="9545" xr:uid="{FCD7CE5B-B8EA-40D6-955F-5D2B456AC8F7}"/>
    <cellStyle name="Normal 26 2 3" xfId="4805" xr:uid="{11D6355E-BFA4-4B72-BDCC-526DE6DCC0F4}"/>
    <cellStyle name="Normal 26 2 3 2" xfId="11144" xr:uid="{299F683F-1060-4F2D-98CA-06671D614014}"/>
    <cellStyle name="Normal 26 2 4" xfId="7976" xr:uid="{4A4B0827-B20C-4615-82F4-13EEB2E50616}"/>
    <cellStyle name="Normal 26 3" xfId="2407" xr:uid="{36E43E7C-4493-49B3-8F09-8FDDAE265179}"/>
    <cellStyle name="Normal 26 3 2" xfId="5577" xr:uid="{B44AF8D7-16C3-408D-9DE2-CCC1F9C197BA}"/>
    <cellStyle name="Normal 26 3 2 2" xfId="11916" xr:uid="{E3E3D3F5-037E-409B-9D1D-E00753CFA592}"/>
    <cellStyle name="Normal 26 3 3" xfId="8748" xr:uid="{69ADC151-2F4C-4B44-8761-D03BFCBB2A6A}"/>
    <cellStyle name="Normal 26 4" xfId="4008" xr:uid="{62860110-5CAA-4AD5-BF59-D3C9BAFE48F7}"/>
    <cellStyle name="Normal 26 4 2" xfId="10347" xr:uid="{A6F97D07-104D-449C-BEC8-1BDE66204D4B}"/>
    <cellStyle name="Normal 26 5" xfId="7179" xr:uid="{E1C7ECC5-8F6C-4304-A311-53549590E3A0}"/>
    <cellStyle name="Normal 27" xfId="838" xr:uid="{B188E263-4A05-4E6F-AB0F-3336C33624F9}"/>
    <cellStyle name="Normal 27 2" xfId="1640" xr:uid="{D15F6928-8A9C-47B3-9F70-D50F3082A72D}"/>
    <cellStyle name="Normal 27 2 2" xfId="3209" xr:uid="{EE71E63B-9805-4508-8A40-43D4637ABE7C}"/>
    <cellStyle name="Normal 27 2 2 2" xfId="6379" xr:uid="{5F6651C7-B970-4F26-8E1F-0B3ECE313091}"/>
    <cellStyle name="Normal 27 2 2 2 2" xfId="12718" xr:uid="{E8A0F1DA-BC3E-43BD-A4EC-AC35BE6D02FF}"/>
    <cellStyle name="Normal 27 2 2 3" xfId="9550" xr:uid="{B9ECCF7E-58EB-434F-BB08-8BA71551DB6E}"/>
    <cellStyle name="Normal 27 2 3" xfId="4810" xr:uid="{B05F99E6-5D91-463E-9FF3-F0B4F2753C72}"/>
    <cellStyle name="Normal 27 2 3 2" xfId="11149" xr:uid="{72C756F9-19FA-42B0-977D-3AE9F30BCE9E}"/>
    <cellStyle name="Normal 27 2 4" xfId="7981" xr:uid="{797D0055-A9DB-4D41-A255-70F97A0CF5EA}"/>
    <cellStyle name="Normal 28" xfId="837" xr:uid="{56E01E40-8547-463C-AFF5-CA7512544FDB}"/>
    <cellStyle name="Normal 28 2" xfId="2410" xr:uid="{62AE0BCA-C355-4A8C-A35C-6B314B19D701}"/>
    <cellStyle name="Normal 28 2 2" xfId="5580" xr:uid="{D4B1ED2C-892C-40DD-87C3-E4DF46609C27}"/>
    <cellStyle name="Normal 28 2 2 2" xfId="11919" xr:uid="{B6FBF27F-1191-4F88-A22D-BD280D510ADE}"/>
    <cellStyle name="Normal 28 2 3" xfId="8751" xr:uid="{9CB849DF-C6D4-4517-88D8-5A745D649BFE}"/>
    <cellStyle name="Normal 28 3" xfId="4011" xr:uid="{CFDF8A89-7446-4662-93F1-3038FAAB0E78}"/>
    <cellStyle name="Normal 28 3 2" xfId="10350" xr:uid="{FF74F44D-94BE-402B-9CE9-AF1AC539B06D}"/>
    <cellStyle name="Normal 28 4" xfId="7182" xr:uid="{DB45210A-EA5B-41E2-A573-EF837867246D}"/>
    <cellStyle name="Normal 29" xfId="1641" xr:uid="{18DB2FC8-C185-41A9-8072-6D11768C2B10}"/>
    <cellStyle name="Normal 29 2" xfId="3210" xr:uid="{1CE6A4E5-E611-45F4-8D5E-DA2484190C9C}"/>
    <cellStyle name="Normal 29 2 2" xfId="6380" xr:uid="{16139534-087F-448E-9BA7-28190BAE158A}"/>
    <cellStyle name="Normal 29 2 2 2" xfId="12719" xr:uid="{CDC4CDF7-A510-40C0-8399-D1EF700C60F4}"/>
    <cellStyle name="Normal 29 2 3" xfId="9551" xr:uid="{0A8048EE-DC65-42DF-8465-3B90F0DFDA9D}"/>
    <cellStyle name="Normal 29 3" xfId="4811" xr:uid="{D794FDE6-6339-4FD0-BBF8-3A0F8A38C47F}"/>
    <cellStyle name="Normal 29 3 2" xfId="11150" xr:uid="{DD26B1E9-1A53-4D40-901F-2EBC00896ED4}"/>
    <cellStyle name="Normal 29 4" xfId="7982" xr:uid="{870D0C2E-7D0E-4448-8FE0-D126B2922D8B}"/>
    <cellStyle name="Normal 3" xfId="3" xr:uid="{00000000-0005-0000-0000-000003000000}"/>
    <cellStyle name="Normal 3 10" xfId="840" xr:uid="{A53E5A68-F5FC-4116-A66A-7F05E11C1290}"/>
    <cellStyle name="Normal 3 10 2" xfId="2412" xr:uid="{074C1870-F3EF-42AD-A6EE-E9B2AEF88DA3}"/>
    <cellStyle name="Normal 3 10 2 2" xfId="5582" xr:uid="{5B8AC63B-22F8-427E-9D0C-41194C10FB92}"/>
    <cellStyle name="Normal 3 10 2 2 2" xfId="11921" xr:uid="{A6806B4D-2138-4B1A-8C3B-A251A5E88909}"/>
    <cellStyle name="Normal 3 10 2 3" xfId="8753" xr:uid="{F8D30E8B-CBA3-490F-9F3A-DE78AE8C1D8B}"/>
    <cellStyle name="Normal 3 10 3" xfId="4013" xr:uid="{744A8F56-43B2-4BF8-8782-740F37BA745D}"/>
    <cellStyle name="Normal 3 10 3 2" xfId="10352" xr:uid="{D516B7E0-300C-4F96-93EA-9BE3922354B2}"/>
    <cellStyle name="Normal 3 10 4" xfId="7184" xr:uid="{22EE7193-74A2-4362-99C2-619C449DC251}"/>
    <cellStyle name="Normal 3 11" xfId="1646" xr:uid="{F29053C3-07CB-4987-A98A-B4AD4BB79C28}"/>
    <cellStyle name="Normal 3 11 2" xfId="4816" xr:uid="{A8FE7A2D-D6DA-44C8-9A09-1663D9661B2C}"/>
    <cellStyle name="Normal 3 11 2 2" xfId="11155" xr:uid="{7FC5811E-8E09-4B2E-8660-1C4FF25CE174}"/>
    <cellStyle name="Normal 3 11 3" xfId="7987" xr:uid="{4E80682F-CFB8-45B6-A6F9-F39F559B3DDF}"/>
    <cellStyle name="Normal 3 12" xfId="3215" xr:uid="{544C2714-8A16-4542-A7C0-A299AE73E0B1}"/>
    <cellStyle name="Normal 3 12 2" xfId="9555" xr:uid="{46DB42BB-B336-440F-B0A6-E253BE386090}"/>
    <cellStyle name="Normal 3 13" xfId="6386" xr:uid="{E08A7169-47EE-4636-B4AC-AE5E3A81961E}"/>
    <cellStyle name="Normal 3 2" xfId="8" xr:uid="{39CFB1DE-46D1-49F6-8BC6-8112B85CB184}"/>
    <cellStyle name="Normal 3 2 10" xfId="1649" xr:uid="{59E2A008-ABC0-4C0B-AD60-1EE6EFC700E9}"/>
    <cellStyle name="Normal 3 2 10 2" xfId="4819" xr:uid="{59E690C3-F042-4DB3-85FB-3D0A8A5F4253}"/>
    <cellStyle name="Normal 3 2 10 2 2" xfId="11158" xr:uid="{F93B2808-DE28-48AD-B013-927BE2EEC8E2}"/>
    <cellStyle name="Normal 3 2 10 3" xfId="7990" xr:uid="{27AFB4BD-8F31-4766-8EDE-C97641EEC12B}"/>
    <cellStyle name="Normal 3 2 11" xfId="3219" xr:uid="{B95F1260-042A-4FF7-8141-1D3E1E33B125}"/>
    <cellStyle name="Normal 3 2 11 2" xfId="9559" xr:uid="{C282054A-4F1E-4048-B971-0EF845D9A28F}"/>
    <cellStyle name="Normal 3 2 12" xfId="6390" xr:uid="{B718C863-E69F-4574-A1AF-6A8B413E4F5C}"/>
    <cellStyle name="Normal 3 2 2" xfId="30" xr:uid="{7D1366A5-94FA-459E-9F40-1237B06EB251}"/>
    <cellStyle name="Normal 3 2 2 2" xfId="254" xr:uid="{050A6A13-FAFB-44AF-B1E6-E96D172C1471}"/>
    <cellStyle name="Normal 3 2 2 2 2" xfId="644" xr:uid="{2B6453BA-7007-42DC-963D-9E8B2E9B0A83}"/>
    <cellStyle name="Normal 3 2 2 2 2 2" xfId="1443" xr:uid="{EFCD46B1-EB22-4683-A9AD-AD278B56CF42}"/>
    <cellStyle name="Normal 3 2 2 2 2 2 2" xfId="3014" xr:uid="{EADB9CF9-83C7-4096-A4A2-3628A1BCA53A}"/>
    <cellStyle name="Normal 3 2 2 2 2 2 2 2" xfId="6184" xr:uid="{BC0EF2FC-536C-4DF7-83E4-2890F86AFA25}"/>
    <cellStyle name="Normal 3 2 2 2 2 2 2 2 2" xfId="12523" xr:uid="{7B9D542B-B33C-4D09-A4B6-5E4B894132AC}"/>
    <cellStyle name="Normal 3 2 2 2 2 2 2 3" xfId="9355" xr:uid="{561C01BC-4468-477D-B906-D34E9DBA0BAE}"/>
    <cellStyle name="Normal 3 2 2 2 2 2 3" xfId="4615" xr:uid="{BA041B41-6C7C-4257-B2F1-1D25DA3B1B1E}"/>
    <cellStyle name="Normal 3 2 2 2 2 2 3 2" xfId="10954" xr:uid="{598A5E28-7075-4299-96F9-54F2E1827A53}"/>
    <cellStyle name="Normal 3 2 2 2 2 2 4" xfId="7786" xr:uid="{A3285949-7738-4802-B9C9-91399E613FCF}"/>
    <cellStyle name="Normal 3 2 2 2 2 3" xfId="2217" xr:uid="{A76DE418-1974-4951-857C-3C18E0775DDF}"/>
    <cellStyle name="Normal 3 2 2 2 2 3 2" xfId="5387" xr:uid="{6521B34C-8CD2-406A-BDA7-4EE3AF716DEA}"/>
    <cellStyle name="Normal 3 2 2 2 2 3 2 2" xfId="11726" xr:uid="{E20C1AFE-06FA-42F3-B4F8-28E47A661BCE}"/>
    <cellStyle name="Normal 3 2 2 2 2 3 3" xfId="8558" xr:uid="{D1803D13-E878-4102-884C-AB7018933977}"/>
    <cellStyle name="Normal 3 2 2 2 2 4" xfId="3818" xr:uid="{493598ED-49E4-4E00-BB9C-E461280255EB}"/>
    <cellStyle name="Normal 3 2 2 2 2 4 2" xfId="10157" xr:uid="{0647DEFA-8A11-4653-9C0C-3AFE5FF863DE}"/>
    <cellStyle name="Normal 3 2 2 2 2 5" xfId="6989" xr:uid="{40FE194E-C423-491A-A79A-837C9157DC6D}"/>
    <cellStyle name="Normal 3 2 2 2 3" xfId="1062" xr:uid="{2D9E7DA3-C2D5-4515-AE52-ABBC065A4AE8}"/>
    <cellStyle name="Normal 3 2 2 2 3 2" xfId="2633" xr:uid="{BAA6225A-69A7-4AB1-BA77-FDE5E9334C6C}"/>
    <cellStyle name="Normal 3 2 2 2 3 2 2" xfId="5803" xr:uid="{9BE190BB-F21E-4976-B357-0BCD8C944C1E}"/>
    <cellStyle name="Normal 3 2 2 2 3 2 2 2" xfId="12142" xr:uid="{B46D6CFE-7DEE-4D0F-BE95-352245E7E9C5}"/>
    <cellStyle name="Normal 3 2 2 2 3 2 3" xfId="8974" xr:uid="{B1A8FD4A-2515-41D4-AFE2-CCEE7A61CDFC}"/>
    <cellStyle name="Normal 3 2 2 2 3 3" xfId="4234" xr:uid="{577402FB-8E74-4BA8-A8D4-DAF068BA673B}"/>
    <cellStyle name="Normal 3 2 2 2 3 3 2" xfId="10573" xr:uid="{23699E53-A96A-46F4-B187-C277AAD3CF85}"/>
    <cellStyle name="Normal 3 2 2 2 3 4" xfId="7405" xr:uid="{7B7F829D-4B11-443B-A89B-A4C2986F4151}"/>
    <cellStyle name="Normal 3 2 2 2 4" xfId="1836" xr:uid="{43067812-8A2A-49A5-94F0-053A596A281E}"/>
    <cellStyle name="Normal 3 2 2 2 4 2" xfId="5006" xr:uid="{40CC0B10-156D-4BEE-82B4-EBCC70B5707C}"/>
    <cellStyle name="Normal 3 2 2 2 4 2 2" xfId="11345" xr:uid="{71CFE958-D8C7-4FCB-838A-628E00B9AF85}"/>
    <cellStyle name="Normal 3 2 2 2 4 3" xfId="8177" xr:uid="{E1B3233D-67A7-437A-A641-6FBAEB0FE6C7}"/>
    <cellStyle name="Normal 3 2 2 2 5" xfId="3437" xr:uid="{9260906F-469F-4438-B0EE-7D1FF237038F}"/>
    <cellStyle name="Normal 3 2 2 2 5 2" xfId="9776" xr:uid="{19B21F6A-6CFB-4B28-A395-E790605B700D}"/>
    <cellStyle name="Normal 3 2 2 2 6" xfId="6608" xr:uid="{FD597030-1606-49A6-A938-2E29B17979A6}"/>
    <cellStyle name="Normal 3 2 2 3" xfId="466" xr:uid="{B78971EE-A0B5-4E4C-B377-193E37A88912}"/>
    <cellStyle name="Normal 3 2 2 3 2" xfId="1265" xr:uid="{5649E95C-C83F-4B75-8A1E-1F10265E787A}"/>
    <cellStyle name="Normal 3 2 2 3 2 2" xfId="2836" xr:uid="{9EFA79BC-FA48-4DC9-BD3A-DAFBF7F24DFE}"/>
    <cellStyle name="Normal 3 2 2 3 2 2 2" xfId="6006" xr:uid="{CC94952B-316A-43A6-8EE0-0645DA454F89}"/>
    <cellStyle name="Normal 3 2 2 3 2 2 2 2" xfId="12345" xr:uid="{C8658939-3785-4515-9B52-828F68EDCFAF}"/>
    <cellStyle name="Normal 3 2 2 3 2 2 3" xfId="9177" xr:uid="{1F73F8EE-B6EF-45A4-BBAD-AEE5EEE2F0D5}"/>
    <cellStyle name="Normal 3 2 2 3 2 3" xfId="4437" xr:uid="{70F571BC-F406-437C-A979-5AE45819A3EE}"/>
    <cellStyle name="Normal 3 2 2 3 2 3 2" xfId="10776" xr:uid="{6C286334-E5CA-40A4-ABC1-2A90BA559731}"/>
    <cellStyle name="Normal 3 2 2 3 2 4" xfId="7608" xr:uid="{5EB4719A-DAF6-41B6-92A6-0CCA29B602F7}"/>
    <cellStyle name="Normal 3 2 2 3 3" xfId="2039" xr:uid="{99F1DBAD-0E71-496A-8ABF-340BE9EDDA4B}"/>
    <cellStyle name="Normal 3 2 2 3 3 2" xfId="5209" xr:uid="{B810BC68-808C-475F-8CD2-1805A23231F9}"/>
    <cellStyle name="Normal 3 2 2 3 3 2 2" xfId="11548" xr:uid="{4AE4CF6D-6FD0-471B-8A1F-A7E751D278DB}"/>
    <cellStyle name="Normal 3 2 2 3 3 3" xfId="8380" xr:uid="{646DCF72-36DE-40E2-9DFD-11C9D288762B}"/>
    <cellStyle name="Normal 3 2 2 3 4" xfId="3640" xr:uid="{4161E2D9-D5FC-4643-A4F8-E027B1A10956}"/>
    <cellStyle name="Normal 3 2 2 3 4 2" xfId="9979" xr:uid="{A9036D9B-EAA5-4CF0-8AA3-6F6522675F45}"/>
    <cellStyle name="Normal 3 2 2 3 5" xfId="6811" xr:uid="{20418996-F9BB-427B-B658-9E099CA609AA}"/>
    <cellStyle name="Normal 3 2 2 4" xfId="859" xr:uid="{94AF0530-CB98-4DAE-A97E-D0527D0C69E5}"/>
    <cellStyle name="Normal 3 2 2 4 2" xfId="2430" xr:uid="{48B50168-28C5-4232-909B-D5D7B6C94E9B}"/>
    <cellStyle name="Normal 3 2 2 4 2 2" xfId="5600" xr:uid="{CB8F49B4-D795-4879-863C-E63E3B66D729}"/>
    <cellStyle name="Normal 3 2 2 4 2 2 2" xfId="11939" xr:uid="{F1B9B747-0A3E-4A18-82CA-D4AF2EA9ABF7}"/>
    <cellStyle name="Normal 3 2 2 4 2 3" xfId="8771" xr:uid="{76236136-2B2A-4B66-B413-E97FD666F2AF}"/>
    <cellStyle name="Normal 3 2 2 4 3" xfId="4031" xr:uid="{FD956B2C-E198-4F42-AFDD-D29E750AFD4D}"/>
    <cellStyle name="Normal 3 2 2 4 3 2" xfId="10370" xr:uid="{3ECBCE4E-C83D-45FC-B2F6-CEBA676E36BA}"/>
    <cellStyle name="Normal 3 2 2 4 4" xfId="7202" xr:uid="{EAAF16E5-5577-4ED0-A429-A81428562DF9}"/>
    <cellStyle name="Normal 3 2 2 5" xfId="1661" xr:uid="{10AE422E-5125-48D8-A18C-EF69CC3CAA49}"/>
    <cellStyle name="Normal 3 2 2 5 2" xfId="4831" xr:uid="{5C19866D-CFC9-47E6-B6E9-4250B884E9E2}"/>
    <cellStyle name="Normal 3 2 2 5 2 2" xfId="11170" xr:uid="{7F10BDBF-9029-486F-9B91-4146178CFA71}"/>
    <cellStyle name="Normal 3 2 2 5 3" xfId="8002" xr:uid="{DB83ED32-FDCC-496E-9DBA-4CC4E5A298AC}"/>
    <cellStyle name="Normal 3 2 2 6" xfId="3234" xr:uid="{E379137C-79F4-4D8F-974A-0B6091C74247}"/>
    <cellStyle name="Normal 3 2 2 6 2" xfId="9573" xr:uid="{7E7060DB-C7C5-4C8E-A8A9-86D27B956281}"/>
    <cellStyle name="Normal 3 2 2 7" xfId="6405" xr:uid="{0DC0AD16-5F90-4E41-88C3-F2A5E7DDEF51}"/>
    <cellStyle name="Normal 3 2 3" xfId="39" xr:uid="{D7A8BE6A-595B-47A6-ABD5-4642D45E502F}"/>
    <cellStyle name="Normal 3 2 3 2" xfId="263" xr:uid="{05D376E6-0AB6-4A41-9483-8D087B250450}"/>
    <cellStyle name="Normal 3 2 3 2 2" xfId="653" xr:uid="{E6E573B4-68BA-49E6-8746-475AA8CED66D}"/>
    <cellStyle name="Normal 3 2 3 2 2 2" xfId="1452" xr:uid="{4F3FE326-FEC8-4DE0-BA80-1EC4B4CD17D0}"/>
    <cellStyle name="Normal 3 2 3 2 2 2 2" xfId="3023" xr:uid="{591CE7EB-A7D1-4201-BFE0-877E0C0029C7}"/>
    <cellStyle name="Normal 3 2 3 2 2 2 2 2" xfId="6193" xr:uid="{A4220B8A-4B09-4522-8439-AEFE265E8A63}"/>
    <cellStyle name="Normal 3 2 3 2 2 2 2 2 2" xfId="12532" xr:uid="{0272726E-3EB6-482E-B364-E46F627C4908}"/>
    <cellStyle name="Normal 3 2 3 2 2 2 2 3" xfId="9364" xr:uid="{B479C86F-C7F2-4C0D-A55C-D2A7554A46A2}"/>
    <cellStyle name="Normal 3 2 3 2 2 2 3" xfId="4624" xr:uid="{508FB0B5-A444-4CF2-95DD-457903C1B14F}"/>
    <cellStyle name="Normal 3 2 3 2 2 2 3 2" xfId="10963" xr:uid="{5F8439CB-AB20-4F40-8F0D-38FDE71A485A}"/>
    <cellStyle name="Normal 3 2 3 2 2 2 4" xfId="7795" xr:uid="{677094A3-4BB9-4B49-9796-B4A182BE221E}"/>
    <cellStyle name="Normal 3 2 3 2 2 3" xfId="2226" xr:uid="{AED6A067-637C-43BA-A33D-DB66A56689FA}"/>
    <cellStyle name="Normal 3 2 3 2 2 3 2" xfId="5396" xr:uid="{50A2CA56-017D-43EE-A895-A42DD958CD0C}"/>
    <cellStyle name="Normal 3 2 3 2 2 3 2 2" xfId="11735" xr:uid="{A7064456-EB9A-4C38-AF83-E56C01FC5892}"/>
    <cellStyle name="Normal 3 2 3 2 2 3 3" xfId="8567" xr:uid="{B3B87D7C-1524-4E7E-A75B-58F34A42F856}"/>
    <cellStyle name="Normal 3 2 3 2 2 4" xfId="3827" xr:uid="{67EB9D39-811F-43C1-9D19-3375C02B743D}"/>
    <cellStyle name="Normal 3 2 3 2 2 4 2" xfId="10166" xr:uid="{E80D06F1-71AE-4F5F-8FEE-6764191E60C1}"/>
    <cellStyle name="Normal 3 2 3 2 2 5" xfId="6998" xr:uid="{A7FDF700-90C1-44C4-8BFC-7CB99C606F2E}"/>
    <cellStyle name="Normal 3 2 3 2 3" xfId="1071" xr:uid="{35369A2E-BE72-43AF-9F95-117B28CA5E75}"/>
    <cellStyle name="Normal 3 2 3 2 3 2" xfId="2642" xr:uid="{F3BE9042-73F8-4E7C-96B9-6799A4E5BBC3}"/>
    <cellStyle name="Normal 3 2 3 2 3 2 2" xfId="5812" xr:uid="{9793DA87-90D0-4195-AD49-09525147FEBF}"/>
    <cellStyle name="Normal 3 2 3 2 3 2 2 2" xfId="12151" xr:uid="{390582CF-5A4D-4839-AE0F-55844B643164}"/>
    <cellStyle name="Normal 3 2 3 2 3 2 3" xfId="8983" xr:uid="{CD2E1BA8-684F-4BF3-9D0F-8D76F2D8E42E}"/>
    <cellStyle name="Normal 3 2 3 2 3 3" xfId="4243" xr:uid="{9BCA7B82-4F84-48A9-9AAD-039F9745EF35}"/>
    <cellStyle name="Normal 3 2 3 2 3 3 2" xfId="10582" xr:uid="{206404AB-C19A-4690-911B-68B1F77A1790}"/>
    <cellStyle name="Normal 3 2 3 2 3 4" xfId="7414" xr:uid="{880506EC-4065-43FC-AE19-0F950F7178E8}"/>
    <cellStyle name="Normal 3 2 3 2 4" xfId="1845" xr:uid="{338A34FE-1512-4F83-B863-D96B5E4E78FF}"/>
    <cellStyle name="Normal 3 2 3 2 4 2" xfId="5015" xr:uid="{37EAC793-C221-4857-A408-BFE0014DAF80}"/>
    <cellStyle name="Normal 3 2 3 2 4 2 2" xfId="11354" xr:uid="{4B9E540E-87B9-47AB-8915-71FE843E039B}"/>
    <cellStyle name="Normal 3 2 3 2 4 3" xfId="8186" xr:uid="{0B58B3C5-3E2B-43CE-AC45-66CB3604BDA8}"/>
    <cellStyle name="Normal 3 2 3 2 5" xfId="3446" xr:uid="{670AADC8-C8CC-4C98-AB59-31CAEB348873}"/>
    <cellStyle name="Normal 3 2 3 2 5 2" xfId="9785" xr:uid="{2A91A93E-B12F-4E1A-BC95-5CCD1428CF30}"/>
    <cellStyle name="Normal 3 2 3 2 6" xfId="6617" xr:uid="{1C17C593-97F6-443C-9DF6-708D33B82993}"/>
    <cellStyle name="Normal 3 2 3 3" xfId="473" xr:uid="{D91DC496-7F1E-42F8-AE80-1A758CE9433E}"/>
    <cellStyle name="Normal 3 2 3 3 2" xfId="1272" xr:uid="{FB4136D4-0D78-41FD-A105-CCF32C2E1543}"/>
    <cellStyle name="Normal 3 2 3 3 2 2" xfId="2843" xr:uid="{1E484046-F4C3-4BB6-8A9A-6B9A52354AC6}"/>
    <cellStyle name="Normal 3 2 3 3 2 2 2" xfId="6013" xr:uid="{89D93F6D-1756-4874-8DD0-21A17AA6A9CC}"/>
    <cellStyle name="Normal 3 2 3 3 2 2 2 2" xfId="12352" xr:uid="{2007EF6B-8EA5-4800-9E21-3A04BD22B883}"/>
    <cellStyle name="Normal 3 2 3 3 2 2 3" xfId="9184" xr:uid="{F52C8E10-401C-48ED-968F-3488589F9C3D}"/>
    <cellStyle name="Normal 3 2 3 3 2 3" xfId="4444" xr:uid="{99736EC2-1AC9-471B-AB32-928475CABAE4}"/>
    <cellStyle name="Normal 3 2 3 3 2 3 2" xfId="10783" xr:uid="{C4442D22-AB0F-41DB-919F-D2C90CD0EA0D}"/>
    <cellStyle name="Normal 3 2 3 3 2 4" xfId="7615" xr:uid="{23C57740-5B0F-4FA0-B5BB-2396DB2E9BFB}"/>
    <cellStyle name="Normal 3 2 3 3 3" xfId="2046" xr:uid="{5AE80661-D6BB-44AC-A6D0-39089B4904E6}"/>
    <cellStyle name="Normal 3 2 3 3 3 2" xfId="5216" xr:uid="{FE7CCAAB-EF2D-4EA6-AC58-074F2164DECE}"/>
    <cellStyle name="Normal 3 2 3 3 3 2 2" xfId="11555" xr:uid="{E175DCC3-6A36-4267-B0B8-FB7060F71648}"/>
    <cellStyle name="Normal 3 2 3 3 3 3" xfId="8387" xr:uid="{386C1385-5C7C-4401-944F-39FC9E691869}"/>
    <cellStyle name="Normal 3 2 3 3 4" xfId="3647" xr:uid="{FAAB5AE4-0EA7-4234-8601-C9D0E36C19ED}"/>
    <cellStyle name="Normal 3 2 3 3 4 2" xfId="9986" xr:uid="{4E88A1D8-24F3-42FB-AC21-EE3335359A73}"/>
    <cellStyle name="Normal 3 2 3 3 5" xfId="6818" xr:uid="{1553C072-4EB3-42F3-A6F6-37FD67DCAB87}"/>
    <cellStyle name="Normal 3 2 3 4" xfId="868" xr:uid="{5648B7B0-81A3-4023-8FAA-397E0A997CCF}"/>
    <cellStyle name="Normal 3 2 3 4 2" xfId="2439" xr:uid="{F24152D3-6780-4706-9A20-93A6BE3F70DE}"/>
    <cellStyle name="Normal 3 2 3 4 2 2" xfId="5609" xr:uid="{5A6416B8-359D-40F8-A7F8-13AB943C22F9}"/>
    <cellStyle name="Normal 3 2 3 4 2 2 2" xfId="11948" xr:uid="{3DA1B1F4-9F4A-42B0-A2CE-E9AEBB388C41}"/>
    <cellStyle name="Normal 3 2 3 4 2 3" xfId="8780" xr:uid="{FBE9478B-0243-43F0-82A6-57D856B8B833}"/>
    <cellStyle name="Normal 3 2 3 4 3" xfId="4040" xr:uid="{DB581A7B-38C2-419A-BC41-38FA6C6CA9C3}"/>
    <cellStyle name="Normal 3 2 3 4 3 2" xfId="10379" xr:uid="{0AAFFD51-9CA6-40A1-BA50-2FAB3DF5F3CA}"/>
    <cellStyle name="Normal 3 2 3 4 4" xfId="7211" xr:uid="{52A7834D-AD0A-43AE-9516-C75A3C74E667}"/>
    <cellStyle name="Normal 3 2 3 5" xfId="1668" xr:uid="{2E70CD4F-719C-4E78-9847-E0D7B11CCCED}"/>
    <cellStyle name="Normal 3 2 3 5 2" xfId="4838" xr:uid="{303FA3B5-A5E8-4DAA-82AE-3920BF9A9532}"/>
    <cellStyle name="Normal 3 2 3 5 2 2" xfId="11177" xr:uid="{ED63B7E0-581E-4D07-98DD-BF4FED31A6F3}"/>
    <cellStyle name="Normal 3 2 3 5 3" xfId="8009" xr:uid="{A03F39B2-92F1-44A5-8755-DB5B11AE6ADA}"/>
    <cellStyle name="Normal 3 2 3 6" xfId="3243" xr:uid="{26F4BF10-4592-48DC-BBFE-BD1BAE3E04AD}"/>
    <cellStyle name="Normal 3 2 3 6 2" xfId="9582" xr:uid="{A26EB5E6-39F4-4F67-BC69-0E81E4ED57B8}"/>
    <cellStyle name="Normal 3 2 3 7" xfId="6414" xr:uid="{7AE060C5-25FB-414B-AB9A-D9A76C213AF5}"/>
    <cellStyle name="Normal 3 2 4" xfId="47" xr:uid="{A8986948-828F-4435-A977-9D5EB850DB93}"/>
    <cellStyle name="Normal 3 2 4 2" xfId="271" xr:uid="{B50CD176-1C01-4536-8C9D-11B4E777B106}"/>
    <cellStyle name="Normal 3 2 4 2 2" xfId="661" xr:uid="{1FA97B3C-77FD-411C-958A-F83A4C5BEDB4}"/>
    <cellStyle name="Normal 3 2 4 2 2 2" xfId="1460" xr:uid="{35C84D11-CFEF-4648-9841-071D0FABAFC6}"/>
    <cellStyle name="Normal 3 2 4 2 2 2 2" xfId="3031" xr:uid="{B98BD473-42B2-4F8D-AFDD-150E2F53E623}"/>
    <cellStyle name="Normal 3 2 4 2 2 2 2 2" xfId="6201" xr:uid="{B0986122-6D45-4E08-BB52-65EC1EDE22E6}"/>
    <cellStyle name="Normal 3 2 4 2 2 2 2 2 2" xfId="12540" xr:uid="{69438381-C0D1-4A7D-ACBA-1A7003476EEB}"/>
    <cellStyle name="Normal 3 2 4 2 2 2 2 3" xfId="9372" xr:uid="{33D96876-8909-426A-A0D9-BFA918524FCC}"/>
    <cellStyle name="Normal 3 2 4 2 2 2 3" xfId="4632" xr:uid="{CFB2E497-5F6B-4304-950B-135450A2AD2B}"/>
    <cellStyle name="Normal 3 2 4 2 2 2 3 2" xfId="10971" xr:uid="{A7F7C2AD-8257-48E4-AA5D-CA0007BE1D7F}"/>
    <cellStyle name="Normal 3 2 4 2 2 2 4" xfId="7803" xr:uid="{09BFE6BF-8C27-45CF-84B0-FF08DDC24E65}"/>
    <cellStyle name="Normal 3 2 4 2 2 3" xfId="2234" xr:uid="{D8C77040-2B10-418F-8C68-FFE44A1CA50C}"/>
    <cellStyle name="Normal 3 2 4 2 2 3 2" xfId="5404" xr:uid="{CCE56C94-1857-4389-AA59-481697F87105}"/>
    <cellStyle name="Normal 3 2 4 2 2 3 2 2" xfId="11743" xr:uid="{B72B7738-5ECA-4CAC-BD04-98431BD85D82}"/>
    <cellStyle name="Normal 3 2 4 2 2 3 3" xfId="8575" xr:uid="{9D4AAAF2-18DF-48DC-A90B-E484B0B21C13}"/>
    <cellStyle name="Normal 3 2 4 2 2 4" xfId="3835" xr:uid="{C4C8BCBF-8AF5-42EF-B119-C3E8F00ED02B}"/>
    <cellStyle name="Normal 3 2 4 2 2 4 2" xfId="10174" xr:uid="{BE67BB45-540F-4280-8F2D-446942D31224}"/>
    <cellStyle name="Normal 3 2 4 2 2 5" xfId="7006" xr:uid="{FBFE5F2A-10C2-43C7-A4D6-0528D2D499F7}"/>
    <cellStyle name="Normal 3 2 4 2 3" xfId="1079" xr:uid="{55A26C21-FCAB-4431-9141-355B5BA55337}"/>
    <cellStyle name="Normal 3 2 4 2 3 2" xfId="2650" xr:uid="{EAF5E193-12E1-4475-9149-B10BE85EB970}"/>
    <cellStyle name="Normal 3 2 4 2 3 2 2" xfId="5820" xr:uid="{A056C89C-D0F7-4C31-90A8-402EE59B204B}"/>
    <cellStyle name="Normal 3 2 4 2 3 2 2 2" xfId="12159" xr:uid="{D338A35C-DD55-4C2C-A636-27FBF68B7F85}"/>
    <cellStyle name="Normal 3 2 4 2 3 2 3" xfId="8991" xr:uid="{8876341F-1D81-40F4-B26E-3EA084B4B30B}"/>
    <cellStyle name="Normal 3 2 4 2 3 3" xfId="4251" xr:uid="{582F4D6F-2D84-46DB-BFEF-E7C6AAA26024}"/>
    <cellStyle name="Normal 3 2 4 2 3 3 2" xfId="10590" xr:uid="{4D91AA2D-62C2-4E29-8C7C-8AC42412DD3B}"/>
    <cellStyle name="Normal 3 2 4 2 3 4" xfId="7422" xr:uid="{6CC230F3-305E-4FC0-8CE8-6F5B830CA32E}"/>
    <cellStyle name="Normal 3 2 4 2 4" xfId="1853" xr:uid="{2F3D4867-9D98-49B3-B679-B5AC3AE08351}"/>
    <cellStyle name="Normal 3 2 4 2 4 2" xfId="5023" xr:uid="{8399B6B2-C043-4011-A96B-882A68F0B5E8}"/>
    <cellStyle name="Normal 3 2 4 2 4 2 2" xfId="11362" xr:uid="{05A339AC-54EB-4DDD-A3F0-CDE6212CE18B}"/>
    <cellStyle name="Normal 3 2 4 2 4 3" xfId="8194" xr:uid="{AE06370A-0DC0-409A-A797-8C597022D72A}"/>
    <cellStyle name="Normal 3 2 4 2 5" xfId="3454" xr:uid="{B4A2EE7B-7616-49FE-A273-7010769B3924}"/>
    <cellStyle name="Normal 3 2 4 2 5 2" xfId="9793" xr:uid="{34DF5FAD-E415-4F5E-A12B-E4F57FB81A42}"/>
    <cellStyle name="Normal 3 2 4 2 6" xfId="6625" xr:uid="{4A6ABD52-4C5A-4CAF-A7CD-0E1A283655C3}"/>
    <cellStyle name="Normal 3 2 4 3" xfId="479" xr:uid="{2FCFFA79-C682-410C-9B3B-671A2CB8BFBD}"/>
    <cellStyle name="Normal 3 2 4 3 2" xfId="1278" xr:uid="{7FC7BE52-B7C5-4472-8430-8F80F421FA85}"/>
    <cellStyle name="Normal 3 2 4 3 2 2" xfId="2849" xr:uid="{2082145D-E234-4F00-8431-BE5EF7E7E4E8}"/>
    <cellStyle name="Normal 3 2 4 3 2 2 2" xfId="6019" xr:uid="{08170C54-CFF6-469A-A9A0-3F685ABEC017}"/>
    <cellStyle name="Normal 3 2 4 3 2 2 2 2" xfId="12358" xr:uid="{8323D46C-A883-42B6-8C4B-AD13F7EC8196}"/>
    <cellStyle name="Normal 3 2 4 3 2 2 3" xfId="9190" xr:uid="{CCCF0F00-6F9D-46A0-94E6-7BE1B5415A1C}"/>
    <cellStyle name="Normal 3 2 4 3 2 3" xfId="4450" xr:uid="{97FA8882-AA16-46ED-A568-8DE8C521B323}"/>
    <cellStyle name="Normal 3 2 4 3 2 3 2" xfId="10789" xr:uid="{14657D75-6CF0-4B7B-A20F-88583AADAA4F}"/>
    <cellStyle name="Normal 3 2 4 3 2 4" xfId="7621" xr:uid="{A1797700-265D-43D3-B94D-67544D20A427}"/>
    <cellStyle name="Normal 3 2 4 3 3" xfId="2052" xr:uid="{ED9F0BFC-1C39-4E0F-908D-A1DA73A93D7E}"/>
    <cellStyle name="Normal 3 2 4 3 3 2" xfId="5222" xr:uid="{E4F4FF3A-2500-44EA-9E25-9C42A1080A89}"/>
    <cellStyle name="Normal 3 2 4 3 3 2 2" xfId="11561" xr:uid="{DEED0E2B-8A19-42EC-8D00-5E6392A8C908}"/>
    <cellStyle name="Normal 3 2 4 3 3 3" xfId="8393" xr:uid="{E9B54A08-09F3-4853-B1E3-3B96AC8EF75A}"/>
    <cellStyle name="Normal 3 2 4 3 4" xfId="3653" xr:uid="{15CC523A-91F3-4E04-90B9-278385A38B70}"/>
    <cellStyle name="Normal 3 2 4 3 4 2" xfId="9992" xr:uid="{8DE99D76-1EDC-4A12-99FF-4DA48EA9F8CC}"/>
    <cellStyle name="Normal 3 2 4 3 5" xfId="6824" xr:uid="{68B3D27B-BC97-4528-8A6C-19D7F9599791}"/>
    <cellStyle name="Normal 3 2 4 4" xfId="876" xr:uid="{CDEA1C99-4671-4D79-AD6C-6746D72059B2}"/>
    <cellStyle name="Normal 3 2 4 4 2" xfId="2447" xr:uid="{40BC965D-3B8F-4D27-B8CF-F933EA78CD74}"/>
    <cellStyle name="Normal 3 2 4 4 2 2" xfId="5617" xr:uid="{0997211E-1630-47E7-BB83-35B6742E7EE5}"/>
    <cellStyle name="Normal 3 2 4 4 2 2 2" xfId="11956" xr:uid="{8DB1BA9E-5859-4046-B6F7-E261DDAC0E20}"/>
    <cellStyle name="Normal 3 2 4 4 2 3" xfId="8788" xr:uid="{CDD5C155-A9B4-4E06-83F8-9BDB58BB6E5B}"/>
    <cellStyle name="Normal 3 2 4 4 3" xfId="4048" xr:uid="{D5378820-F6AA-49A1-964B-BEE0C568ADEA}"/>
    <cellStyle name="Normal 3 2 4 4 3 2" xfId="10387" xr:uid="{6C168300-FB3D-4C3F-9519-3828B0E9245C}"/>
    <cellStyle name="Normal 3 2 4 4 4" xfId="7219" xr:uid="{A0067A09-B8A6-4486-B34C-D4F265015743}"/>
    <cellStyle name="Normal 3 2 4 5" xfId="1674" xr:uid="{AB5C02FE-18EF-4E9D-B96A-4881DBC853AD}"/>
    <cellStyle name="Normal 3 2 4 5 2" xfId="4844" xr:uid="{B40506C0-1CD4-4118-A4DE-66F0470B26FA}"/>
    <cellStyle name="Normal 3 2 4 5 2 2" xfId="11183" xr:uid="{E09E7316-CBE7-4266-A9AA-25B0306F9356}"/>
    <cellStyle name="Normal 3 2 4 5 3" xfId="8015" xr:uid="{DE973CDE-3C46-4B25-988A-F7C9CAD9B23D}"/>
    <cellStyle name="Normal 3 2 4 6" xfId="3251" xr:uid="{B73E4C64-BE03-4826-A522-A6F90E2A63F8}"/>
    <cellStyle name="Normal 3 2 4 6 2" xfId="9590" xr:uid="{A7F0BBBE-A89D-43AD-9E5D-6C807837B811}"/>
    <cellStyle name="Normal 3 2 4 7" xfId="6422" xr:uid="{43F35BE0-A76E-4C42-B2B4-A24BB451C5C0}"/>
    <cellStyle name="Normal 3 2 5" xfId="79" xr:uid="{1486F44A-CE7D-4B5A-814F-745E6F56B7BE}"/>
    <cellStyle name="Normal 3 2 5 2" xfId="300" xr:uid="{6A36E697-82CB-4FB7-842B-3C066E54F776}"/>
    <cellStyle name="Normal 3 2 5 2 2" xfId="689" xr:uid="{CBEA5522-D538-4EC7-9C69-4983BB873419}"/>
    <cellStyle name="Normal 3 2 5 2 2 2" xfId="1488" xr:uid="{9FA1535A-CA0D-4C0A-8F83-A58EE5FC0038}"/>
    <cellStyle name="Normal 3 2 5 2 2 2 2" xfId="3059" xr:uid="{6BF52F5A-D130-424B-A9C4-E663AEFD2266}"/>
    <cellStyle name="Normal 3 2 5 2 2 2 2 2" xfId="6229" xr:uid="{8AC251F1-1D1C-4FDE-AF71-1B3740181586}"/>
    <cellStyle name="Normal 3 2 5 2 2 2 2 2 2" xfId="12568" xr:uid="{0AD47C2A-508C-4CF4-B4E9-BAF20D805125}"/>
    <cellStyle name="Normal 3 2 5 2 2 2 2 3" xfId="9400" xr:uid="{5FDFA51B-2A41-4D59-8E19-2658444EED44}"/>
    <cellStyle name="Normal 3 2 5 2 2 2 3" xfId="4660" xr:uid="{2846B976-D186-4A29-BC88-66E7D9F19DBB}"/>
    <cellStyle name="Normal 3 2 5 2 2 2 3 2" xfId="10999" xr:uid="{EF2E162E-18AF-481A-A09D-5D4A13B79EF0}"/>
    <cellStyle name="Normal 3 2 5 2 2 2 4" xfId="7831" xr:uid="{A7BC75C3-9A2C-4BFD-8A9F-1BB54BB5B711}"/>
    <cellStyle name="Normal 3 2 5 2 2 3" xfId="2262" xr:uid="{7EB3E60E-CB76-481D-8BF8-3869C9EE5732}"/>
    <cellStyle name="Normal 3 2 5 2 2 3 2" xfId="5432" xr:uid="{42F8E938-FA5F-4202-8A1A-E0E6AC4D3775}"/>
    <cellStyle name="Normal 3 2 5 2 2 3 2 2" xfId="11771" xr:uid="{A23F6FB6-01F0-42A1-826A-9BDFE53B2CE9}"/>
    <cellStyle name="Normal 3 2 5 2 2 3 3" xfId="8603" xr:uid="{89DCFB04-A008-4946-86E7-222A14845924}"/>
    <cellStyle name="Normal 3 2 5 2 2 4" xfId="3863" xr:uid="{A86D265A-5F6F-4E54-B2BD-84D1AF37B55E}"/>
    <cellStyle name="Normal 3 2 5 2 2 4 2" xfId="10202" xr:uid="{575C25DB-753D-4642-828B-2ED678FDC5DD}"/>
    <cellStyle name="Normal 3 2 5 2 2 5" xfId="7034" xr:uid="{7ABFB218-EEC8-4860-B956-83BDB7C54A2B}"/>
    <cellStyle name="Normal 3 2 5 2 3" xfId="1107" xr:uid="{415ADC90-79BE-46CD-9247-3088ACA369B6}"/>
    <cellStyle name="Normal 3 2 5 2 3 2" xfId="2678" xr:uid="{D0E301B3-33F5-4BB0-B7B0-18F0B1085504}"/>
    <cellStyle name="Normal 3 2 5 2 3 2 2" xfId="5848" xr:uid="{95FACC8A-C74A-463D-B18C-CDE4156B1932}"/>
    <cellStyle name="Normal 3 2 5 2 3 2 2 2" xfId="12187" xr:uid="{DD9EEAFD-458A-4E19-BBBF-1A0AE7A7D60D}"/>
    <cellStyle name="Normal 3 2 5 2 3 2 3" xfId="9019" xr:uid="{52DBD6B7-1CE1-4DC3-AB42-97CB3726182E}"/>
    <cellStyle name="Normal 3 2 5 2 3 3" xfId="4279" xr:uid="{C3949FD9-82AB-404C-9403-8486448DAAC8}"/>
    <cellStyle name="Normal 3 2 5 2 3 3 2" xfId="10618" xr:uid="{185B45FD-CB4E-4995-993E-F15AECD226FD}"/>
    <cellStyle name="Normal 3 2 5 2 3 4" xfId="7450" xr:uid="{61331FC6-54E2-4457-90DB-C58A3E9B1A11}"/>
    <cellStyle name="Normal 3 2 5 2 4" xfId="1881" xr:uid="{A3FFFE26-DE70-40EB-BB7D-0C34528279DD}"/>
    <cellStyle name="Normal 3 2 5 2 4 2" xfId="5051" xr:uid="{F46F8DFD-6C6C-4C23-8FA6-2F02EE47B861}"/>
    <cellStyle name="Normal 3 2 5 2 4 2 2" xfId="11390" xr:uid="{F56A4BF0-4821-4931-8533-3D6FE3AC6ED1}"/>
    <cellStyle name="Normal 3 2 5 2 4 3" xfId="8222" xr:uid="{2DA2D9D4-7292-4270-82CB-B3B6DE8D2090}"/>
    <cellStyle name="Normal 3 2 5 2 5" xfId="3482" xr:uid="{4A3F4BBF-0331-4BB6-86ED-C97A1BA594D4}"/>
    <cellStyle name="Normal 3 2 5 2 5 2" xfId="9821" xr:uid="{040918AB-CF55-4477-AE65-D9B2C6E78BAC}"/>
    <cellStyle name="Normal 3 2 5 2 6" xfId="6653" xr:uid="{8F4615F7-225F-4D77-84E2-A969794CD1B4}"/>
    <cellStyle name="Normal 3 2 5 3" xfId="506" xr:uid="{82A26BC3-F9EF-4012-9927-598FF4BD8AE5}"/>
    <cellStyle name="Normal 3 2 5 3 2" xfId="1305" xr:uid="{2627336D-FB36-4DC8-8544-3E4185BDB1B1}"/>
    <cellStyle name="Normal 3 2 5 3 2 2" xfId="2876" xr:uid="{80537781-4331-42DD-917F-1427774A28D8}"/>
    <cellStyle name="Normal 3 2 5 3 2 2 2" xfId="6046" xr:uid="{88428EB1-10D2-4F1F-BFBB-0421EEED2EE9}"/>
    <cellStyle name="Normal 3 2 5 3 2 2 2 2" xfId="12385" xr:uid="{36B58B62-2AF5-4791-8074-A3B8421CE687}"/>
    <cellStyle name="Normal 3 2 5 3 2 2 3" xfId="9217" xr:uid="{2B9F48C2-8D57-4663-8728-FD4454F827D3}"/>
    <cellStyle name="Normal 3 2 5 3 2 3" xfId="4477" xr:uid="{5A3BE55F-EDD8-4688-B460-4FA0549F98FD}"/>
    <cellStyle name="Normal 3 2 5 3 2 3 2" xfId="10816" xr:uid="{54CF5C6A-55AB-4788-BE60-0A229723BDFB}"/>
    <cellStyle name="Normal 3 2 5 3 2 4" xfId="7648" xr:uid="{84619287-C3F8-4C5E-8E9C-8E5EC345B979}"/>
    <cellStyle name="Normal 3 2 5 3 3" xfId="2079" xr:uid="{D7D38FA2-1543-4B4D-A097-E181449FC87C}"/>
    <cellStyle name="Normal 3 2 5 3 3 2" xfId="5249" xr:uid="{37DC833C-B549-4A78-BAFC-6DCD46BD0D29}"/>
    <cellStyle name="Normal 3 2 5 3 3 2 2" xfId="11588" xr:uid="{6685E1F6-734F-43D3-9376-E3340CFDF4F1}"/>
    <cellStyle name="Normal 3 2 5 3 3 3" xfId="8420" xr:uid="{337C3F1B-6DED-43F7-BCB3-73400ED6672B}"/>
    <cellStyle name="Normal 3 2 5 3 4" xfId="3680" xr:uid="{3366B0DA-1ED0-4FA7-9B16-92A2F911EF99}"/>
    <cellStyle name="Normal 3 2 5 3 4 2" xfId="10019" xr:uid="{D2B8FC4A-D629-4AD4-8B16-DFB14D12086A}"/>
    <cellStyle name="Normal 3 2 5 3 5" xfId="6851" xr:uid="{38D70A5C-735B-4638-B273-E63D212A551C}"/>
    <cellStyle name="Normal 3 2 5 4" xfId="904" xr:uid="{9981023F-5C06-4E9D-8E92-F5C71D16607B}"/>
    <cellStyle name="Normal 3 2 5 4 2" xfId="2475" xr:uid="{084AD1E8-2ECC-428F-B17F-5F8136A1EBE8}"/>
    <cellStyle name="Normal 3 2 5 4 2 2" xfId="5645" xr:uid="{5CF20115-A1B8-4330-81D9-5483054E8D5B}"/>
    <cellStyle name="Normal 3 2 5 4 2 2 2" xfId="11984" xr:uid="{7F6AC190-78ED-4D6F-9C11-08D0597F08A9}"/>
    <cellStyle name="Normal 3 2 5 4 2 3" xfId="8816" xr:uid="{0D1E4960-77EC-48AE-B8FB-E12BD014AEB1}"/>
    <cellStyle name="Normal 3 2 5 4 3" xfId="4076" xr:uid="{1CB3E302-3C47-44C4-AFBC-9FC6DEF69076}"/>
    <cellStyle name="Normal 3 2 5 4 3 2" xfId="10415" xr:uid="{2EA3D8FE-80A3-4B33-904F-2FD03570225B}"/>
    <cellStyle name="Normal 3 2 5 4 4" xfId="7247" xr:uid="{369C9620-7B13-4269-848A-1BA31F35F981}"/>
    <cellStyle name="Normal 3 2 5 5" xfId="1700" xr:uid="{F5BD20EF-05B4-4594-80DF-69EE74EC517C}"/>
    <cellStyle name="Normal 3 2 5 5 2" xfId="4870" xr:uid="{62CCCD78-CFE0-47CF-9514-0AFCEADC2250}"/>
    <cellStyle name="Normal 3 2 5 5 2 2" xfId="11209" xr:uid="{ACB3BFF6-714D-4467-A4ED-5106F78A92FF}"/>
    <cellStyle name="Normal 3 2 5 5 3" xfId="8041" xr:uid="{8EDC217D-D0B0-4D63-B89E-D2AA5EA1ADA2}"/>
    <cellStyle name="Normal 3 2 5 6" xfId="3279" xr:uid="{9207CD77-EDA9-4197-A30B-6057355653F1}"/>
    <cellStyle name="Normal 3 2 5 6 2" xfId="9618" xr:uid="{1611954D-CE65-45AE-BAD2-39ABD15224A1}"/>
    <cellStyle name="Normal 3 2 5 7" xfId="6450" xr:uid="{9E8356B4-78E4-4288-A99A-C44CD991E298}"/>
    <cellStyle name="Normal 3 2 6" xfId="165" xr:uid="{02334770-7A7F-42E2-8299-0C12EC3B1B5D}"/>
    <cellStyle name="Normal 3 2 6 2" xfId="382" xr:uid="{15591865-D0CB-4517-A31D-125B541A7393}"/>
    <cellStyle name="Normal 3 2 6 2 2" xfId="763" xr:uid="{6B29D93D-8B78-4303-BBCF-1E4E0044D8AE}"/>
    <cellStyle name="Normal 3 2 6 2 2 2" xfId="1562" xr:uid="{B8EC0C2F-0C09-4A97-A1AD-B7EBA45535BC}"/>
    <cellStyle name="Normal 3 2 6 2 2 2 2" xfId="3133" xr:uid="{076BB4D3-4841-49F7-A46D-8F878B8ADC88}"/>
    <cellStyle name="Normal 3 2 6 2 2 2 2 2" xfId="6303" xr:uid="{09605E68-2D78-46A9-B5C8-1227BF88B635}"/>
    <cellStyle name="Normal 3 2 6 2 2 2 2 2 2" xfId="12642" xr:uid="{B193B841-2710-4EE8-ABDA-BAE9B6A886E7}"/>
    <cellStyle name="Normal 3 2 6 2 2 2 2 3" xfId="9474" xr:uid="{3D32D5E8-F934-4173-8B0F-F8BD08C0C8AD}"/>
    <cellStyle name="Normal 3 2 6 2 2 2 3" xfId="4734" xr:uid="{44418E8D-C552-43D9-A477-8E8D8ED4205F}"/>
    <cellStyle name="Normal 3 2 6 2 2 2 3 2" xfId="11073" xr:uid="{9A6C549E-0C0C-45C4-8C38-7F93F658C76E}"/>
    <cellStyle name="Normal 3 2 6 2 2 2 4" xfId="7905" xr:uid="{C6F4E64D-65DA-40E6-BAC3-451790C6E32F}"/>
    <cellStyle name="Normal 3 2 6 2 2 3" xfId="2336" xr:uid="{16DCC73B-AA4F-4C2B-84FF-87C7EDF40926}"/>
    <cellStyle name="Normal 3 2 6 2 2 3 2" xfId="5506" xr:uid="{0182EFE1-B11F-4136-87F4-C4A7B7AFDEB8}"/>
    <cellStyle name="Normal 3 2 6 2 2 3 2 2" xfId="11845" xr:uid="{779708F1-0D1E-4B62-BDE5-1EB946A2A14F}"/>
    <cellStyle name="Normal 3 2 6 2 2 3 3" xfId="8677" xr:uid="{9D9DFC9A-CB1E-4340-B9DB-A47CBDC4521F}"/>
    <cellStyle name="Normal 3 2 6 2 2 4" xfId="3937" xr:uid="{44F253ED-DA56-4021-BBF7-4884401ED2E6}"/>
    <cellStyle name="Normal 3 2 6 2 2 4 2" xfId="10276" xr:uid="{F9976CB5-8BFD-4ED4-88DD-D797C95991CC}"/>
    <cellStyle name="Normal 3 2 6 2 2 5" xfId="7108" xr:uid="{C994B637-6900-4342-BAC6-0399647A4FE0}"/>
    <cellStyle name="Normal 3 2 6 2 3" xfId="1181" xr:uid="{F2D7DFD7-FA32-4F3B-A578-49DEC19B47EE}"/>
    <cellStyle name="Normal 3 2 6 2 3 2" xfId="2752" xr:uid="{EA06E1BB-7CD9-4364-B90A-DA12F16E5189}"/>
    <cellStyle name="Normal 3 2 6 2 3 2 2" xfId="5922" xr:uid="{8E88B5F0-E1A5-4C09-9885-F9D7C7248316}"/>
    <cellStyle name="Normal 3 2 6 2 3 2 2 2" xfId="12261" xr:uid="{63167D47-25E2-4652-8383-ABD0F7642EF3}"/>
    <cellStyle name="Normal 3 2 6 2 3 2 3" xfId="9093" xr:uid="{A094F667-D001-4AE9-9CF0-F6310AFEB56C}"/>
    <cellStyle name="Normal 3 2 6 2 3 3" xfId="4353" xr:uid="{1CC7C0D9-7A53-4940-80A3-E9A4048CC9EB}"/>
    <cellStyle name="Normal 3 2 6 2 3 3 2" xfId="10692" xr:uid="{925A7B75-49CD-4956-9177-E68CEA0FEB31}"/>
    <cellStyle name="Normal 3 2 6 2 3 4" xfId="7524" xr:uid="{D0E884F5-5675-4672-99B7-10A745B6B4E7}"/>
    <cellStyle name="Normal 3 2 6 2 4" xfId="1955" xr:uid="{F940A405-7055-480F-9EE7-A4C6C25EC2BB}"/>
    <cellStyle name="Normal 3 2 6 2 4 2" xfId="5125" xr:uid="{C7719FE3-9A77-482F-A7AE-2D32E7C31472}"/>
    <cellStyle name="Normal 3 2 6 2 4 2 2" xfId="11464" xr:uid="{E9868FED-575E-4CCE-BD71-44271A5A2E40}"/>
    <cellStyle name="Normal 3 2 6 2 4 3" xfId="8296" xr:uid="{1B811A3A-75C4-4A9A-AD25-88646B641C65}"/>
    <cellStyle name="Normal 3 2 6 2 5" xfId="3556" xr:uid="{9A08482D-B4BA-49A0-B887-2A4CBFAD700A}"/>
    <cellStyle name="Normal 3 2 6 2 5 2" xfId="9895" xr:uid="{E0514D4C-CFC6-4364-AA93-1D2C2D5004D4}"/>
    <cellStyle name="Normal 3 2 6 2 6" xfId="6727" xr:uid="{45E63E36-0CC6-477C-9AF2-EFA1E3C984BC}"/>
    <cellStyle name="Normal 3 2 6 3" xfId="560" xr:uid="{96FC0035-CB6B-4B49-A7F6-99CFD2FC2E6D}"/>
    <cellStyle name="Normal 3 2 6 3 2" xfId="1359" xr:uid="{C9FAE33D-0304-4807-9257-5A9B0612CACB}"/>
    <cellStyle name="Normal 3 2 6 3 2 2" xfId="2930" xr:uid="{0222DB48-B795-4D97-9960-617E37C1FE60}"/>
    <cellStyle name="Normal 3 2 6 3 2 2 2" xfId="6100" xr:uid="{6A8BB12B-B0E3-48E1-AB81-723D8F513F8D}"/>
    <cellStyle name="Normal 3 2 6 3 2 2 2 2" xfId="12439" xr:uid="{0492DF29-95C8-4E71-AE97-EDD4D82A6000}"/>
    <cellStyle name="Normal 3 2 6 3 2 2 3" xfId="9271" xr:uid="{AB696156-ECC1-46D5-BC08-94902A3D5C04}"/>
    <cellStyle name="Normal 3 2 6 3 2 3" xfId="4531" xr:uid="{CE782FE3-28C3-4546-8DE4-7C855A6A774E}"/>
    <cellStyle name="Normal 3 2 6 3 2 3 2" xfId="10870" xr:uid="{5B72289D-A01A-4BA4-B767-1BC97DB46D4A}"/>
    <cellStyle name="Normal 3 2 6 3 2 4" xfId="7702" xr:uid="{A33A3793-5CC9-400C-83AA-50D611998C86}"/>
    <cellStyle name="Normal 3 2 6 3 3" xfId="2133" xr:uid="{243C8124-B4BF-4A6D-9584-3B56E3A9DE72}"/>
    <cellStyle name="Normal 3 2 6 3 3 2" xfId="5303" xr:uid="{5C2AA297-B000-449E-9F41-0777C39A28DD}"/>
    <cellStyle name="Normal 3 2 6 3 3 2 2" xfId="11642" xr:uid="{63F0AA47-981B-41E6-81DF-68960B4788B2}"/>
    <cellStyle name="Normal 3 2 6 3 3 3" xfId="8474" xr:uid="{E6D504E8-3887-426E-A28A-3843B0D977FD}"/>
    <cellStyle name="Normal 3 2 6 3 4" xfId="3734" xr:uid="{05D5CD08-278C-454F-A80C-F9DC64BF39F2}"/>
    <cellStyle name="Normal 3 2 6 3 4 2" xfId="10073" xr:uid="{1B61659B-B373-47CD-99C4-6EC442998AAC}"/>
    <cellStyle name="Normal 3 2 6 3 5" xfId="6905" xr:uid="{74B61F52-0C6E-449D-801C-997BB17C889E}"/>
    <cellStyle name="Normal 3 2 6 4" xfId="978" xr:uid="{5A8AEC89-AA81-4496-A419-E80B375CFD82}"/>
    <cellStyle name="Normal 3 2 6 4 2" xfId="2549" xr:uid="{0585D2B4-F33E-4BF9-A408-8171942E0E6C}"/>
    <cellStyle name="Normal 3 2 6 4 2 2" xfId="5719" xr:uid="{FBADE2E7-0775-429A-9DB6-C665BF5366BC}"/>
    <cellStyle name="Normal 3 2 6 4 2 2 2" xfId="12058" xr:uid="{0CE79C55-DD1D-4DDA-94EF-BF9983DE6AD1}"/>
    <cellStyle name="Normal 3 2 6 4 2 3" xfId="8890" xr:uid="{5C6EDE89-B496-4FF3-A1DE-BE4DFB2343B2}"/>
    <cellStyle name="Normal 3 2 6 4 3" xfId="4150" xr:uid="{FF32183F-13C8-442F-8D63-45BDFE77E336}"/>
    <cellStyle name="Normal 3 2 6 4 3 2" xfId="10489" xr:uid="{90E28B78-7AB1-4B02-9281-CBD1F8DAF3E9}"/>
    <cellStyle name="Normal 3 2 6 4 4" xfId="7321" xr:uid="{55BC7A7B-DCD2-4F1B-9C97-43D1A492E3D3}"/>
    <cellStyle name="Normal 3 2 6 5" xfId="1752" xr:uid="{7B1C19E0-3568-415D-BE6E-52CD6B496209}"/>
    <cellStyle name="Normal 3 2 6 5 2" xfId="4922" xr:uid="{40F999D1-1592-4156-916E-6F550870B5BF}"/>
    <cellStyle name="Normal 3 2 6 5 2 2" xfId="11261" xr:uid="{E0A4A98A-9E51-4A16-B422-9470791C13AF}"/>
    <cellStyle name="Normal 3 2 6 5 3" xfId="8093" xr:uid="{0D56DFD6-B9CD-488F-A02B-DB5089C23016}"/>
    <cellStyle name="Normal 3 2 6 6" xfId="3353" xr:uid="{0CCE001C-4205-4909-AEB2-4BCA61B51323}"/>
    <cellStyle name="Normal 3 2 6 6 2" xfId="9692" xr:uid="{50AF4056-9099-4501-AD73-7A24B5D48A41}"/>
    <cellStyle name="Normal 3 2 6 7" xfId="6524" xr:uid="{097CAC00-DD84-44B8-931B-01193D61762D}"/>
    <cellStyle name="Normal 3 2 7" xfId="236" xr:uid="{285DE9B1-AFF7-4E5E-B45A-807810EBD7E4}"/>
    <cellStyle name="Normal 3 2 7 2" xfId="630" xr:uid="{F8A923FB-80E1-480D-AF9A-7F6682AE3E8B}"/>
    <cellStyle name="Normal 3 2 7 2 2" xfId="1429" xr:uid="{21F2FF1A-7A46-4B0B-ACC8-CD798EFCC46E}"/>
    <cellStyle name="Normal 3 2 7 2 2 2" xfId="3000" xr:uid="{9A018184-EBEF-43F3-AE20-3ACBC2E6AAAD}"/>
    <cellStyle name="Normal 3 2 7 2 2 2 2" xfId="6170" xr:uid="{FF4156FC-9562-4DA9-AC33-658B25B8554D}"/>
    <cellStyle name="Normal 3 2 7 2 2 2 2 2" xfId="12509" xr:uid="{07113D5F-32CA-461C-AFD7-266E9C8145AC}"/>
    <cellStyle name="Normal 3 2 7 2 2 2 3" xfId="9341" xr:uid="{5DACE259-2AEF-403B-B860-19EA45303D76}"/>
    <cellStyle name="Normal 3 2 7 2 2 3" xfId="4601" xr:uid="{72ED4DAA-1151-495C-A060-249C60F03F71}"/>
    <cellStyle name="Normal 3 2 7 2 2 3 2" xfId="10940" xr:uid="{800C2598-3038-4C87-A996-6D371DCC39FD}"/>
    <cellStyle name="Normal 3 2 7 2 2 4" xfId="7772" xr:uid="{9134CBFE-2B12-4F47-93BA-7E46BEE90F1B}"/>
    <cellStyle name="Normal 3 2 7 2 3" xfId="2203" xr:uid="{0A0EA8DB-D929-4162-83D6-BF4ECACF950E}"/>
    <cellStyle name="Normal 3 2 7 2 3 2" xfId="5373" xr:uid="{883F14D9-9F57-4509-B432-84BC477F9F69}"/>
    <cellStyle name="Normal 3 2 7 2 3 2 2" xfId="11712" xr:uid="{18CEF8A4-A592-42B4-ADF5-D10A79FAEE09}"/>
    <cellStyle name="Normal 3 2 7 2 3 3" xfId="8544" xr:uid="{87A38BBB-5655-4FBD-BC1C-70AF68F61CC8}"/>
    <cellStyle name="Normal 3 2 7 2 4" xfId="3804" xr:uid="{372EE65B-0EDA-432C-98AE-F4501ECD0069}"/>
    <cellStyle name="Normal 3 2 7 2 4 2" xfId="10143" xr:uid="{617052E8-B33E-4046-9297-E3C1D83CC1C9}"/>
    <cellStyle name="Normal 3 2 7 2 5" xfId="6975" xr:uid="{0226A529-C879-4DC2-91AC-2528F13A4A11}"/>
    <cellStyle name="Normal 3 2 7 3" xfId="1048" xr:uid="{BDF6D4A8-7B88-4FA3-B420-5DFD10A49376}"/>
    <cellStyle name="Normal 3 2 7 3 2" xfId="2619" xr:uid="{472308AA-7A17-41E4-8FDC-F452CF0A8EFD}"/>
    <cellStyle name="Normal 3 2 7 3 2 2" xfId="5789" xr:uid="{D6DC79FB-3141-42E5-86AE-8694CAA1BB45}"/>
    <cellStyle name="Normal 3 2 7 3 2 2 2" xfId="12128" xr:uid="{B7BB63B1-8842-4F21-BA47-FFFCD3A9208E}"/>
    <cellStyle name="Normal 3 2 7 3 2 3" xfId="8960" xr:uid="{62E1E777-BB70-4225-B2D1-B48BD443C317}"/>
    <cellStyle name="Normal 3 2 7 3 3" xfId="4220" xr:uid="{A7C3418E-DAC4-41FD-81A2-760571C579EE}"/>
    <cellStyle name="Normal 3 2 7 3 3 2" xfId="10559" xr:uid="{9F628252-4BA9-4C25-98F8-03E4C11EAD27}"/>
    <cellStyle name="Normal 3 2 7 3 4" xfId="7391" xr:uid="{6BF76B4A-DC22-4D49-9C41-EAA7F18FB765}"/>
    <cellStyle name="Normal 3 2 7 4" xfId="1822" xr:uid="{0758876F-EB84-45B4-AC17-03CD305FE0F9}"/>
    <cellStyle name="Normal 3 2 7 4 2" xfId="4992" xr:uid="{1D779F4C-B453-4BE1-A4DC-3FA4B0F69305}"/>
    <cellStyle name="Normal 3 2 7 4 2 2" xfId="11331" xr:uid="{B36942D9-5895-4E0B-AF31-6F5D324F642D}"/>
    <cellStyle name="Normal 3 2 7 4 3" xfId="8163" xr:uid="{6B3BBF78-AA53-4AD7-AFC0-10F5C7C3C459}"/>
    <cellStyle name="Normal 3 2 7 5" xfId="3423" xr:uid="{65AC125D-7AE6-4CE3-8233-0CBA12285DE6}"/>
    <cellStyle name="Normal 3 2 7 5 2" xfId="9762" xr:uid="{55C9FEBB-1ED3-4EFA-9C49-252AA4505348}"/>
    <cellStyle name="Normal 3 2 7 6" xfId="6594" xr:uid="{08D70134-0B23-4BDD-9713-3CAFC89C46D4}"/>
    <cellStyle name="Normal 3 2 8" xfId="453" xr:uid="{2A8CC08F-CF36-4CE3-A2EA-C52602499CD8}"/>
    <cellStyle name="Normal 3 2 8 2" xfId="1252" xr:uid="{F597B39D-4EBB-4DCB-AF91-B948A7D4C893}"/>
    <cellStyle name="Normal 3 2 8 2 2" xfId="2823" xr:uid="{4408781B-6197-4BA9-8303-8E0F9FD3B15D}"/>
    <cellStyle name="Normal 3 2 8 2 2 2" xfId="5993" xr:uid="{8C7AD029-2ADC-470B-84B0-751D16838FFB}"/>
    <cellStyle name="Normal 3 2 8 2 2 2 2" xfId="12332" xr:uid="{605EA8DD-2995-4FA7-857A-2C61B86C71AD}"/>
    <cellStyle name="Normal 3 2 8 2 2 3" xfId="9164" xr:uid="{95D111FF-C6DE-496E-98E7-EC3C3C40A984}"/>
    <cellStyle name="Normal 3 2 8 2 3" xfId="4424" xr:uid="{7E5D0D4C-7289-4053-8664-8C58216EC555}"/>
    <cellStyle name="Normal 3 2 8 2 3 2" xfId="10763" xr:uid="{A1C32C42-DA29-43FE-B93F-AA8DC8D12DE4}"/>
    <cellStyle name="Normal 3 2 8 2 4" xfId="7595" xr:uid="{CCC4BDA5-7A3F-4421-993D-566DBEE63014}"/>
    <cellStyle name="Normal 3 2 8 3" xfId="2026" xr:uid="{F79B2240-DE63-438C-98FE-7B59BCA70E8A}"/>
    <cellStyle name="Normal 3 2 8 3 2" xfId="5196" xr:uid="{950AFC5F-919F-466E-961C-AA227B61C8DB}"/>
    <cellStyle name="Normal 3 2 8 3 2 2" xfId="11535" xr:uid="{EC50FA78-FE72-4F5D-A901-006BDC6F104D}"/>
    <cellStyle name="Normal 3 2 8 3 3" xfId="8367" xr:uid="{7EC266E6-B7BF-422E-8557-4A2BF34EF636}"/>
    <cellStyle name="Normal 3 2 8 4" xfId="3627" xr:uid="{B3FD5546-731E-437A-BBA3-C72D669B02BE}"/>
    <cellStyle name="Normal 3 2 8 4 2" xfId="9966" xr:uid="{E96D4B6D-D555-4818-88A4-CE4C02BE318C}"/>
    <cellStyle name="Normal 3 2 8 5" xfId="6798" xr:uid="{8091580D-12B2-44C5-9E38-0EE3280FDDC9}"/>
    <cellStyle name="Normal 3 2 9" xfId="844" xr:uid="{CA34BAAA-41C5-4380-BB0C-74EA55B7AF13}"/>
    <cellStyle name="Normal 3 2 9 2" xfId="2416" xr:uid="{1CDAF52C-41E2-40CD-A4B4-2C8344440FDD}"/>
    <cellStyle name="Normal 3 2 9 2 2" xfId="5586" xr:uid="{2F9664DE-AE30-4C1A-B4BC-20F84651E3D3}"/>
    <cellStyle name="Normal 3 2 9 2 2 2" xfId="11925" xr:uid="{E23FB826-79FA-478E-899E-BD3523C42D30}"/>
    <cellStyle name="Normal 3 2 9 2 3" xfId="8757" xr:uid="{38528CDA-C30C-4B21-B5D6-CC6B2D08DACA}"/>
    <cellStyle name="Normal 3 2 9 3" xfId="4017" xr:uid="{1365653B-F21E-43D0-B86B-17C60F6301EF}"/>
    <cellStyle name="Normal 3 2 9 3 2" xfId="10356" xr:uid="{60073503-4B36-4DCB-A4D9-45D99A19AFFE}"/>
    <cellStyle name="Normal 3 2 9 4" xfId="7188" xr:uid="{3E1BDAB9-18E4-4CD1-B143-AC4D20D632D1}"/>
    <cellStyle name="Normal 3 3" xfId="25" xr:uid="{3C439207-100B-4032-B4B6-AF4180D5204C}"/>
    <cellStyle name="Normal 3 3 2" xfId="86" xr:uid="{CACAB84B-2760-4458-A169-F15C7268426A}"/>
    <cellStyle name="Normal 3 3 2 2" xfId="307" xr:uid="{3BC4A0B6-8455-4ACC-8BEA-556C367655C2}"/>
    <cellStyle name="Normal 3 3 2 2 2" xfId="695" xr:uid="{461D3C2D-CA39-42CC-B8E3-296D40D754E0}"/>
    <cellStyle name="Normal 3 3 2 2 2 2" xfId="1494" xr:uid="{53ACC252-ED34-404A-85F9-E858B8F7D39E}"/>
    <cellStyle name="Normal 3 3 2 2 2 2 2" xfId="3065" xr:uid="{3E2F2037-1644-4DFC-8C6E-9B5A9E789F86}"/>
    <cellStyle name="Normal 3 3 2 2 2 2 2 2" xfId="6235" xr:uid="{FECB6481-E81B-4D60-A7B4-F561D3F01CED}"/>
    <cellStyle name="Normal 3 3 2 2 2 2 2 2 2" xfId="12574" xr:uid="{A1F9B9A8-F665-4905-B785-6E07C0DDF25F}"/>
    <cellStyle name="Normal 3 3 2 2 2 2 2 3" xfId="9406" xr:uid="{6AD177B6-F3BC-4715-B599-F9F603424059}"/>
    <cellStyle name="Normal 3 3 2 2 2 2 3" xfId="4666" xr:uid="{36900C21-17BC-4BC6-BCD8-AA74009193C8}"/>
    <cellStyle name="Normal 3 3 2 2 2 2 3 2" xfId="11005" xr:uid="{464F48FD-B5CC-4685-9FAF-890254ECA208}"/>
    <cellStyle name="Normal 3 3 2 2 2 2 4" xfId="7837" xr:uid="{60AE3CC1-E0E6-4760-AA7B-35C7169C2D80}"/>
    <cellStyle name="Normal 3 3 2 2 2 3" xfId="2268" xr:uid="{58598BC4-6FEC-4DE9-B4C4-219D501C5DD9}"/>
    <cellStyle name="Normal 3 3 2 2 2 3 2" xfId="5438" xr:uid="{B39168EB-E238-4CDE-AB72-9FF33C20FFF2}"/>
    <cellStyle name="Normal 3 3 2 2 2 3 2 2" xfId="11777" xr:uid="{F3092255-A7CB-4720-8185-93208976F562}"/>
    <cellStyle name="Normal 3 3 2 2 2 3 3" xfId="8609" xr:uid="{89BB518F-52A5-4B0B-B560-982781102D4A}"/>
    <cellStyle name="Normal 3 3 2 2 2 4" xfId="3869" xr:uid="{D34024D7-3748-456C-B0A2-617977CAABAC}"/>
    <cellStyle name="Normal 3 3 2 2 2 4 2" xfId="10208" xr:uid="{72140769-6D61-45FF-8559-3DFFE2EEB414}"/>
    <cellStyle name="Normal 3 3 2 2 2 5" xfId="7040" xr:uid="{F606EE4C-6AF8-46A3-AA6F-F01A998B0D2E}"/>
    <cellStyle name="Normal 3 3 2 2 3" xfId="1113" xr:uid="{61F2677F-DA72-4B46-B1AF-5984FF51E1E0}"/>
    <cellStyle name="Normal 3 3 2 2 3 2" xfId="2684" xr:uid="{EDD17A92-CCA1-4F9E-BC6F-C33FE3BC0C36}"/>
    <cellStyle name="Normal 3 3 2 2 3 2 2" xfId="5854" xr:uid="{9B857E76-68CB-4F37-993C-B9C27A2478EA}"/>
    <cellStyle name="Normal 3 3 2 2 3 2 2 2" xfId="12193" xr:uid="{D868D0F9-B384-420D-87C6-CE8FA495D78C}"/>
    <cellStyle name="Normal 3 3 2 2 3 2 3" xfId="9025" xr:uid="{44B85617-EFEC-49C1-89FF-5FED3E0E1152}"/>
    <cellStyle name="Normal 3 3 2 2 3 3" xfId="4285" xr:uid="{EBC56DA4-B706-46CF-AC12-2AD77FA96DC4}"/>
    <cellStyle name="Normal 3 3 2 2 3 3 2" xfId="10624" xr:uid="{E2F3F3D3-41C8-4708-8C3A-C54D13701500}"/>
    <cellStyle name="Normal 3 3 2 2 3 4" xfId="7456" xr:uid="{73BCA567-973E-4241-867E-7D6A3473E73D}"/>
    <cellStyle name="Normal 3 3 2 2 4" xfId="1887" xr:uid="{3999A639-1786-4E37-9631-AD41E0709B3B}"/>
    <cellStyle name="Normal 3 3 2 2 4 2" xfId="5057" xr:uid="{4CBF4395-5286-4DB0-B003-DFC7959D05F8}"/>
    <cellStyle name="Normal 3 3 2 2 4 2 2" xfId="11396" xr:uid="{816AAE4D-1809-4482-9533-EED2C8B016FB}"/>
    <cellStyle name="Normal 3 3 2 2 4 3" xfId="8228" xr:uid="{DAA556BF-FC53-49C8-83E4-0DD30E2BE2D2}"/>
    <cellStyle name="Normal 3 3 2 2 5" xfId="3488" xr:uid="{1D8106DE-086C-4A41-84F1-26E3CD132212}"/>
    <cellStyle name="Normal 3 3 2 2 5 2" xfId="9827" xr:uid="{02EA798D-772E-4EC5-8040-BD50677C97CE}"/>
    <cellStyle name="Normal 3 3 2 2 6" xfId="6659" xr:uid="{C862E454-2BC5-4B27-9318-93B8D952B42E}"/>
    <cellStyle name="Normal 3 3 2 3" xfId="512" xr:uid="{76832E79-8567-4930-A6E5-E605FEBB9CD9}"/>
    <cellStyle name="Normal 3 3 2 3 2" xfId="1311" xr:uid="{EE6CE2AF-8BC9-4C17-A7FC-88E91AFEF4A5}"/>
    <cellStyle name="Normal 3 3 2 3 2 2" xfId="2882" xr:uid="{2FE0ADB8-8DE6-4FEE-A4E3-C2395375892C}"/>
    <cellStyle name="Normal 3 3 2 3 2 2 2" xfId="6052" xr:uid="{052517FB-1434-448D-97AC-AF9B48ACA40B}"/>
    <cellStyle name="Normal 3 3 2 3 2 2 2 2" xfId="12391" xr:uid="{92872E7E-6179-496A-BC70-9C3CA804FE71}"/>
    <cellStyle name="Normal 3 3 2 3 2 2 3" xfId="9223" xr:uid="{09FB8861-8AA7-440E-B940-D65EB7EBB56F}"/>
    <cellStyle name="Normal 3 3 2 3 2 3" xfId="4483" xr:uid="{1D8C3276-2AD2-4F86-9DE2-2046605B75C2}"/>
    <cellStyle name="Normal 3 3 2 3 2 3 2" xfId="10822" xr:uid="{1BD338B4-AFF9-45F0-87D0-53B8CACB0363}"/>
    <cellStyle name="Normal 3 3 2 3 2 4" xfId="7654" xr:uid="{69638123-2003-4FE7-ADF6-3EC95A92ABD5}"/>
    <cellStyle name="Normal 3 3 2 3 3" xfId="2085" xr:uid="{E1177F8B-8D39-4EB9-8833-E13C718A46B1}"/>
    <cellStyle name="Normal 3 3 2 3 3 2" xfId="5255" xr:uid="{34F7E00F-EE2A-4E17-B113-984B3AFBB1B7}"/>
    <cellStyle name="Normal 3 3 2 3 3 2 2" xfId="11594" xr:uid="{0F0D9F53-896F-47A4-8225-73FB2CD3AA57}"/>
    <cellStyle name="Normal 3 3 2 3 3 3" xfId="8426" xr:uid="{273D39B0-D4EB-4081-A2E8-A53E29A1EF8E}"/>
    <cellStyle name="Normal 3 3 2 3 4" xfId="3686" xr:uid="{7E072730-8F95-448C-91CC-8B09FB4F06FB}"/>
    <cellStyle name="Normal 3 3 2 3 4 2" xfId="10025" xr:uid="{360DF579-9306-42C9-A980-9089F290F122}"/>
    <cellStyle name="Normal 3 3 2 3 5" xfId="6857" xr:uid="{B1C65C0A-27EE-4B71-8D70-F9374DDF8B62}"/>
    <cellStyle name="Normal 3 3 2 4" xfId="910" xr:uid="{68E8F2C4-AA4F-4A3D-9643-9CC49BC86592}"/>
    <cellStyle name="Normal 3 3 2 4 2" xfId="2481" xr:uid="{70977367-C220-4EAB-8F4D-FAE865187A44}"/>
    <cellStyle name="Normal 3 3 2 4 2 2" xfId="5651" xr:uid="{3933E1C5-81E5-4F11-AFD5-5BF3721EA511}"/>
    <cellStyle name="Normal 3 3 2 4 2 2 2" xfId="11990" xr:uid="{BFBF4145-E131-44F5-B96F-3E8AF0590113}"/>
    <cellStyle name="Normal 3 3 2 4 2 3" xfId="8822" xr:uid="{E517821D-8425-4D9D-A0B8-A5BE5556406C}"/>
    <cellStyle name="Normal 3 3 2 4 3" xfId="4082" xr:uid="{71B949AE-52EE-437C-AC7D-191E8D8129AD}"/>
    <cellStyle name="Normal 3 3 2 4 3 2" xfId="10421" xr:uid="{C5F01499-DD1F-48DA-B1E4-FEACFEF314A0}"/>
    <cellStyle name="Normal 3 3 2 4 4" xfId="7253" xr:uid="{4EE2CB57-9DF0-4ABF-A9AF-C0B60D3966E2}"/>
    <cellStyle name="Normal 3 3 2 5" xfId="1705" xr:uid="{AEACEFAD-14BD-4E38-A266-1B83DCCEEA82}"/>
    <cellStyle name="Normal 3 3 2 5 2" xfId="4875" xr:uid="{601B65AF-7CBE-4FFB-A416-0A8CB592E8CB}"/>
    <cellStyle name="Normal 3 3 2 5 2 2" xfId="11214" xr:uid="{026DCB1F-E796-4A59-8D9B-844F63F3952B}"/>
    <cellStyle name="Normal 3 3 2 5 3" xfId="8046" xr:uid="{59BC8926-EEEB-4FA2-B13A-36FA215D1CE4}"/>
    <cellStyle name="Normal 3 3 2 6" xfId="3285" xr:uid="{1D8FBB5F-9DAD-4A3E-AB4A-9444E1DA111A}"/>
    <cellStyle name="Normal 3 3 2 6 2" xfId="9624" xr:uid="{4C29B71D-108F-48D2-BE0E-80ED15BDAD88}"/>
    <cellStyle name="Normal 3 3 2 7" xfId="6456" xr:uid="{31738EB9-BAAA-4AC1-B3CD-51A58EAC54F3}"/>
    <cellStyle name="Normal 3 3 3" xfId="172" xr:uid="{F03AFBB8-FAA2-4A17-AEC8-A0A118E31BFC}"/>
    <cellStyle name="Normal 3 3 3 2" xfId="389" xr:uid="{19927491-87B8-4FBA-8AF2-62DFAEA652F4}"/>
    <cellStyle name="Normal 3 3 3 2 2" xfId="770" xr:uid="{B48C1168-2787-4830-AE8A-F21986961984}"/>
    <cellStyle name="Normal 3 3 3 2 2 2" xfId="1569" xr:uid="{896A6A6B-3550-4E92-902E-CB61019AA355}"/>
    <cellStyle name="Normal 3 3 3 2 2 2 2" xfId="3140" xr:uid="{C2CC173B-628F-4085-98A0-E09335BF7245}"/>
    <cellStyle name="Normal 3 3 3 2 2 2 2 2" xfId="6310" xr:uid="{45019222-CE54-46DD-B5D9-A79470A12336}"/>
    <cellStyle name="Normal 3 3 3 2 2 2 2 2 2" xfId="12649" xr:uid="{5E386330-E6BC-4C6E-83D6-ABE933247E4D}"/>
    <cellStyle name="Normal 3 3 3 2 2 2 2 3" xfId="9481" xr:uid="{5639EA4E-3B54-4CFC-B01A-CC3A1777E634}"/>
    <cellStyle name="Normal 3 3 3 2 2 2 3" xfId="4741" xr:uid="{D86480BE-795E-4183-9D42-DC5C166B8A1C}"/>
    <cellStyle name="Normal 3 3 3 2 2 2 3 2" xfId="11080" xr:uid="{840DA9BD-D783-4BCB-91E0-083BDB2C35A8}"/>
    <cellStyle name="Normal 3 3 3 2 2 2 4" xfId="7912" xr:uid="{187F6712-7622-4B6A-901D-1A9C1C5E4EF2}"/>
    <cellStyle name="Normal 3 3 3 2 2 3" xfId="2343" xr:uid="{B90CD1A8-8D73-4375-A8BC-6311011D8193}"/>
    <cellStyle name="Normal 3 3 3 2 2 3 2" xfId="5513" xr:uid="{0E198EC1-3E74-43A3-A0F7-16D685794C9C}"/>
    <cellStyle name="Normal 3 3 3 2 2 3 2 2" xfId="11852" xr:uid="{7753F797-97B9-4FD8-9CA3-AEECB6C53290}"/>
    <cellStyle name="Normal 3 3 3 2 2 3 3" xfId="8684" xr:uid="{3D67A7C4-FC67-438B-A329-86CD42CB28F4}"/>
    <cellStyle name="Normal 3 3 3 2 2 4" xfId="3944" xr:uid="{F937766E-2FD4-41C2-881D-F8FBA5C1A8E8}"/>
    <cellStyle name="Normal 3 3 3 2 2 4 2" xfId="10283" xr:uid="{C37E648E-7A25-481A-8802-D06246793613}"/>
    <cellStyle name="Normal 3 3 3 2 2 5" xfId="7115" xr:uid="{77085C68-B293-4098-9393-2D559807C3AC}"/>
    <cellStyle name="Normal 3 3 3 2 3" xfId="1188" xr:uid="{6027F18F-391E-49B7-8287-C04586CBF813}"/>
    <cellStyle name="Normal 3 3 3 2 3 2" xfId="2759" xr:uid="{E9A40233-F4C4-41E8-B210-9034FFF6BB6F}"/>
    <cellStyle name="Normal 3 3 3 2 3 2 2" xfId="5929" xr:uid="{4D0DC05D-A14D-4CA8-926B-B39D5A064AC0}"/>
    <cellStyle name="Normal 3 3 3 2 3 2 2 2" xfId="12268" xr:uid="{D16A3525-8FB0-4280-B83A-93763E610EA4}"/>
    <cellStyle name="Normal 3 3 3 2 3 2 3" xfId="9100" xr:uid="{732903C3-3DB2-4F90-A190-AD591612CA98}"/>
    <cellStyle name="Normal 3 3 3 2 3 3" xfId="4360" xr:uid="{C6BF2377-5A03-46B1-8128-871281A28C5C}"/>
    <cellStyle name="Normal 3 3 3 2 3 3 2" xfId="10699" xr:uid="{F9974763-E041-4DA9-A2AC-50DB5D660590}"/>
    <cellStyle name="Normal 3 3 3 2 3 4" xfId="7531" xr:uid="{D77631E6-4E9B-4449-87A5-7E2D713859C9}"/>
    <cellStyle name="Normal 3 3 3 2 4" xfId="1962" xr:uid="{CE99AC6F-AEDF-49A3-82E1-FC6CAD84C609}"/>
    <cellStyle name="Normal 3 3 3 2 4 2" xfId="5132" xr:uid="{3BA05532-058D-4023-B825-B397BD816AC0}"/>
    <cellStyle name="Normal 3 3 3 2 4 2 2" xfId="11471" xr:uid="{AA7BE667-252B-4364-A7F1-FFE75C2D1B2E}"/>
    <cellStyle name="Normal 3 3 3 2 4 3" xfId="8303" xr:uid="{BC817D15-C919-4FB8-B97F-42E7702BDB4C}"/>
    <cellStyle name="Normal 3 3 3 2 5" xfId="3563" xr:uid="{7389F19B-F784-4D69-B06C-EE8004BF9706}"/>
    <cellStyle name="Normal 3 3 3 2 5 2" xfId="9902" xr:uid="{2ADD220B-06B8-4DD0-8FE6-CE922137DF27}"/>
    <cellStyle name="Normal 3 3 3 2 6" xfId="6734" xr:uid="{056488F6-8491-4DC6-93E1-83DAD1CADCFF}"/>
    <cellStyle name="Normal 3 3 3 3" xfId="567" xr:uid="{33070A49-5659-44EC-9407-A13ED2842E0E}"/>
    <cellStyle name="Normal 3 3 3 3 2" xfId="1366" xr:uid="{E57DD01B-B783-4B07-8D80-CA6AFEF389E6}"/>
    <cellStyle name="Normal 3 3 3 3 2 2" xfId="2937" xr:uid="{4F270C7E-9E2B-45A6-BF31-F070FA228D5C}"/>
    <cellStyle name="Normal 3 3 3 3 2 2 2" xfId="6107" xr:uid="{22D5817F-2E77-4A41-9175-C6DD846208E6}"/>
    <cellStyle name="Normal 3 3 3 3 2 2 2 2" xfId="12446" xr:uid="{8E9438C6-A7A5-4141-A96F-F882C5474260}"/>
    <cellStyle name="Normal 3 3 3 3 2 2 3" xfId="9278" xr:uid="{8BCA9891-6E11-4C05-9C5D-FA25DACA23E1}"/>
    <cellStyle name="Normal 3 3 3 3 2 3" xfId="4538" xr:uid="{2F4341F7-7484-479B-B493-A55C65969970}"/>
    <cellStyle name="Normal 3 3 3 3 2 3 2" xfId="10877" xr:uid="{83488378-FC08-4F9D-8466-48AB5AB60D90}"/>
    <cellStyle name="Normal 3 3 3 3 2 4" xfId="7709" xr:uid="{47BE0920-4799-43EC-8629-CA2784C23BA3}"/>
    <cellStyle name="Normal 3 3 3 3 3" xfId="2140" xr:uid="{2511D1C9-5BD2-44D5-A69A-0DC550D404FB}"/>
    <cellStyle name="Normal 3 3 3 3 3 2" xfId="5310" xr:uid="{390C1D2C-6AE6-4C85-8AF9-05B786D1B035}"/>
    <cellStyle name="Normal 3 3 3 3 3 2 2" xfId="11649" xr:uid="{C03A4C85-1E86-437C-AD76-8DFB9DE00435}"/>
    <cellStyle name="Normal 3 3 3 3 3 3" xfId="8481" xr:uid="{D9CC2BE4-00D4-4AA9-8A8A-8DEBE3C2573B}"/>
    <cellStyle name="Normal 3 3 3 3 4" xfId="3741" xr:uid="{EE286C3C-5EAD-4EE9-BCF8-6EF9F2C3D1A6}"/>
    <cellStyle name="Normal 3 3 3 3 4 2" xfId="10080" xr:uid="{A035FE54-16E0-4269-BC5C-F7BD9A4BB778}"/>
    <cellStyle name="Normal 3 3 3 3 5" xfId="6912" xr:uid="{3D2F8D27-4987-4A43-A4BA-247F3E11F930}"/>
    <cellStyle name="Normal 3 3 3 4" xfId="985" xr:uid="{A8AB33ED-307D-4E3B-ADF4-B89B00B44390}"/>
    <cellStyle name="Normal 3 3 3 4 2" xfId="2556" xr:uid="{034F8B86-7B5F-4954-B0FB-E25EB7623F5E}"/>
    <cellStyle name="Normal 3 3 3 4 2 2" xfId="5726" xr:uid="{9826E0DF-25DC-4B0D-963A-3C8572C421E7}"/>
    <cellStyle name="Normal 3 3 3 4 2 2 2" xfId="12065" xr:uid="{CB79930A-85DB-47AA-9C4D-9D558FCDBBEF}"/>
    <cellStyle name="Normal 3 3 3 4 2 3" xfId="8897" xr:uid="{3D6EB3FE-27C4-493F-BE28-BF62875B739D}"/>
    <cellStyle name="Normal 3 3 3 4 3" xfId="4157" xr:uid="{CF9208DF-D4D6-42D5-A0EA-FE980EF735C6}"/>
    <cellStyle name="Normal 3 3 3 4 3 2" xfId="10496" xr:uid="{FCC30E55-052F-4C6D-AD6B-635F7DEB3F6B}"/>
    <cellStyle name="Normal 3 3 3 4 4" xfId="7328" xr:uid="{108D23D4-558D-4205-88BD-27A1EC272C15}"/>
    <cellStyle name="Normal 3 3 3 5" xfId="1759" xr:uid="{F5AC1D63-D5E1-4E41-927F-BC28FBACFFF9}"/>
    <cellStyle name="Normal 3 3 3 5 2" xfId="4929" xr:uid="{FA4ACD87-078E-4134-A05B-A6FFCA61F796}"/>
    <cellStyle name="Normal 3 3 3 5 2 2" xfId="11268" xr:uid="{719148DF-395B-4789-925F-B2D9A00D9DA8}"/>
    <cellStyle name="Normal 3 3 3 5 3" xfId="8100" xr:uid="{F2891D48-E347-436B-9780-52FF7C57A501}"/>
    <cellStyle name="Normal 3 3 3 6" xfId="3360" xr:uid="{4E1585F0-8203-4673-8243-DF8BA3A1A678}"/>
    <cellStyle name="Normal 3 3 3 6 2" xfId="9699" xr:uid="{C7EB891F-F54C-4089-AFB3-1307650411E5}"/>
    <cellStyle name="Normal 3 3 3 7" xfId="6531" xr:uid="{1AFC94AC-C763-4FFC-99D6-299FCD15C2C5}"/>
    <cellStyle name="Normal 3 3 4" xfId="249" xr:uid="{B351AFE3-A1CD-4E27-8C72-607A4996F745}"/>
    <cellStyle name="Normal 3 3 4 2" xfId="640" xr:uid="{BFE4EBA3-99CA-4EB2-9363-430D593EC776}"/>
    <cellStyle name="Normal 3 3 4 2 2" xfId="1439" xr:uid="{842BAB0E-E76E-42E6-95B4-718718D23448}"/>
    <cellStyle name="Normal 3 3 4 2 2 2" xfId="3010" xr:uid="{53E2BE16-14AB-427C-968C-B7EA6F9BCBB0}"/>
    <cellStyle name="Normal 3 3 4 2 2 2 2" xfId="6180" xr:uid="{10FA3643-CA6B-427C-937A-71605450E65E}"/>
    <cellStyle name="Normal 3 3 4 2 2 2 2 2" xfId="12519" xr:uid="{5B267511-4374-4B5B-8DFE-590AB95C978B}"/>
    <cellStyle name="Normal 3 3 4 2 2 2 3" xfId="9351" xr:uid="{B1D85E30-8C49-48A2-9729-796F1F3FBE92}"/>
    <cellStyle name="Normal 3 3 4 2 2 3" xfId="4611" xr:uid="{1B7C7931-3B2F-47D5-A174-71C620233786}"/>
    <cellStyle name="Normal 3 3 4 2 2 3 2" xfId="10950" xr:uid="{F2BB5E42-025F-4DDD-89B8-3675EA37A66B}"/>
    <cellStyle name="Normal 3 3 4 2 2 4" xfId="7782" xr:uid="{5D7D9DE4-5F7E-408C-9375-4F4EB0ADCDF6}"/>
    <cellStyle name="Normal 3 3 4 2 3" xfId="2213" xr:uid="{BC5B3CB8-C717-4CD6-9531-CCF982DAD6C0}"/>
    <cellStyle name="Normal 3 3 4 2 3 2" xfId="5383" xr:uid="{3B1DFBC4-0B38-4529-B50B-6B10B32EEA3C}"/>
    <cellStyle name="Normal 3 3 4 2 3 2 2" xfId="11722" xr:uid="{52554A1F-7FE9-4469-8E4F-7C334D376CF6}"/>
    <cellStyle name="Normal 3 3 4 2 3 3" xfId="8554" xr:uid="{509A6119-0C72-4E57-A251-0563E8A10E07}"/>
    <cellStyle name="Normal 3 3 4 2 4" xfId="3814" xr:uid="{98D9A004-3EA2-4264-BC63-710072AFA61D}"/>
    <cellStyle name="Normal 3 3 4 2 4 2" xfId="10153" xr:uid="{907E1185-7956-4DD7-847F-D87544F99909}"/>
    <cellStyle name="Normal 3 3 4 2 5" xfId="6985" xr:uid="{2A2C7E31-3B65-4C64-B45D-3714D73A2BB8}"/>
    <cellStyle name="Normal 3 3 4 3" xfId="1058" xr:uid="{8F4B8E0D-1004-4163-9EB7-931FE6FD4070}"/>
    <cellStyle name="Normal 3 3 4 3 2" xfId="2629" xr:uid="{35F23F0B-A318-4F26-85D0-475988034471}"/>
    <cellStyle name="Normal 3 3 4 3 2 2" xfId="5799" xr:uid="{15C58C6D-0470-41E5-B3F7-C3C0FEC86A4A}"/>
    <cellStyle name="Normal 3 3 4 3 2 2 2" xfId="12138" xr:uid="{CB8AF6F1-1611-4A7A-8DD6-819B11A74780}"/>
    <cellStyle name="Normal 3 3 4 3 2 3" xfId="8970" xr:uid="{52AF30E1-0E0C-401E-B264-EF45D9EFD429}"/>
    <cellStyle name="Normal 3 3 4 3 3" xfId="4230" xr:uid="{C4D6B836-E970-49CE-B1F8-1331BE0BD89D}"/>
    <cellStyle name="Normal 3 3 4 3 3 2" xfId="10569" xr:uid="{9BF4AE4F-67C2-4B0A-BE90-8FBC5EE06A6C}"/>
    <cellStyle name="Normal 3 3 4 3 4" xfId="7401" xr:uid="{9BA5174D-D13A-4AE7-9687-EFFA1552FE9E}"/>
    <cellStyle name="Normal 3 3 4 4" xfId="1832" xr:uid="{43DFF4FD-EDFD-4D4E-A464-6061342592CF}"/>
    <cellStyle name="Normal 3 3 4 4 2" xfId="5002" xr:uid="{9BDD07B1-2D00-4B14-9ED1-3FE1486068A1}"/>
    <cellStyle name="Normal 3 3 4 4 2 2" xfId="11341" xr:uid="{3D32C05C-26EF-43D7-95BF-9C83B227229C}"/>
    <cellStyle name="Normal 3 3 4 4 3" xfId="8173" xr:uid="{EF3378C4-8B3C-4D16-819C-07B1F3A5988A}"/>
    <cellStyle name="Normal 3 3 4 5" xfId="3433" xr:uid="{4E71DDE1-C4E0-4434-A168-31F9D15D1CA0}"/>
    <cellStyle name="Normal 3 3 4 5 2" xfId="9772" xr:uid="{C163CC25-623F-43A1-8E37-03DF61A481D5}"/>
    <cellStyle name="Normal 3 3 4 6" xfId="6604" xr:uid="{B00DE9A4-6C92-4647-827B-FF6532EA8B08}"/>
    <cellStyle name="Normal 3 3 5" xfId="463" xr:uid="{C614B87D-202B-4238-A5D3-C3A82E47F4F2}"/>
    <cellStyle name="Normal 3 3 5 2" xfId="1262" xr:uid="{967C04A4-FEE0-4D8B-ABCF-B27803BE65CB}"/>
    <cellStyle name="Normal 3 3 5 2 2" xfId="2833" xr:uid="{50007A8D-2156-4A6F-AAF7-29F3B90E7B5C}"/>
    <cellStyle name="Normal 3 3 5 2 2 2" xfId="6003" xr:uid="{D68AF239-62C8-4C1D-8549-1C8F1602CEB3}"/>
    <cellStyle name="Normal 3 3 5 2 2 2 2" xfId="12342" xr:uid="{38368561-A306-4D53-9BEA-41141F29A1E8}"/>
    <cellStyle name="Normal 3 3 5 2 2 3" xfId="9174" xr:uid="{15FAE80C-5EA9-423C-91C3-9EF8BDB2C3D4}"/>
    <cellStyle name="Normal 3 3 5 2 3" xfId="4434" xr:uid="{CB85BC57-D123-4E90-969C-FF62DB228A32}"/>
    <cellStyle name="Normal 3 3 5 2 3 2" xfId="10773" xr:uid="{63FEC608-56FB-4D16-9E83-0530D7DD5683}"/>
    <cellStyle name="Normal 3 3 5 2 4" xfId="7605" xr:uid="{6929FF7A-2736-4C28-A10E-DD486FA96D49}"/>
    <cellStyle name="Normal 3 3 5 3" xfId="2036" xr:uid="{110C1BC6-CF39-4221-8008-642D364D4515}"/>
    <cellStyle name="Normal 3 3 5 3 2" xfId="5206" xr:uid="{EF816713-4DF3-42FD-8CC4-D9CD012BEDFE}"/>
    <cellStyle name="Normal 3 3 5 3 2 2" xfId="11545" xr:uid="{0A8814E2-1E62-4C22-9CEF-F7AC951B749B}"/>
    <cellStyle name="Normal 3 3 5 3 3" xfId="8377" xr:uid="{86CA2A29-B793-400C-9580-2B64CD7F2824}"/>
    <cellStyle name="Normal 3 3 5 4" xfId="3637" xr:uid="{89866C42-6B61-42A3-9054-630C2393009C}"/>
    <cellStyle name="Normal 3 3 5 4 2" xfId="9976" xr:uid="{151A23D4-0F47-4E57-B365-DCA0BF3ADDD0}"/>
    <cellStyle name="Normal 3 3 5 5" xfId="6808" xr:uid="{F4185917-6FCD-484A-8B3D-97F604B08FBC}"/>
    <cellStyle name="Normal 3 3 6" xfId="855" xr:uid="{C2542EF7-486C-410B-96CA-72E36221FEBE}"/>
    <cellStyle name="Normal 3 3 6 2" xfId="2426" xr:uid="{66F476D0-750D-4CC3-A704-BAEDDC714EE7}"/>
    <cellStyle name="Normal 3 3 6 2 2" xfId="5596" xr:uid="{5AE50EA9-2AED-44B6-B514-878A55D6CF8B}"/>
    <cellStyle name="Normal 3 3 6 2 2 2" xfId="11935" xr:uid="{330E89A0-274A-408F-8914-790C5F9F395D}"/>
    <cellStyle name="Normal 3 3 6 2 3" xfId="8767" xr:uid="{D7C258A7-B5ED-4D15-86C7-0D7F67C25414}"/>
    <cellStyle name="Normal 3 3 6 3" xfId="4027" xr:uid="{091CF0A4-B4F3-4C63-BC05-E91C88AACFC6}"/>
    <cellStyle name="Normal 3 3 6 3 2" xfId="10366" xr:uid="{563B0D19-B1E8-4E28-A153-FE795D4D7139}"/>
    <cellStyle name="Normal 3 3 6 4" xfId="7198" xr:uid="{1185CD26-2F83-42BC-AC45-6CBC0006894C}"/>
    <cellStyle name="Normal 3 3 7" xfId="1658" xr:uid="{BA434001-5539-4F49-95C4-DF921CC6B99C}"/>
    <cellStyle name="Normal 3 3 7 2" xfId="4828" xr:uid="{87BDB1D5-2B71-4A9D-87C9-EF108E739774}"/>
    <cellStyle name="Normal 3 3 7 2 2" xfId="11167" xr:uid="{966D00F7-0AA8-47EC-9881-D400D9E5DE55}"/>
    <cellStyle name="Normal 3 3 7 3" xfId="7999" xr:uid="{F268CA6E-E240-4CA7-B3F6-45CA3DECF531}"/>
    <cellStyle name="Normal 3 3 8" xfId="3230" xr:uid="{E71C24B9-80D7-47B8-A45C-2DB6B453D47D}"/>
    <cellStyle name="Normal 3 3 8 2" xfId="9569" xr:uid="{2892D193-3521-430F-81E0-D67A2C3E1EC7}"/>
    <cellStyle name="Normal 3 3 9" xfId="6401" xr:uid="{9674CB1F-D7A2-47B2-A58E-1ADFF67BA9BF}"/>
    <cellStyle name="Normal 3 4" xfId="35" xr:uid="{D0FFB920-6734-489B-841E-11D053950336}"/>
    <cellStyle name="Normal 3 4 2" xfId="92" xr:uid="{A00E3F1A-97FE-46B1-9E64-502BA5C59E39}"/>
    <cellStyle name="Normal 3 4 2 2" xfId="313" xr:uid="{57467CD3-BB5E-4D0F-82F1-A981D45A7136}"/>
    <cellStyle name="Normal 3 4 2 2 2" xfId="700" xr:uid="{0F886DBD-BBC6-474E-903E-34068AA72A06}"/>
    <cellStyle name="Normal 3 4 2 2 2 2" xfId="1499" xr:uid="{A5B4E849-D7C6-4A1D-8835-261CBE890BF9}"/>
    <cellStyle name="Normal 3 4 2 2 2 2 2" xfId="3070" xr:uid="{423B1F2A-A4AF-4DE2-941F-2E0DF51F7A8C}"/>
    <cellStyle name="Normal 3 4 2 2 2 2 2 2" xfId="6240" xr:uid="{84E64F58-72B8-43FC-AD20-6CC4BB2834C2}"/>
    <cellStyle name="Normal 3 4 2 2 2 2 2 2 2" xfId="12579" xr:uid="{49D25FFF-26EE-4AC4-9FB2-7DCDC3F9259F}"/>
    <cellStyle name="Normal 3 4 2 2 2 2 2 3" xfId="9411" xr:uid="{DB504214-4EF3-4834-8D52-6050FEC903D7}"/>
    <cellStyle name="Normal 3 4 2 2 2 2 3" xfId="4671" xr:uid="{EF2A7C56-A30A-45CD-A61D-0C93530908E8}"/>
    <cellStyle name="Normal 3 4 2 2 2 2 3 2" xfId="11010" xr:uid="{793ACC3B-9508-4D71-8275-9FEB1ADBE112}"/>
    <cellStyle name="Normal 3 4 2 2 2 2 4" xfId="7842" xr:uid="{BDAF3EF3-CE5E-4BE3-A888-FE36DC082BBE}"/>
    <cellStyle name="Normal 3 4 2 2 2 3" xfId="2273" xr:uid="{F1D85CF3-23F3-4050-AF2C-FAD30EFA1094}"/>
    <cellStyle name="Normal 3 4 2 2 2 3 2" xfId="5443" xr:uid="{F1D616EC-B87B-43E3-B651-9F53D71866BB}"/>
    <cellStyle name="Normal 3 4 2 2 2 3 2 2" xfId="11782" xr:uid="{5F517867-A8E0-411A-9FC8-F1580877E271}"/>
    <cellStyle name="Normal 3 4 2 2 2 3 3" xfId="8614" xr:uid="{74E8476F-7034-433D-A089-356B4E054E31}"/>
    <cellStyle name="Normal 3 4 2 2 2 4" xfId="3874" xr:uid="{3B9AD65F-56D4-43F5-A49D-88872E2052B1}"/>
    <cellStyle name="Normal 3 4 2 2 2 4 2" xfId="10213" xr:uid="{57316C51-3B4A-41E6-90AD-9682290F7ECD}"/>
    <cellStyle name="Normal 3 4 2 2 2 5" xfId="7045" xr:uid="{B4219878-3729-438E-96AE-7CF93BF9F3C1}"/>
    <cellStyle name="Normal 3 4 2 2 3" xfId="1118" xr:uid="{C5473C39-B1F1-4475-925B-63C308874403}"/>
    <cellStyle name="Normal 3 4 2 2 3 2" xfId="2689" xr:uid="{FC1E6CDF-9B82-4D1D-ADFD-20614A814439}"/>
    <cellStyle name="Normal 3 4 2 2 3 2 2" xfId="5859" xr:uid="{7E7CD360-CA56-41DD-BF2A-A7BD8550EE02}"/>
    <cellStyle name="Normal 3 4 2 2 3 2 2 2" xfId="12198" xr:uid="{5A4D351D-9A6F-4CF8-BB47-55E272C25A53}"/>
    <cellStyle name="Normal 3 4 2 2 3 2 3" xfId="9030" xr:uid="{85BFBF56-D0D3-48B9-8E28-21ABBDE12A88}"/>
    <cellStyle name="Normal 3 4 2 2 3 3" xfId="4290" xr:uid="{08FD7B8C-9733-4765-9128-F342604204A7}"/>
    <cellStyle name="Normal 3 4 2 2 3 3 2" xfId="10629" xr:uid="{B842E764-0A76-4920-BE5A-C103D5A6D407}"/>
    <cellStyle name="Normal 3 4 2 2 3 4" xfId="7461" xr:uid="{2593D930-709D-4B6A-9965-AA20DC4BF545}"/>
    <cellStyle name="Normal 3 4 2 2 4" xfId="1892" xr:uid="{FA992C50-7630-4F4E-AD58-096D854EE7BD}"/>
    <cellStyle name="Normal 3 4 2 2 4 2" xfId="5062" xr:uid="{060A6535-83F7-4ADB-AA32-304FA400CD0C}"/>
    <cellStyle name="Normal 3 4 2 2 4 2 2" xfId="11401" xr:uid="{43935DB3-6913-48E5-9251-227CC7F6733D}"/>
    <cellStyle name="Normal 3 4 2 2 4 3" xfId="8233" xr:uid="{D7902E9C-6B97-40F5-9A86-2FB6794620A6}"/>
    <cellStyle name="Normal 3 4 2 2 5" xfId="3493" xr:uid="{DC4D21D4-8F19-454F-83EE-8066BE37E929}"/>
    <cellStyle name="Normal 3 4 2 2 5 2" xfId="9832" xr:uid="{6CF03DFF-2571-4602-B1EA-13A6CAB9852E}"/>
    <cellStyle name="Normal 3 4 2 2 6" xfId="6664" xr:uid="{0E4E6CAA-CE5C-4A38-BC84-F631722D6CBC}"/>
    <cellStyle name="Normal 3 4 2 3" xfId="516" xr:uid="{278CF319-810C-4177-9AD0-2FF7F7C64B81}"/>
    <cellStyle name="Normal 3 4 2 3 2" xfId="1315" xr:uid="{833B5F99-4E20-47F4-BE25-AEC062317285}"/>
    <cellStyle name="Normal 3 4 2 3 2 2" xfId="2886" xr:uid="{8132F964-5C2D-46A4-87F5-FE65CAE07887}"/>
    <cellStyle name="Normal 3 4 2 3 2 2 2" xfId="6056" xr:uid="{365436DD-A63C-48F2-A70F-3D053FA00B79}"/>
    <cellStyle name="Normal 3 4 2 3 2 2 2 2" xfId="12395" xr:uid="{6FCDA661-EB58-411B-A579-6E4B4714F6D6}"/>
    <cellStyle name="Normal 3 4 2 3 2 2 3" xfId="9227" xr:uid="{42C15508-A7E8-4D0A-ABA6-4A721AD9A48D}"/>
    <cellStyle name="Normal 3 4 2 3 2 3" xfId="4487" xr:uid="{7FF74180-714F-48C0-BB13-2693FA7C9CC8}"/>
    <cellStyle name="Normal 3 4 2 3 2 3 2" xfId="10826" xr:uid="{0482196C-CF45-4C1E-A532-9982B9E4ADF5}"/>
    <cellStyle name="Normal 3 4 2 3 2 4" xfId="7658" xr:uid="{968AD805-C6D7-40F9-B51E-247A02D17808}"/>
    <cellStyle name="Normal 3 4 2 3 3" xfId="2089" xr:uid="{F2C80D9C-1855-4EAC-90A4-64457FE53325}"/>
    <cellStyle name="Normal 3 4 2 3 3 2" xfId="5259" xr:uid="{794E5AD9-CA7E-46E8-9BF9-8E543084A41B}"/>
    <cellStyle name="Normal 3 4 2 3 3 2 2" xfId="11598" xr:uid="{4261395B-41FB-41EE-92D7-DE6E15531266}"/>
    <cellStyle name="Normal 3 4 2 3 3 3" xfId="8430" xr:uid="{A9744878-EAEC-41D9-A476-3CBA7490C554}"/>
    <cellStyle name="Normal 3 4 2 3 4" xfId="3690" xr:uid="{6A481FA6-7BFA-4009-A8E2-A68AE7A98069}"/>
    <cellStyle name="Normal 3 4 2 3 4 2" xfId="10029" xr:uid="{DA16D0FD-E85E-4AF7-8AB4-1D783DB53D95}"/>
    <cellStyle name="Normal 3 4 2 3 5" xfId="6861" xr:uid="{CC1071FD-4A2D-4247-8A3D-592A1B72280D}"/>
    <cellStyle name="Normal 3 4 2 4" xfId="915" xr:uid="{096B80B7-42E2-423E-8097-899FA63E680A}"/>
    <cellStyle name="Normal 3 4 2 4 2" xfId="2486" xr:uid="{61563BAF-8950-4BA8-AD23-4FDE016E0B6E}"/>
    <cellStyle name="Normal 3 4 2 4 2 2" xfId="5656" xr:uid="{21964849-68DF-4A7A-9200-916A7965BE64}"/>
    <cellStyle name="Normal 3 4 2 4 2 2 2" xfId="11995" xr:uid="{148D12B0-8119-4201-83B7-BA73D0F318B6}"/>
    <cellStyle name="Normal 3 4 2 4 2 3" xfId="8827" xr:uid="{A29C05B6-85E8-4ADE-A379-AD05C62DC51D}"/>
    <cellStyle name="Normal 3 4 2 4 3" xfId="4087" xr:uid="{8E16B8B5-C817-4E9F-9430-B7BD2DA0C4E0}"/>
    <cellStyle name="Normal 3 4 2 4 3 2" xfId="10426" xr:uid="{AC00AEB6-FE08-430F-9189-7B6E7056C4B8}"/>
    <cellStyle name="Normal 3 4 2 4 4" xfId="7258" xr:uid="{26A25408-E660-4259-AB19-CD0C690D60A3}"/>
    <cellStyle name="Normal 3 4 2 5" xfId="1709" xr:uid="{8CF02BEA-2B58-4BA2-A6F9-D074A86508EE}"/>
    <cellStyle name="Normal 3 4 2 5 2" xfId="4879" xr:uid="{F87A28EF-2CB7-4629-ABEC-6756A4B1E8E5}"/>
    <cellStyle name="Normal 3 4 2 5 2 2" xfId="11218" xr:uid="{36DD362B-E7F2-4F16-8754-213DF9CAC175}"/>
    <cellStyle name="Normal 3 4 2 5 3" xfId="8050" xr:uid="{0E615A2E-0CF1-4D8C-9D80-7F47EBF9A6C3}"/>
    <cellStyle name="Normal 3 4 2 6" xfId="3290" xr:uid="{F1DD3A53-FC0D-481B-981C-678B4552195E}"/>
    <cellStyle name="Normal 3 4 2 6 2" xfId="9629" xr:uid="{E18583D4-0695-44A9-B668-3E361E3706D9}"/>
    <cellStyle name="Normal 3 4 2 7" xfId="6461" xr:uid="{76C26ED9-8F21-4FF0-A9DB-DA482EB362C6}"/>
    <cellStyle name="Normal 3 4 3" xfId="178" xr:uid="{B3BDFCA2-509D-4B6E-8515-CA4AA45CD3CF}"/>
    <cellStyle name="Normal 3 4 3 2" xfId="395" xr:uid="{06CB9A8F-CACD-4F62-9033-77BD4101200E}"/>
    <cellStyle name="Normal 3 4 3 2 2" xfId="776" xr:uid="{6D324C5A-9A49-4A8C-A709-C5C761D88E3B}"/>
    <cellStyle name="Normal 3 4 3 2 2 2" xfId="1575" xr:uid="{40DE0510-B593-431B-B0F1-FAE1980DBE25}"/>
    <cellStyle name="Normal 3 4 3 2 2 2 2" xfId="3146" xr:uid="{E0BC0334-5D85-4BD8-97E9-D29DE3523202}"/>
    <cellStyle name="Normal 3 4 3 2 2 2 2 2" xfId="6316" xr:uid="{B0AFE591-3A74-4422-A98E-704D57F21136}"/>
    <cellStyle name="Normal 3 4 3 2 2 2 2 2 2" xfId="12655" xr:uid="{99B91D55-B7AA-42D1-A537-FA1A88B67B91}"/>
    <cellStyle name="Normal 3 4 3 2 2 2 2 3" xfId="9487" xr:uid="{20B4E894-A4F3-4966-A6A4-F5372606B29E}"/>
    <cellStyle name="Normal 3 4 3 2 2 2 3" xfId="4747" xr:uid="{1917F4A5-B174-4F52-B1DC-20707E222B41}"/>
    <cellStyle name="Normal 3 4 3 2 2 2 3 2" xfId="11086" xr:uid="{F9615C92-9E72-4837-A5E4-FEF77614A9ED}"/>
    <cellStyle name="Normal 3 4 3 2 2 2 4" xfId="7918" xr:uid="{83A3814B-789E-4FA6-A651-56B61CB86459}"/>
    <cellStyle name="Normal 3 4 3 2 2 3" xfId="2349" xr:uid="{BC16B77A-943F-46FC-B4C2-E0B3C04E2FA8}"/>
    <cellStyle name="Normal 3 4 3 2 2 3 2" xfId="5519" xr:uid="{804EDA2E-7B25-40F8-A0C5-FE7B95EA4B8A}"/>
    <cellStyle name="Normal 3 4 3 2 2 3 2 2" xfId="11858" xr:uid="{D79A32EF-327F-4DA3-B84F-B163BEE6BCCF}"/>
    <cellStyle name="Normal 3 4 3 2 2 3 3" xfId="8690" xr:uid="{4CA09D3D-86C3-4B6B-92AA-813DBBFBF2FE}"/>
    <cellStyle name="Normal 3 4 3 2 2 4" xfId="3950" xr:uid="{7B786423-DF9E-45D7-8597-AD0CC771D7F0}"/>
    <cellStyle name="Normal 3 4 3 2 2 4 2" xfId="10289" xr:uid="{DF77A084-A9B1-4354-9A93-ACC79FE1ACCF}"/>
    <cellStyle name="Normal 3 4 3 2 2 5" xfId="7121" xr:uid="{75740822-8C66-4C54-A68F-7E4B5C3A5D1E}"/>
    <cellStyle name="Normal 3 4 3 2 3" xfId="1194" xr:uid="{B298F397-8AB1-48CD-9AF8-5C011AF09DA6}"/>
    <cellStyle name="Normal 3 4 3 2 3 2" xfId="2765" xr:uid="{21DA98EF-3643-4EEB-A598-CCC8FF547440}"/>
    <cellStyle name="Normal 3 4 3 2 3 2 2" xfId="5935" xr:uid="{EFC850E2-5473-4AFF-BC65-54CFB46B0F91}"/>
    <cellStyle name="Normal 3 4 3 2 3 2 2 2" xfId="12274" xr:uid="{5F449079-6886-4735-8016-A69FBD933876}"/>
    <cellStyle name="Normal 3 4 3 2 3 2 3" xfId="9106" xr:uid="{664CFE51-9EB7-4C92-9028-2F405B35026C}"/>
    <cellStyle name="Normal 3 4 3 2 3 3" xfId="4366" xr:uid="{24D59928-A76F-477C-9B2F-35622713696F}"/>
    <cellStyle name="Normal 3 4 3 2 3 3 2" xfId="10705" xr:uid="{E2A052FD-3CBE-4DAA-9074-069CADD336D5}"/>
    <cellStyle name="Normal 3 4 3 2 3 4" xfId="7537" xr:uid="{C5D011D5-A52D-4E89-9D7C-664175AC45D8}"/>
    <cellStyle name="Normal 3 4 3 2 4" xfId="1968" xr:uid="{BD7E0F7D-F95F-49A8-96B4-7507EC494CF9}"/>
    <cellStyle name="Normal 3 4 3 2 4 2" xfId="5138" xr:uid="{BB06D813-BF67-4AD8-AE2D-F5076C33815F}"/>
    <cellStyle name="Normal 3 4 3 2 4 2 2" xfId="11477" xr:uid="{30C79791-A8E3-4671-B091-85475E9F69DE}"/>
    <cellStyle name="Normal 3 4 3 2 4 3" xfId="8309" xr:uid="{89A4A16E-3210-4031-A216-B6A11430B3A8}"/>
    <cellStyle name="Normal 3 4 3 2 5" xfId="3569" xr:uid="{F46C006B-5662-47F4-8F40-82C54B60A457}"/>
    <cellStyle name="Normal 3 4 3 2 5 2" xfId="9908" xr:uid="{4EE24FCC-2AC3-4605-B55A-9E7999EF4B1D}"/>
    <cellStyle name="Normal 3 4 3 2 6" xfId="6740" xr:uid="{B8A6461F-926B-4B23-9F66-FF5A7D0B4918}"/>
    <cellStyle name="Normal 3 4 3 3" xfId="573" xr:uid="{9CDAD829-7446-4B82-92D2-B550DB9BCE6C}"/>
    <cellStyle name="Normal 3 4 3 3 2" xfId="1372" xr:uid="{01B8FB67-E716-48E2-92F5-3207825DB9C7}"/>
    <cellStyle name="Normal 3 4 3 3 2 2" xfId="2943" xr:uid="{0D6E3041-66CC-4ED7-A5BA-6602D1140ACC}"/>
    <cellStyle name="Normal 3 4 3 3 2 2 2" xfId="6113" xr:uid="{03375201-C05A-4738-B9F1-22A77A2B6B63}"/>
    <cellStyle name="Normal 3 4 3 3 2 2 2 2" xfId="12452" xr:uid="{C2457706-C969-44DA-B758-7BC7F1890E43}"/>
    <cellStyle name="Normal 3 4 3 3 2 2 3" xfId="9284" xr:uid="{7EC8901A-D120-4AAF-AF25-517DFCC59D4E}"/>
    <cellStyle name="Normal 3 4 3 3 2 3" xfId="4544" xr:uid="{F9D70F8C-9611-4DCC-8424-F2B7F8E9B17B}"/>
    <cellStyle name="Normal 3 4 3 3 2 3 2" xfId="10883" xr:uid="{CB4E461E-C17C-4CB8-A608-144EFA87D12E}"/>
    <cellStyle name="Normal 3 4 3 3 2 4" xfId="7715" xr:uid="{1D93E55B-E5C7-4E7F-BEF5-61F7FDCB077B}"/>
    <cellStyle name="Normal 3 4 3 3 3" xfId="2146" xr:uid="{2694ACFA-B26C-4B39-AA62-148C54C65A6A}"/>
    <cellStyle name="Normal 3 4 3 3 3 2" xfId="5316" xr:uid="{6DE8BFFB-96BF-4F9D-BF13-17F10E14DCB6}"/>
    <cellStyle name="Normal 3 4 3 3 3 2 2" xfId="11655" xr:uid="{A75CE679-EFE8-49B1-981F-FF7688A1A322}"/>
    <cellStyle name="Normal 3 4 3 3 3 3" xfId="8487" xr:uid="{1BCD2174-45FA-4632-85A9-24A52309FDC2}"/>
    <cellStyle name="Normal 3 4 3 3 4" xfId="3747" xr:uid="{3A78B571-A38B-4D81-A40A-85951A9463A6}"/>
    <cellStyle name="Normal 3 4 3 3 4 2" xfId="10086" xr:uid="{432DEDFC-862B-4408-8C1D-E15ACE5822AC}"/>
    <cellStyle name="Normal 3 4 3 3 5" xfId="6918" xr:uid="{8E88DD3C-2303-4BB2-864B-C959B0C3942D}"/>
    <cellStyle name="Normal 3 4 3 4" xfId="991" xr:uid="{0E391FC8-9854-4055-91D6-BEE488164876}"/>
    <cellStyle name="Normal 3 4 3 4 2" xfId="2562" xr:uid="{1B08F132-05F4-4E3E-9E60-AA23075F8890}"/>
    <cellStyle name="Normal 3 4 3 4 2 2" xfId="5732" xr:uid="{2D9D6CE5-7034-4E17-8E7D-82C2E755102E}"/>
    <cellStyle name="Normal 3 4 3 4 2 2 2" xfId="12071" xr:uid="{65CB60F8-A83B-4503-877E-063AE5DAFA40}"/>
    <cellStyle name="Normal 3 4 3 4 2 3" xfId="8903" xr:uid="{FEE3EA5B-0CC8-4545-8FE9-EEBCCD0DA13D}"/>
    <cellStyle name="Normal 3 4 3 4 3" xfId="4163" xr:uid="{77D45C67-11E5-459D-853A-6DEDF97557F0}"/>
    <cellStyle name="Normal 3 4 3 4 3 2" xfId="10502" xr:uid="{0CAA3EDE-1842-486D-A37D-83C9C9EA3162}"/>
    <cellStyle name="Normal 3 4 3 4 4" xfId="7334" xr:uid="{32B2264D-5F40-4CCE-8986-84A316D17FFE}"/>
    <cellStyle name="Normal 3 4 3 5" xfId="1765" xr:uid="{2B3AFE23-199D-462D-B6D7-9F8DBFA32EE3}"/>
    <cellStyle name="Normal 3 4 3 5 2" xfId="4935" xr:uid="{F236FA19-6E9B-4EF9-B732-9817F524331E}"/>
    <cellStyle name="Normal 3 4 3 5 2 2" xfId="11274" xr:uid="{57878177-F4C1-491F-B94F-87293C6CD957}"/>
    <cellStyle name="Normal 3 4 3 5 3" xfId="8106" xr:uid="{E44ED4E1-3745-4F22-BE1E-D028925653C4}"/>
    <cellStyle name="Normal 3 4 3 6" xfId="3366" xr:uid="{25E4A185-C726-43DC-80B0-9F304A3EFA74}"/>
    <cellStyle name="Normal 3 4 3 6 2" xfId="9705" xr:uid="{5FDFD87F-D2AE-473D-AE67-71106ADEBC73}"/>
    <cellStyle name="Normal 3 4 3 7" xfId="6537" xr:uid="{441ADA79-8C2C-49ED-A8B0-A5B85811320F}"/>
    <cellStyle name="Normal 3 4 4" xfId="259" xr:uid="{3AB17B71-3C3A-4A95-B59D-6B7598D1AFC7}"/>
    <cellStyle name="Normal 3 4 4 2" xfId="649" xr:uid="{D5D28B01-693A-4D1B-8DA6-35CE6ADC7C80}"/>
    <cellStyle name="Normal 3 4 4 2 2" xfId="1448" xr:uid="{D01C1F83-273A-4AC3-B610-228A1380904D}"/>
    <cellStyle name="Normal 3 4 4 2 2 2" xfId="3019" xr:uid="{45F20BF3-C223-4B61-AE13-ED42E1DDAEE8}"/>
    <cellStyle name="Normal 3 4 4 2 2 2 2" xfId="6189" xr:uid="{D775EEC4-D048-4C88-AB9E-68B88F1EE275}"/>
    <cellStyle name="Normal 3 4 4 2 2 2 2 2" xfId="12528" xr:uid="{DFB3F9A3-5D9D-4739-B712-EF0DE2A93B1E}"/>
    <cellStyle name="Normal 3 4 4 2 2 2 3" xfId="9360" xr:uid="{60AA795E-3C70-4F02-9929-555495EA8E4B}"/>
    <cellStyle name="Normal 3 4 4 2 2 3" xfId="4620" xr:uid="{F13334A6-B9C8-442F-823E-23ED8235F60C}"/>
    <cellStyle name="Normal 3 4 4 2 2 3 2" xfId="10959" xr:uid="{C703B495-C736-4173-A175-CBBE7D1EA35C}"/>
    <cellStyle name="Normal 3 4 4 2 2 4" xfId="7791" xr:uid="{6048BD22-32E9-4511-BE2E-3CE5220D5B94}"/>
    <cellStyle name="Normal 3 4 4 2 3" xfId="2222" xr:uid="{33A1487B-C7BB-4A33-8DA6-019AF359C343}"/>
    <cellStyle name="Normal 3 4 4 2 3 2" xfId="5392" xr:uid="{A8130844-3699-4677-A1D0-993B0D8EF7A8}"/>
    <cellStyle name="Normal 3 4 4 2 3 2 2" xfId="11731" xr:uid="{271A3063-9386-4843-A198-9EFD30323D44}"/>
    <cellStyle name="Normal 3 4 4 2 3 3" xfId="8563" xr:uid="{CAC7A9E3-1132-4234-87AF-1F0CB3771B5F}"/>
    <cellStyle name="Normal 3 4 4 2 4" xfId="3823" xr:uid="{D68FBF5C-1639-40FC-861E-D4D572632BCD}"/>
    <cellStyle name="Normal 3 4 4 2 4 2" xfId="10162" xr:uid="{24BAFA4C-DE6F-41BC-9AC4-4DE55B7F7F45}"/>
    <cellStyle name="Normal 3 4 4 2 5" xfId="6994" xr:uid="{4BF0B158-BD8E-493C-9A31-1A4A9C7284BC}"/>
    <cellStyle name="Normal 3 4 4 3" xfId="1067" xr:uid="{2059DDE3-D513-4CFA-A60E-429038175551}"/>
    <cellStyle name="Normal 3 4 4 3 2" xfId="2638" xr:uid="{146376F4-C55E-4EC9-A766-6C03112D7D2F}"/>
    <cellStyle name="Normal 3 4 4 3 2 2" xfId="5808" xr:uid="{23FD27D0-3761-4C1C-A9EA-AFC2A48D57D6}"/>
    <cellStyle name="Normal 3 4 4 3 2 2 2" xfId="12147" xr:uid="{8B688D99-6FC5-42AC-B77C-AC0A716215B1}"/>
    <cellStyle name="Normal 3 4 4 3 2 3" xfId="8979" xr:uid="{34F5E481-2A4C-4EA6-91AA-5EEC34C09984}"/>
    <cellStyle name="Normal 3 4 4 3 3" xfId="4239" xr:uid="{A6FCAF62-7FF4-4A1E-8FF1-7CF7625C6802}"/>
    <cellStyle name="Normal 3 4 4 3 3 2" xfId="10578" xr:uid="{94D82623-96DD-4D65-B2D9-B4EF94988E1F}"/>
    <cellStyle name="Normal 3 4 4 3 4" xfId="7410" xr:uid="{5A36B91B-7A4F-4890-9EC6-C690EE1B04A4}"/>
    <cellStyle name="Normal 3 4 4 4" xfId="1841" xr:uid="{EDAA79B0-6800-46A0-BBB0-91553A915D17}"/>
    <cellStyle name="Normal 3 4 4 4 2" xfId="5011" xr:uid="{25708F1F-8D47-418A-BEC3-131B3D73D5B6}"/>
    <cellStyle name="Normal 3 4 4 4 2 2" xfId="11350" xr:uid="{4A701660-F2BA-4FF3-8AE8-EE0CBBE7E492}"/>
    <cellStyle name="Normal 3 4 4 4 3" xfId="8182" xr:uid="{0E92AE2F-E8EE-4C5D-AC44-D5AA0CE26273}"/>
    <cellStyle name="Normal 3 4 4 5" xfId="3442" xr:uid="{5407C05E-E5F9-441B-9EA0-DB92AC845487}"/>
    <cellStyle name="Normal 3 4 4 5 2" xfId="9781" xr:uid="{F41B5F34-E69E-481A-A025-A516F3BFE59F}"/>
    <cellStyle name="Normal 3 4 4 6" xfId="6613" xr:uid="{CF3F31AA-DA32-4A86-9617-7C0CD0EB29AE}"/>
    <cellStyle name="Normal 3 4 5" xfId="470" xr:uid="{6417AAD1-172F-4BAD-96B7-6F9CAB9E1B83}"/>
    <cellStyle name="Normal 3 4 5 2" xfId="1269" xr:uid="{ED2CEC3D-BFC0-4AE1-868A-CAAC3C03A1CE}"/>
    <cellStyle name="Normal 3 4 5 2 2" xfId="2840" xr:uid="{794D9950-9E6F-4FDB-BB44-4591274F23F4}"/>
    <cellStyle name="Normal 3 4 5 2 2 2" xfId="6010" xr:uid="{A417C755-F7FB-40B0-B1A5-5997C3004B83}"/>
    <cellStyle name="Normal 3 4 5 2 2 2 2" xfId="12349" xr:uid="{4C598275-30B9-4AA7-A43B-D46FC4CEA921}"/>
    <cellStyle name="Normal 3 4 5 2 2 3" xfId="9181" xr:uid="{B3930B6F-A36F-46B9-B27E-75C0A6AF1DB1}"/>
    <cellStyle name="Normal 3 4 5 2 3" xfId="4441" xr:uid="{A0865873-C6DE-42A9-8D06-E46D92F52B81}"/>
    <cellStyle name="Normal 3 4 5 2 3 2" xfId="10780" xr:uid="{A271ECF9-F6EE-4D28-BFC3-B7EF278B7FD3}"/>
    <cellStyle name="Normal 3 4 5 2 4" xfId="7612" xr:uid="{95EB5ADA-1F7A-42B5-9FF5-789B49C5B659}"/>
    <cellStyle name="Normal 3 4 5 3" xfId="2043" xr:uid="{F62B89F0-6B94-4BAB-97C7-1289EB605FD0}"/>
    <cellStyle name="Normal 3 4 5 3 2" xfId="5213" xr:uid="{A3FC6088-6701-4F1D-9927-D95D79F1031A}"/>
    <cellStyle name="Normal 3 4 5 3 2 2" xfId="11552" xr:uid="{1F403611-B375-4B12-95A7-CCDFB7AA1957}"/>
    <cellStyle name="Normal 3 4 5 3 3" xfId="8384" xr:uid="{DA3DF4DC-01FD-4DE5-9A08-4550E7596052}"/>
    <cellStyle name="Normal 3 4 5 4" xfId="3644" xr:uid="{BB79A3B5-8A6F-4911-805C-7EBFB7CB431E}"/>
    <cellStyle name="Normal 3 4 5 4 2" xfId="9983" xr:uid="{9B8B03AC-2203-44AD-B299-0C0D367F310F}"/>
    <cellStyle name="Normal 3 4 5 5" xfId="6815" xr:uid="{999334DE-8184-4843-80E2-74BB77701644}"/>
    <cellStyle name="Normal 3 4 6" xfId="864" xr:uid="{1251BDA0-23EB-40FA-9475-96866AC613BE}"/>
    <cellStyle name="Normal 3 4 6 2" xfId="2435" xr:uid="{1944F432-FE69-4BD3-BF1A-0BCE8ABCA472}"/>
    <cellStyle name="Normal 3 4 6 2 2" xfId="5605" xr:uid="{7F159DE4-7D9D-4736-AC99-87F8BCA6A504}"/>
    <cellStyle name="Normal 3 4 6 2 2 2" xfId="11944" xr:uid="{EFCBB2CE-36E3-49F4-9E9B-1C21F8978D88}"/>
    <cellStyle name="Normal 3 4 6 2 3" xfId="8776" xr:uid="{94EAB440-A681-4113-85A2-627900E8EEE1}"/>
    <cellStyle name="Normal 3 4 6 3" xfId="4036" xr:uid="{1F47ECF1-3CC7-4F03-85A5-38CFD85714AA}"/>
    <cellStyle name="Normal 3 4 6 3 2" xfId="10375" xr:uid="{635BAFFC-4E10-4BFC-94B1-B8F8830EE54A}"/>
    <cellStyle name="Normal 3 4 6 4" xfId="7207" xr:uid="{BF2DC030-EE00-4099-A7BC-ABA030A74D1D}"/>
    <cellStyle name="Normal 3 4 7" xfId="1665" xr:uid="{72B90DDC-3ADF-4B3F-B302-E60660C14A49}"/>
    <cellStyle name="Normal 3 4 7 2" xfId="4835" xr:uid="{1D61DDE5-AB4F-4549-B462-386377D784E0}"/>
    <cellStyle name="Normal 3 4 7 2 2" xfId="11174" xr:uid="{A451D4E9-DA23-4C8E-AFFD-E41E1DBCFEE3}"/>
    <cellStyle name="Normal 3 4 7 3" xfId="8006" xr:uid="{AA77A0B6-AAFD-47C8-BDAD-7779CA8176C9}"/>
    <cellStyle name="Normal 3 4 8" xfId="3239" xr:uid="{9BEE9C51-CCF6-4918-9027-E1C88DD6503F}"/>
    <cellStyle name="Normal 3 4 8 2" xfId="9578" xr:uid="{F146BB7D-AC07-4E2E-BB81-18C4D35F126E}"/>
    <cellStyle name="Normal 3 4 9" xfId="6410" xr:uid="{34975761-60FA-4C59-969A-F7473D23A0C6}"/>
    <cellStyle name="Normal 3 5" xfId="43" xr:uid="{53391F49-212A-428D-8207-70FDD73DCD44}"/>
    <cellStyle name="Normal 3 5 2" xfId="95" xr:uid="{77A12832-93B3-49B8-BDC2-286F63EB7671}"/>
    <cellStyle name="Normal 3 5 3" xfId="267" xr:uid="{1435F6C6-0662-4BFD-BF0E-EEEFAA2781DC}"/>
    <cellStyle name="Normal 3 5 3 2" xfId="657" xr:uid="{A8D113F4-D159-4D7A-AE0E-2321351B5873}"/>
    <cellStyle name="Normal 3 5 3 2 2" xfId="1456" xr:uid="{95E24493-A1D9-4BC2-B50F-4BBBFF4C90E8}"/>
    <cellStyle name="Normal 3 5 3 2 2 2" xfId="3027" xr:uid="{1E4ED334-8303-4F62-8B2F-66299DDD17D6}"/>
    <cellStyle name="Normal 3 5 3 2 2 2 2" xfId="6197" xr:uid="{96727E68-AA0E-47BB-B5E2-4978A7E3576F}"/>
    <cellStyle name="Normal 3 5 3 2 2 2 2 2" xfId="12536" xr:uid="{549CF454-99BC-4D5D-9DEF-B0BA4CB07A0B}"/>
    <cellStyle name="Normal 3 5 3 2 2 2 3" xfId="9368" xr:uid="{4981AAF7-ACDD-4C74-A29B-F97ECAC17B55}"/>
    <cellStyle name="Normal 3 5 3 2 2 3" xfId="4628" xr:uid="{18734643-C42A-4F46-9211-45CAB181599B}"/>
    <cellStyle name="Normal 3 5 3 2 2 3 2" xfId="10967" xr:uid="{D2A79A7A-9E2C-46E1-903B-5608E7AB49DB}"/>
    <cellStyle name="Normal 3 5 3 2 2 4" xfId="7799" xr:uid="{08750518-16F8-4BE9-BB7E-AC69C4E7063E}"/>
    <cellStyle name="Normal 3 5 3 2 3" xfId="2230" xr:uid="{D6971F6B-D5AA-4072-8A9F-9D5CA33E31A5}"/>
    <cellStyle name="Normal 3 5 3 2 3 2" xfId="5400" xr:uid="{61CBCEDA-22E7-4CAA-88DB-CDD3DD253875}"/>
    <cellStyle name="Normal 3 5 3 2 3 2 2" xfId="11739" xr:uid="{0EDAED55-A504-438B-A917-A89DC76778B6}"/>
    <cellStyle name="Normal 3 5 3 2 3 3" xfId="8571" xr:uid="{48C86328-32C0-476B-8DF8-FEC3377E50B7}"/>
    <cellStyle name="Normal 3 5 3 2 4" xfId="3831" xr:uid="{EBA1251B-26FB-4331-A64D-0A16B91D23BF}"/>
    <cellStyle name="Normal 3 5 3 2 4 2" xfId="10170" xr:uid="{FCE56776-021A-4A5C-8938-8D280BD17BB3}"/>
    <cellStyle name="Normal 3 5 3 2 5" xfId="7002" xr:uid="{1AF0AB56-5D9D-4A97-99DF-2C9277FEDF0C}"/>
    <cellStyle name="Normal 3 5 3 3" xfId="1075" xr:uid="{9652EE09-62C3-4454-AC2C-2B36BFB6896E}"/>
    <cellStyle name="Normal 3 5 3 3 2" xfId="2646" xr:uid="{1310FC71-2329-4D67-B543-62A7652A12F1}"/>
    <cellStyle name="Normal 3 5 3 3 2 2" xfId="5816" xr:uid="{9D630618-480F-4E9C-8704-3C7F2195FF14}"/>
    <cellStyle name="Normal 3 5 3 3 2 2 2" xfId="12155" xr:uid="{B2AD8C78-9EF8-4192-8F64-F08CAA4AECAB}"/>
    <cellStyle name="Normal 3 5 3 3 2 3" xfId="8987" xr:uid="{2A35EC03-A8F4-43BB-A520-4D1FF8328D39}"/>
    <cellStyle name="Normal 3 5 3 3 3" xfId="4247" xr:uid="{D65DEBA8-6C1B-4F4F-865A-0A29FF337A61}"/>
    <cellStyle name="Normal 3 5 3 3 3 2" xfId="10586" xr:uid="{0D0156E0-623E-4BFD-B2F4-C4DEB70A9E00}"/>
    <cellStyle name="Normal 3 5 3 3 4" xfId="7418" xr:uid="{CB5F632C-621A-484C-AB9E-B3FEB0C0D9E0}"/>
    <cellStyle name="Normal 3 5 3 4" xfId="1849" xr:uid="{FBF2CA82-EDDE-48A4-9DE0-A85A81C38803}"/>
    <cellStyle name="Normal 3 5 3 4 2" xfId="5019" xr:uid="{95B82C71-4D31-4333-9856-593A494C7E56}"/>
    <cellStyle name="Normal 3 5 3 4 2 2" xfId="11358" xr:uid="{4174CCB1-1A2C-42DE-B2BC-85B8397274DE}"/>
    <cellStyle name="Normal 3 5 3 4 3" xfId="8190" xr:uid="{E21170C6-D6D0-48CB-AC7C-032AA1D117FF}"/>
    <cellStyle name="Normal 3 5 3 5" xfId="3450" xr:uid="{52D680DC-1A0F-488F-87B3-CEC1E7F0606F}"/>
    <cellStyle name="Normal 3 5 3 5 2" xfId="9789" xr:uid="{B4181984-8B9A-4705-AE41-99BA30CEA891}"/>
    <cellStyle name="Normal 3 5 3 6" xfId="6621" xr:uid="{37E1A0C9-7D20-4E39-B639-7FB30090A6F2}"/>
    <cellStyle name="Normal 3 5 4" xfId="476" xr:uid="{FA725917-1622-4FC0-9D0A-2DE953EDE841}"/>
    <cellStyle name="Normal 3 5 4 2" xfId="1275" xr:uid="{79299904-58B2-4563-ABCA-72EAD07A4380}"/>
    <cellStyle name="Normal 3 5 4 2 2" xfId="2846" xr:uid="{406D5936-E973-40EB-AC20-5AC9D8EA1578}"/>
    <cellStyle name="Normal 3 5 4 2 2 2" xfId="6016" xr:uid="{6076F7D5-2D18-48CF-8E8C-A5EFFD2E8815}"/>
    <cellStyle name="Normal 3 5 4 2 2 2 2" xfId="12355" xr:uid="{AF7CB1AF-0692-4820-8C65-972E0591CFF0}"/>
    <cellStyle name="Normal 3 5 4 2 2 3" xfId="9187" xr:uid="{2EDCBBAF-6615-4ADC-A0F2-CC74D7DBA3F0}"/>
    <cellStyle name="Normal 3 5 4 2 3" xfId="4447" xr:uid="{07B1AE5E-F06A-432E-B62D-7DDFAFA0B92E}"/>
    <cellStyle name="Normal 3 5 4 2 3 2" xfId="10786" xr:uid="{106CA933-6889-4ECF-828B-A1CB5845BA39}"/>
    <cellStyle name="Normal 3 5 4 2 4" xfId="7618" xr:uid="{A86EAD96-300D-4CD2-B943-8D7683F3276C}"/>
    <cellStyle name="Normal 3 5 4 3" xfId="2049" xr:uid="{6C2D58C5-2E6A-4785-8150-3B23FBB49401}"/>
    <cellStyle name="Normal 3 5 4 3 2" xfId="5219" xr:uid="{BFB00230-82F0-4F50-9E69-A76D7280C4E6}"/>
    <cellStyle name="Normal 3 5 4 3 2 2" xfId="11558" xr:uid="{96FABA8A-751D-4C2C-9F13-AA7C13247ED0}"/>
    <cellStyle name="Normal 3 5 4 3 3" xfId="8390" xr:uid="{0ABBC920-7728-4F0D-8AAB-A5CF8F47C3FB}"/>
    <cellStyle name="Normal 3 5 4 4" xfId="3650" xr:uid="{9770C413-4FC7-4E9F-ACC6-1C6B4C8D078E}"/>
    <cellStyle name="Normal 3 5 4 4 2" xfId="9989" xr:uid="{81F400E3-DD81-4C52-89E4-49F25C2B8B91}"/>
    <cellStyle name="Normal 3 5 4 5" xfId="6821" xr:uid="{D3593D29-C2DD-44B0-B018-80AA58106180}"/>
    <cellStyle name="Normal 3 5 5" xfId="872" xr:uid="{86B93AFE-65F2-4776-9DA7-7406993BD7C3}"/>
    <cellStyle name="Normal 3 5 5 2" xfId="2443" xr:uid="{9E555C1D-98AE-4176-AF1A-3603DDA78B23}"/>
    <cellStyle name="Normal 3 5 5 2 2" xfId="5613" xr:uid="{73BF19A7-89A5-48CA-A947-FCCECA56C24D}"/>
    <cellStyle name="Normal 3 5 5 2 2 2" xfId="11952" xr:uid="{2165229F-1AE3-4BF4-AEBB-00FA7262752D}"/>
    <cellStyle name="Normal 3 5 5 2 3" xfId="8784" xr:uid="{D2BFD24E-409E-4E07-9C48-652FF96A32B2}"/>
    <cellStyle name="Normal 3 5 5 3" xfId="4044" xr:uid="{C22F7DBB-6D31-4F18-A253-D35981F53342}"/>
    <cellStyle name="Normal 3 5 5 3 2" xfId="10383" xr:uid="{5E60A31B-7D31-48AC-9284-8A6156479068}"/>
    <cellStyle name="Normal 3 5 5 4" xfId="7215" xr:uid="{0EEB7FFF-0E88-4A4E-BA25-A87B006966BD}"/>
    <cellStyle name="Normal 3 5 6" xfId="1671" xr:uid="{21995858-6411-4A5E-9FCD-B8EF2E6741F9}"/>
    <cellStyle name="Normal 3 5 6 2" xfId="4841" xr:uid="{B324B3EE-AF1F-4E34-85AE-FE16300535E4}"/>
    <cellStyle name="Normal 3 5 6 2 2" xfId="11180" xr:uid="{7D8A2E9B-7D5B-423E-9336-FE600160838F}"/>
    <cellStyle name="Normal 3 5 6 3" xfId="8012" xr:uid="{E14B5337-7F93-42F5-94B8-0BF369280FE4}"/>
    <cellStyle name="Normal 3 5 7" xfId="3247" xr:uid="{F98C52C7-AF00-40CA-9610-DEBB34BCB637}"/>
    <cellStyle name="Normal 3 5 7 2" xfId="9586" xr:uid="{1503DA6F-CA93-4279-951B-062F24C295CE}"/>
    <cellStyle name="Normal 3 5 8" xfId="6418" xr:uid="{2CCABF39-7E18-420C-A659-842243370ABD}"/>
    <cellStyle name="Normal 3 6" xfId="57" xr:uid="{AD2B4CEF-D308-49E3-9DD3-AE765B798254}"/>
    <cellStyle name="Normal 3 6 2" xfId="281" xr:uid="{1B3E76F4-69D7-4ABB-92EB-EAC5236A6E91}"/>
    <cellStyle name="Normal 3 6 2 2" xfId="671" xr:uid="{E321AAE8-3160-46DA-9041-950DC3AFB0B0}"/>
    <cellStyle name="Normal 3 6 2 2 2" xfId="1470" xr:uid="{70C0C785-0F72-459F-996F-ED590492489D}"/>
    <cellStyle name="Normal 3 6 2 2 2 2" xfId="3041" xr:uid="{76D71CF4-3AA4-41AF-A816-3311BEADE4A6}"/>
    <cellStyle name="Normal 3 6 2 2 2 2 2" xfId="6211" xr:uid="{847BE9B7-109A-4C6F-AA0E-E8DA5CC479A2}"/>
    <cellStyle name="Normal 3 6 2 2 2 2 2 2" xfId="12550" xr:uid="{D53221AC-26D1-4D0C-8DD6-4670881B5A4A}"/>
    <cellStyle name="Normal 3 6 2 2 2 2 3" xfId="9382" xr:uid="{751C349F-427D-4527-9B0C-290B9463B104}"/>
    <cellStyle name="Normal 3 6 2 2 2 3" xfId="4642" xr:uid="{749B2CD9-251F-4DE8-8A2B-297AE7404654}"/>
    <cellStyle name="Normal 3 6 2 2 2 3 2" xfId="10981" xr:uid="{D6BC1389-CF10-43D1-AFF9-8F6E44163A99}"/>
    <cellStyle name="Normal 3 6 2 2 2 4" xfId="7813" xr:uid="{B42A1292-B92D-4EE1-85E2-B1B0599A135A}"/>
    <cellStyle name="Normal 3 6 2 2 3" xfId="2244" xr:uid="{7DED385E-FBD3-4BBD-B8EB-EED575BD488B}"/>
    <cellStyle name="Normal 3 6 2 2 3 2" xfId="5414" xr:uid="{EB87935C-C198-42D4-BA1F-0EB0966C8677}"/>
    <cellStyle name="Normal 3 6 2 2 3 2 2" xfId="11753" xr:uid="{4304BA39-5369-4FB1-B46D-279D0DDDE4C6}"/>
    <cellStyle name="Normal 3 6 2 2 3 3" xfId="8585" xr:uid="{100560AA-041E-4A2B-A674-EFEC0EC3758D}"/>
    <cellStyle name="Normal 3 6 2 2 4" xfId="3845" xr:uid="{3F06C4A3-C609-4A53-B0BE-11D8EA3E475C}"/>
    <cellStyle name="Normal 3 6 2 2 4 2" xfId="10184" xr:uid="{FF4A671E-81E9-4634-9DCE-5DA369C99ADD}"/>
    <cellStyle name="Normal 3 6 2 2 5" xfId="7016" xr:uid="{7FBACE7E-00BA-40A7-91E8-F1B72A854D81}"/>
    <cellStyle name="Normal 3 6 2 3" xfId="1089" xr:uid="{A2D14328-850F-49DB-9253-8C4EB9B27364}"/>
    <cellStyle name="Normal 3 6 2 3 2" xfId="2660" xr:uid="{2DBF1F73-C6DC-4FF6-96DD-3AE70EA9C28A}"/>
    <cellStyle name="Normal 3 6 2 3 2 2" xfId="5830" xr:uid="{76C8CACB-EFBC-4C67-82B0-FFA2C3862962}"/>
    <cellStyle name="Normal 3 6 2 3 2 2 2" xfId="12169" xr:uid="{313C2FBB-FAF4-4BAD-95C8-CCE2D98B102E}"/>
    <cellStyle name="Normal 3 6 2 3 2 3" xfId="9001" xr:uid="{260C779D-A8ED-4F15-9E6A-910EEC14108B}"/>
    <cellStyle name="Normal 3 6 2 3 3" xfId="4261" xr:uid="{9D00E261-01FB-4201-89CE-826488D0C03E}"/>
    <cellStyle name="Normal 3 6 2 3 3 2" xfId="10600" xr:uid="{CD3BBBFF-6C74-40FD-8808-89CC45E5490B}"/>
    <cellStyle name="Normal 3 6 2 3 4" xfId="7432" xr:uid="{F375FF42-AEB4-469A-8F19-7E67B58F9DF8}"/>
    <cellStyle name="Normal 3 6 2 4" xfId="1863" xr:uid="{3440EE56-3D22-4CC7-BCE2-F41CEF710EDB}"/>
    <cellStyle name="Normal 3 6 2 4 2" xfId="5033" xr:uid="{F0B68E21-BED1-4A57-8F56-1C2A7816037B}"/>
    <cellStyle name="Normal 3 6 2 4 2 2" xfId="11372" xr:uid="{0EE31281-CABC-407F-BBB4-3FEB433C8D33}"/>
    <cellStyle name="Normal 3 6 2 4 3" xfId="8204" xr:uid="{0E387B81-B04B-4C01-9128-3D3CAB85DA63}"/>
    <cellStyle name="Normal 3 6 2 5" xfId="3464" xr:uid="{9892EB7F-F14B-4FBD-AE46-DD4CD3B48020}"/>
    <cellStyle name="Normal 3 6 2 5 2" xfId="9803" xr:uid="{9EB4CC26-2E59-4DAB-B935-FC261188EACE}"/>
    <cellStyle name="Normal 3 6 2 6" xfId="6635" xr:uid="{7979E6D3-A3FE-44E2-9599-6E5A5F59CF62}"/>
    <cellStyle name="Normal 3 6 3" xfId="488" xr:uid="{87680129-44D0-4F93-8F64-C9D727F1F1AE}"/>
    <cellStyle name="Normal 3 6 3 2" xfId="1287" xr:uid="{F0DF3721-D34C-4EE6-9F26-B1A77D4BFEFD}"/>
    <cellStyle name="Normal 3 6 3 2 2" xfId="2858" xr:uid="{66B96EC0-6242-4418-8D70-F57360301C61}"/>
    <cellStyle name="Normal 3 6 3 2 2 2" xfId="6028" xr:uid="{3DF037F9-EE42-4B97-ADD8-ADF35864321A}"/>
    <cellStyle name="Normal 3 6 3 2 2 2 2" xfId="12367" xr:uid="{4DA41085-4A43-438C-ACC9-858BFD6B105A}"/>
    <cellStyle name="Normal 3 6 3 2 2 3" xfId="9199" xr:uid="{3CD51204-6086-402E-AD1C-9DA28082E233}"/>
    <cellStyle name="Normal 3 6 3 2 3" xfId="4459" xr:uid="{CC32F0AF-559D-4E09-B563-792B7E20A1EC}"/>
    <cellStyle name="Normal 3 6 3 2 3 2" xfId="10798" xr:uid="{1CA5E57C-3BBB-4934-AE67-58F995C6061A}"/>
    <cellStyle name="Normal 3 6 3 2 4" xfId="7630" xr:uid="{9D26E888-C6F3-4D93-8E0A-285004484CD8}"/>
    <cellStyle name="Normal 3 6 3 3" xfId="2061" xr:uid="{E45ED151-485C-4A31-864A-B22E78550862}"/>
    <cellStyle name="Normal 3 6 3 3 2" xfId="5231" xr:uid="{5D229939-2B49-4204-BD94-1645C060EB75}"/>
    <cellStyle name="Normal 3 6 3 3 2 2" xfId="11570" xr:uid="{F497B0C4-5C63-4D47-8BDF-0D2CF32EE441}"/>
    <cellStyle name="Normal 3 6 3 3 3" xfId="8402" xr:uid="{3D828CFC-FC8E-451D-9605-4E1223D0DE08}"/>
    <cellStyle name="Normal 3 6 3 4" xfId="3662" xr:uid="{C8F7A386-CB5B-4AF6-9941-DF30302423B8}"/>
    <cellStyle name="Normal 3 6 3 4 2" xfId="10001" xr:uid="{301F562D-57BB-473B-822F-327AD841113A}"/>
    <cellStyle name="Normal 3 6 3 5" xfId="6833" xr:uid="{5D7DAF54-62ED-4F7F-871C-10699A604ACC}"/>
    <cellStyle name="Normal 3 6 4" xfId="886" xr:uid="{0A2231AC-31A5-4AC4-B1EB-C222FE6E1375}"/>
    <cellStyle name="Normal 3 6 4 2" xfId="2457" xr:uid="{6E1AEFA2-A8C4-4B00-9181-3E11238815A2}"/>
    <cellStyle name="Normal 3 6 4 2 2" xfId="5627" xr:uid="{C2DC6173-A994-43D2-92E2-F7925BA4597E}"/>
    <cellStyle name="Normal 3 6 4 2 2 2" xfId="11966" xr:uid="{77CEA41B-D50D-4878-AE34-1C98D9BEAA60}"/>
    <cellStyle name="Normal 3 6 4 2 3" xfId="8798" xr:uid="{C57D60EF-CD99-4E97-A81D-6232B1D81C55}"/>
    <cellStyle name="Normal 3 6 4 3" xfId="4058" xr:uid="{1068B219-34F2-4460-99D5-9ED5ECA7C6E2}"/>
    <cellStyle name="Normal 3 6 4 3 2" xfId="10397" xr:uid="{FDFE77F7-833F-4520-803D-CDAE3DA3D4C7}"/>
    <cellStyle name="Normal 3 6 4 4" xfId="7229" xr:uid="{8D7D48FE-7411-481F-891B-9AA75E628FA9}"/>
    <cellStyle name="Normal 3 6 5" xfId="1683" xr:uid="{149831FC-F107-4C43-94CC-85B623C01711}"/>
    <cellStyle name="Normal 3 6 5 2" xfId="4853" xr:uid="{887293C3-1A20-4115-BAEB-7D83F90288CE}"/>
    <cellStyle name="Normal 3 6 5 2 2" xfId="11192" xr:uid="{40D96DCE-B20C-4DC8-825F-42A87F7305BB}"/>
    <cellStyle name="Normal 3 6 5 3" xfId="8024" xr:uid="{BD032463-4B86-437E-A8F7-1DDBFBD861C6}"/>
    <cellStyle name="Normal 3 6 6" xfId="3261" xr:uid="{F3E09FF9-EB7D-4A8C-8A9B-D43D239042BB}"/>
    <cellStyle name="Normal 3 6 6 2" xfId="9600" xr:uid="{CFA80017-7DF3-4970-8C0A-F4CFC7DDE17F}"/>
    <cellStyle name="Normal 3 6 7" xfId="6432" xr:uid="{08CA6086-9B8F-4E98-96D9-5F011EB66259}"/>
    <cellStyle name="Normal 3 7" xfId="146" xr:uid="{49FB2B5B-16A1-484E-8860-21E1B98EDED5}"/>
    <cellStyle name="Normal 3 7 2" xfId="363" xr:uid="{6B60E6D1-3019-49D6-8053-89546AB4571D}"/>
    <cellStyle name="Normal 3 7 2 2" xfId="744" xr:uid="{CF3A5001-0C67-490A-ADBF-F97B314AC5AF}"/>
    <cellStyle name="Normal 3 7 2 2 2" xfId="1543" xr:uid="{FE60AC33-3253-46FD-BA7D-E60B134D975B}"/>
    <cellStyle name="Normal 3 7 2 2 2 2" xfId="3114" xr:uid="{EB1C5A8D-10C0-48D1-BCE1-F1FA45904260}"/>
    <cellStyle name="Normal 3 7 2 2 2 2 2" xfId="6284" xr:uid="{FF38B6DE-EE3F-4F87-BB5A-E53525D442F2}"/>
    <cellStyle name="Normal 3 7 2 2 2 2 2 2" xfId="12623" xr:uid="{D43B37B9-110D-4A98-933D-9EE4B8B78AC1}"/>
    <cellStyle name="Normal 3 7 2 2 2 2 3" xfId="9455" xr:uid="{AB94CEC0-8470-421C-90AC-8300CBE50F2A}"/>
    <cellStyle name="Normal 3 7 2 2 2 3" xfId="4715" xr:uid="{B7B695B5-86E7-42FF-AB89-D861D3BC0196}"/>
    <cellStyle name="Normal 3 7 2 2 2 3 2" xfId="11054" xr:uid="{CB4F4CE1-100D-4B19-A743-C783198F4F58}"/>
    <cellStyle name="Normal 3 7 2 2 2 4" xfId="7886" xr:uid="{F354E2F7-C7D1-4A1A-8FD3-B92A32BE0BF3}"/>
    <cellStyle name="Normal 3 7 2 2 3" xfId="2317" xr:uid="{BD1AA399-053B-4674-84A8-8F10E6650135}"/>
    <cellStyle name="Normal 3 7 2 2 3 2" xfId="5487" xr:uid="{75E95DD6-0619-44EE-B200-5C6589A6FEB6}"/>
    <cellStyle name="Normal 3 7 2 2 3 2 2" xfId="11826" xr:uid="{E52F78F0-11AE-4A8D-AE04-529715B941A6}"/>
    <cellStyle name="Normal 3 7 2 2 3 3" xfId="8658" xr:uid="{B9A6C25D-32F1-45F0-8AEB-8992EEE601B7}"/>
    <cellStyle name="Normal 3 7 2 2 4" xfId="3918" xr:uid="{D023DF76-6875-422F-85EB-C1454E184567}"/>
    <cellStyle name="Normal 3 7 2 2 4 2" xfId="10257" xr:uid="{51A43EA6-DA5E-4982-B4E4-B1132661891F}"/>
    <cellStyle name="Normal 3 7 2 2 5" xfId="7089" xr:uid="{2761F837-E20B-4406-86DE-097096507283}"/>
    <cellStyle name="Normal 3 7 2 3" xfId="1162" xr:uid="{9915B121-B032-47CC-BC91-FD11D7EE2DD1}"/>
    <cellStyle name="Normal 3 7 2 3 2" xfId="2733" xr:uid="{01662F82-73DA-4128-8B5D-0E25BECF2C11}"/>
    <cellStyle name="Normal 3 7 2 3 2 2" xfId="5903" xr:uid="{CB767D56-2307-4F48-B8BA-508F65E1EB0E}"/>
    <cellStyle name="Normal 3 7 2 3 2 2 2" xfId="12242" xr:uid="{3B05EFDC-2074-4317-A8DA-D0DC2AA78389}"/>
    <cellStyle name="Normal 3 7 2 3 2 3" xfId="9074" xr:uid="{F7F365E2-9756-4301-B549-CAC3B5BD0696}"/>
    <cellStyle name="Normal 3 7 2 3 3" xfId="4334" xr:uid="{7401EDFB-91E9-4DF8-90E5-8CAD49E9ECF9}"/>
    <cellStyle name="Normal 3 7 2 3 3 2" xfId="10673" xr:uid="{CA9469F5-946D-4503-9971-EA5831F0065E}"/>
    <cellStyle name="Normal 3 7 2 3 4" xfId="7505" xr:uid="{3788AC3A-6626-448C-B7D4-7EB321EA9BFC}"/>
    <cellStyle name="Normal 3 7 2 4" xfId="1936" xr:uid="{59F84F84-895D-4987-9EFA-C7F2AE4BBC5A}"/>
    <cellStyle name="Normal 3 7 2 4 2" xfId="5106" xr:uid="{3D32BCF4-8DEE-4777-B83C-88DE16094095}"/>
    <cellStyle name="Normal 3 7 2 4 2 2" xfId="11445" xr:uid="{02AA1CEA-6794-4690-8610-B481156AF2F4}"/>
    <cellStyle name="Normal 3 7 2 4 3" xfId="8277" xr:uid="{7968C34B-4337-4CAD-BEFC-3DA1BF504E5F}"/>
    <cellStyle name="Normal 3 7 2 5" xfId="3537" xr:uid="{AAE08D3F-D28D-44D7-95BD-3CEBADC0509F}"/>
    <cellStyle name="Normal 3 7 2 5 2" xfId="9876" xr:uid="{E1041553-863A-4BB4-8F1E-F5112536E77F}"/>
    <cellStyle name="Normal 3 7 2 6" xfId="6708" xr:uid="{6D4BC40B-9DF3-4E51-AC38-568CC3664BB3}"/>
    <cellStyle name="Normal 3 7 3" xfId="541" xr:uid="{42EB998B-A615-448B-A907-696FE2392487}"/>
    <cellStyle name="Normal 3 7 3 2" xfId="1340" xr:uid="{41D0C5F5-FF16-4DF0-8625-30C2A3ABDF75}"/>
    <cellStyle name="Normal 3 7 3 2 2" xfId="2911" xr:uid="{BE040A05-85B4-4086-9064-4D5300884AC8}"/>
    <cellStyle name="Normal 3 7 3 2 2 2" xfId="6081" xr:uid="{F7142A30-29E4-413E-A251-88131C11F01C}"/>
    <cellStyle name="Normal 3 7 3 2 2 2 2" xfId="12420" xr:uid="{B48B543D-6AF0-46C3-8D53-44FB92A246F4}"/>
    <cellStyle name="Normal 3 7 3 2 2 3" xfId="9252" xr:uid="{A530678D-2A7D-45B7-9545-E83CB29BE05D}"/>
    <cellStyle name="Normal 3 7 3 2 3" xfId="4512" xr:uid="{2BAE5B9F-9A8E-4768-8FD5-C9A292DE2A26}"/>
    <cellStyle name="Normal 3 7 3 2 3 2" xfId="10851" xr:uid="{D880938E-10CB-482A-800F-A4FB4A874A24}"/>
    <cellStyle name="Normal 3 7 3 2 4" xfId="7683" xr:uid="{CA5CF782-19C8-4412-8144-19867CD8A79F}"/>
    <cellStyle name="Normal 3 7 3 3" xfId="2114" xr:uid="{7FF44E2B-6755-44D8-A7F5-E8DA5B798ECB}"/>
    <cellStyle name="Normal 3 7 3 3 2" xfId="5284" xr:uid="{26DF033C-804F-4446-BF8E-253506448085}"/>
    <cellStyle name="Normal 3 7 3 3 2 2" xfId="11623" xr:uid="{F60E5EE6-7BA7-40E5-BCFC-FF727D2E4EFD}"/>
    <cellStyle name="Normal 3 7 3 3 3" xfId="8455" xr:uid="{D43CBCBF-B964-49C9-9E26-A5ADFD29B9EE}"/>
    <cellStyle name="Normal 3 7 3 4" xfId="3715" xr:uid="{EE65FB9E-AD25-41DB-89B0-1FF76A2A63A4}"/>
    <cellStyle name="Normal 3 7 3 4 2" xfId="10054" xr:uid="{C6EA4B64-630E-4D16-9728-68BFE9BC1520}"/>
    <cellStyle name="Normal 3 7 3 5" xfId="6886" xr:uid="{378BA888-123D-40F0-B397-161FC6A57807}"/>
    <cellStyle name="Normal 3 7 4" xfId="959" xr:uid="{8C62F56A-140E-4425-AA40-09DD194BE038}"/>
    <cellStyle name="Normal 3 7 4 2" xfId="2530" xr:uid="{15CDD292-7C5D-46B0-A7A5-CCCBDF82B55A}"/>
    <cellStyle name="Normal 3 7 4 2 2" xfId="5700" xr:uid="{34C6EE70-D5A1-4AE3-99FB-B1DE0A758475}"/>
    <cellStyle name="Normal 3 7 4 2 2 2" xfId="12039" xr:uid="{C0D27FCE-4DC7-48AD-8295-E6EB75F8A494}"/>
    <cellStyle name="Normal 3 7 4 2 3" xfId="8871" xr:uid="{CE65053C-EBF6-4074-ACCA-27A049743C00}"/>
    <cellStyle name="Normal 3 7 4 3" xfId="4131" xr:uid="{767412B0-B60D-4674-B32D-A1BAB7898A69}"/>
    <cellStyle name="Normal 3 7 4 3 2" xfId="10470" xr:uid="{A605A6F7-FE0E-431E-81BB-975DA0FBC73F}"/>
    <cellStyle name="Normal 3 7 4 4" xfId="7302" xr:uid="{26F2540C-9505-43DF-A443-A8FA7C701788}"/>
    <cellStyle name="Normal 3 7 5" xfId="1733" xr:uid="{77878F26-8293-4FE2-87A6-C9DFC3F3C54B}"/>
    <cellStyle name="Normal 3 7 5 2" xfId="4903" xr:uid="{CA35E67C-83A7-4BCA-8F4C-F995DEEDC9B4}"/>
    <cellStyle name="Normal 3 7 5 2 2" xfId="11242" xr:uid="{2C92DBB3-B6CB-461A-9791-852E25BE5EA2}"/>
    <cellStyle name="Normal 3 7 5 3" xfId="8074" xr:uid="{3652BF49-2828-4F0F-8232-9A091442B21D}"/>
    <cellStyle name="Normal 3 7 6" xfId="3334" xr:uid="{54677D6D-0930-440E-BAAE-C3A552B76603}"/>
    <cellStyle name="Normal 3 7 6 2" xfId="9673" xr:uid="{A500E753-7956-4101-BECA-467A52E435EC}"/>
    <cellStyle name="Normal 3 7 7" xfId="6505" xr:uid="{753B4547-F157-4C40-8EEC-2541381B73B2}"/>
    <cellStyle name="Normal 3 8" xfId="232" xr:uid="{8D1ACC23-E3D6-4A2A-8AE9-D88F176F12BD}"/>
    <cellStyle name="Normal 3 8 2" xfId="626" xr:uid="{D1751AC2-A19B-4E2C-99CE-46AE15B61EE2}"/>
    <cellStyle name="Normal 3 8 2 2" xfId="1425" xr:uid="{8F1C66E0-93BB-42CD-B98C-C049ED9BFB1A}"/>
    <cellStyle name="Normal 3 8 2 2 2" xfId="2996" xr:uid="{0A84922A-4885-4CF2-A15C-96CFE8FA3A59}"/>
    <cellStyle name="Normal 3 8 2 2 2 2" xfId="6166" xr:uid="{F64E06EE-FB8F-4BDF-AEC3-8E18CA3005DF}"/>
    <cellStyle name="Normal 3 8 2 2 2 2 2" xfId="12505" xr:uid="{EA4DA60C-BF91-4446-A0E3-E477D2741DF8}"/>
    <cellStyle name="Normal 3 8 2 2 2 3" xfId="9337" xr:uid="{C199E5C6-A776-4A11-89C8-22318480AE58}"/>
    <cellStyle name="Normal 3 8 2 2 3" xfId="4597" xr:uid="{FC035A3F-2D5B-4B2A-AFEB-8C2674B7B6E6}"/>
    <cellStyle name="Normal 3 8 2 2 3 2" xfId="10936" xr:uid="{3B80FB06-510D-4168-81AD-96D036261239}"/>
    <cellStyle name="Normal 3 8 2 2 4" xfId="7768" xr:uid="{039022D0-9C9C-4DA2-BB88-2A3AD73EE00D}"/>
    <cellStyle name="Normal 3 8 2 3" xfId="2199" xr:uid="{C0827BE5-9EAE-422B-AA39-0DBE3341E153}"/>
    <cellStyle name="Normal 3 8 2 3 2" xfId="5369" xr:uid="{80346C61-962A-48BB-98EA-6079132C517D}"/>
    <cellStyle name="Normal 3 8 2 3 2 2" xfId="11708" xr:uid="{53A080AB-C7B1-4B79-A4AE-06CB7C160828}"/>
    <cellStyle name="Normal 3 8 2 3 3" xfId="8540" xr:uid="{02B6A39C-DA1E-4324-9EC7-66C2FA150AB0}"/>
    <cellStyle name="Normal 3 8 2 4" xfId="3800" xr:uid="{698B3408-18D4-45B9-B0BC-092DE3AB2636}"/>
    <cellStyle name="Normal 3 8 2 4 2" xfId="10139" xr:uid="{95BCE5D0-0AEE-49E1-A250-084C906297F3}"/>
    <cellStyle name="Normal 3 8 2 5" xfId="6971" xr:uid="{4225BDDF-C7D5-4EDD-BC63-0D9A9084CFEE}"/>
    <cellStyle name="Normal 3 8 3" xfId="1044" xr:uid="{058BA1DC-E404-4DAB-AAF9-AE20E45342CA}"/>
    <cellStyle name="Normal 3 8 3 2" xfId="2615" xr:uid="{CF2574D8-E210-481E-9F2F-1665E6AC14B2}"/>
    <cellStyle name="Normal 3 8 3 2 2" xfId="5785" xr:uid="{B352D86C-A559-47D1-8199-D74376BB0147}"/>
    <cellStyle name="Normal 3 8 3 2 2 2" xfId="12124" xr:uid="{7C0108D5-72F6-4D0F-B0F9-F632818BB675}"/>
    <cellStyle name="Normal 3 8 3 2 3" xfId="8956" xr:uid="{B86ED8B7-A9E8-490B-A86E-7235A3C784A0}"/>
    <cellStyle name="Normal 3 8 3 3" xfId="4216" xr:uid="{0EA4A45F-BD67-46D3-A94B-1EE14E10C2C9}"/>
    <cellStyle name="Normal 3 8 3 3 2" xfId="10555" xr:uid="{61CD14D6-79FC-4F37-B151-9BD589AC8DFC}"/>
    <cellStyle name="Normal 3 8 3 4" xfId="7387" xr:uid="{7CA2A4D5-8434-4AE0-AEB6-BD1A4495A50F}"/>
    <cellStyle name="Normal 3 8 4" xfId="1818" xr:uid="{4AED5F3B-0D79-4885-8BB9-5D8B36F713C4}"/>
    <cellStyle name="Normal 3 8 4 2" xfId="4988" xr:uid="{EA5BA450-5B0B-4F2D-BD2B-FDBB51A42CB6}"/>
    <cellStyle name="Normal 3 8 4 2 2" xfId="11327" xr:uid="{0BB87A49-102A-4079-8CB0-0D26DA5C36CC}"/>
    <cellStyle name="Normal 3 8 4 3" xfId="8159" xr:uid="{0E82A6BC-D318-4A0F-A2FB-A76373CE7949}"/>
    <cellStyle name="Normal 3 8 5" xfId="3419" xr:uid="{E61D2B89-D2CC-42B7-9C15-0F346C1DDDE7}"/>
    <cellStyle name="Normal 3 8 5 2" xfId="9758" xr:uid="{AB815BFB-5D94-4715-BB20-68D9CFD27DC3}"/>
    <cellStyle name="Normal 3 8 6" xfId="6590" xr:uid="{E66CE8D6-E312-41BB-866A-53B051FE7FFF}"/>
    <cellStyle name="Normal 3 9" xfId="450" xr:uid="{26FEAC63-61B5-4C18-B940-7270367D1332}"/>
    <cellStyle name="Normal 3 9 2" xfId="1249" xr:uid="{57234ECB-E28E-4CD6-B31F-3783CA4FA9BF}"/>
    <cellStyle name="Normal 3 9 2 2" xfId="2820" xr:uid="{79E1F639-6287-4908-BE78-52BB48732FE4}"/>
    <cellStyle name="Normal 3 9 2 2 2" xfId="5990" xr:uid="{854A90C8-6352-48E9-8269-B99B74E64745}"/>
    <cellStyle name="Normal 3 9 2 2 2 2" xfId="12329" xr:uid="{AA02E224-6975-4AEA-AE62-8EA515B48598}"/>
    <cellStyle name="Normal 3 9 2 2 3" xfId="9161" xr:uid="{331B7D5D-D14D-41CE-8C00-45F742A87435}"/>
    <cellStyle name="Normal 3 9 2 3" xfId="4421" xr:uid="{CB6AC33A-C3B7-4528-9628-E95FC4751D5B}"/>
    <cellStyle name="Normal 3 9 2 3 2" xfId="10760" xr:uid="{03002EE1-C663-4E4C-A6E1-11BBA77E5E2A}"/>
    <cellStyle name="Normal 3 9 2 4" xfId="7592" xr:uid="{498FFD1A-305F-4A43-A03F-1074164F4018}"/>
    <cellStyle name="Normal 3 9 3" xfId="2023" xr:uid="{69863851-D978-4E39-880B-0E7D307F1644}"/>
    <cellStyle name="Normal 3 9 3 2" xfId="5193" xr:uid="{A49269FD-5BA3-4C1D-A2BC-51B5B27F17DF}"/>
    <cellStyle name="Normal 3 9 3 2 2" xfId="11532" xr:uid="{48FB5B51-A799-46EB-9BC4-99E75D1D234A}"/>
    <cellStyle name="Normal 3 9 3 3" xfId="8364" xr:uid="{C6809DDF-7824-41F8-96B4-5321145A769C}"/>
    <cellStyle name="Normal 3 9 4" xfId="3624" xr:uid="{A64B4763-FE8E-48B6-BC83-7BECE2C6E070}"/>
    <cellStyle name="Normal 3 9 4 2" xfId="9963" xr:uid="{51EA0CF0-4E30-4B8B-AFC8-849CC294CF3E}"/>
    <cellStyle name="Normal 3 9 5" xfId="6795" xr:uid="{B4BB92E5-C13E-45F3-9AB0-11DC803B85EA}"/>
    <cellStyle name="Normal 30" xfId="1643" xr:uid="{9B660DD2-8BCF-4CB1-9D66-CFD2ED4A9445}"/>
    <cellStyle name="Normal 30 2" xfId="4813" xr:uid="{FD1A6211-C5CA-446D-B817-59D7096224A6}"/>
    <cellStyle name="Normal 30 2 2" xfId="11152" xr:uid="{AB7A48AB-53B6-4D69-9436-09508FD7B1CD}"/>
    <cellStyle name="Normal 30 3" xfId="7984" xr:uid="{52D926C8-BDDF-4B7B-BFA9-E9FD8E334D0F}"/>
    <cellStyle name="Normal 31" xfId="3213" xr:uid="{CB208C4A-BF2E-49F5-8BAC-AB5BD0CEC222}"/>
    <cellStyle name="Normal 32" xfId="3212" xr:uid="{023363D8-2246-4C84-9F71-2D3EE453DAC1}"/>
    <cellStyle name="Normal 32 2" xfId="9553" xr:uid="{DACBA8F6-47D2-4644-AA8C-BC0E0FC528E9}"/>
    <cellStyle name="Normal 33" xfId="6383" xr:uid="{16819EA6-E243-4C6B-B6DB-4FE157582456}"/>
    <cellStyle name="Normal 34" xfId="6384" xr:uid="{C0416151-4296-4E4C-815A-A25D2A8A4612}"/>
    <cellStyle name="Normal 4" xfId="4" xr:uid="{00000000-0005-0000-0000-000004000000}"/>
    <cellStyle name="Normal 4 10" xfId="6387" xr:uid="{F06FCF9B-05FD-4679-8331-416E43F4B51E}"/>
    <cellStyle name="Normal 4 2" xfId="9" xr:uid="{36C9EF72-3B61-4C3F-AC28-6607F647CA9B}"/>
    <cellStyle name="Normal 4 2 2" xfId="72" xr:uid="{679F43A0-8F31-4DD6-B719-61110998E0B0}"/>
    <cellStyle name="Normal 4 2 3" xfId="237" xr:uid="{0B9DEE8F-3D6B-45D8-9D56-2A45871A7130}"/>
    <cellStyle name="Normal 4 2 3 2" xfId="631" xr:uid="{2405A2B3-0DB7-4C86-8B94-A36E27A6726E}"/>
    <cellStyle name="Normal 4 2 3 2 2" xfId="1430" xr:uid="{4B9D8AA8-25CF-455A-BA7B-426DF45C0CB6}"/>
    <cellStyle name="Normal 4 2 3 2 2 2" xfId="3001" xr:uid="{63D4E225-42F1-4293-AA58-D1312E43CC17}"/>
    <cellStyle name="Normal 4 2 3 2 2 2 2" xfId="6171" xr:uid="{9A0FF323-AD89-4173-AC12-7684B870275D}"/>
    <cellStyle name="Normal 4 2 3 2 2 2 2 2" xfId="12510" xr:uid="{CE202237-1D67-4D67-B994-BB559540779A}"/>
    <cellStyle name="Normal 4 2 3 2 2 2 3" xfId="9342" xr:uid="{84EBCB9E-C20E-43FC-A529-929E963EB408}"/>
    <cellStyle name="Normal 4 2 3 2 2 3" xfId="4602" xr:uid="{31115328-5587-458A-8342-8EB988DE641F}"/>
    <cellStyle name="Normal 4 2 3 2 2 3 2" xfId="10941" xr:uid="{D5D081BA-C758-4D3E-8B3C-B216887FE0DD}"/>
    <cellStyle name="Normal 4 2 3 2 2 4" xfId="7773" xr:uid="{8BA2A039-FBB0-487F-AAFE-17FADF883F99}"/>
    <cellStyle name="Normal 4 2 3 2 3" xfId="2204" xr:uid="{85520C72-9646-4B5E-8B8C-E0208ACA759D}"/>
    <cellStyle name="Normal 4 2 3 2 3 2" xfId="5374" xr:uid="{5AB1E659-AE7B-410D-A971-ED5573DAD4F5}"/>
    <cellStyle name="Normal 4 2 3 2 3 2 2" xfId="11713" xr:uid="{4C3B4817-82A2-4408-808C-56374DCFF3C7}"/>
    <cellStyle name="Normal 4 2 3 2 3 3" xfId="8545" xr:uid="{1FD2C79C-9015-4054-ABA7-23C8AF5200D9}"/>
    <cellStyle name="Normal 4 2 3 2 4" xfId="3805" xr:uid="{FB51ACDE-28C3-4E3E-AF6F-D947F3A5920B}"/>
    <cellStyle name="Normal 4 2 3 2 4 2" xfId="10144" xr:uid="{EFD8DF6D-1A5D-4E15-9952-5608003F56F0}"/>
    <cellStyle name="Normal 4 2 3 2 5" xfId="6976" xr:uid="{24509142-EE08-41C2-A017-59EA372C26EF}"/>
    <cellStyle name="Normal 4 2 3 3" xfId="1049" xr:uid="{6EFEA302-A5C3-454E-9DE3-F23DEAC69EDF}"/>
    <cellStyle name="Normal 4 2 3 3 2" xfId="2620" xr:uid="{644A71E5-FE70-4C14-843C-9D6C6B6C255A}"/>
    <cellStyle name="Normal 4 2 3 3 2 2" xfId="5790" xr:uid="{597134BD-B655-49E5-B4CD-121F9F38D694}"/>
    <cellStyle name="Normal 4 2 3 3 2 2 2" xfId="12129" xr:uid="{2EB587B2-BC0C-4048-A9B7-D44C82C4A850}"/>
    <cellStyle name="Normal 4 2 3 3 2 3" xfId="8961" xr:uid="{FD57E459-B559-42E6-AA20-398FBDC4576D}"/>
    <cellStyle name="Normal 4 2 3 3 3" xfId="4221" xr:uid="{B22CA46E-974B-49DD-A6C3-94EC3FEABD51}"/>
    <cellStyle name="Normal 4 2 3 3 3 2" xfId="10560" xr:uid="{D04B1A66-5454-4731-933C-22007A653372}"/>
    <cellStyle name="Normal 4 2 3 3 4" xfId="7392" xr:uid="{49F52D7C-6731-4722-9BC6-70BA10ECEF2E}"/>
    <cellStyle name="Normal 4 2 3 4" xfId="1823" xr:uid="{FE3447AD-DE5F-47A6-86C8-BD093CCB65D6}"/>
    <cellStyle name="Normal 4 2 3 4 2" xfId="4993" xr:uid="{821D438D-D6F8-4616-BF60-690106ADDD73}"/>
    <cellStyle name="Normal 4 2 3 4 2 2" xfId="11332" xr:uid="{6350354F-6E7F-427E-A98C-511FBEDF58CE}"/>
    <cellStyle name="Normal 4 2 3 4 3" xfId="8164" xr:uid="{E6C5F691-07CF-4476-ABB8-101CAA2E3BD3}"/>
    <cellStyle name="Normal 4 2 3 5" xfId="3424" xr:uid="{F6A082F6-AD88-43BC-96A4-B3DA6F612C35}"/>
    <cellStyle name="Normal 4 2 3 5 2" xfId="9763" xr:uid="{29101E13-85F0-4495-9E10-5AFFD2F45000}"/>
    <cellStyle name="Normal 4 2 3 6" xfId="6595" xr:uid="{25B06FB6-B051-48CC-8D7C-59D98BD897D3}"/>
    <cellStyle name="Normal 4 2 4" xfId="454" xr:uid="{C02C393F-9422-40A6-8B11-CE7C25AAB4DE}"/>
    <cellStyle name="Normal 4 2 4 2" xfId="1253" xr:uid="{CC869437-0FDB-48DD-B5D5-18E80D248F44}"/>
    <cellStyle name="Normal 4 2 4 2 2" xfId="2824" xr:uid="{56C07504-3A0D-4389-B929-A1A9438A784B}"/>
    <cellStyle name="Normal 4 2 4 2 2 2" xfId="5994" xr:uid="{2CE7AB29-5166-461C-BE3C-D78645E54C2F}"/>
    <cellStyle name="Normal 4 2 4 2 2 2 2" xfId="12333" xr:uid="{E9924057-9A53-4933-A8FA-B5FB5CC830F7}"/>
    <cellStyle name="Normal 4 2 4 2 2 3" xfId="9165" xr:uid="{48D04300-CC24-461C-B8B7-A21D0F30ACB2}"/>
    <cellStyle name="Normal 4 2 4 2 3" xfId="4425" xr:uid="{91514BC4-4C27-4A02-A5DF-E090C0C15DD9}"/>
    <cellStyle name="Normal 4 2 4 2 3 2" xfId="10764" xr:uid="{5EAF5E1C-F8FE-4FAC-9041-2CA7EB712D8B}"/>
    <cellStyle name="Normal 4 2 4 2 4" xfId="7596" xr:uid="{88FE4581-5A96-4ABF-9FB6-54EE6DA0F4B8}"/>
    <cellStyle name="Normal 4 2 4 3" xfId="2027" xr:uid="{87DFF206-3BC9-4C46-808C-8460AE581571}"/>
    <cellStyle name="Normal 4 2 4 3 2" xfId="5197" xr:uid="{357E627B-90D1-47ED-9D79-A3C9D97BD279}"/>
    <cellStyle name="Normal 4 2 4 3 2 2" xfId="11536" xr:uid="{2FA5696E-F603-4AAC-8283-3928D9543C6A}"/>
    <cellStyle name="Normal 4 2 4 3 3" xfId="8368" xr:uid="{661C2C51-707F-4EB2-BD71-DE3DF8069CA4}"/>
    <cellStyle name="Normal 4 2 4 4" xfId="3628" xr:uid="{CC35BA83-F039-4216-8A2B-258B94EA8384}"/>
    <cellStyle name="Normal 4 2 4 4 2" xfId="9967" xr:uid="{466F5455-9789-4F56-AE03-1194AB532745}"/>
    <cellStyle name="Normal 4 2 4 5" xfId="6799" xr:uid="{DB8FC3C3-AC47-4D34-8841-D1390E8FEF49}"/>
    <cellStyle name="Normal 4 2 5" xfId="845" xr:uid="{3453612B-84EB-442C-9539-F3A25B11CC47}"/>
    <cellStyle name="Normal 4 2 5 2" xfId="2417" xr:uid="{5561A417-4ECC-465B-ABD5-4576FDCD8F7E}"/>
    <cellStyle name="Normal 4 2 5 2 2" xfId="5587" xr:uid="{082F0B43-B675-4FC0-BBA4-7A22F738EF37}"/>
    <cellStyle name="Normal 4 2 5 2 2 2" xfId="11926" xr:uid="{361F6D74-4BAE-4D9C-B2D1-A0EE65229B92}"/>
    <cellStyle name="Normal 4 2 5 2 3" xfId="8758" xr:uid="{2200EBBE-4199-4A0E-ADB3-763978479C5A}"/>
    <cellStyle name="Normal 4 2 5 3" xfId="4018" xr:uid="{B9D5916A-2A03-409A-97AF-6ED903B046F3}"/>
    <cellStyle name="Normal 4 2 5 3 2" xfId="10357" xr:uid="{C7DF3DEF-9542-44EF-8211-CDA1C05AFE0D}"/>
    <cellStyle name="Normal 4 2 5 4" xfId="7189" xr:uid="{B0A30D1A-7A8C-40BE-9F32-309D293A12B9}"/>
    <cellStyle name="Normal 4 2 6" xfId="1650" xr:uid="{04A0843E-5272-4D3C-827F-41E95CF25FD0}"/>
    <cellStyle name="Normal 4 2 6 2" xfId="4820" xr:uid="{ED39C1DE-4494-4D2E-B2C5-65880EF6CDE2}"/>
    <cellStyle name="Normal 4 2 6 2 2" xfId="11159" xr:uid="{BE6B458F-8061-4CD4-A0A1-7DE601849D69}"/>
    <cellStyle name="Normal 4 2 6 3" xfId="7991" xr:uid="{8F06784B-2EDE-435E-84A9-CA4952F04012}"/>
    <cellStyle name="Normal 4 2 7" xfId="3220" xr:uid="{30D5C78A-F84E-417F-BEE2-7E6812CD604B}"/>
    <cellStyle name="Normal 4 2 7 2" xfId="9560" xr:uid="{CAB44FA3-0D15-4E32-9284-5B4546573A25}"/>
    <cellStyle name="Normal 4 2 8" xfId="6391" xr:uid="{8240C10D-8F4C-428D-85EE-1EA74573A3F7}"/>
    <cellStyle name="Normal 4 3" xfId="58" xr:uid="{08B2CE53-AAA3-4B07-9B8E-96CAE17CDCE5}"/>
    <cellStyle name="Normal 4 3 2" xfId="282" xr:uid="{3B29114F-EDEA-47B8-AAA4-566285C54491}"/>
    <cellStyle name="Normal 4 3 2 2" xfId="672" xr:uid="{2924239E-CED1-4CDF-928A-76625A26022D}"/>
    <cellStyle name="Normal 4 3 2 2 2" xfId="1471" xr:uid="{12698F94-EC55-4697-B651-8E5B4D2F534A}"/>
    <cellStyle name="Normal 4 3 2 2 2 2" xfId="3042" xr:uid="{A287E149-8508-4680-BF1F-93F2287CCB4F}"/>
    <cellStyle name="Normal 4 3 2 2 2 2 2" xfId="6212" xr:uid="{206FA6E8-9377-4B71-83BC-636E394E1E1E}"/>
    <cellStyle name="Normal 4 3 2 2 2 2 2 2" xfId="12551" xr:uid="{E2983E60-6771-45DA-91B9-F97FD4E3CDC1}"/>
    <cellStyle name="Normal 4 3 2 2 2 2 3" xfId="9383" xr:uid="{1FC65DDD-4033-4C60-8E2C-374B1C753EA2}"/>
    <cellStyle name="Normal 4 3 2 2 2 3" xfId="4643" xr:uid="{4655F0E8-76DE-4225-AC49-5FE3CC5BDF99}"/>
    <cellStyle name="Normal 4 3 2 2 2 3 2" xfId="10982" xr:uid="{29EE752D-475D-4FE0-A958-741A934DBA0C}"/>
    <cellStyle name="Normal 4 3 2 2 2 4" xfId="7814" xr:uid="{0885BDE3-A8E8-4DAF-AB8E-DE80EF4743B5}"/>
    <cellStyle name="Normal 4 3 2 2 3" xfId="2245" xr:uid="{DF56DF71-8DF1-48F9-99B8-3AB2284588AF}"/>
    <cellStyle name="Normal 4 3 2 2 3 2" xfId="5415" xr:uid="{44FD6B00-FD83-4A6F-A9E2-AD727EC6B647}"/>
    <cellStyle name="Normal 4 3 2 2 3 2 2" xfId="11754" xr:uid="{CA11DFB0-FFC0-4202-B768-D47AFC34F50B}"/>
    <cellStyle name="Normal 4 3 2 2 3 3" xfId="8586" xr:uid="{52B813AE-0972-45C7-8E1D-361EB47BFDEF}"/>
    <cellStyle name="Normal 4 3 2 2 4" xfId="3846" xr:uid="{48C5AD2F-20BB-4658-BF31-1BDC3BB085F3}"/>
    <cellStyle name="Normal 4 3 2 2 4 2" xfId="10185" xr:uid="{CFB44FD3-FB52-4BF7-AA24-40ADD1598808}"/>
    <cellStyle name="Normal 4 3 2 2 5" xfId="7017" xr:uid="{FC611EB4-ADBD-4972-8FA2-853811564E5B}"/>
    <cellStyle name="Normal 4 3 2 3" xfId="1090" xr:uid="{2015B509-65A8-4C63-B43B-C5755D368D95}"/>
    <cellStyle name="Normal 4 3 2 3 2" xfId="2661" xr:uid="{2AB44E9A-F3ED-4D94-8D7E-566A12B4AA65}"/>
    <cellStyle name="Normal 4 3 2 3 2 2" xfId="5831" xr:uid="{74379431-885A-49F7-A8F4-C5AF34B11F8D}"/>
    <cellStyle name="Normal 4 3 2 3 2 2 2" xfId="12170" xr:uid="{C7FF2B33-6B46-4C71-A679-5405DB90F645}"/>
    <cellStyle name="Normal 4 3 2 3 2 3" xfId="9002" xr:uid="{20FE2F8F-C2E6-489F-B1F3-865A82B3D5E6}"/>
    <cellStyle name="Normal 4 3 2 3 3" xfId="4262" xr:uid="{E8C72A73-074F-4F68-8CDD-FD082C641E47}"/>
    <cellStyle name="Normal 4 3 2 3 3 2" xfId="10601" xr:uid="{A518DB6C-CB64-4DE6-B5B6-6091DB6BDB5F}"/>
    <cellStyle name="Normal 4 3 2 3 4" xfId="7433" xr:uid="{78415975-93B6-45BA-A644-8634F5187672}"/>
    <cellStyle name="Normal 4 3 2 4" xfId="1864" xr:uid="{032FD1AC-DFD6-49DD-9B3F-3C2B9041832D}"/>
    <cellStyle name="Normal 4 3 2 4 2" xfId="5034" xr:uid="{58C9A4E0-0E93-4081-AC30-E74C0F340091}"/>
    <cellStyle name="Normal 4 3 2 4 2 2" xfId="11373" xr:uid="{10A79568-7585-4AE4-8C39-F7A29E2688A3}"/>
    <cellStyle name="Normal 4 3 2 4 3" xfId="8205" xr:uid="{819DF7D3-8A9D-4FF7-92D1-0179DD6ABC27}"/>
    <cellStyle name="Normal 4 3 2 5" xfId="3465" xr:uid="{C1BB72AF-1BE8-4D73-B772-A1C54F2AB6AA}"/>
    <cellStyle name="Normal 4 3 2 5 2" xfId="9804" xr:uid="{D6C3ED80-46D9-44D9-8F27-531E7F9FC55B}"/>
    <cellStyle name="Normal 4 3 2 6" xfId="6636" xr:uid="{95EF73D8-3BAB-4163-B7A7-193AA381B502}"/>
    <cellStyle name="Normal 4 3 3" xfId="489" xr:uid="{7A8AAAF2-5DEB-43C7-9B8F-3C68DCB74D82}"/>
    <cellStyle name="Normal 4 3 3 2" xfId="1288" xr:uid="{D15D1897-2F1E-4102-B57E-4D4F1A8701F2}"/>
    <cellStyle name="Normal 4 3 3 2 2" xfId="2859" xr:uid="{95FD8A22-7B51-4229-A1B9-8C2777728317}"/>
    <cellStyle name="Normal 4 3 3 2 2 2" xfId="6029" xr:uid="{884820D4-F446-42B2-A120-FC92E19FFB5E}"/>
    <cellStyle name="Normal 4 3 3 2 2 2 2" xfId="12368" xr:uid="{BC3C320E-62C3-416B-9F5F-0CBC80DBC83F}"/>
    <cellStyle name="Normal 4 3 3 2 2 3" xfId="9200" xr:uid="{A9AE8851-FD63-48C3-842B-F533E2B96358}"/>
    <cellStyle name="Normal 4 3 3 2 3" xfId="4460" xr:uid="{709FA87B-BEF1-4747-BE70-A0F6A704F037}"/>
    <cellStyle name="Normal 4 3 3 2 3 2" xfId="10799" xr:uid="{01E2CCA5-A43B-4800-94B8-7EFD40A8EE4C}"/>
    <cellStyle name="Normal 4 3 3 2 4" xfId="7631" xr:uid="{EF762D42-061D-4808-A954-82C218B6E24F}"/>
    <cellStyle name="Normal 4 3 3 3" xfId="2062" xr:uid="{E2E12332-8F33-4660-AE57-5F34E2053A42}"/>
    <cellStyle name="Normal 4 3 3 3 2" xfId="5232" xr:uid="{E81DC659-0378-49C2-AA5E-3BA2F4FCF4BA}"/>
    <cellStyle name="Normal 4 3 3 3 2 2" xfId="11571" xr:uid="{1C045278-CA61-4CB8-978F-50CDB1D98C9C}"/>
    <cellStyle name="Normal 4 3 3 3 3" xfId="8403" xr:uid="{CA783C80-811D-4570-A5E9-2B546C505C83}"/>
    <cellStyle name="Normal 4 3 3 4" xfId="3663" xr:uid="{B39D10EC-4E73-4AAB-AB3F-FD22A6852E80}"/>
    <cellStyle name="Normal 4 3 3 4 2" xfId="10002" xr:uid="{660E6C70-A36F-4EB6-9E98-3CD59B924027}"/>
    <cellStyle name="Normal 4 3 3 5" xfId="6834" xr:uid="{45303D3A-DAC4-42AE-A847-EDB48375AC90}"/>
    <cellStyle name="Normal 4 3 4" xfId="887" xr:uid="{31339BA3-6093-4447-8597-00A53D58760F}"/>
    <cellStyle name="Normal 4 3 4 2" xfId="2458" xr:uid="{A5087996-0328-49FF-A329-7A62CAACAB4C}"/>
    <cellStyle name="Normal 4 3 4 2 2" xfId="5628" xr:uid="{9DEF9185-2F3B-4448-B41F-B9EC9C610468}"/>
    <cellStyle name="Normal 4 3 4 2 2 2" xfId="11967" xr:uid="{63FBD4BA-C21D-4244-B73E-F7DFADAAAB5B}"/>
    <cellStyle name="Normal 4 3 4 2 3" xfId="8799" xr:uid="{BC91C4AD-A265-430A-BA8E-A790083F69B9}"/>
    <cellStyle name="Normal 4 3 4 3" xfId="4059" xr:uid="{164519A9-3F35-4FF2-8138-4888E07B17B6}"/>
    <cellStyle name="Normal 4 3 4 3 2" xfId="10398" xr:uid="{B9DF54EB-A7AC-4744-A2A2-612DD757994D}"/>
    <cellStyle name="Normal 4 3 4 4" xfId="7230" xr:uid="{A2624B4E-BE2F-45B6-925E-EC1FFF0AACC2}"/>
    <cellStyle name="Normal 4 3 5" xfId="1684" xr:uid="{0FC65C09-07AD-4126-941D-84D18C777068}"/>
    <cellStyle name="Normal 4 3 5 2" xfId="4854" xr:uid="{5B460B33-CD8E-4FFB-BFAD-5691CCED0B96}"/>
    <cellStyle name="Normal 4 3 5 2 2" xfId="11193" xr:uid="{0441885C-3B6F-484E-83C8-BFAD76135AB5}"/>
    <cellStyle name="Normal 4 3 5 3" xfId="8025" xr:uid="{93F9AAA7-E968-43E6-8828-4C70F874AFD0}"/>
    <cellStyle name="Normal 4 3 6" xfId="3262" xr:uid="{0D0AD0DE-7485-4E4E-955C-91C01F3E0CA5}"/>
    <cellStyle name="Normal 4 3 6 2" xfId="9601" xr:uid="{7D4CC8D9-B82A-4C12-9FE0-676A7D49F6B6}"/>
    <cellStyle name="Normal 4 3 7" xfId="6433" xr:uid="{0DDBEB0E-73BA-4271-A0E8-FE61E777BC74}"/>
    <cellStyle name="Normal 4 4" xfId="147" xr:uid="{F2C73597-4D79-4784-9DED-192FABFB7F87}"/>
    <cellStyle name="Normal 4 4 2" xfId="364" xr:uid="{9A8A22D0-9E0E-4B1B-AEFD-D9BC42ACBE65}"/>
    <cellStyle name="Normal 4 4 2 2" xfId="745" xr:uid="{FFB3ACB1-F8EC-4C30-9A65-C81485606F52}"/>
    <cellStyle name="Normal 4 4 2 2 2" xfId="1544" xr:uid="{6F6EE7DD-850D-4A41-9479-C127DE21BFB5}"/>
    <cellStyle name="Normal 4 4 2 2 2 2" xfId="3115" xr:uid="{90516B0B-BCE4-483F-BCAA-48BB33F226D5}"/>
    <cellStyle name="Normal 4 4 2 2 2 2 2" xfId="6285" xr:uid="{5CBF6677-C4B4-4FD9-A032-147429770F55}"/>
    <cellStyle name="Normal 4 4 2 2 2 2 2 2" xfId="12624" xr:uid="{46CD78AA-5C0F-42C5-8252-7BF3F790504A}"/>
    <cellStyle name="Normal 4 4 2 2 2 2 3" xfId="9456" xr:uid="{C7BD5675-C492-4176-BC8A-09D876673711}"/>
    <cellStyle name="Normal 4 4 2 2 2 3" xfId="4716" xr:uid="{60A6D059-DCCB-4766-9087-B320310C21E9}"/>
    <cellStyle name="Normal 4 4 2 2 2 3 2" xfId="11055" xr:uid="{88D568BD-5788-40B1-8D4E-125CC682EE44}"/>
    <cellStyle name="Normal 4 4 2 2 2 4" xfId="7887" xr:uid="{BE7998D2-E28B-42BB-A3AC-6CAE88F5E747}"/>
    <cellStyle name="Normal 4 4 2 2 3" xfId="2318" xr:uid="{DF875337-A1BF-4B98-8624-3217BD114AD5}"/>
    <cellStyle name="Normal 4 4 2 2 3 2" xfId="5488" xr:uid="{11494005-F656-406A-8143-0E37DED7FD12}"/>
    <cellStyle name="Normal 4 4 2 2 3 2 2" xfId="11827" xr:uid="{EC9B7F1C-C3FD-493D-A13A-07D73827021D}"/>
    <cellStyle name="Normal 4 4 2 2 3 3" xfId="8659" xr:uid="{64DBA6C3-3A96-4858-9A6A-74E412408297}"/>
    <cellStyle name="Normal 4 4 2 2 4" xfId="3919" xr:uid="{A9C77D5E-DFA3-4162-A126-6139C3E5DE7A}"/>
    <cellStyle name="Normal 4 4 2 2 4 2" xfId="10258" xr:uid="{1400B917-2790-4CDD-886C-91D4D4BF5256}"/>
    <cellStyle name="Normal 4 4 2 2 5" xfId="7090" xr:uid="{B7757BB3-C2AE-4035-BAA4-7194B5E7A58C}"/>
    <cellStyle name="Normal 4 4 2 3" xfId="1163" xr:uid="{13DF1943-E47A-4456-800D-6BAE9A19900A}"/>
    <cellStyle name="Normal 4 4 2 3 2" xfId="2734" xr:uid="{D731408E-B1FD-449D-A5FC-8CDB9E9A2B78}"/>
    <cellStyle name="Normal 4 4 2 3 2 2" xfId="5904" xr:uid="{EBDE8E9B-9D72-4CE1-984A-9F10E7F982CF}"/>
    <cellStyle name="Normal 4 4 2 3 2 2 2" xfId="12243" xr:uid="{9D556B22-0EA3-405A-BC4C-06E7EDF709A7}"/>
    <cellStyle name="Normal 4 4 2 3 2 3" xfId="9075" xr:uid="{9658627C-F2B3-4F61-8D9B-DBF224BB08D0}"/>
    <cellStyle name="Normal 4 4 2 3 3" xfId="4335" xr:uid="{F9CF5537-A84E-4A10-B335-3F1D918B9083}"/>
    <cellStyle name="Normal 4 4 2 3 3 2" xfId="10674" xr:uid="{AE9923A8-4A47-497A-9BFF-4FD3DC9C11E0}"/>
    <cellStyle name="Normal 4 4 2 3 4" xfId="7506" xr:uid="{15204CD5-1425-4F94-BBEE-FCBB9E7085ED}"/>
    <cellStyle name="Normal 4 4 2 4" xfId="1937" xr:uid="{7C5E57C7-CC79-4E27-9D82-D814BFD807D5}"/>
    <cellStyle name="Normal 4 4 2 4 2" xfId="5107" xr:uid="{FF7AE330-522C-42C2-BE94-AA3F8431812C}"/>
    <cellStyle name="Normal 4 4 2 4 2 2" xfId="11446" xr:uid="{F46D4B95-4D13-4C46-9D4B-FE218F651548}"/>
    <cellStyle name="Normal 4 4 2 4 3" xfId="8278" xr:uid="{A0647F59-060A-46D8-A227-C261BC89E229}"/>
    <cellStyle name="Normal 4 4 2 5" xfId="3538" xr:uid="{2CF95446-FA70-4A26-8651-5F08F53EF23A}"/>
    <cellStyle name="Normal 4 4 2 5 2" xfId="9877" xr:uid="{E7942BFC-8A96-476D-B14B-6CF77522C051}"/>
    <cellStyle name="Normal 4 4 2 6" xfId="6709" xr:uid="{61A44593-4CAA-42ED-BF98-93B9EE93036A}"/>
    <cellStyle name="Normal 4 4 3" xfId="542" xr:uid="{94DD2389-9312-4CE4-B857-B9EF58E16A1C}"/>
    <cellStyle name="Normal 4 4 3 2" xfId="1341" xr:uid="{B6D08FBE-B2A6-4450-B854-DD25E132BA74}"/>
    <cellStyle name="Normal 4 4 3 2 2" xfId="2912" xr:uid="{219110FA-1E6F-44D9-83EA-316B48EF34CF}"/>
    <cellStyle name="Normal 4 4 3 2 2 2" xfId="6082" xr:uid="{F79CD978-348C-4299-9DB8-6BEFF3856566}"/>
    <cellStyle name="Normal 4 4 3 2 2 2 2" xfId="12421" xr:uid="{00E314AB-6403-46A4-9285-29ADF60E28FF}"/>
    <cellStyle name="Normal 4 4 3 2 2 3" xfId="9253" xr:uid="{A2D41424-2658-4C6A-8F33-7685E9A790E5}"/>
    <cellStyle name="Normal 4 4 3 2 3" xfId="4513" xr:uid="{CF374F17-0C68-493F-BEB4-78B6890B898C}"/>
    <cellStyle name="Normal 4 4 3 2 3 2" xfId="10852" xr:uid="{274621E8-68CA-49FE-911B-B1DF1BDF4778}"/>
    <cellStyle name="Normal 4 4 3 2 4" xfId="7684" xr:uid="{BFCF98DD-1471-45AF-8771-47ED59607D9C}"/>
    <cellStyle name="Normal 4 4 3 3" xfId="2115" xr:uid="{1CCE5D0E-7C37-4E2E-B991-5B258FB44336}"/>
    <cellStyle name="Normal 4 4 3 3 2" xfId="5285" xr:uid="{3D088F1C-327A-4FEE-AFC8-2206ACD35763}"/>
    <cellStyle name="Normal 4 4 3 3 2 2" xfId="11624" xr:uid="{3B98A84A-FCF5-403A-A68B-F348C4871361}"/>
    <cellStyle name="Normal 4 4 3 3 3" xfId="8456" xr:uid="{1E325054-3B03-4291-B908-A852EED36C26}"/>
    <cellStyle name="Normal 4 4 3 4" xfId="3716" xr:uid="{1B6B58AC-FF20-473F-BDE5-A1910E4898CD}"/>
    <cellStyle name="Normal 4 4 3 4 2" xfId="10055" xr:uid="{86A21F02-B5B0-42BF-A594-F3EAB5AF1DF6}"/>
    <cellStyle name="Normal 4 4 3 5" xfId="6887" xr:uid="{8A9E61F6-FDEC-461C-9232-1153F0A911CA}"/>
    <cellStyle name="Normal 4 4 4" xfId="960" xr:uid="{6CCA8C75-364D-4D10-ABA4-72B71A26EC2F}"/>
    <cellStyle name="Normal 4 4 4 2" xfId="2531" xr:uid="{3FB44C7B-8A1C-4620-BC93-FE8990835529}"/>
    <cellStyle name="Normal 4 4 4 2 2" xfId="5701" xr:uid="{ECC25D67-20D7-4044-963E-37B95DC40284}"/>
    <cellStyle name="Normal 4 4 4 2 2 2" xfId="12040" xr:uid="{5893EA16-FAF1-4832-8A78-4E4BAB88D3E9}"/>
    <cellStyle name="Normal 4 4 4 2 3" xfId="8872" xr:uid="{ECBE2B0B-ADDD-40C5-B01D-6D2ED7223D96}"/>
    <cellStyle name="Normal 4 4 4 3" xfId="4132" xr:uid="{5F413774-4CDE-4D31-AD6E-788833D733E0}"/>
    <cellStyle name="Normal 4 4 4 3 2" xfId="10471" xr:uid="{F058F8C6-A5C7-469A-A4EB-7A2C529EA5A0}"/>
    <cellStyle name="Normal 4 4 4 4" xfId="7303" xr:uid="{2AD561E5-242A-49F9-8769-0C3893BA61FD}"/>
    <cellStyle name="Normal 4 4 5" xfId="1734" xr:uid="{0E32FCC6-7E58-4B1E-AD57-D977574570FE}"/>
    <cellStyle name="Normal 4 4 5 2" xfId="4904" xr:uid="{4B5043D3-7A8E-4C6A-BDDA-B367005017F1}"/>
    <cellStyle name="Normal 4 4 5 2 2" xfId="11243" xr:uid="{9820CAAE-7EB9-4C28-8C83-92E7E8E6B44A}"/>
    <cellStyle name="Normal 4 4 5 3" xfId="8075" xr:uid="{C5015AFF-ED07-44DA-B747-DC16FCD289EC}"/>
    <cellStyle name="Normal 4 4 6" xfId="3335" xr:uid="{DD705CAF-D851-47D0-A6F0-CE58CFC4BF09}"/>
    <cellStyle name="Normal 4 4 6 2" xfId="9674" xr:uid="{0916DF9D-D72D-4B8F-A30E-DC801CA07817}"/>
    <cellStyle name="Normal 4 4 7" xfId="6506" xr:uid="{07128A32-2D39-45F4-A245-BEBDF4964E06}"/>
    <cellStyle name="Normal 4 5" xfId="233" xr:uid="{EF52206F-B3CF-4B99-A0CE-FE625DA2C5E4}"/>
    <cellStyle name="Normal 4 5 2" xfId="627" xr:uid="{AADB6842-58FE-4FE5-AF80-3016AEEBE9A3}"/>
    <cellStyle name="Normal 4 5 2 2" xfId="1426" xr:uid="{634C3856-9FC2-4F8A-B66E-E835C2626932}"/>
    <cellStyle name="Normal 4 5 2 2 2" xfId="2997" xr:uid="{19E1E1EE-0CD7-4B7C-B614-4563B6AED762}"/>
    <cellStyle name="Normal 4 5 2 2 2 2" xfId="6167" xr:uid="{F413A46C-6B37-4C78-ADEA-969540F3DB28}"/>
    <cellStyle name="Normal 4 5 2 2 2 2 2" xfId="12506" xr:uid="{BEE1901D-9C7A-4A11-9239-CE64655C376E}"/>
    <cellStyle name="Normal 4 5 2 2 2 3" xfId="9338" xr:uid="{CA5234A9-A2EA-4DFE-B123-29F842ABC38E}"/>
    <cellStyle name="Normal 4 5 2 2 3" xfId="4598" xr:uid="{82909409-50B8-428E-9F35-23B7E24AA041}"/>
    <cellStyle name="Normal 4 5 2 2 3 2" xfId="10937" xr:uid="{939A5340-876A-441C-9A89-1FE38A24E2C0}"/>
    <cellStyle name="Normal 4 5 2 2 4" xfId="7769" xr:uid="{2FD358CF-4E5E-49BD-8007-D1F75F2DBE81}"/>
    <cellStyle name="Normal 4 5 2 3" xfId="2200" xr:uid="{2EA7CE5D-6CF6-454F-9111-52F015739F4B}"/>
    <cellStyle name="Normal 4 5 2 3 2" xfId="5370" xr:uid="{5B9F4597-B59C-4674-A297-609F2DA6A628}"/>
    <cellStyle name="Normal 4 5 2 3 2 2" xfId="11709" xr:uid="{BFBB3565-A2B6-4231-A0F6-BFAF37469F23}"/>
    <cellStyle name="Normal 4 5 2 3 3" xfId="8541" xr:uid="{CB046150-4770-42BA-9C49-9DEFC0A4B090}"/>
    <cellStyle name="Normal 4 5 2 4" xfId="3801" xr:uid="{1D62EA14-E0F1-4E30-9596-7C4EEFEC6AD6}"/>
    <cellStyle name="Normal 4 5 2 4 2" xfId="10140" xr:uid="{D7E098EF-D699-49C2-808E-E1F7F52B70A4}"/>
    <cellStyle name="Normal 4 5 2 5" xfId="6972" xr:uid="{9C2B2EE7-B584-4D02-948C-00ED5275E510}"/>
    <cellStyle name="Normal 4 5 3" xfId="1045" xr:uid="{7096E894-3E1D-45BF-8EFE-3D57E4EE0280}"/>
    <cellStyle name="Normal 4 5 3 2" xfId="2616" xr:uid="{C1B68B3F-DDD3-4457-B79C-D2F22E2279D6}"/>
    <cellStyle name="Normal 4 5 3 2 2" xfId="5786" xr:uid="{87831CFB-CCA7-42F1-8902-C1DA314748CE}"/>
    <cellStyle name="Normal 4 5 3 2 2 2" xfId="12125" xr:uid="{B90CD0E3-D2ED-41A7-A6F2-CE9551511CE8}"/>
    <cellStyle name="Normal 4 5 3 2 3" xfId="8957" xr:uid="{1D6E989D-6C02-4693-BC7E-3C36214660C9}"/>
    <cellStyle name="Normal 4 5 3 3" xfId="4217" xr:uid="{A251FE42-293D-41E4-946D-9EFA7E91B8CD}"/>
    <cellStyle name="Normal 4 5 3 3 2" xfId="10556" xr:uid="{B3CDA5D4-DE4D-457A-9AB4-811DDF677309}"/>
    <cellStyle name="Normal 4 5 3 4" xfId="7388" xr:uid="{3744FCB2-082D-4D4B-82A5-1F20E6B6B2C0}"/>
    <cellStyle name="Normal 4 5 4" xfId="1819" xr:uid="{6EF67F62-2F69-4118-8275-0D9A6B2EA49A}"/>
    <cellStyle name="Normal 4 5 4 2" xfId="4989" xr:uid="{C514D617-EE00-4EA1-8F5A-78B210A31259}"/>
    <cellStyle name="Normal 4 5 4 2 2" xfId="11328" xr:uid="{03A2C5FD-368D-4430-BAC8-FDF7172A9756}"/>
    <cellStyle name="Normal 4 5 4 3" xfId="8160" xr:uid="{89C46DAA-A727-4681-98D9-CA02B55DD69C}"/>
    <cellStyle name="Normal 4 5 5" xfId="3420" xr:uid="{632379DA-E432-4270-A350-0D30DCABED08}"/>
    <cellStyle name="Normal 4 5 5 2" xfId="9759" xr:uid="{67839A48-612D-4FA6-9765-363E558EC841}"/>
    <cellStyle name="Normal 4 5 6" xfId="6591" xr:uid="{E0DED14D-7334-4D4A-9E4B-7D2303A0C479}"/>
    <cellStyle name="Normal 4 6" xfId="451" xr:uid="{C8853BF6-DD36-4210-8502-308C846142FD}"/>
    <cellStyle name="Normal 4 6 2" xfId="1250" xr:uid="{73AAEE8F-D171-4279-A3DF-A9D9B4A2D8A8}"/>
    <cellStyle name="Normal 4 6 2 2" xfId="2821" xr:uid="{5F1FD63D-A016-4483-B3FC-436208FD32A1}"/>
    <cellStyle name="Normal 4 6 2 2 2" xfId="5991" xr:uid="{687F5225-8410-4DBD-A683-5B19C1679CA0}"/>
    <cellStyle name="Normal 4 6 2 2 2 2" xfId="12330" xr:uid="{B02FE956-9826-43AF-AFF2-42A771D171D0}"/>
    <cellStyle name="Normal 4 6 2 2 3" xfId="9162" xr:uid="{A192298E-576E-4838-A37B-F83C7FADEA30}"/>
    <cellStyle name="Normal 4 6 2 3" xfId="4422" xr:uid="{4240041D-CDD1-4A19-B23B-4CB5270242D3}"/>
    <cellStyle name="Normal 4 6 2 3 2" xfId="10761" xr:uid="{B214DF1E-02A5-485A-8B66-593CFC434799}"/>
    <cellStyle name="Normal 4 6 2 4" xfId="7593" xr:uid="{E6FEA670-4B02-4D1B-8524-5D98A3D757F8}"/>
    <cellStyle name="Normal 4 6 3" xfId="2024" xr:uid="{89405C23-F47F-4C91-BD77-EE7ACA109229}"/>
    <cellStyle name="Normal 4 6 3 2" xfId="5194" xr:uid="{9F438713-9479-4E61-AE75-63A5B9225595}"/>
    <cellStyle name="Normal 4 6 3 2 2" xfId="11533" xr:uid="{B9698485-83D2-40B1-BC04-69E4A3C9B085}"/>
    <cellStyle name="Normal 4 6 3 3" xfId="8365" xr:uid="{2EB8E5E6-C5AF-4A8F-913E-C067409F448C}"/>
    <cellStyle name="Normal 4 6 4" xfId="3625" xr:uid="{7E5E353B-51B3-4A85-A01C-62E421383F6F}"/>
    <cellStyle name="Normal 4 6 4 2" xfId="9964" xr:uid="{0A660840-B606-4027-996F-54522F811CB7}"/>
    <cellStyle name="Normal 4 6 5" xfId="6796" xr:uid="{F525C030-70C1-4BE2-A66D-925CBC14A1C1}"/>
    <cellStyle name="Normal 4 7" xfId="841" xr:uid="{CD978DAF-E502-40D2-B06A-EE495CBDB811}"/>
    <cellStyle name="Normal 4 7 2" xfId="2413" xr:uid="{A125E270-7F9B-49E9-B1F5-5FD6D1E409E7}"/>
    <cellStyle name="Normal 4 7 2 2" xfId="5583" xr:uid="{1FF5451A-8A17-49E0-A7E3-3616D1303DCC}"/>
    <cellStyle name="Normal 4 7 2 2 2" xfId="11922" xr:uid="{94A65B2D-C2AA-43DA-8CEE-0107281A710F}"/>
    <cellStyle name="Normal 4 7 2 3" xfId="8754" xr:uid="{66D3A949-3095-4D3D-8C96-AB2CB4F9E670}"/>
    <cellStyle name="Normal 4 7 3" xfId="4014" xr:uid="{D43EFF14-81DA-4834-BAE2-FD6ECD7577DD}"/>
    <cellStyle name="Normal 4 7 3 2" xfId="10353" xr:uid="{CEFC0F65-70EA-4DD6-8F11-C6F8B5085DDD}"/>
    <cellStyle name="Normal 4 7 4" xfId="7185" xr:uid="{D698AA5E-845D-409F-ACD7-AA2D6BCA9230}"/>
    <cellStyle name="Normal 4 8" xfId="1647" xr:uid="{A7D21301-A4BA-4F27-8C4A-76E82AE95F34}"/>
    <cellStyle name="Normal 4 8 2" xfId="4817" xr:uid="{15B3F4C4-7D4C-4828-89B6-99AC330BD87A}"/>
    <cellStyle name="Normal 4 8 2 2" xfId="11156" xr:uid="{563816FA-9852-48EF-98A0-D0F8D2903B92}"/>
    <cellStyle name="Normal 4 8 3" xfId="7988" xr:uid="{8403E9D6-B7EC-4F6A-9E93-03D4A65DD815}"/>
    <cellStyle name="Normal 4 9" xfId="3216" xr:uid="{C706EECB-0D86-46EB-998D-46AC923D81E1}"/>
    <cellStyle name="Normal 4 9 2" xfId="9556" xr:uid="{B1E801FE-54D0-4932-94D2-AB0F272012C1}"/>
    <cellStyle name="Normal 5" xfId="5" xr:uid="{00000000-0005-0000-0000-000005000000}"/>
    <cellStyle name="Normal 5 10" xfId="6388" xr:uid="{19D1641E-FA8C-4685-96B0-E315699BAB4E}"/>
    <cellStyle name="Normal 5 2" xfId="10" xr:uid="{41BB1FA3-2C17-47EF-9923-E5437ED07DDD}"/>
    <cellStyle name="Normal 5 2 2" xfId="238" xr:uid="{1F0C0AEB-406A-4EA1-AF43-E5005AE29A83}"/>
    <cellStyle name="Normal 5 2 2 2" xfId="632" xr:uid="{80C72796-A4FD-45FB-B753-E8C1F25ECF28}"/>
    <cellStyle name="Normal 5 2 2 2 2" xfId="1431" xr:uid="{6853071B-CD79-4B91-8820-0F6F23AF1756}"/>
    <cellStyle name="Normal 5 2 2 2 2 2" xfId="3002" xr:uid="{CE75FCBC-439C-4ECD-8330-1A6A4580B101}"/>
    <cellStyle name="Normal 5 2 2 2 2 2 2" xfId="6172" xr:uid="{BB25B516-0E24-41DA-9D08-1CC4FAB28474}"/>
    <cellStyle name="Normal 5 2 2 2 2 2 2 2" xfId="12511" xr:uid="{732B0E4B-C987-422F-9578-910E33E8A4E5}"/>
    <cellStyle name="Normal 5 2 2 2 2 2 3" xfId="9343" xr:uid="{87D857E5-E0CC-4797-99A9-F6940558BFBE}"/>
    <cellStyle name="Normal 5 2 2 2 2 3" xfId="4603" xr:uid="{C402AE09-5B19-48A1-850F-1213B3F78E49}"/>
    <cellStyle name="Normal 5 2 2 2 2 3 2" xfId="10942" xr:uid="{3614089F-FCBA-4AC9-A0E6-E70A85C6B8A9}"/>
    <cellStyle name="Normal 5 2 2 2 2 4" xfId="7774" xr:uid="{7482D1F7-54CE-4D60-92AF-FDE32A05D830}"/>
    <cellStyle name="Normal 5 2 2 2 3" xfId="2205" xr:uid="{18DDE50E-F1AD-4838-A95B-947B4CDAEEAD}"/>
    <cellStyle name="Normal 5 2 2 2 3 2" xfId="5375" xr:uid="{9636D976-CBB9-43F7-9AC7-C09462687184}"/>
    <cellStyle name="Normal 5 2 2 2 3 2 2" xfId="11714" xr:uid="{D16083BF-E998-4F6C-A52D-B996BA1975A2}"/>
    <cellStyle name="Normal 5 2 2 2 3 3" xfId="8546" xr:uid="{9F0929A3-ED15-465F-AB3D-68F0BDA42830}"/>
    <cellStyle name="Normal 5 2 2 2 4" xfId="3806" xr:uid="{89889484-BB6B-4FBE-A96E-8A2105F9E707}"/>
    <cellStyle name="Normal 5 2 2 2 4 2" xfId="10145" xr:uid="{D180FACB-96FB-439D-BECE-B8006AF0BA37}"/>
    <cellStyle name="Normal 5 2 2 2 5" xfId="6977" xr:uid="{7F8B5B44-32A7-40BD-A565-8F5143CAFCE7}"/>
    <cellStyle name="Normal 5 2 2 3" xfId="1050" xr:uid="{644B91A1-0A0A-4FFB-86B5-F95DF1620A54}"/>
    <cellStyle name="Normal 5 2 2 3 2" xfId="2621" xr:uid="{ADFBE6EA-5771-482C-88CB-2678320AA6AC}"/>
    <cellStyle name="Normal 5 2 2 3 2 2" xfId="5791" xr:uid="{0F3117B2-107E-4610-81A2-492CBB4E0310}"/>
    <cellStyle name="Normal 5 2 2 3 2 2 2" xfId="12130" xr:uid="{1B4D69D0-C1F9-4C4B-80DA-8AB0994CC64B}"/>
    <cellStyle name="Normal 5 2 2 3 2 3" xfId="8962" xr:uid="{467A01DB-51FE-4ADF-8D50-3F09BD019A02}"/>
    <cellStyle name="Normal 5 2 2 3 3" xfId="4222" xr:uid="{F5D4D300-301B-405A-9835-4EFDE4995660}"/>
    <cellStyle name="Normal 5 2 2 3 3 2" xfId="10561" xr:uid="{00DF5572-2A11-4B72-9F74-036A174380A0}"/>
    <cellStyle name="Normal 5 2 2 3 4" xfId="7393" xr:uid="{5664CF6E-6DFD-4BEF-8730-966BBEC948A0}"/>
    <cellStyle name="Normal 5 2 2 4" xfId="1824" xr:uid="{627BD583-1ADD-44E9-BDC6-7B283F2B869A}"/>
    <cellStyle name="Normal 5 2 2 4 2" xfId="4994" xr:uid="{616020B9-13BE-490A-86EE-73D0B861765B}"/>
    <cellStyle name="Normal 5 2 2 4 2 2" xfId="11333" xr:uid="{5C7A1D29-1588-41ED-B12C-7C05EAC50A27}"/>
    <cellStyle name="Normal 5 2 2 4 3" xfId="8165" xr:uid="{3E62D5E8-EE94-4A85-A5A5-52B94896B6EE}"/>
    <cellStyle name="Normal 5 2 2 5" xfId="3425" xr:uid="{0EF2031F-18DE-40BF-85CB-716ACACC5D03}"/>
    <cellStyle name="Normal 5 2 2 5 2" xfId="9764" xr:uid="{AD369E30-C3FB-4020-94DE-D3704E8D5058}"/>
    <cellStyle name="Normal 5 2 2 6" xfId="6596" xr:uid="{D14C76D8-C782-4FE0-A173-43FFD7775E08}"/>
    <cellStyle name="Normal 5 2 3" xfId="455" xr:uid="{858B2D47-860A-43DD-BB87-D0B96842CB8D}"/>
    <cellStyle name="Normal 5 2 3 2" xfId="1254" xr:uid="{CCFC2EF3-C9C3-4841-88EB-F555D020D77B}"/>
    <cellStyle name="Normal 5 2 3 2 2" xfId="2825" xr:uid="{162BCE1D-E5C0-4BCC-A759-56B10F527FBA}"/>
    <cellStyle name="Normal 5 2 3 2 2 2" xfId="5995" xr:uid="{F97B7774-8870-4080-98AB-5384234F6168}"/>
    <cellStyle name="Normal 5 2 3 2 2 2 2" xfId="12334" xr:uid="{3D7E46B8-446D-46FD-9C50-DA4B03265958}"/>
    <cellStyle name="Normal 5 2 3 2 2 3" xfId="9166" xr:uid="{75C9F619-0FED-46A3-883A-AE36AEAD118F}"/>
    <cellStyle name="Normal 5 2 3 2 3" xfId="4426" xr:uid="{64831E94-4734-48C7-B424-37D0E30CBDE0}"/>
    <cellStyle name="Normal 5 2 3 2 3 2" xfId="10765" xr:uid="{5D99D626-1470-4499-BF4A-99423E10A499}"/>
    <cellStyle name="Normal 5 2 3 2 4" xfId="7597" xr:uid="{8BDC48FE-119A-4520-AB09-6AA096125931}"/>
    <cellStyle name="Normal 5 2 3 3" xfId="2028" xr:uid="{0AAF354E-7625-4A2B-BA44-54B46439E1B8}"/>
    <cellStyle name="Normal 5 2 3 3 2" xfId="5198" xr:uid="{130CE2CC-4142-404B-971E-1AADFB899F40}"/>
    <cellStyle name="Normal 5 2 3 3 2 2" xfId="11537" xr:uid="{F9AD94CB-84F2-4ED6-B0F5-07F666CDD9C9}"/>
    <cellStyle name="Normal 5 2 3 3 3" xfId="8369" xr:uid="{32C02E1B-DF3A-4C60-8431-B1C4C825C3BE}"/>
    <cellStyle name="Normal 5 2 3 4" xfId="3629" xr:uid="{5A4EE6DF-79CE-4C67-9CA8-EDB1642F30D6}"/>
    <cellStyle name="Normal 5 2 3 4 2" xfId="9968" xr:uid="{3FD22862-464B-4F2A-A46F-CAB70B097F75}"/>
    <cellStyle name="Normal 5 2 3 5" xfId="6800" xr:uid="{B6346B45-62D1-4F6C-B979-A008A05944E6}"/>
    <cellStyle name="Normal 5 2 4" xfId="846" xr:uid="{561F1B28-A44A-4E0F-8D23-8502564BE7C6}"/>
    <cellStyle name="Normal 5 2 4 2" xfId="2418" xr:uid="{F8CA5425-947A-4A9A-B663-C06286E0372B}"/>
    <cellStyle name="Normal 5 2 4 2 2" xfId="5588" xr:uid="{085C8DF0-A7F3-4D2D-AD0F-BC67FBE02154}"/>
    <cellStyle name="Normal 5 2 4 2 2 2" xfId="11927" xr:uid="{5C9513E6-6124-4A29-8886-F883A034545A}"/>
    <cellStyle name="Normal 5 2 4 2 3" xfId="8759" xr:uid="{BE0A1144-5C97-42D8-9145-BA8DC365B6C2}"/>
    <cellStyle name="Normal 5 2 4 3" xfId="4019" xr:uid="{9BA305A4-4414-4E4E-B707-920E20DB40AD}"/>
    <cellStyle name="Normal 5 2 4 3 2" xfId="10358" xr:uid="{F29E4CF1-9E0D-4237-8815-3CF68C38A051}"/>
    <cellStyle name="Normal 5 2 4 4" xfId="7190" xr:uid="{18D9B3EF-784F-4C9D-BAFA-26C8006D841E}"/>
    <cellStyle name="Normal 5 2 5" xfId="1651" xr:uid="{C7B5821A-209B-4614-8FAE-3E89FDBC54EF}"/>
    <cellStyle name="Normal 5 2 5 2" xfId="4821" xr:uid="{A8FC90D8-0A39-4D04-8907-FD33716145B3}"/>
    <cellStyle name="Normal 5 2 5 2 2" xfId="11160" xr:uid="{AC9163DF-7BA1-4145-AF25-C9219135B4DE}"/>
    <cellStyle name="Normal 5 2 5 3" xfId="7992" xr:uid="{772DADCE-BE96-46DB-A27A-771A58DE0763}"/>
    <cellStyle name="Normal 5 2 6" xfId="3221" xr:uid="{96E052D3-D3F8-4815-9BF5-8951EB739CAF}"/>
    <cellStyle name="Normal 5 2 6 2" xfId="9561" xr:uid="{7EF6C88A-D32E-451E-8565-49132E52B725}"/>
    <cellStyle name="Normal 5 2 7" xfId="6392" xr:uid="{2C41A767-22A6-4C16-A029-8B95F3A64ECD}"/>
    <cellStyle name="Normal 5 3" xfId="59" xr:uid="{508076EB-F81F-4C1C-B92A-81E6C7C8C3CB}"/>
    <cellStyle name="Normal 5 3 2" xfId="283" xr:uid="{904B57B3-E5C3-4D5B-A708-8810D97C8580}"/>
    <cellStyle name="Normal 5 3 2 2" xfId="673" xr:uid="{025E8EFF-5132-4F0C-B49C-764A5D42E088}"/>
    <cellStyle name="Normal 5 3 2 2 2" xfId="1472" xr:uid="{19A3BB79-AF55-4A1A-A5B0-BC319B830451}"/>
    <cellStyle name="Normal 5 3 2 2 2 2" xfId="3043" xr:uid="{A7472455-E8E7-4464-B836-0883753125B5}"/>
    <cellStyle name="Normal 5 3 2 2 2 2 2" xfId="6213" xr:uid="{2B0774AD-1D63-4E0C-95EB-F157D5353CD2}"/>
    <cellStyle name="Normal 5 3 2 2 2 2 2 2" xfId="12552" xr:uid="{3D223602-0730-4B6B-B6DC-2536863E055E}"/>
    <cellStyle name="Normal 5 3 2 2 2 2 3" xfId="9384" xr:uid="{EB3A1A12-674E-40F2-ACD6-5EC5E4A2FBD6}"/>
    <cellStyle name="Normal 5 3 2 2 2 3" xfId="4644" xr:uid="{EA1C867D-A1F6-4445-B08C-3F29E6463080}"/>
    <cellStyle name="Normal 5 3 2 2 2 3 2" xfId="10983" xr:uid="{3B359862-2E02-43C6-85BB-5F408EC62330}"/>
    <cellStyle name="Normal 5 3 2 2 2 4" xfId="7815" xr:uid="{BA4BA68B-3769-4FD3-8BC7-FF713C197F43}"/>
    <cellStyle name="Normal 5 3 2 2 3" xfId="2246" xr:uid="{3101AA9A-EDD5-4745-B783-7B9FC439F9D0}"/>
    <cellStyle name="Normal 5 3 2 2 3 2" xfId="5416" xr:uid="{9FF2CCB8-7369-4D9C-8062-74E0DF68663D}"/>
    <cellStyle name="Normal 5 3 2 2 3 2 2" xfId="11755" xr:uid="{1CD3272E-5732-46F2-A491-1BE99603DEAC}"/>
    <cellStyle name="Normal 5 3 2 2 3 3" xfId="8587" xr:uid="{24CC0DBD-1419-4378-8C0A-AEE9864E78D4}"/>
    <cellStyle name="Normal 5 3 2 2 4" xfId="3847" xr:uid="{FF498A5E-884B-49DE-B21A-6FED5C40D891}"/>
    <cellStyle name="Normal 5 3 2 2 4 2" xfId="10186" xr:uid="{28822880-98F7-4C39-BDB7-C7BAFDF34E25}"/>
    <cellStyle name="Normal 5 3 2 2 5" xfId="7018" xr:uid="{165A5C92-8818-4CD3-AB15-B79B96678882}"/>
    <cellStyle name="Normal 5 3 2 3" xfId="1091" xr:uid="{6294D7DE-1B7D-4B1A-80A8-C4931D317F95}"/>
    <cellStyle name="Normal 5 3 2 3 2" xfId="2662" xr:uid="{129A338D-4F61-4CAD-8497-CF9660E2D08E}"/>
    <cellStyle name="Normal 5 3 2 3 2 2" xfId="5832" xr:uid="{350ABADD-7174-4CC9-9A5A-B0CE994BF35B}"/>
    <cellStyle name="Normal 5 3 2 3 2 2 2" xfId="12171" xr:uid="{E16396FA-8917-4688-B0FF-5C532FDC91DF}"/>
    <cellStyle name="Normal 5 3 2 3 2 3" xfId="9003" xr:uid="{25772C68-6F55-464A-B6FF-6E44D4A65C7D}"/>
    <cellStyle name="Normal 5 3 2 3 3" xfId="4263" xr:uid="{F30BBC21-BAD0-4349-A619-BAED5AFF8678}"/>
    <cellStyle name="Normal 5 3 2 3 3 2" xfId="10602" xr:uid="{2879841D-B891-411D-876F-E422509C87C4}"/>
    <cellStyle name="Normal 5 3 2 3 4" xfId="7434" xr:uid="{5066406B-566A-4E5B-885E-2A1D01EA7817}"/>
    <cellStyle name="Normal 5 3 2 4" xfId="1865" xr:uid="{1A0E2EC6-CF94-4101-95AB-1D7C640014BB}"/>
    <cellStyle name="Normal 5 3 2 4 2" xfId="5035" xr:uid="{79DA4C60-1F21-4454-9436-6D84FE8EDBA2}"/>
    <cellStyle name="Normal 5 3 2 4 2 2" xfId="11374" xr:uid="{49D773E5-B562-4BD2-A7B1-5B7F2595CDE2}"/>
    <cellStyle name="Normal 5 3 2 4 3" xfId="8206" xr:uid="{B24FF1B5-7AD6-47A5-8ED0-8581EAC6E14E}"/>
    <cellStyle name="Normal 5 3 2 5" xfId="3466" xr:uid="{C66B0552-B5B7-43A1-B30B-A15C682C08E5}"/>
    <cellStyle name="Normal 5 3 2 5 2" xfId="9805" xr:uid="{F001033F-53EA-43C1-90DD-22BBECCE65B1}"/>
    <cellStyle name="Normal 5 3 2 6" xfId="6637" xr:uid="{001A5301-2E50-4B7D-A07C-FAC5D9DE6AE3}"/>
    <cellStyle name="Normal 5 3 3" xfId="490" xr:uid="{007676B6-4D8D-4FE0-9F45-46B1C333D9B8}"/>
    <cellStyle name="Normal 5 3 3 2" xfId="1289" xr:uid="{2A8EAC30-1663-4E99-8A49-69977FA07A4C}"/>
    <cellStyle name="Normal 5 3 3 2 2" xfId="2860" xr:uid="{B7075A7C-4B8D-4591-8368-C453ECA02AD8}"/>
    <cellStyle name="Normal 5 3 3 2 2 2" xfId="6030" xr:uid="{EAC3A822-C31C-4CDC-BFBD-094F7A511949}"/>
    <cellStyle name="Normal 5 3 3 2 2 2 2" xfId="12369" xr:uid="{765C3780-D626-4F37-AB5E-205689DE8C17}"/>
    <cellStyle name="Normal 5 3 3 2 2 3" xfId="9201" xr:uid="{7C8615DB-27AE-4DFB-8694-2BF745B85C0C}"/>
    <cellStyle name="Normal 5 3 3 2 3" xfId="4461" xr:uid="{FD8B3542-A28B-459E-9927-AF94C1CAC602}"/>
    <cellStyle name="Normal 5 3 3 2 3 2" xfId="10800" xr:uid="{D1AE6241-1D68-410D-BCF6-64907BFD9AA1}"/>
    <cellStyle name="Normal 5 3 3 2 4" xfId="7632" xr:uid="{CF782FF4-7DC0-4E31-A2A3-FCAD47BD7BB3}"/>
    <cellStyle name="Normal 5 3 3 3" xfId="2063" xr:uid="{5F7CEA2E-7830-40F3-949F-9055D3E05C8F}"/>
    <cellStyle name="Normal 5 3 3 3 2" xfId="5233" xr:uid="{96DD9E4D-53B3-4308-AC32-1BF1EE12C3CE}"/>
    <cellStyle name="Normal 5 3 3 3 2 2" xfId="11572" xr:uid="{0C4C2ACF-8CF2-42A2-96EB-C35E468CD931}"/>
    <cellStyle name="Normal 5 3 3 3 3" xfId="8404" xr:uid="{910B3365-C828-4DF9-A742-6B2779F8946B}"/>
    <cellStyle name="Normal 5 3 3 4" xfId="3664" xr:uid="{36E756B8-B699-4ABC-8446-88C148B22E90}"/>
    <cellStyle name="Normal 5 3 3 4 2" xfId="10003" xr:uid="{ED3ED0BB-0DD1-4E3F-88CA-0DF7B5621543}"/>
    <cellStyle name="Normal 5 3 3 5" xfId="6835" xr:uid="{21901D8B-C188-4669-86EF-50E3BC9D9058}"/>
    <cellStyle name="Normal 5 3 4" xfId="888" xr:uid="{A44A2ED6-B03C-459F-AEFC-EBE1E9384729}"/>
    <cellStyle name="Normal 5 3 4 2" xfId="2459" xr:uid="{D5DB3E47-BA64-4EDB-86EA-742DE6938C4B}"/>
    <cellStyle name="Normal 5 3 4 2 2" xfId="5629" xr:uid="{4C820E03-067E-4FE9-B9C5-561097040311}"/>
    <cellStyle name="Normal 5 3 4 2 2 2" xfId="11968" xr:uid="{4319884B-42F2-4D0A-B882-C0734A5C12C4}"/>
    <cellStyle name="Normal 5 3 4 2 3" xfId="8800" xr:uid="{AA621DB1-5BC2-485F-B099-4492EC507880}"/>
    <cellStyle name="Normal 5 3 4 3" xfId="4060" xr:uid="{50A26138-F19A-4C83-BF87-769FCE295BE9}"/>
    <cellStyle name="Normal 5 3 4 3 2" xfId="10399" xr:uid="{3F740DD2-0CD2-4BBA-9BD6-B5157DBC1E9B}"/>
    <cellStyle name="Normal 5 3 4 4" xfId="7231" xr:uid="{23499D0A-B9F4-45C5-A3C0-86D052939D07}"/>
    <cellStyle name="Normal 5 3 5" xfId="1685" xr:uid="{63EC10F1-2B4E-4286-A66A-1AC96814EC65}"/>
    <cellStyle name="Normal 5 3 5 2" xfId="4855" xr:uid="{2FF6521E-CC63-4097-8886-F9C674681294}"/>
    <cellStyle name="Normal 5 3 5 2 2" xfId="11194" xr:uid="{794C5EB7-DEB8-4A9F-8398-EBFF40FE08D0}"/>
    <cellStyle name="Normal 5 3 5 3" xfId="8026" xr:uid="{7AF06D26-FE3E-4100-87CD-CDA206E186A3}"/>
    <cellStyle name="Normal 5 3 6" xfId="3263" xr:uid="{012FA1B4-A6C6-4607-B8E9-F017A51AC6E5}"/>
    <cellStyle name="Normal 5 3 6 2" xfId="9602" xr:uid="{D13DC56D-2DE6-4C46-8455-AF9DAB26D84E}"/>
    <cellStyle name="Normal 5 3 7" xfId="6434" xr:uid="{6F5FA594-C557-45D5-B343-36FF236E5B9D}"/>
    <cellStyle name="Normal 5 4" xfId="148" xr:uid="{91135328-3A8C-4E65-A261-A829818E8B46}"/>
    <cellStyle name="Normal 5 4 2" xfId="365" xr:uid="{DE8EFCF9-1BD7-43CC-A9DA-AC5FD570C028}"/>
    <cellStyle name="Normal 5 4 2 2" xfId="746" xr:uid="{4097D0CB-AD6E-4EAE-8F84-88D509DA6F53}"/>
    <cellStyle name="Normal 5 4 2 2 2" xfId="1545" xr:uid="{75420F4E-A8CA-43D6-A380-947F37AD4672}"/>
    <cellStyle name="Normal 5 4 2 2 2 2" xfId="3116" xr:uid="{982F1B59-B3E4-4423-9E07-C8C985DB6D77}"/>
    <cellStyle name="Normal 5 4 2 2 2 2 2" xfId="6286" xr:uid="{B39A1E88-BCBA-4E7B-A899-E5BFF2CBF359}"/>
    <cellStyle name="Normal 5 4 2 2 2 2 2 2" xfId="12625" xr:uid="{A4DEBFFA-C030-401B-BB76-D10DCF446CCD}"/>
    <cellStyle name="Normal 5 4 2 2 2 2 3" xfId="9457" xr:uid="{16A011AA-22BA-4C82-9767-452A5D9AA654}"/>
    <cellStyle name="Normal 5 4 2 2 2 3" xfId="4717" xr:uid="{45A3438A-DC64-4025-B02D-EC44849BCDB9}"/>
    <cellStyle name="Normal 5 4 2 2 2 3 2" xfId="11056" xr:uid="{9A12C1E6-8518-43B6-8EF8-621AAD8CB565}"/>
    <cellStyle name="Normal 5 4 2 2 2 4" xfId="7888" xr:uid="{89044772-5F03-4316-AC0D-5ABDCC73320E}"/>
    <cellStyle name="Normal 5 4 2 2 3" xfId="2319" xr:uid="{F37EF7BB-4F6C-4F4E-A61B-3F003922199A}"/>
    <cellStyle name="Normal 5 4 2 2 3 2" xfId="5489" xr:uid="{7C5FA56C-2AA6-4C55-96C7-91AE793C59BF}"/>
    <cellStyle name="Normal 5 4 2 2 3 2 2" xfId="11828" xr:uid="{B26C1CA6-7CFF-45AA-AE17-13F3B5724F99}"/>
    <cellStyle name="Normal 5 4 2 2 3 3" xfId="8660" xr:uid="{D3E37887-55AD-4EC2-B227-DA4BA08CF390}"/>
    <cellStyle name="Normal 5 4 2 2 4" xfId="3920" xr:uid="{AAB3AA2A-1940-47DA-A830-DCE76225C19C}"/>
    <cellStyle name="Normal 5 4 2 2 4 2" xfId="10259" xr:uid="{48E24768-5FBB-4AD3-AA59-44335BAC68AB}"/>
    <cellStyle name="Normal 5 4 2 2 5" xfId="7091" xr:uid="{21A653DF-D7B8-49F1-97C7-62602E344ADA}"/>
    <cellStyle name="Normal 5 4 2 3" xfId="1164" xr:uid="{400E6F50-F664-47A3-B960-C74E1D307CE9}"/>
    <cellStyle name="Normal 5 4 2 3 2" xfId="2735" xr:uid="{0D75808B-4A52-4405-9404-A36BD1BDC167}"/>
    <cellStyle name="Normal 5 4 2 3 2 2" xfId="5905" xr:uid="{E488056C-47E3-4B26-8B71-E726646EEE75}"/>
    <cellStyle name="Normal 5 4 2 3 2 2 2" xfId="12244" xr:uid="{AC8DCCD2-C24D-4396-B222-21260F614185}"/>
    <cellStyle name="Normal 5 4 2 3 2 3" xfId="9076" xr:uid="{6A3A2A95-C546-4E63-AA65-D59D407F0A75}"/>
    <cellStyle name="Normal 5 4 2 3 3" xfId="4336" xr:uid="{77206152-E79F-436E-B207-F3165A310F69}"/>
    <cellStyle name="Normal 5 4 2 3 3 2" xfId="10675" xr:uid="{436B49FC-E36D-4DD3-B0FD-1E3B80C7E0A1}"/>
    <cellStyle name="Normal 5 4 2 3 4" xfId="7507" xr:uid="{F58463E3-554E-40F0-BCAA-EA08B5FA4C99}"/>
    <cellStyle name="Normal 5 4 2 4" xfId="1938" xr:uid="{748EF99D-531A-4AE8-B3B1-372ECADDAB0D}"/>
    <cellStyle name="Normal 5 4 2 4 2" xfId="5108" xr:uid="{F8F481C0-0D28-4B43-B51B-E1457C875451}"/>
    <cellStyle name="Normal 5 4 2 4 2 2" xfId="11447" xr:uid="{728D9AEC-7E7F-4FFB-9458-F35F7BDCAA2B}"/>
    <cellStyle name="Normal 5 4 2 4 3" xfId="8279" xr:uid="{74C90BDA-B669-463A-9C86-EA8471ED4759}"/>
    <cellStyle name="Normal 5 4 2 5" xfId="3539" xr:uid="{23E1C6A8-CDA9-46BD-AE09-0214C7EB19E0}"/>
    <cellStyle name="Normal 5 4 2 5 2" xfId="9878" xr:uid="{D013933F-780E-48F4-B01A-605F1B82463E}"/>
    <cellStyle name="Normal 5 4 2 6" xfId="6710" xr:uid="{AF104427-D369-439C-9A06-A21DB335B516}"/>
    <cellStyle name="Normal 5 4 3" xfId="543" xr:uid="{6BD2A71C-5B06-410F-86CE-786463C7155E}"/>
    <cellStyle name="Normal 5 4 3 2" xfId="1342" xr:uid="{03A94ABF-B4C0-4AB6-A2DA-40585FE5D202}"/>
    <cellStyle name="Normal 5 4 3 2 2" xfId="2913" xr:uid="{896F8D60-14BD-48D4-AACD-F39FE4DE9C53}"/>
    <cellStyle name="Normal 5 4 3 2 2 2" xfId="6083" xr:uid="{7DFC71CC-C561-44F6-9D3F-69A17479A048}"/>
    <cellStyle name="Normal 5 4 3 2 2 2 2" xfId="12422" xr:uid="{BF93B7DF-D47C-437C-B4F8-CC72F37072F6}"/>
    <cellStyle name="Normal 5 4 3 2 2 3" xfId="9254" xr:uid="{8D726E71-5BDD-4083-B882-468A1E35F657}"/>
    <cellStyle name="Normal 5 4 3 2 3" xfId="4514" xr:uid="{91ED51CA-C12C-4F1E-B86B-0CB57B4D0442}"/>
    <cellStyle name="Normal 5 4 3 2 3 2" xfId="10853" xr:uid="{18DEF93E-2799-42AE-8280-C7EE9A074545}"/>
    <cellStyle name="Normal 5 4 3 2 4" xfId="7685" xr:uid="{8B7A1E55-597A-4553-9220-1C83517AC62B}"/>
    <cellStyle name="Normal 5 4 3 3" xfId="2116" xr:uid="{3870FB86-8AA9-46E2-BB69-C34D8EB05B6E}"/>
    <cellStyle name="Normal 5 4 3 3 2" xfId="5286" xr:uid="{CCF4C1D3-CB18-4CE4-A9B7-054428932087}"/>
    <cellStyle name="Normal 5 4 3 3 2 2" xfId="11625" xr:uid="{2CC1FD8E-6674-46DD-B500-481301A4DD34}"/>
    <cellStyle name="Normal 5 4 3 3 3" xfId="8457" xr:uid="{F4F13BCF-BBA7-4C2C-BC01-9AE55309DF77}"/>
    <cellStyle name="Normal 5 4 3 4" xfId="3717" xr:uid="{AF42FF1D-8891-421B-B604-DFA35E6D43AA}"/>
    <cellStyle name="Normal 5 4 3 4 2" xfId="10056" xr:uid="{CF03C8BB-8CC2-4276-AECB-F391F4C60717}"/>
    <cellStyle name="Normal 5 4 3 5" xfId="6888" xr:uid="{8959D48B-03B3-4A1F-98AC-A0A323023501}"/>
    <cellStyle name="Normal 5 4 4" xfId="961" xr:uid="{E07F04C2-05AB-4D70-B826-AF4B2E3C1275}"/>
    <cellStyle name="Normal 5 4 4 2" xfId="2532" xr:uid="{41D6B09C-8CB3-4141-93C7-2E0FAA98CEA6}"/>
    <cellStyle name="Normal 5 4 4 2 2" xfId="5702" xr:uid="{EEF225C4-5A35-4829-8D44-1B986E1F7FD3}"/>
    <cellStyle name="Normal 5 4 4 2 2 2" xfId="12041" xr:uid="{F11A4E77-0DC4-46CF-8311-F852F91587E4}"/>
    <cellStyle name="Normal 5 4 4 2 3" xfId="8873" xr:uid="{956A728D-0ECB-4B85-AC06-9A465AC637DF}"/>
    <cellStyle name="Normal 5 4 4 3" xfId="4133" xr:uid="{9ED0B682-CCA8-4356-A67F-C9F6791E2DA9}"/>
    <cellStyle name="Normal 5 4 4 3 2" xfId="10472" xr:uid="{22F38F2C-8152-4ACA-8400-21CA299CE1D1}"/>
    <cellStyle name="Normal 5 4 4 4" xfId="7304" xr:uid="{006233BA-39AC-41D3-B6D9-D14581A8FEB2}"/>
    <cellStyle name="Normal 5 4 5" xfId="1735" xr:uid="{14AA69B3-F203-42F1-9844-B4D1B905255A}"/>
    <cellStyle name="Normal 5 4 5 2" xfId="4905" xr:uid="{9EC617E8-90F8-4AB9-8163-5D77F3C040E3}"/>
    <cellStyle name="Normal 5 4 5 2 2" xfId="11244" xr:uid="{3D6DDD6C-C25E-44FF-9A71-80B0CAAFD198}"/>
    <cellStyle name="Normal 5 4 5 3" xfId="8076" xr:uid="{A4631595-4F6B-4889-B04C-B966BFCB7024}"/>
    <cellStyle name="Normal 5 4 6" xfId="3336" xr:uid="{C1452487-68DE-42BD-B055-E718CB6C0F02}"/>
    <cellStyle name="Normal 5 4 6 2" xfId="9675" xr:uid="{F6181499-4B82-4C07-868F-1DE3A068FEF2}"/>
    <cellStyle name="Normal 5 4 7" xfId="6507" xr:uid="{7781468A-70CE-4085-932E-03128BBC4BE8}"/>
    <cellStyle name="Normal 5 5" xfId="234" xr:uid="{F8D6F524-1F25-4E7D-91E3-582A0DD41AA5}"/>
    <cellStyle name="Normal 5 5 2" xfId="628" xr:uid="{F05E0FFE-CD33-4B3C-BDCF-9B9BACFC5442}"/>
    <cellStyle name="Normal 5 5 2 2" xfId="1427" xr:uid="{6399C3AF-EE31-4207-8A32-43213217B20F}"/>
    <cellStyle name="Normal 5 5 2 2 2" xfId="2998" xr:uid="{6DE90D16-5259-4462-9D38-8B0DDCF93413}"/>
    <cellStyle name="Normal 5 5 2 2 2 2" xfId="6168" xr:uid="{95EB5AFD-7FDB-4C87-ABD1-C55C280B4E75}"/>
    <cellStyle name="Normal 5 5 2 2 2 2 2" xfId="12507" xr:uid="{090C6B64-3114-46E6-B80B-BF86E67E462F}"/>
    <cellStyle name="Normal 5 5 2 2 2 3" xfId="9339" xr:uid="{6235959E-31F2-4328-BB1D-B07EB28DD853}"/>
    <cellStyle name="Normal 5 5 2 2 3" xfId="4599" xr:uid="{7B00A160-0368-4AEC-8819-0AD5038775BE}"/>
    <cellStyle name="Normal 5 5 2 2 3 2" xfId="10938" xr:uid="{FDE688ED-8F3C-4738-9849-65253C5F27B3}"/>
    <cellStyle name="Normal 5 5 2 2 4" xfId="7770" xr:uid="{1278CAF1-AD1C-477D-B15F-9CFBCBF0F616}"/>
    <cellStyle name="Normal 5 5 2 3" xfId="2201" xr:uid="{2048A322-8B1D-40B9-9E69-62A9BF549BFE}"/>
    <cellStyle name="Normal 5 5 2 3 2" xfId="5371" xr:uid="{68F72A02-BDA4-408B-B629-C95B795141E9}"/>
    <cellStyle name="Normal 5 5 2 3 2 2" xfId="11710" xr:uid="{9CF95D8B-4E57-4170-ABBA-758C366B0169}"/>
    <cellStyle name="Normal 5 5 2 3 3" xfId="8542" xr:uid="{33423C2D-C468-438A-9EF9-3621DBD84D21}"/>
    <cellStyle name="Normal 5 5 2 4" xfId="3802" xr:uid="{98B2AA3A-F3EE-4119-86DA-C0BB4A5E947D}"/>
    <cellStyle name="Normal 5 5 2 4 2" xfId="10141" xr:uid="{4AE1B9BC-8585-4EA5-A940-C1E3DDA1E7C8}"/>
    <cellStyle name="Normal 5 5 2 5" xfId="6973" xr:uid="{E5744F32-6B15-4BB8-A328-3CB691E73AD2}"/>
    <cellStyle name="Normal 5 5 3" xfId="1046" xr:uid="{AFB54B4E-53BC-4415-AA89-C23E03FAF353}"/>
    <cellStyle name="Normal 5 5 3 2" xfId="2617" xr:uid="{D389E760-1E88-4C4D-A283-4B6E2D8DF100}"/>
    <cellStyle name="Normal 5 5 3 2 2" xfId="5787" xr:uid="{21C23DFE-13B7-4ABA-9BDF-B0A1E852A308}"/>
    <cellStyle name="Normal 5 5 3 2 2 2" xfId="12126" xr:uid="{EF9C5DFC-4A3D-480F-A1C6-A0CE55277A98}"/>
    <cellStyle name="Normal 5 5 3 2 3" xfId="8958" xr:uid="{5CF6C9FF-1541-4A04-AD61-4D96A148ED27}"/>
    <cellStyle name="Normal 5 5 3 3" xfId="4218" xr:uid="{FEADFD04-792E-42A9-9BDC-09A8FF67F37B}"/>
    <cellStyle name="Normal 5 5 3 3 2" xfId="10557" xr:uid="{A441E2AD-2265-44CC-ACE7-E8BA733CACBE}"/>
    <cellStyle name="Normal 5 5 3 4" xfId="7389" xr:uid="{D373DF94-9CD6-4E22-AFF4-2E32D1E4F6B1}"/>
    <cellStyle name="Normal 5 5 4" xfId="1820" xr:uid="{AF5DBC3C-F405-49DA-864B-A9348D36D08A}"/>
    <cellStyle name="Normal 5 5 4 2" xfId="4990" xr:uid="{3426F7D5-994C-42C6-ABFE-6EF6124472BC}"/>
    <cellStyle name="Normal 5 5 4 2 2" xfId="11329" xr:uid="{118C1E95-7113-45DD-B0A8-FA0710560D5E}"/>
    <cellStyle name="Normal 5 5 4 3" xfId="8161" xr:uid="{8A781E2B-B1BD-444E-89B0-0713E642E906}"/>
    <cellStyle name="Normal 5 5 5" xfId="3421" xr:uid="{32152A62-F95C-499F-B6EE-5F50CBAA5ECB}"/>
    <cellStyle name="Normal 5 5 5 2" xfId="9760" xr:uid="{58795413-3D59-4327-B91F-BFF9AA499F2A}"/>
    <cellStyle name="Normal 5 5 6" xfId="6592" xr:uid="{3016F540-97DA-4CFF-8A39-8FF9EFA2E37C}"/>
    <cellStyle name="Normal 5 6" xfId="452" xr:uid="{73585CA8-03DE-43C9-BAD4-F4BD908EE7FB}"/>
    <cellStyle name="Normal 5 6 2" xfId="1251" xr:uid="{35264A4D-9C95-4023-90A9-AB1F43DA2F77}"/>
    <cellStyle name="Normal 5 6 2 2" xfId="2822" xr:uid="{CF7897B4-D7A6-4782-89D5-F8526DADBDBA}"/>
    <cellStyle name="Normal 5 6 2 2 2" xfId="5992" xr:uid="{4E84FD4A-C5A6-494A-B1D3-67948947C723}"/>
    <cellStyle name="Normal 5 6 2 2 2 2" xfId="12331" xr:uid="{1C1B4529-B13D-41AF-8FAE-E63417FC93A9}"/>
    <cellStyle name="Normal 5 6 2 2 3" xfId="9163" xr:uid="{D393FB5F-ED5E-4894-A97F-2F1D1F8E9E76}"/>
    <cellStyle name="Normal 5 6 2 3" xfId="4423" xr:uid="{1D9852BB-1559-4DA6-B563-2B66D7660F95}"/>
    <cellStyle name="Normal 5 6 2 3 2" xfId="10762" xr:uid="{01B996BC-E97B-4BAF-918E-C800382C5E66}"/>
    <cellStyle name="Normal 5 6 2 4" xfId="7594" xr:uid="{498EE899-671A-4FDB-9190-A2090C3D8ABE}"/>
    <cellStyle name="Normal 5 6 3" xfId="2025" xr:uid="{7F25C1F6-8F07-4954-9028-482B57762D5D}"/>
    <cellStyle name="Normal 5 6 3 2" xfId="5195" xr:uid="{FA320094-E004-4BCC-9CCE-887C53D341FB}"/>
    <cellStyle name="Normal 5 6 3 2 2" xfId="11534" xr:uid="{2FECC24F-59AC-4435-9277-A2031EF172BC}"/>
    <cellStyle name="Normal 5 6 3 3" xfId="8366" xr:uid="{68060953-FC1C-45C4-8957-753F9917B984}"/>
    <cellStyle name="Normal 5 6 4" xfId="3626" xr:uid="{B6F61C25-6221-417E-8220-A204FADFAE0E}"/>
    <cellStyle name="Normal 5 6 4 2" xfId="9965" xr:uid="{67FBE185-7D51-4535-9972-022A7A79129A}"/>
    <cellStyle name="Normal 5 6 5" xfId="6797" xr:uid="{49D17C04-1E95-4DEC-A979-78D6910043B2}"/>
    <cellStyle name="Normal 5 7" xfId="842" xr:uid="{F7FEBBD9-AC24-4BA6-BBDE-A948D66918E6}"/>
    <cellStyle name="Normal 5 7 2" xfId="2414" xr:uid="{4796A064-185A-4F5C-B3E3-5F3E021310EE}"/>
    <cellStyle name="Normal 5 7 2 2" xfId="5584" xr:uid="{27A9D23E-3746-4651-88D1-C12CD0F9BCB8}"/>
    <cellStyle name="Normal 5 7 2 2 2" xfId="11923" xr:uid="{CB829BA2-730D-47D0-A657-FBC7FB181106}"/>
    <cellStyle name="Normal 5 7 2 3" xfId="8755" xr:uid="{C4F2498D-B066-4B5F-ACC0-1442603615D3}"/>
    <cellStyle name="Normal 5 7 3" xfId="4015" xr:uid="{505A2839-90BE-458F-92C8-A2ACE3C5D32F}"/>
    <cellStyle name="Normal 5 7 3 2" xfId="10354" xr:uid="{42E2F8A5-1D17-4D97-8F83-0BB7E8F60F2E}"/>
    <cellStyle name="Normal 5 7 4" xfId="7186" xr:uid="{E5F33F36-4105-4250-82C6-46AD8E5D7B6C}"/>
    <cellStyle name="Normal 5 8" xfId="1648" xr:uid="{8E1FC3A9-0564-4E47-9146-6CC32605890F}"/>
    <cellStyle name="Normal 5 8 2" xfId="4818" xr:uid="{21C888BC-3A91-4BDA-AADC-810970E2F3B1}"/>
    <cellStyle name="Normal 5 8 2 2" xfId="11157" xr:uid="{CE21A18A-B385-4120-8B6C-7A35E426BD27}"/>
    <cellStyle name="Normal 5 8 3" xfId="7989" xr:uid="{6FE621D7-3717-4CDD-84F2-9B09FB6646FB}"/>
    <cellStyle name="Normal 5 9" xfId="3217" xr:uid="{46A7EC96-952A-4CC1-9A20-377848D5B37A}"/>
    <cellStyle name="Normal 5 9 2" xfId="9557" xr:uid="{424EBCEF-C925-4959-9194-A04ED44EEFEA}"/>
    <cellStyle name="Normal 6" xfId="6" xr:uid="{6EBF548D-400A-4324-AC6F-ECB8681890AE}"/>
    <cellStyle name="Normal 6 2" xfId="60" xr:uid="{ED1E531F-F5F1-4B6A-A372-B7F2DB9CC59F}"/>
    <cellStyle name="Normal 6 2 2" xfId="284" xr:uid="{6EB6E92E-4AA1-4A27-851A-97EA1B47D8CC}"/>
    <cellStyle name="Normal 6 2 2 2" xfId="674" xr:uid="{BA01936A-BCE5-4A93-A0A8-FF49A5331D1C}"/>
    <cellStyle name="Normal 6 2 2 2 2" xfId="1473" xr:uid="{17DFA0F3-D01D-4F0E-B9A2-16670A9C2FD7}"/>
    <cellStyle name="Normal 6 2 2 2 2 2" xfId="3044" xr:uid="{A2563C85-4BDC-4BD3-91F8-92B376C090DB}"/>
    <cellStyle name="Normal 6 2 2 2 2 2 2" xfId="6214" xr:uid="{62BFDA4A-DB7E-400C-BABD-8B5016BA78DC}"/>
    <cellStyle name="Normal 6 2 2 2 2 2 2 2" xfId="12553" xr:uid="{30C1AC49-0450-47C0-BA05-93BB15C4166E}"/>
    <cellStyle name="Normal 6 2 2 2 2 2 3" xfId="9385" xr:uid="{A063D25A-5F9A-44A2-A027-50CE0B8C3991}"/>
    <cellStyle name="Normal 6 2 2 2 2 3" xfId="4645" xr:uid="{4A76953C-AF0E-40C3-8E21-EF6A3F74AFC7}"/>
    <cellStyle name="Normal 6 2 2 2 2 3 2" xfId="10984" xr:uid="{C57FB2AD-1A58-482B-9C74-5A243299F7EE}"/>
    <cellStyle name="Normal 6 2 2 2 2 4" xfId="7816" xr:uid="{64AB7D8E-0F5D-4E4B-B4BF-4314762C0218}"/>
    <cellStyle name="Normal 6 2 2 2 3" xfId="2247" xr:uid="{EFFC0D67-E5DE-4873-98C5-886CC63EE708}"/>
    <cellStyle name="Normal 6 2 2 2 3 2" xfId="5417" xr:uid="{0A4341B2-D7D3-4F74-AD2B-0C17A4EC10D3}"/>
    <cellStyle name="Normal 6 2 2 2 3 2 2" xfId="11756" xr:uid="{FFA08743-8756-47F7-B4D0-3EEBD8E72A46}"/>
    <cellStyle name="Normal 6 2 2 2 3 3" xfId="8588" xr:uid="{32B9712D-3891-4DFE-96F1-ED02DE3AD994}"/>
    <cellStyle name="Normal 6 2 2 2 4" xfId="3848" xr:uid="{874E07B0-7A00-42A9-BD00-D0F5B165AED1}"/>
    <cellStyle name="Normal 6 2 2 2 4 2" xfId="10187" xr:uid="{5EAA2408-D6A6-4DDE-9632-D37E8B51D295}"/>
    <cellStyle name="Normal 6 2 2 2 5" xfId="7019" xr:uid="{06E00A7D-93AC-4F4F-806B-5B514CDBBE4F}"/>
    <cellStyle name="Normal 6 2 2 3" xfId="1092" xr:uid="{05A0BC96-0FA6-4B2F-ADC1-99AC536F2E10}"/>
    <cellStyle name="Normal 6 2 2 3 2" xfId="2663" xr:uid="{84BAE9F8-302E-4FFB-BA94-BC581F198E80}"/>
    <cellStyle name="Normal 6 2 2 3 2 2" xfId="5833" xr:uid="{F598FDCF-E028-4074-B6EF-E5769C993371}"/>
    <cellStyle name="Normal 6 2 2 3 2 2 2" xfId="12172" xr:uid="{4C3411E7-422F-401C-AC3A-69E445BDB259}"/>
    <cellStyle name="Normal 6 2 2 3 2 3" xfId="9004" xr:uid="{EA7BAE5D-5AF0-4DFC-81A6-161D877EE4FD}"/>
    <cellStyle name="Normal 6 2 2 3 3" xfId="4264" xr:uid="{901C71E3-D439-43FF-9955-5710CD569CF8}"/>
    <cellStyle name="Normal 6 2 2 3 3 2" xfId="10603" xr:uid="{FB7CAA8B-4FCF-42D6-9458-9A35C60135DD}"/>
    <cellStyle name="Normal 6 2 2 3 4" xfId="7435" xr:uid="{BC5E7C78-2E29-41EA-94BB-2E79B8CC75B5}"/>
    <cellStyle name="Normal 6 2 2 4" xfId="1866" xr:uid="{61575DB8-9015-4EB7-B9DB-A0250E5B1B52}"/>
    <cellStyle name="Normal 6 2 2 4 2" xfId="5036" xr:uid="{8777336A-A7D3-4AAB-A3E9-7CF404349976}"/>
    <cellStyle name="Normal 6 2 2 4 2 2" xfId="11375" xr:uid="{D6385F46-982B-4163-B12F-09DB437A3220}"/>
    <cellStyle name="Normal 6 2 2 4 3" xfId="8207" xr:uid="{B825FF13-BF84-425C-9CAE-761E5C1AF701}"/>
    <cellStyle name="Normal 6 2 2 5" xfId="3467" xr:uid="{97C6F69F-FA58-4D7A-817F-EABC0DBB2305}"/>
    <cellStyle name="Normal 6 2 2 5 2" xfId="9806" xr:uid="{145208F7-F921-4F00-8B7C-590E277A16BC}"/>
    <cellStyle name="Normal 6 2 2 6" xfId="6638" xr:uid="{3AF10DD3-9AB3-4C07-9639-05E389B21B1B}"/>
    <cellStyle name="Normal 6 2 3" xfId="491" xr:uid="{8E9F4F04-E1F3-4FE8-88A8-1920CB8D7B31}"/>
    <cellStyle name="Normal 6 2 3 2" xfId="1290" xr:uid="{ED118504-11C7-4034-95FB-7E767DA5923B}"/>
    <cellStyle name="Normal 6 2 3 2 2" xfId="2861" xr:uid="{B475ABD7-A9EE-42E7-AFE4-4F00C316E629}"/>
    <cellStyle name="Normal 6 2 3 2 2 2" xfId="6031" xr:uid="{20B1FD91-D93B-450F-A63B-31A12F8CD77F}"/>
    <cellStyle name="Normal 6 2 3 2 2 2 2" xfId="12370" xr:uid="{C3AA72C2-A680-4F93-B645-FBFA879D165B}"/>
    <cellStyle name="Normal 6 2 3 2 2 3" xfId="9202" xr:uid="{9C55C999-1045-49BE-A3F9-D6D8800F7E75}"/>
    <cellStyle name="Normal 6 2 3 2 3" xfId="4462" xr:uid="{7B55302C-EC22-4CDB-988F-5700192D3686}"/>
    <cellStyle name="Normal 6 2 3 2 3 2" xfId="10801" xr:uid="{73D53D5A-AB0A-44B9-B7F6-C7C16A13B6E7}"/>
    <cellStyle name="Normal 6 2 3 2 4" xfId="7633" xr:uid="{63D22819-9CCA-4067-949B-39FAA1ED3234}"/>
    <cellStyle name="Normal 6 2 3 3" xfId="2064" xr:uid="{6963BEF6-A574-4A2F-9594-8E7FD193B4DF}"/>
    <cellStyle name="Normal 6 2 3 3 2" xfId="5234" xr:uid="{9BC86026-7D6B-4E3D-AA52-238EB527CFD2}"/>
    <cellStyle name="Normal 6 2 3 3 2 2" xfId="11573" xr:uid="{C8C93B2A-7104-4566-8D27-747C75838B5E}"/>
    <cellStyle name="Normal 6 2 3 3 3" xfId="8405" xr:uid="{6EBD6EA1-F260-4000-A496-87773C90E7B2}"/>
    <cellStyle name="Normal 6 2 3 4" xfId="3665" xr:uid="{E76F37CA-497E-4AD1-8710-3BB73A1208BB}"/>
    <cellStyle name="Normal 6 2 3 4 2" xfId="10004" xr:uid="{B7FE576B-4274-498E-AD61-D6B3A311655E}"/>
    <cellStyle name="Normal 6 2 3 5" xfId="6836" xr:uid="{CB03852A-9E2B-4C2D-94A5-5ABF1E3471BD}"/>
    <cellStyle name="Normal 6 2 4" xfId="889" xr:uid="{22C2B877-BBA7-4A06-A5D6-8724C191A1B1}"/>
    <cellStyle name="Normal 6 2 4 2" xfId="2460" xr:uid="{156386CC-8951-43AD-88E9-F2BCE1908631}"/>
    <cellStyle name="Normal 6 2 4 2 2" xfId="5630" xr:uid="{4CD74E03-F33B-4EE2-A823-C7824184A560}"/>
    <cellStyle name="Normal 6 2 4 2 2 2" xfId="11969" xr:uid="{FCD9E171-EF94-4D49-B2FC-D5E09055518C}"/>
    <cellStyle name="Normal 6 2 4 2 3" xfId="8801" xr:uid="{1B6CD36B-EABD-4FFF-ACC5-BEE577C7411A}"/>
    <cellStyle name="Normal 6 2 4 3" xfId="4061" xr:uid="{2C64D6B8-06E3-466E-9369-D2853ACBDC41}"/>
    <cellStyle name="Normal 6 2 4 3 2" xfId="10400" xr:uid="{E6D02CF2-EB71-4C2E-885B-337F8FB3300F}"/>
    <cellStyle name="Normal 6 2 4 4" xfId="7232" xr:uid="{354B466F-8FA9-4A2D-9CBA-FEF21A6FBAD9}"/>
    <cellStyle name="Normal 6 2 5" xfId="1686" xr:uid="{7B8BBD50-C7D7-45DB-9C7E-2EDC4C60D8B7}"/>
    <cellStyle name="Normal 6 2 5 2" xfId="4856" xr:uid="{C3D6B274-F024-4EA4-9B66-9BCAB740B054}"/>
    <cellStyle name="Normal 6 2 5 2 2" xfId="11195" xr:uid="{617ED593-3C7B-4521-AB1A-9DB42ADB63D3}"/>
    <cellStyle name="Normal 6 2 5 3" xfId="8027" xr:uid="{E23A5147-CD79-4732-A7F6-0BF1013F474F}"/>
    <cellStyle name="Normal 6 2 6" xfId="3264" xr:uid="{8C0D9E76-3722-46AF-B4EA-0450AA106BD2}"/>
    <cellStyle name="Normal 6 2 6 2" xfId="9603" xr:uid="{E9712FA1-C05F-443E-9161-454DDEF57FB2}"/>
    <cellStyle name="Normal 6 2 7" xfId="6435" xr:uid="{1B2CD0C0-DD92-4089-8F25-CA1AB33E0448}"/>
    <cellStyle name="Normal 6 3" xfId="149" xr:uid="{7E15693E-735C-4700-873D-603856DEEFF2}"/>
    <cellStyle name="Normal 6 3 2" xfId="366" xr:uid="{AA69B917-98F1-45BC-8598-0B919AC831AC}"/>
    <cellStyle name="Normal 6 3 2 2" xfId="747" xr:uid="{3D615776-48A7-449F-A54D-C14312BAAB73}"/>
    <cellStyle name="Normal 6 3 2 2 2" xfId="1546" xr:uid="{4EEBB85C-8B3C-455D-9C3A-16CD96EC2D61}"/>
    <cellStyle name="Normal 6 3 2 2 2 2" xfId="3117" xr:uid="{3E0A8136-BCF0-46D2-B1C2-4146355FE291}"/>
    <cellStyle name="Normal 6 3 2 2 2 2 2" xfId="6287" xr:uid="{84A0EE29-D00A-4E97-9D93-3C319BEFD956}"/>
    <cellStyle name="Normal 6 3 2 2 2 2 2 2" xfId="12626" xr:uid="{3E304802-8C97-4B82-BFBF-BF9778CF3563}"/>
    <cellStyle name="Normal 6 3 2 2 2 2 3" xfId="9458" xr:uid="{0390EC3D-510B-471D-BA78-4948090A02A9}"/>
    <cellStyle name="Normal 6 3 2 2 2 3" xfId="4718" xr:uid="{B23933C6-EF86-48E4-98D8-9B0E8029921C}"/>
    <cellStyle name="Normal 6 3 2 2 2 3 2" xfId="11057" xr:uid="{90737FAD-CF0F-4077-BAF2-C1CF762BEE8C}"/>
    <cellStyle name="Normal 6 3 2 2 2 4" xfId="7889" xr:uid="{CDBDC437-84BD-4CF6-B5AA-054A7C4F3FC5}"/>
    <cellStyle name="Normal 6 3 2 2 3" xfId="2320" xr:uid="{4F2DED05-E2DC-40A9-8395-F7EB2C627C28}"/>
    <cellStyle name="Normal 6 3 2 2 3 2" xfId="5490" xr:uid="{FB708D92-F455-413F-B1FC-425AE2ADD80E}"/>
    <cellStyle name="Normal 6 3 2 2 3 2 2" xfId="11829" xr:uid="{C8C895A5-7FDD-4077-BC1F-B088706E4CFC}"/>
    <cellStyle name="Normal 6 3 2 2 3 3" xfId="8661" xr:uid="{FEBEC96B-1E70-41D4-810B-14DC100C4796}"/>
    <cellStyle name="Normal 6 3 2 2 4" xfId="3921" xr:uid="{BFF84544-4FA7-4E97-8C0A-883E97D11A12}"/>
    <cellStyle name="Normal 6 3 2 2 4 2" xfId="10260" xr:uid="{314AF427-12FE-4901-9E04-895A7C66C0AB}"/>
    <cellStyle name="Normal 6 3 2 2 5" xfId="7092" xr:uid="{419A9E49-2A21-4412-A375-90FC866CB4F3}"/>
    <cellStyle name="Normal 6 3 2 3" xfId="1165" xr:uid="{21F6310F-C00D-45E5-A87C-B7EC91264B43}"/>
    <cellStyle name="Normal 6 3 2 3 2" xfId="2736" xr:uid="{3E931376-ED40-48C4-86D4-477F9360BE9E}"/>
    <cellStyle name="Normal 6 3 2 3 2 2" xfId="5906" xr:uid="{3C3D90FD-82E7-4FA3-A8EB-FF82D7C1298F}"/>
    <cellStyle name="Normal 6 3 2 3 2 2 2" xfId="12245" xr:uid="{92C451DD-7A8B-4F3F-A126-A14E2E671529}"/>
    <cellStyle name="Normal 6 3 2 3 2 3" xfId="9077" xr:uid="{E621F633-2BCE-4B05-8C3B-6712A8F59DA6}"/>
    <cellStyle name="Normal 6 3 2 3 3" xfId="4337" xr:uid="{48381325-FE2A-4593-ADF2-E5BB7779FAB6}"/>
    <cellStyle name="Normal 6 3 2 3 3 2" xfId="10676" xr:uid="{326EEE16-917F-4FC0-9523-B10B9DC3D879}"/>
    <cellStyle name="Normal 6 3 2 3 4" xfId="7508" xr:uid="{FAC0DA1A-EC92-452C-ACB3-518622175292}"/>
    <cellStyle name="Normal 6 3 2 4" xfId="1939" xr:uid="{1D49857C-AB91-4A49-B24A-E98E4BA3CEEC}"/>
    <cellStyle name="Normal 6 3 2 4 2" xfId="5109" xr:uid="{30EE989F-D8C4-4298-A624-0B1E25CEB899}"/>
    <cellStyle name="Normal 6 3 2 4 2 2" xfId="11448" xr:uid="{79E170B0-8C6F-44EF-BEB7-2D98108C40BE}"/>
    <cellStyle name="Normal 6 3 2 4 3" xfId="8280" xr:uid="{E4E91149-123C-46DB-9AEE-449F44CA5394}"/>
    <cellStyle name="Normal 6 3 2 5" xfId="3540" xr:uid="{2B12CC07-ED06-445B-BCEC-2961EB4DB6C9}"/>
    <cellStyle name="Normal 6 3 2 5 2" xfId="9879" xr:uid="{E745F1FC-346F-4913-91A7-78E2C54A8AA4}"/>
    <cellStyle name="Normal 6 3 2 6" xfId="6711" xr:uid="{B808D4A8-4CB6-4A9B-B778-BAC2126AE617}"/>
    <cellStyle name="Normal 6 3 3" xfId="544" xr:uid="{E5ED7FE9-8D57-4092-A3CA-09589C453261}"/>
    <cellStyle name="Normal 6 3 3 2" xfId="1343" xr:uid="{0E65BF3E-F3B2-4D15-872B-38F53E63FAE0}"/>
    <cellStyle name="Normal 6 3 3 2 2" xfId="2914" xr:uid="{B65B9221-299A-424C-A8D6-18BD2A153C9F}"/>
    <cellStyle name="Normal 6 3 3 2 2 2" xfId="6084" xr:uid="{2CE4C0D9-B300-4D08-8A74-AB979F8E6101}"/>
    <cellStyle name="Normal 6 3 3 2 2 2 2" xfId="12423" xr:uid="{84172E36-D67F-435B-86F5-0446FC0A6DFB}"/>
    <cellStyle name="Normal 6 3 3 2 2 3" xfId="9255" xr:uid="{1CE1C168-E123-40A2-AD18-4ACEC9E0C373}"/>
    <cellStyle name="Normal 6 3 3 2 3" xfId="4515" xr:uid="{3CE2ECE1-BEE4-405A-A398-1B1713BEDA56}"/>
    <cellStyle name="Normal 6 3 3 2 3 2" xfId="10854" xr:uid="{22F15008-BCFE-4F76-87A4-D36CB9E91856}"/>
    <cellStyle name="Normal 6 3 3 2 4" xfId="7686" xr:uid="{5F491B14-7FE8-4ACD-A49F-D2E89F3BD756}"/>
    <cellStyle name="Normal 6 3 3 3" xfId="2117" xr:uid="{FD31B6DB-A5E8-4E90-B5DA-7233719E77AB}"/>
    <cellStyle name="Normal 6 3 3 3 2" xfId="5287" xr:uid="{52D4D7AB-8EEE-4EB8-938D-11700148AE39}"/>
    <cellStyle name="Normal 6 3 3 3 2 2" xfId="11626" xr:uid="{395B9717-BB55-4785-9F41-C91FE37D6604}"/>
    <cellStyle name="Normal 6 3 3 3 3" xfId="8458" xr:uid="{48D2C624-672D-432E-8BCF-7246EF47BDDD}"/>
    <cellStyle name="Normal 6 3 3 4" xfId="3718" xr:uid="{FAB42BEF-54FF-458A-BFC9-A8D751A7316A}"/>
    <cellStyle name="Normal 6 3 3 4 2" xfId="10057" xr:uid="{EC5CB739-0DB0-4753-AB2B-22C6C16E613A}"/>
    <cellStyle name="Normal 6 3 3 5" xfId="6889" xr:uid="{2998C708-FE08-4C55-9A40-7CDAAD7FD7B5}"/>
    <cellStyle name="Normal 6 3 4" xfId="962" xr:uid="{C8A5C62C-DA60-461C-A05F-74F3B6516AEC}"/>
    <cellStyle name="Normal 6 3 4 2" xfId="2533" xr:uid="{F4C2C717-A325-4675-8045-437851022F73}"/>
    <cellStyle name="Normal 6 3 4 2 2" xfId="5703" xr:uid="{1145B566-CE7A-4FBF-B609-56B87BBED8A2}"/>
    <cellStyle name="Normal 6 3 4 2 2 2" xfId="12042" xr:uid="{E5226FE0-A574-4B10-87FC-34084A5F367B}"/>
    <cellStyle name="Normal 6 3 4 2 3" xfId="8874" xr:uid="{3F56B9D7-2728-4F67-992F-4374837FAAC2}"/>
    <cellStyle name="Normal 6 3 4 3" xfId="4134" xr:uid="{5499FC6B-29DD-4807-BFE4-1093FA24A1D4}"/>
    <cellStyle name="Normal 6 3 4 3 2" xfId="10473" xr:uid="{AB483FFC-9548-473F-A725-E4036A19AE92}"/>
    <cellStyle name="Normal 6 3 4 4" xfId="7305" xr:uid="{9D616934-AFA5-476F-9D2B-DA6EB841C80D}"/>
    <cellStyle name="Normal 6 3 5" xfId="1736" xr:uid="{D4E9CB6A-DDDF-4C84-895D-97B3D1A00FB7}"/>
    <cellStyle name="Normal 6 3 5 2" xfId="4906" xr:uid="{998EBEF7-70B0-4296-9442-D744E2A4327B}"/>
    <cellStyle name="Normal 6 3 5 2 2" xfId="11245" xr:uid="{AFD68AF3-F0C3-4CF9-938C-C71142458F91}"/>
    <cellStyle name="Normal 6 3 5 3" xfId="8077" xr:uid="{ECD9344C-E3CC-4F91-A8B7-9592BC83FB8F}"/>
    <cellStyle name="Normal 6 3 6" xfId="3337" xr:uid="{71A43675-B0C7-4721-96B7-96190DB6B76E}"/>
    <cellStyle name="Normal 6 3 6 2" xfId="9676" xr:uid="{AF6751B1-4009-4DDF-A867-84AE2BB73288}"/>
    <cellStyle name="Normal 6 3 7" xfId="6508" xr:uid="{A4895A17-4BDD-438E-BE16-3682A8CD63E8}"/>
    <cellStyle name="Normal 7" xfId="13" xr:uid="{75F8333D-BCCF-4716-9DD6-4D918638FAD1}"/>
    <cellStyle name="Normal 7 2" xfId="61" xr:uid="{E1F244DA-B0B8-42C7-9155-3A0594E42D9E}"/>
    <cellStyle name="Normal 7 2 2" xfId="285" xr:uid="{706A2844-E9F7-44C3-8D57-6D6D1034308B}"/>
    <cellStyle name="Normal 7 2 2 2" xfId="675" xr:uid="{4918E41C-C388-4B5D-AF88-15F9D822F5DA}"/>
    <cellStyle name="Normal 7 2 2 2 2" xfId="1474" xr:uid="{94604EBC-F6E3-4510-8045-71082FBF6FE2}"/>
    <cellStyle name="Normal 7 2 2 2 2 2" xfId="3045" xr:uid="{CAC3CD0D-C716-4867-A0CF-2216AF280D6F}"/>
    <cellStyle name="Normal 7 2 2 2 2 2 2" xfId="6215" xr:uid="{C4C898CD-E902-462F-87FB-6300790B2F0C}"/>
    <cellStyle name="Normal 7 2 2 2 2 2 2 2" xfId="12554" xr:uid="{59D8676D-4DA6-4D17-8E97-094C8503CFAE}"/>
    <cellStyle name="Normal 7 2 2 2 2 2 3" xfId="9386" xr:uid="{B5308DAB-3F90-472A-BC55-7A1A8060FB6A}"/>
    <cellStyle name="Normal 7 2 2 2 2 3" xfId="4646" xr:uid="{CF862015-D608-49A0-8B5F-F701C7440498}"/>
    <cellStyle name="Normal 7 2 2 2 2 3 2" xfId="10985" xr:uid="{DE8364BB-E95D-4804-94DF-2119052AE43A}"/>
    <cellStyle name="Normal 7 2 2 2 2 4" xfId="7817" xr:uid="{486E05EF-E4E3-420A-82DA-B7F631BD3348}"/>
    <cellStyle name="Normal 7 2 2 2 3" xfId="2248" xr:uid="{2D8D406E-EEA8-47AA-A10F-968FDEB81583}"/>
    <cellStyle name="Normal 7 2 2 2 3 2" xfId="5418" xr:uid="{EC69F9FA-6F81-4DB9-8465-62B8D1548B52}"/>
    <cellStyle name="Normal 7 2 2 2 3 2 2" xfId="11757" xr:uid="{52CFBAC7-2012-45F4-BCFC-2CC3C3446158}"/>
    <cellStyle name="Normal 7 2 2 2 3 3" xfId="8589" xr:uid="{0CE73651-EB6B-4F6E-8032-BA2E1BE7C676}"/>
    <cellStyle name="Normal 7 2 2 2 4" xfId="3849" xr:uid="{CF185C8D-3FD8-4D64-8E31-3F4B97441120}"/>
    <cellStyle name="Normal 7 2 2 2 4 2" xfId="10188" xr:uid="{2F330A20-D47E-44BA-940D-7AD58A2E5D7A}"/>
    <cellStyle name="Normal 7 2 2 2 5" xfId="7020" xr:uid="{3C9372DB-6566-407C-AD34-813B1EDAE5FD}"/>
    <cellStyle name="Normal 7 2 2 3" xfId="1093" xr:uid="{41E0E136-24E6-4E7A-94C9-A9ED75FE47CE}"/>
    <cellStyle name="Normal 7 2 2 3 2" xfId="2664" xr:uid="{B60A1860-69BF-4F3E-A020-EE292CDD7483}"/>
    <cellStyle name="Normal 7 2 2 3 2 2" xfId="5834" xr:uid="{BE267E5F-B3B5-4F52-92D1-3AAF65201B1C}"/>
    <cellStyle name="Normal 7 2 2 3 2 2 2" xfId="12173" xr:uid="{6193F02F-5A09-4E81-A5D5-035371B77105}"/>
    <cellStyle name="Normal 7 2 2 3 2 3" xfId="9005" xr:uid="{00DB468C-5EA0-470C-B8A4-21A696455466}"/>
    <cellStyle name="Normal 7 2 2 3 3" xfId="4265" xr:uid="{30857EC5-3244-42FF-B30D-5B96CC9A65FD}"/>
    <cellStyle name="Normal 7 2 2 3 3 2" xfId="10604" xr:uid="{72F523B3-6B65-437A-B895-88891AC28887}"/>
    <cellStyle name="Normal 7 2 2 3 4" xfId="7436" xr:uid="{0DE12B96-43B3-417E-9325-355221E49D0D}"/>
    <cellStyle name="Normal 7 2 2 4" xfId="1867" xr:uid="{FA41BF25-AEC2-48CB-8296-D6CC4A32C702}"/>
    <cellStyle name="Normal 7 2 2 4 2" xfId="5037" xr:uid="{9EF6FA57-46CE-41D6-9AF9-AC91B43CC4A9}"/>
    <cellStyle name="Normal 7 2 2 4 2 2" xfId="11376" xr:uid="{A596FF03-8C40-46F0-956D-ABEF44BE4178}"/>
    <cellStyle name="Normal 7 2 2 4 3" xfId="8208" xr:uid="{DE6F4158-EC3B-4C4C-918D-8A58A2103FC2}"/>
    <cellStyle name="Normal 7 2 2 5" xfId="3468" xr:uid="{224A0766-87A2-4CD2-BEAA-95F3299D0BF2}"/>
    <cellStyle name="Normal 7 2 2 5 2" xfId="9807" xr:uid="{EA2CB947-8392-4BDE-8A1A-867402791599}"/>
    <cellStyle name="Normal 7 2 2 6" xfId="6639" xr:uid="{A27B5415-C88E-4941-A76F-B51FA95BF20A}"/>
    <cellStyle name="Normal 7 2 3" xfId="492" xr:uid="{E6A99244-F702-46FE-BD10-7A591E8FEFB4}"/>
    <cellStyle name="Normal 7 2 3 2" xfId="1291" xr:uid="{9473EC5A-998C-4AA8-954D-4576C14C1D74}"/>
    <cellStyle name="Normal 7 2 3 2 2" xfId="2862" xr:uid="{C6A41EC7-539C-479C-95AF-A9D04A24E551}"/>
    <cellStyle name="Normal 7 2 3 2 2 2" xfId="6032" xr:uid="{E118F3B9-86D1-4928-BBA6-63B6A3D6E757}"/>
    <cellStyle name="Normal 7 2 3 2 2 2 2" xfId="12371" xr:uid="{595019ED-D159-412C-952F-A21D8C2CC909}"/>
    <cellStyle name="Normal 7 2 3 2 2 3" xfId="9203" xr:uid="{A0597F14-C026-41A0-8134-A2717703EC12}"/>
    <cellStyle name="Normal 7 2 3 2 3" xfId="4463" xr:uid="{88474717-41A6-478F-B07F-CE8BCB34E11C}"/>
    <cellStyle name="Normal 7 2 3 2 3 2" xfId="10802" xr:uid="{0AF4477B-78B0-4E04-BF0A-04C3A6CB31C5}"/>
    <cellStyle name="Normal 7 2 3 2 4" xfId="7634" xr:uid="{7601339D-63A9-4C63-80B7-1384356B0DF4}"/>
    <cellStyle name="Normal 7 2 3 3" xfId="2065" xr:uid="{39B86C28-7100-41C4-B9BC-FFD14966FF7C}"/>
    <cellStyle name="Normal 7 2 3 3 2" xfId="5235" xr:uid="{5E86A625-1C82-4DF8-A612-5E4F3B10CA8A}"/>
    <cellStyle name="Normal 7 2 3 3 2 2" xfId="11574" xr:uid="{D56BB4A3-D490-4A3E-A7CA-ABBF7380972A}"/>
    <cellStyle name="Normal 7 2 3 3 3" xfId="8406" xr:uid="{F2C09BFD-2F51-445D-A49D-E57C3425CF23}"/>
    <cellStyle name="Normal 7 2 3 4" xfId="3666" xr:uid="{DB8EA143-8A8E-45DD-B666-9369C27A4770}"/>
    <cellStyle name="Normal 7 2 3 4 2" xfId="10005" xr:uid="{A534B6B6-F226-4062-9468-44E3BE46ED42}"/>
    <cellStyle name="Normal 7 2 3 5" xfId="6837" xr:uid="{D1B80336-8E4C-40A1-A568-6FAB129AB43C}"/>
    <cellStyle name="Normal 7 2 4" xfId="890" xr:uid="{9F6DFC31-216B-4F3E-9D93-8F4D9672E4C7}"/>
    <cellStyle name="Normal 7 2 4 2" xfId="2461" xr:uid="{09CA83E7-D4FC-417E-A37A-562FF41866E8}"/>
    <cellStyle name="Normal 7 2 4 2 2" xfId="5631" xr:uid="{74AC0053-8C20-405E-9E7B-503B42BD3D86}"/>
    <cellStyle name="Normal 7 2 4 2 2 2" xfId="11970" xr:uid="{371333E2-0D36-45ED-B0CA-1234C2405516}"/>
    <cellStyle name="Normal 7 2 4 2 3" xfId="8802" xr:uid="{757622F2-15FD-43BC-B1EB-EB4C6878CD78}"/>
    <cellStyle name="Normal 7 2 4 3" xfId="4062" xr:uid="{6FCC4F9A-5232-4132-83F1-A9989609873A}"/>
    <cellStyle name="Normal 7 2 4 3 2" xfId="10401" xr:uid="{B6C621E0-846C-4226-A97B-F3622706ADD9}"/>
    <cellStyle name="Normal 7 2 4 4" xfId="7233" xr:uid="{F9FCAB67-85A4-421A-B364-BFAB143B5E11}"/>
    <cellStyle name="Normal 7 2 5" xfId="1687" xr:uid="{9BDD1E33-8E09-42C1-9966-C3AB5E28239C}"/>
    <cellStyle name="Normal 7 2 5 2" xfId="4857" xr:uid="{B5AEBE46-9016-4029-BCE6-000ADE7A84B6}"/>
    <cellStyle name="Normal 7 2 5 2 2" xfId="11196" xr:uid="{630090C6-755B-4877-9264-A3113A9574D5}"/>
    <cellStyle name="Normal 7 2 5 3" xfId="8028" xr:uid="{A94C2713-4462-4C9D-9742-81354FF83ED4}"/>
    <cellStyle name="Normal 7 2 6" xfId="3265" xr:uid="{DB9A6FD4-0835-4417-9DBE-0EE8B01E5F95}"/>
    <cellStyle name="Normal 7 2 6 2" xfId="9604" xr:uid="{9888884A-0164-49E7-9ACA-7A2923CA6772}"/>
    <cellStyle name="Normal 7 2 7" xfId="6436" xr:uid="{596FAE05-8DC5-44BE-8C7D-BF86EC08B8FD}"/>
    <cellStyle name="Normal 7 3" xfId="150" xr:uid="{6F8B5292-0D68-4938-854C-BC9F23017CAD}"/>
    <cellStyle name="Normal 7 3 2" xfId="367" xr:uid="{C3448434-AFD0-4F5A-9C4A-E6A37B9E561D}"/>
    <cellStyle name="Normal 7 3 2 2" xfId="748" xr:uid="{2858012E-B21C-4C20-9D1B-F4DAFD4C8C2B}"/>
    <cellStyle name="Normal 7 3 2 2 2" xfId="1547" xr:uid="{F885B655-D549-4445-B4E3-843C28BF19BE}"/>
    <cellStyle name="Normal 7 3 2 2 2 2" xfId="3118" xr:uid="{086ACAC3-24E8-44E8-AE26-0A41A62A958F}"/>
    <cellStyle name="Normal 7 3 2 2 2 2 2" xfId="6288" xr:uid="{A5F817B9-CCF2-4D50-A8D4-A7CFF9F89AA2}"/>
    <cellStyle name="Normal 7 3 2 2 2 2 2 2" xfId="12627" xr:uid="{BF505F9C-DACE-44A5-8424-3344FD9E0BE1}"/>
    <cellStyle name="Normal 7 3 2 2 2 2 3" xfId="9459" xr:uid="{5FA1868D-6A50-4BD9-88B4-89EA72C11B8A}"/>
    <cellStyle name="Normal 7 3 2 2 2 3" xfId="4719" xr:uid="{8E048BB2-C6F9-4A71-9003-BD63421D3E5D}"/>
    <cellStyle name="Normal 7 3 2 2 2 3 2" xfId="11058" xr:uid="{EB77BBD7-646E-40DF-A99F-AC5EEB63EB1A}"/>
    <cellStyle name="Normal 7 3 2 2 2 4" xfId="7890" xr:uid="{0EE19788-207B-4EBD-8F23-88191F9CE253}"/>
    <cellStyle name="Normal 7 3 2 2 3" xfId="2321" xr:uid="{0213CE0F-7DFC-4029-B0EA-F97967200B66}"/>
    <cellStyle name="Normal 7 3 2 2 3 2" xfId="5491" xr:uid="{ADA240B9-0501-475B-96E0-548E4290022D}"/>
    <cellStyle name="Normal 7 3 2 2 3 2 2" xfId="11830" xr:uid="{542C44B5-9AA7-4918-9FC3-C145948FD7F3}"/>
    <cellStyle name="Normal 7 3 2 2 3 3" xfId="8662" xr:uid="{453A0BC6-BD81-487E-98C6-354646B48EDC}"/>
    <cellStyle name="Normal 7 3 2 2 4" xfId="3922" xr:uid="{91531BB3-8F06-46A3-AC48-4CA0617AE084}"/>
    <cellStyle name="Normal 7 3 2 2 4 2" xfId="10261" xr:uid="{F0685009-DB15-4BC7-AA07-38C3C9718A04}"/>
    <cellStyle name="Normal 7 3 2 2 5" xfId="7093" xr:uid="{FB3357A6-AA46-4C7B-BD3A-39D62A0046A3}"/>
    <cellStyle name="Normal 7 3 2 3" xfId="1166" xr:uid="{D2A58572-AFB9-4250-9015-C2D64AA76D0C}"/>
    <cellStyle name="Normal 7 3 2 3 2" xfId="2737" xr:uid="{C3E48138-5C0A-48BE-A526-9BA09D0EC319}"/>
    <cellStyle name="Normal 7 3 2 3 2 2" xfId="5907" xr:uid="{2FEB84FE-0D55-4B25-B67F-F96B48C9A144}"/>
    <cellStyle name="Normal 7 3 2 3 2 2 2" xfId="12246" xr:uid="{0FD8FB0F-DB3B-4763-96DF-6CD033DB9200}"/>
    <cellStyle name="Normal 7 3 2 3 2 3" xfId="9078" xr:uid="{8852E149-2DF7-4A97-AC53-3A2072C02EB7}"/>
    <cellStyle name="Normal 7 3 2 3 3" xfId="4338" xr:uid="{39A628FB-DCA5-495E-A44D-E44A1343A584}"/>
    <cellStyle name="Normal 7 3 2 3 3 2" xfId="10677" xr:uid="{B5E4235E-241B-47AB-81A2-CCE43431FB2B}"/>
    <cellStyle name="Normal 7 3 2 3 4" xfId="7509" xr:uid="{5B07F402-0421-431E-B4A2-4C8E324EF108}"/>
    <cellStyle name="Normal 7 3 2 4" xfId="1940" xr:uid="{91D11102-FA49-4ED5-81A0-08AC7AD8ADFC}"/>
    <cellStyle name="Normal 7 3 2 4 2" xfId="5110" xr:uid="{5FB20635-E763-4A87-B344-1B8840930F4F}"/>
    <cellStyle name="Normal 7 3 2 4 2 2" xfId="11449" xr:uid="{A885483B-E11E-4CA6-B04F-C6D66BA0711B}"/>
    <cellStyle name="Normal 7 3 2 4 3" xfId="8281" xr:uid="{72DB0125-586C-409A-AD95-08CD0410ACD1}"/>
    <cellStyle name="Normal 7 3 2 5" xfId="3541" xr:uid="{1D2E6B10-5877-4436-85DA-3D8773E23100}"/>
    <cellStyle name="Normal 7 3 2 5 2" xfId="9880" xr:uid="{31BC53B1-879D-4734-92E4-D2A856E41FDE}"/>
    <cellStyle name="Normal 7 3 2 6" xfId="6712" xr:uid="{ED5B6010-9AF2-442C-AFFC-F92395FAF808}"/>
    <cellStyle name="Normal 7 3 3" xfId="545" xr:uid="{B2C2D4B5-2DA1-41F6-9869-37E423C8F0F1}"/>
    <cellStyle name="Normal 7 3 3 2" xfId="1344" xr:uid="{ACE254D3-71B3-4CF6-B0C4-79352C75FF87}"/>
    <cellStyle name="Normal 7 3 3 2 2" xfId="2915" xr:uid="{A83FAFE9-0182-42D6-9A05-080A563588CD}"/>
    <cellStyle name="Normal 7 3 3 2 2 2" xfId="6085" xr:uid="{0BCBDDB7-8E5C-4D79-90CC-16022C2106F1}"/>
    <cellStyle name="Normal 7 3 3 2 2 2 2" xfId="12424" xr:uid="{35015151-E47B-4C47-8593-CBE736022461}"/>
    <cellStyle name="Normal 7 3 3 2 2 3" xfId="9256" xr:uid="{8FB3C5D0-AF76-4EB1-8018-0AB5F37CEA5B}"/>
    <cellStyle name="Normal 7 3 3 2 3" xfId="4516" xr:uid="{31FDE8E0-B964-4C08-9FD2-58BB9A75DCD8}"/>
    <cellStyle name="Normal 7 3 3 2 3 2" xfId="10855" xr:uid="{08741130-85D7-4D06-AD93-E148DAF6CCFC}"/>
    <cellStyle name="Normal 7 3 3 2 4" xfId="7687" xr:uid="{9E855C45-3FDA-47D2-A9CA-7F6ECB9D7489}"/>
    <cellStyle name="Normal 7 3 3 3" xfId="2118" xr:uid="{0D5C6AA2-D116-4FC4-9FB1-A6D2270EEFE0}"/>
    <cellStyle name="Normal 7 3 3 3 2" xfId="5288" xr:uid="{E6E64D19-4288-4694-B572-966D266D56DF}"/>
    <cellStyle name="Normal 7 3 3 3 2 2" xfId="11627" xr:uid="{9F78E278-1F81-4D67-AB01-C18DBD413CCE}"/>
    <cellStyle name="Normal 7 3 3 3 3" xfId="8459" xr:uid="{22327C6C-5178-4FAD-BD1C-E0BD0420D496}"/>
    <cellStyle name="Normal 7 3 3 4" xfId="3719" xr:uid="{796A2E07-B21B-4B0C-9673-2423D9A84E2F}"/>
    <cellStyle name="Normal 7 3 3 4 2" xfId="10058" xr:uid="{3C99DAEC-68F4-4875-9D5F-465FF0A32F2D}"/>
    <cellStyle name="Normal 7 3 3 5" xfId="6890" xr:uid="{FEE32BB4-2E5C-44B9-A220-BC1B63876A3E}"/>
    <cellStyle name="Normal 7 3 4" xfId="963" xr:uid="{B5285BBF-7BFC-4E4B-98CF-8CA967786DB2}"/>
    <cellStyle name="Normal 7 3 4 2" xfId="2534" xr:uid="{A95F3713-1B2A-40BB-968B-CF5306B21C79}"/>
    <cellStyle name="Normal 7 3 4 2 2" xfId="5704" xr:uid="{DA62F62E-DC25-46FF-96C9-E2A22134BE3D}"/>
    <cellStyle name="Normal 7 3 4 2 2 2" xfId="12043" xr:uid="{D51FA6DD-15DF-4CDA-8309-5CB80068B372}"/>
    <cellStyle name="Normal 7 3 4 2 3" xfId="8875" xr:uid="{5D13A6C6-F7FF-4874-8642-BE11C0AF161F}"/>
    <cellStyle name="Normal 7 3 4 3" xfId="4135" xr:uid="{4D9AD1F4-6D1B-48F6-B20E-C8EBAEF803E5}"/>
    <cellStyle name="Normal 7 3 4 3 2" xfId="10474" xr:uid="{B9F86F4A-9A97-4B7D-AC74-D0AD7E497717}"/>
    <cellStyle name="Normal 7 3 4 4" xfId="7306" xr:uid="{1D1E3765-4CDE-4C83-936C-14C84295520D}"/>
    <cellStyle name="Normal 7 3 5" xfId="1737" xr:uid="{6F624749-210C-4871-8C86-791557D5AC6C}"/>
    <cellStyle name="Normal 7 3 5 2" xfId="4907" xr:uid="{0BD34CE2-B79D-406A-A011-447BE4DC3805}"/>
    <cellStyle name="Normal 7 3 5 2 2" xfId="11246" xr:uid="{5B6E86AF-2F48-44EA-83E4-7BCDF5023263}"/>
    <cellStyle name="Normal 7 3 5 3" xfId="8078" xr:uid="{2A21821D-D53E-408D-B0F9-FA4FF63D1CB2}"/>
    <cellStyle name="Normal 7 3 6" xfId="3338" xr:uid="{6E5FA47A-903A-4C2E-84CE-391D4E12D513}"/>
    <cellStyle name="Normal 7 3 6 2" xfId="9677" xr:uid="{B986CE93-6ECA-464F-96A7-EC5A51E151C3}"/>
    <cellStyle name="Normal 7 3 7" xfId="6509" xr:uid="{F6AC6793-75C0-4795-8FD4-5D56CE4FD903}"/>
    <cellStyle name="Normal 7 4" xfId="241" xr:uid="{53433FEB-ECE8-4BDF-A4A2-91BAAB75E800}"/>
    <cellStyle name="Normal 7 4 2" xfId="633" xr:uid="{F9CFF021-7ABD-442A-9D52-8DEC109F7EF0}"/>
    <cellStyle name="Normal 7 4 2 2" xfId="1432" xr:uid="{1CC513E1-E2C2-482C-B562-8B6F3DAC7D08}"/>
    <cellStyle name="Normal 7 4 2 2 2" xfId="3003" xr:uid="{2D715496-831E-4D67-9D6D-E65FC112D09D}"/>
    <cellStyle name="Normal 7 4 2 2 2 2" xfId="6173" xr:uid="{93DA7755-F43B-4F6F-923B-890D801ADD06}"/>
    <cellStyle name="Normal 7 4 2 2 2 2 2" xfId="12512" xr:uid="{EA999CA2-4CC1-4B72-A163-41A12472860B}"/>
    <cellStyle name="Normal 7 4 2 2 2 3" xfId="9344" xr:uid="{EDB8CA28-420F-49F3-8AEA-8AB5C7940EC5}"/>
    <cellStyle name="Normal 7 4 2 2 3" xfId="4604" xr:uid="{64AE7720-C68D-44E1-A5F4-37579DB016AB}"/>
    <cellStyle name="Normal 7 4 2 2 3 2" xfId="10943" xr:uid="{C801F380-8E94-4BE1-AB7B-49B5457F1A85}"/>
    <cellStyle name="Normal 7 4 2 2 4" xfId="7775" xr:uid="{775C4E0A-A3BE-426F-8B56-AF99F30A3C42}"/>
    <cellStyle name="Normal 7 4 2 3" xfId="2206" xr:uid="{069A0962-F5D5-4803-92FB-73628376F57C}"/>
    <cellStyle name="Normal 7 4 2 3 2" xfId="5376" xr:uid="{B389F66B-F2AF-41D5-B5E7-613833AA0E3C}"/>
    <cellStyle name="Normal 7 4 2 3 2 2" xfId="11715" xr:uid="{E31E2FE1-DC21-4B2C-A921-43828B9B2E16}"/>
    <cellStyle name="Normal 7 4 2 3 3" xfId="8547" xr:uid="{19099629-6789-405B-BFE0-ABD2EA499961}"/>
    <cellStyle name="Normal 7 4 2 4" xfId="3807" xr:uid="{2CBA8C92-146A-424C-AE00-144568502EF8}"/>
    <cellStyle name="Normal 7 4 2 4 2" xfId="10146" xr:uid="{0D3DF1A0-ACD4-41AF-8887-E464819F8676}"/>
    <cellStyle name="Normal 7 4 2 5" xfId="6978" xr:uid="{37241C9F-3642-44DE-8D42-6FBEB4A20858}"/>
    <cellStyle name="Normal 7 4 3" xfId="1051" xr:uid="{5CB6C9EB-7F65-4D87-9CBA-994AFFBCEBD6}"/>
    <cellStyle name="Normal 7 4 3 2" xfId="2622" xr:uid="{DBBB6344-C7BA-4D6C-AFA7-8A7F5D3E5212}"/>
    <cellStyle name="Normal 7 4 3 2 2" xfId="5792" xr:uid="{194C2E74-096F-4BB1-9EB6-CC4F9890A95D}"/>
    <cellStyle name="Normal 7 4 3 2 2 2" xfId="12131" xr:uid="{3D913202-8D82-46AD-8D00-46DFC490B7BC}"/>
    <cellStyle name="Normal 7 4 3 2 3" xfId="8963" xr:uid="{4C5D1C08-6C9F-463B-8D18-30F92F1149EF}"/>
    <cellStyle name="Normal 7 4 3 3" xfId="4223" xr:uid="{472B5B92-61E3-4058-AC79-9FEA92167890}"/>
    <cellStyle name="Normal 7 4 3 3 2" xfId="10562" xr:uid="{8D300179-28CA-4C1F-B9E1-E1CED0CE16E3}"/>
    <cellStyle name="Normal 7 4 3 4" xfId="7394" xr:uid="{206F0485-9B1F-4245-B415-219A181AE85A}"/>
    <cellStyle name="Normal 7 4 4" xfId="1825" xr:uid="{27EF33ED-5F1D-4986-B067-0B85191A0301}"/>
    <cellStyle name="Normal 7 4 4 2" xfId="4995" xr:uid="{57D1ED06-0B3E-457D-AC32-CF079D983CBC}"/>
    <cellStyle name="Normal 7 4 4 2 2" xfId="11334" xr:uid="{55789111-7BD8-4B4C-B0F0-FBC70EF57EF9}"/>
    <cellStyle name="Normal 7 4 4 3" xfId="8166" xr:uid="{5145DB9A-3960-42B1-AE0E-D4719A8E3803}"/>
    <cellStyle name="Normal 7 4 5" xfId="3426" xr:uid="{213F80B6-293E-4DE7-83D1-8D44A4EC53AB}"/>
    <cellStyle name="Normal 7 4 5 2" xfId="9765" xr:uid="{E3801209-9148-4EEA-B988-97CC101E4462}"/>
    <cellStyle name="Normal 7 4 6" xfId="6597" xr:uid="{CBF6EDA3-F2F5-4333-B868-3A6727388721}"/>
    <cellStyle name="Normal 7 5" xfId="457" xr:uid="{D918C21E-8BD6-4232-A1D4-7866218A3ED4}"/>
    <cellStyle name="Normal 7 5 2" xfId="1256" xr:uid="{E2166613-C89A-4973-B252-58CA0FD9868D}"/>
    <cellStyle name="Normal 7 5 2 2" xfId="2827" xr:uid="{0B42373C-BAC4-4F18-8EFF-07ABF5291F9A}"/>
    <cellStyle name="Normal 7 5 2 2 2" xfId="5997" xr:uid="{739FFF94-828E-401F-BA6F-3DEE22D24E0E}"/>
    <cellStyle name="Normal 7 5 2 2 2 2" xfId="12336" xr:uid="{188DEAB8-DAE5-448E-B1E2-67EDBB3205AD}"/>
    <cellStyle name="Normal 7 5 2 2 3" xfId="9168" xr:uid="{62C7AC35-6F04-4576-834B-6D3250391018}"/>
    <cellStyle name="Normal 7 5 2 3" xfId="4428" xr:uid="{B97FC01C-FD73-4B86-A839-7B0450B5CCB7}"/>
    <cellStyle name="Normal 7 5 2 3 2" xfId="10767" xr:uid="{CEBAAE57-78CF-4BFD-9437-E4202E132896}"/>
    <cellStyle name="Normal 7 5 2 4" xfId="7599" xr:uid="{8D65A425-E3E7-4CDA-88C1-BB3056FA8975}"/>
    <cellStyle name="Normal 7 5 3" xfId="2030" xr:uid="{1B6E8EE8-A0D9-436E-A55A-CEBE5C76D415}"/>
    <cellStyle name="Normal 7 5 3 2" xfId="5200" xr:uid="{ED1D1D92-9653-4BC8-B28B-29959F903D07}"/>
    <cellStyle name="Normal 7 5 3 2 2" xfId="11539" xr:uid="{D51A69E5-D383-424C-901D-A36A3B39B694}"/>
    <cellStyle name="Normal 7 5 3 3" xfId="8371" xr:uid="{81CE2730-3B94-4A46-9AE1-180FFA31FEDC}"/>
    <cellStyle name="Normal 7 5 4" xfId="3631" xr:uid="{C4C4F045-895D-4918-89C1-BC9F0504CB49}"/>
    <cellStyle name="Normal 7 5 4 2" xfId="9970" xr:uid="{AE649C3A-4F39-4C6C-A0AE-6847B102086F}"/>
    <cellStyle name="Normal 7 5 5" xfId="6802" xr:uid="{1A63B013-9600-42FC-9DC4-02ED70448B75}"/>
    <cellStyle name="Normal 7 6" xfId="848" xr:uid="{F4FDC8CC-27E7-4594-86A7-DECDF1459AC4}"/>
    <cellStyle name="Normal 7 6 2" xfId="2419" xr:uid="{E53E335B-93EC-4974-929F-0E8EA4A2CCC9}"/>
    <cellStyle name="Normal 7 6 2 2" xfId="5589" xr:uid="{71E4A5F3-DDC8-4D61-B3BD-7937B26C0425}"/>
    <cellStyle name="Normal 7 6 2 2 2" xfId="11928" xr:uid="{47A9EB91-6ACF-4052-8764-7C72F5E859AC}"/>
    <cellStyle name="Normal 7 6 2 3" xfId="8760" xr:uid="{0324CEAB-822F-4983-B7ED-88D97512B628}"/>
    <cellStyle name="Normal 7 6 3" xfId="4020" xr:uid="{99008B3E-13B8-4279-8F1C-9C92B86F5BC1}"/>
    <cellStyle name="Normal 7 6 3 2" xfId="10359" xr:uid="{0824315B-9256-4FCF-8F92-DDB39593BD79}"/>
    <cellStyle name="Normal 7 6 4" xfId="7191" xr:uid="{1D1C307D-04BC-4952-BC34-9CF44585FF59}"/>
    <cellStyle name="Normal 7 7" xfId="1652" xr:uid="{E4A8AB49-A46E-4AA4-A8B9-82A358A372BA}"/>
    <cellStyle name="Normal 7 7 2" xfId="4822" xr:uid="{E4385ECC-01FA-49CD-9072-31FA0B35998B}"/>
    <cellStyle name="Normal 7 7 2 2" xfId="11161" xr:uid="{8F01AFB7-60A2-47A4-A2D3-CFDE84B5AE46}"/>
    <cellStyle name="Normal 7 7 3" xfId="7993" xr:uid="{B0F83B8C-1D36-4F64-991C-8C7B924E3B06}"/>
    <cellStyle name="Normal 7 8" xfId="3223" xr:uid="{9609C849-4274-4BDE-B958-67F9E0F9BAC0}"/>
    <cellStyle name="Normal 7 8 2" xfId="9562" xr:uid="{DFFFE1FB-ADB0-44C1-A61E-DC058AB2AC26}"/>
    <cellStyle name="Normal 7 9" xfId="6394" xr:uid="{55F07486-CFF3-4AF0-9EAE-FD60AD6A827A}"/>
    <cellStyle name="Normal 8" xfId="49" xr:uid="{A2ED5FFC-5AA4-4E50-9299-72ACD3DFCBE4}"/>
    <cellStyle name="Normal 8 2" xfId="63" xr:uid="{09C5ABD9-D81C-4636-B47F-62BA0B1AE869}"/>
    <cellStyle name="Normal 8 2 2" xfId="287" xr:uid="{D24B9591-6360-445A-A671-1280440BDCBD}"/>
    <cellStyle name="Normal 8 2 2 2" xfId="677" xr:uid="{520CE812-8FFA-4054-BD8A-D9C07AD6F87A}"/>
    <cellStyle name="Normal 8 2 2 2 2" xfId="1476" xr:uid="{BC68E33B-7966-43CA-829E-1E66AD367FAB}"/>
    <cellStyle name="Normal 8 2 2 2 2 2" xfId="3047" xr:uid="{A46A7C0A-4128-4356-9FCD-DA44110403D3}"/>
    <cellStyle name="Normal 8 2 2 2 2 2 2" xfId="6217" xr:uid="{E35BEF94-AA82-49DF-87D9-63A626115163}"/>
    <cellStyle name="Normal 8 2 2 2 2 2 2 2" xfId="12556" xr:uid="{C5531619-0337-400D-B728-2F3860AF4E0C}"/>
    <cellStyle name="Normal 8 2 2 2 2 2 3" xfId="9388" xr:uid="{4047A864-6E48-4230-9FFA-B6FA33D867BA}"/>
    <cellStyle name="Normal 8 2 2 2 2 3" xfId="4648" xr:uid="{5EE992C1-BAB3-443C-AB75-7B54AF98F5E6}"/>
    <cellStyle name="Normal 8 2 2 2 2 3 2" xfId="10987" xr:uid="{839C683C-280E-4B8D-8313-75270DBA532D}"/>
    <cellStyle name="Normal 8 2 2 2 2 4" xfId="7819" xr:uid="{15E8EE5A-C9E8-4BD2-95B4-AA78E0EF67AD}"/>
    <cellStyle name="Normal 8 2 2 2 3" xfId="2250" xr:uid="{105C8E45-40C2-49C3-A3BF-E01405CC1EEC}"/>
    <cellStyle name="Normal 8 2 2 2 3 2" xfId="5420" xr:uid="{2616094E-134F-4452-9882-216E7F10F7B0}"/>
    <cellStyle name="Normal 8 2 2 2 3 2 2" xfId="11759" xr:uid="{ED779588-F26F-4767-A162-E3C44F9429CB}"/>
    <cellStyle name="Normal 8 2 2 2 3 3" xfId="8591" xr:uid="{0E479AD2-18A1-4181-806B-8560466F30BB}"/>
    <cellStyle name="Normal 8 2 2 2 4" xfId="3851" xr:uid="{05C92FFA-8FC2-42D5-838D-6F21C8B4F070}"/>
    <cellStyle name="Normal 8 2 2 2 4 2" xfId="10190" xr:uid="{2B168DF8-374D-4B93-9D7B-C35F86D26DC3}"/>
    <cellStyle name="Normal 8 2 2 2 5" xfId="7022" xr:uid="{023DE993-98B6-4AE0-ABDB-5BE081547438}"/>
    <cellStyle name="Normal 8 2 2 3" xfId="1095" xr:uid="{398A4191-E8CF-4026-861B-A013322151A1}"/>
    <cellStyle name="Normal 8 2 2 3 2" xfId="2666" xr:uid="{A848DADA-61F5-40F8-907B-29513C60595D}"/>
    <cellStyle name="Normal 8 2 2 3 2 2" xfId="5836" xr:uid="{81D845B9-F831-4A42-8173-E2FBDFA282C0}"/>
    <cellStyle name="Normal 8 2 2 3 2 2 2" xfId="12175" xr:uid="{5894BE4A-5979-44BE-94F0-095DB4C2CD98}"/>
    <cellStyle name="Normal 8 2 2 3 2 3" xfId="9007" xr:uid="{1CC2AFF9-2295-43C0-A16E-E31B819E60AE}"/>
    <cellStyle name="Normal 8 2 2 3 3" xfId="4267" xr:uid="{AEDA6A7E-CF83-4079-913B-6F790999832E}"/>
    <cellStyle name="Normal 8 2 2 3 3 2" xfId="10606" xr:uid="{57BD7A0B-5893-47A9-B011-1886C406EFC6}"/>
    <cellStyle name="Normal 8 2 2 3 4" xfId="7438" xr:uid="{B0A87D26-EE6C-47FF-B67B-3C955EE3BBA9}"/>
    <cellStyle name="Normal 8 2 2 4" xfId="1869" xr:uid="{D4544B5D-0CB2-41CD-B135-8FC609213D5D}"/>
    <cellStyle name="Normal 8 2 2 4 2" xfId="5039" xr:uid="{5852CF2D-4660-471C-928A-0F05B666A3E9}"/>
    <cellStyle name="Normal 8 2 2 4 2 2" xfId="11378" xr:uid="{300BB1D9-A4F3-4E65-A321-C9C76AAE7BDD}"/>
    <cellStyle name="Normal 8 2 2 4 3" xfId="8210" xr:uid="{5FAF42DF-0B16-41CB-9451-361D53E3AB7C}"/>
    <cellStyle name="Normal 8 2 2 5" xfId="3470" xr:uid="{4D3B3026-BFCE-47BE-A4D6-2114DC1F1EB2}"/>
    <cellStyle name="Normal 8 2 2 5 2" xfId="9809" xr:uid="{D09678D1-0046-44F1-97B6-ACE9E2686C5B}"/>
    <cellStyle name="Normal 8 2 2 6" xfId="6641" xr:uid="{1A010797-7CED-4F83-8908-7B50D1CF9373}"/>
    <cellStyle name="Normal 8 2 3" xfId="494" xr:uid="{ED70EFA4-76C3-4487-BD75-D4DB787CE758}"/>
    <cellStyle name="Normal 8 2 3 2" xfId="1293" xr:uid="{3FA6009C-8F7B-4E61-B33A-B3A50807F9BC}"/>
    <cellStyle name="Normal 8 2 3 2 2" xfId="2864" xr:uid="{8612ABA6-294D-4D65-BC72-B3A04D634556}"/>
    <cellStyle name="Normal 8 2 3 2 2 2" xfId="6034" xr:uid="{D09BEF82-C8EC-4847-9F6F-D97CAF0777C7}"/>
    <cellStyle name="Normal 8 2 3 2 2 2 2" xfId="12373" xr:uid="{41882BBC-21E6-428B-8387-088E8FC67C0F}"/>
    <cellStyle name="Normal 8 2 3 2 2 3" xfId="9205" xr:uid="{EF81F2E6-6622-473B-AB21-9F3A5326B015}"/>
    <cellStyle name="Normal 8 2 3 2 3" xfId="4465" xr:uid="{7CA354ED-D1B1-497C-88B6-A9BC79722756}"/>
    <cellStyle name="Normal 8 2 3 2 3 2" xfId="10804" xr:uid="{7780525F-ABB9-4855-939A-E34B2311A1D5}"/>
    <cellStyle name="Normal 8 2 3 2 4" xfId="7636" xr:uid="{7A99EF00-F7DB-4F4F-93DF-6CC5D9C57293}"/>
    <cellStyle name="Normal 8 2 3 3" xfId="2067" xr:uid="{0F765013-00ED-45A9-A0E1-47A28C29B644}"/>
    <cellStyle name="Normal 8 2 3 3 2" xfId="5237" xr:uid="{F31D9383-75CC-4255-82AF-C8068EE92BB2}"/>
    <cellStyle name="Normal 8 2 3 3 2 2" xfId="11576" xr:uid="{86C5F8E6-DF3B-4E6E-A804-28DC48D35B03}"/>
    <cellStyle name="Normal 8 2 3 3 3" xfId="8408" xr:uid="{B74F42F7-471D-4532-961B-4D4C2C0597C6}"/>
    <cellStyle name="Normal 8 2 3 4" xfId="3668" xr:uid="{D50D1015-A754-423D-AD38-1371558FE0FE}"/>
    <cellStyle name="Normal 8 2 3 4 2" xfId="10007" xr:uid="{003B2EFF-A08A-4775-9EA4-59ACAC05C824}"/>
    <cellStyle name="Normal 8 2 3 5" xfId="6839" xr:uid="{12EFA040-4FC4-4104-A6E0-41034DBC4A2B}"/>
    <cellStyle name="Normal 8 2 4" xfId="892" xr:uid="{937C9D81-E73B-4713-9C94-97892A23284C}"/>
    <cellStyle name="Normal 8 2 4 2" xfId="2463" xr:uid="{88A769A4-BA9A-40A4-8A6B-BAEDD36DCE5A}"/>
    <cellStyle name="Normal 8 2 4 2 2" xfId="5633" xr:uid="{F04A95B2-2A88-490D-BDBD-8FFC1210ECCC}"/>
    <cellStyle name="Normal 8 2 4 2 2 2" xfId="11972" xr:uid="{566888B3-77F1-41C9-A9C8-ED63AA124349}"/>
    <cellStyle name="Normal 8 2 4 2 3" xfId="8804" xr:uid="{9566388D-9F66-4E50-8BA7-A160B5131731}"/>
    <cellStyle name="Normal 8 2 4 3" xfId="4064" xr:uid="{CCE81F93-9F0E-485F-8E23-D93FEEA7F22B}"/>
    <cellStyle name="Normal 8 2 4 3 2" xfId="10403" xr:uid="{5B42EF17-C271-4CFE-8F95-A2D33E13D9BE}"/>
    <cellStyle name="Normal 8 2 4 4" xfId="7235" xr:uid="{C6462D86-935C-4AAF-B67A-E27DEC19FA98}"/>
    <cellStyle name="Normal 8 2 5" xfId="1689" xr:uid="{98DB8FFE-4BCB-4BC0-8EAD-9C75C740F2B1}"/>
    <cellStyle name="Normal 8 2 5 2" xfId="4859" xr:uid="{494D023F-D4B6-40DC-A704-501DB59C6F7C}"/>
    <cellStyle name="Normal 8 2 5 2 2" xfId="11198" xr:uid="{A14FA34B-9486-4EBF-81DB-694C31CEF82C}"/>
    <cellStyle name="Normal 8 2 5 3" xfId="8030" xr:uid="{121E85C3-D706-4973-9D7A-1BBAF529061F}"/>
    <cellStyle name="Normal 8 2 6" xfId="3267" xr:uid="{454DF314-E931-45BB-9D00-680482269C02}"/>
    <cellStyle name="Normal 8 2 6 2" xfId="9606" xr:uid="{0B70D7D5-1098-4EC6-8729-19212DAD8E42}"/>
    <cellStyle name="Normal 8 2 7" xfId="6438" xr:uid="{41C662F0-EC66-4170-B44E-B0A9FEE1765A}"/>
    <cellStyle name="Normal 8 3" xfId="152" xr:uid="{106D0A55-38BC-4B71-930E-9391D20251AD}"/>
    <cellStyle name="Normal 8 3 2" xfId="369" xr:uid="{6AB24510-AB97-43F0-A3F5-983EAD74EADA}"/>
    <cellStyle name="Normal 8 3 2 2" xfId="750" xr:uid="{B8A71314-829B-447A-B9C3-6E09073F1C47}"/>
    <cellStyle name="Normal 8 3 2 2 2" xfId="1549" xr:uid="{0E344264-1FC8-4441-89BE-20B3EF1D4C0E}"/>
    <cellStyle name="Normal 8 3 2 2 2 2" xfId="3120" xr:uid="{11484F79-978C-4570-8C6C-F70006E7B00E}"/>
    <cellStyle name="Normal 8 3 2 2 2 2 2" xfId="6290" xr:uid="{937457B4-A60D-4D4E-A166-8A8C37A05EA7}"/>
    <cellStyle name="Normal 8 3 2 2 2 2 2 2" xfId="12629" xr:uid="{8B7DF713-DCD5-4E23-91B1-51442D63246F}"/>
    <cellStyle name="Normal 8 3 2 2 2 2 3" xfId="9461" xr:uid="{6EEF8D04-D4AD-4B60-A578-EC5959308790}"/>
    <cellStyle name="Normal 8 3 2 2 2 3" xfId="4721" xr:uid="{721A98AB-1BB2-47FD-AD66-349E8CC3B088}"/>
    <cellStyle name="Normal 8 3 2 2 2 3 2" xfId="11060" xr:uid="{836FAFF9-E19B-4557-94A7-1A9A7ECF3F12}"/>
    <cellStyle name="Normal 8 3 2 2 2 4" xfId="7892" xr:uid="{B1D6D750-32A4-42D2-83B0-8B4A9AB19C83}"/>
    <cellStyle name="Normal 8 3 2 2 3" xfId="2323" xr:uid="{91E9B01B-C73A-44E9-BDC1-A9515566216C}"/>
    <cellStyle name="Normal 8 3 2 2 3 2" xfId="5493" xr:uid="{DAA59C77-AD8B-4311-826B-1018FA5C8645}"/>
    <cellStyle name="Normal 8 3 2 2 3 2 2" xfId="11832" xr:uid="{68B3B649-8E51-4FC8-9A18-864024EA1173}"/>
    <cellStyle name="Normal 8 3 2 2 3 3" xfId="8664" xr:uid="{180B1816-86BE-426C-B8E1-2AD359D599A0}"/>
    <cellStyle name="Normal 8 3 2 2 4" xfId="3924" xr:uid="{90D898CA-3340-4FF8-B1F7-7EC44F3AA8CC}"/>
    <cellStyle name="Normal 8 3 2 2 4 2" xfId="10263" xr:uid="{730B0A53-6827-4089-8E7E-F6F959AFDAD6}"/>
    <cellStyle name="Normal 8 3 2 2 5" xfId="7095" xr:uid="{E0836E63-24BE-4BDD-B418-0E5552F9BC5F}"/>
    <cellStyle name="Normal 8 3 2 3" xfId="1168" xr:uid="{B32CC839-F613-4615-ABE6-FEA15B582B4A}"/>
    <cellStyle name="Normal 8 3 2 3 2" xfId="2739" xr:uid="{0417E30B-A90F-4A24-9039-F09376E2C887}"/>
    <cellStyle name="Normal 8 3 2 3 2 2" xfId="5909" xr:uid="{6CBDE48C-5870-4E41-A1F7-A64ED61AD516}"/>
    <cellStyle name="Normal 8 3 2 3 2 2 2" xfId="12248" xr:uid="{F80588F7-E8C5-499D-B37F-BB6913336D60}"/>
    <cellStyle name="Normal 8 3 2 3 2 3" xfId="9080" xr:uid="{5959196E-888C-47DC-923C-DA035365F207}"/>
    <cellStyle name="Normal 8 3 2 3 3" xfId="4340" xr:uid="{F4E77658-541A-49BF-89F7-6134CD570509}"/>
    <cellStyle name="Normal 8 3 2 3 3 2" xfId="10679" xr:uid="{F993D14B-8D8B-4CA9-BDA3-271ED93F2EDB}"/>
    <cellStyle name="Normal 8 3 2 3 4" xfId="7511" xr:uid="{F20D41A8-D2CD-413B-9338-CC294F2D077A}"/>
    <cellStyle name="Normal 8 3 2 4" xfId="1942" xr:uid="{E483C96B-EA47-4E2D-AFE2-CFD854DC74C4}"/>
    <cellStyle name="Normal 8 3 2 4 2" xfId="5112" xr:uid="{0708FDB8-4B05-49BD-930C-9CA87CE7EA2F}"/>
    <cellStyle name="Normal 8 3 2 4 2 2" xfId="11451" xr:uid="{824DB153-7B83-48A4-A813-31BE24431E47}"/>
    <cellStyle name="Normal 8 3 2 4 3" xfId="8283" xr:uid="{A4831701-DAD1-46A4-AD39-2C38C4F439FE}"/>
    <cellStyle name="Normal 8 3 2 5" xfId="3543" xr:uid="{EC541F33-1D07-4A3B-B2E7-1628B5CCF6E2}"/>
    <cellStyle name="Normal 8 3 2 5 2" xfId="9882" xr:uid="{359C8CDD-9353-4679-9A33-6EC6EEF8C8BE}"/>
    <cellStyle name="Normal 8 3 2 6" xfId="6714" xr:uid="{7E648283-6557-4673-88AD-9CE77A0D4ACB}"/>
    <cellStyle name="Normal 8 3 3" xfId="547" xr:uid="{29682453-4714-450C-A466-B68CEB372219}"/>
    <cellStyle name="Normal 8 3 3 2" xfId="1346" xr:uid="{70191FD2-856B-4852-8104-7847D74E0140}"/>
    <cellStyle name="Normal 8 3 3 2 2" xfId="2917" xr:uid="{039E6283-2A4D-44AC-A172-F2C165E0FD84}"/>
    <cellStyle name="Normal 8 3 3 2 2 2" xfId="6087" xr:uid="{311C7900-3C89-4AF1-9314-A518CC9BC3DD}"/>
    <cellStyle name="Normal 8 3 3 2 2 2 2" xfId="12426" xr:uid="{B77BB976-099D-4604-89CC-7D6A918BB630}"/>
    <cellStyle name="Normal 8 3 3 2 2 3" xfId="9258" xr:uid="{A16F5A99-0F29-409F-A6CD-7C7FA84122EA}"/>
    <cellStyle name="Normal 8 3 3 2 3" xfId="4518" xr:uid="{515E2036-3A95-4CCE-8BA5-6BD57CEFA20A}"/>
    <cellStyle name="Normal 8 3 3 2 3 2" xfId="10857" xr:uid="{4682E4A8-B3C0-4547-8332-4FDB830D45AB}"/>
    <cellStyle name="Normal 8 3 3 2 4" xfId="7689" xr:uid="{A54866BC-3079-4448-ABD2-6754CF2E6AA1}"/>
    <cellStyle name="Normal 8 3 3 3" xfId="2120" xr:uid="{E1087868-E950-480D-AB5F-8D0B34C6DAA9}"/>
    <cellStyle name="Normal 8 3 3 3 2" xfId="5290" xr:uid="{2A91D6DC-168A-42B5-86F5-4F3DE0213DF6}"/>
    <cellStyle name="Normal 8 3 3 3 2 2" xfId="11629" xr:uid="{D38A1085-1436-477A-A259-03C4ABD72367}"/>
    <cellStyle name="Normal 8 3 3 3 3" xfId="8461" xr:uid="{7B68B22A-ED07-4728-8766-A1AEEBCB5FD8}"/>
    <cellStyle name="Normal 8 3 3 4" xfId="3721" xr:uid="{8E8C09CF-0A38-4A81-BF37-FF6BEA6568D9}"/>
    <cellStyle name="Normal 8 3 3 4 2" xfId="10060" xr:uid="{328B45DE-5CFD-4E11-81D8-1F7DDF62ECF4}"/>
    <cellStyle name="Normal 8 3 3 5" xfId="6892" xr:uid="{8045BEF7-71BB-41E1-B715-23CD2CDA9A47}"/>
    <cellStyle name="Normal 8 3 4" xfId="965" xr:uid="{92E786B3-FEBC-4FE4-B81E-18EB292D9E0A}"/>
    <cellStyle name="Normal 8 3 4 2" xfId="2536" xr:uid="{DD9DFD9E-B63F-40B9-A485-EA430DA80205}"/>
    <cellStyle name="Normal 8 3 4 2 2" xfId="5706" xr:uid="{E7F76CCF-AE15-4D99-9D09-B7FE4A07C6AD}"/>
    <cellStyle name="Normal 8 3 4 2 2 2" xfId="12045" xr:uid="{D7DAB798-436E-4679-AA3D-94DA05D6E7AD}"/>
    <cellStyle name="Normal 8 3 4 2 3" xfId="8877" xr:uid="{E35EA729-0A4E-42BD-B599-2CED30E0A9E8}"/>
    <cellStyle name="Normal 8 3 4 3" xfId="4137" xr:uid="{C867C7EF-0418-4E06-97A0-9E9479241857}"/>
    <cellStyle name="Normal 8 3 4 3 2" xfId="10476" xr:uid="{862C0087-DD0A-497E-BEEC-D3009A7C1BB1}"/>
    <cellStyle name="Normal 8 3 4 4" xfId="7308" xr:uid="{E9A2C15D-57E3-4936-92E6-EA352DEEF4BC}"/>
    <cellStyle name="Normal 8 3 5" xfId="1739" xr:uid="{6C0E1497-F5C9-4918-9C01-1620706BB041}"/>
    <cellStyle name="Normal 8 3 5 2" xfId="4909" xr:uid="{C84F2576-6AF4-4DD1-A8B4-6CDB194DBF5E}"/>
    <cellStyle name="Normal 8 3 5 2 2" xfId="11248" xr:uid="{307CA2E9-4A38-4AD8-B8B3-82FB73F7560A}"/>
    <cellStyle name="Normal 8 3 5 3" xfId="8080" xr:uid="{554F506D-81FC-4D4C-8C2E-D79A40C07B7D}"/>
    <cellStyle name="Normal 8 3 6" xfId="3340" xr:uid="{A8E67272-6BB4-4F48-B1D9-AAD0E6255451}"/>
    <cellStyle name="Normal 8 3 6 2" xfId="9679" xr:uid="{A3E4334F-36F0-4A16-84E6-410AE4800D93}"/>
    <cellStyle name="Normal 8 3 7" xfId="6511" xr:uid="{02393677-B11C-4C1E-B466-6D380D877807}"/>
    <cellStyle name="Normal 8 4" xfId="273" xr:uid="{1E22ECF4-1E46-4A7A-B6D1-DDB50923120F}"/>
    <cellStyle name="Normal 8 4 2" xfId="663" xr:uid="{19A7C2DA-F3E8-43E6-9AE0-22B31DCE3DDD}"/>
    <cellStyle name="Normal 8 4 2 2" xfId="1462" xr:uid="{AD3B4982-4964-4B13-A696-8F502AAC32E2}"/>
    <cellStyle name="Normal 8 4 2 2 2" xfId="3033" xr:uid="{310EF235-DF41-4571-AF41-6801CF062C5C}"/>
    <cellStyle name="Normal 8 4 2 2 2 2" xfId="6203" xr:uid="{6C98B0F3-7591-4554-A933-48C155442806}"/>
    <cellStyle name="Normal 8 4 2 2 2 2 2" xfId="12542" xr:uid="{B5A6EA88-8333-4FB2-BE86-1C658C349D0E}"/>
    <cellStyle name="Normal 8 4 2 2 2 3" xfId="9374" xr:uid="{16317664-4B77-407F-B9F1-7BB18D495155}"/>
    <cellStyle name="Normal 8 4 2 2 3" xfId="4634" xr:uid="{8340FC10-7B5D-4BB4-98D6-016C6EFCFDD5}"/>
    <cellStyle name="Normal 8 4 2 2 3 2" xfId="10973" xr:uid="{F427E681-3C1F-4919-9E8F-1EC0AF06C70C}"/>
    <cellStyle name="Normal 8 4 2 2 4" xfId="7805" xr:uid="{D71703E8-DC80-42DD-802E-086A19441C24}"/>
    <cellStyle name="Normal 8 4 2 3" xfId="2236" xr:uid="{8AE9F609-9590-4E75-897B-71AD798F1E63}"/>
    <cellStyle name="Normal 8 4 2 3 2" xfId="5406" xr:uid="{EF7B0AFA-31D1-4D34-9A18-E243E856535E}"/>
    <cellStyle name="Normal 8 4 2 3 2 2" xfId="11745" xr:uid="{43E84C8B-75FF-4D08-B0D9-F5687E620D24}"/>
    <cellStyle name="Normal 8 4 2 3 3" xfId="8577" xr:uid="{AA31B2C1-1F87-44B2-8928-8F48A22A5CB5}"/>
    <cellStyle name="Normal 8 4 2 4" xfId="3837" xr:uid="{F4BC4625-87F8-4A63-824B-2FFACEAC0F81}"/>
    <cellStyle name="Normal 8 4 2 4 2" xfId="10176" xr:uid="{2212301A-778C-46BC-9837-BD733CE98CCE}"/>
    <cellStyle name="Normal 8 4 2 5" xfId="7008" xr:uid="{43DBEA0B-8DEA-4318-B103-4D206A3FE669}"/>
    <cellStyle name="Normal 8 4 3" xfId="1081" xr:uid="{EC2C5CAB-93E1-4768-9DA3-100A84F2198A}"/>
    <cellStyle name="Normal 8 4 3 2" xfId="2652" xr:uid="{72E2AD6C-D185-4F57-B107-A8FBF52B6846}"/>
    <cellStyle name="Normal 8 4 3 2 2" xfId="5822" xr:uid="{5806A967-FDFC-4ED7-AB53-1CE78C96591E}"/>
    <cellStyle name="Normal 8 4 3 2 2 2" xfId="12161" xr:uid="{AC06FE00-7CDA-414F-9086-4C0E9B6545F1}"/>
    <cellStyle name="Normal 8 4 3 2 3" xfId="8993" xr:uid="{763A7492-7545-4A6A-8F71-E921B3B8C902}"/>
    <cellStyle name="Normal 8 4 3 3" xfId="4253" xr:uid="{B85B918F-211E-4519-BAD4-3C13EC87DA10}"/>
    <cellStyle name="Normal 8 4 3 3 2" xfId="10592" xr:uid="{FF77CF99-6C35-4DE6-B9B7-2FFAF7D35A25}"/>
    <cellStyle name="Normal 8 4 3 4" xfId="7424" xr:uid="{841BE3DB-C984-4B88-B53B-C5ED669B8206}"/>
    <cellStyle name="Normal 8 4 4" xfId="1855" xr:uid="{3CD46306-BE3C-4181-B187-3A92E7FED118}"/>
    <cellStyle name="Normal 8 4 4 2" xfId="5025" xr:uid="{0152E607-8F18-4B5A-B598-D283F9D0DB5D}"/>
    <cellStyle name="Normal 8 4 4 2 2" xfId="11364" xr:uid="{CC02D822-1DCF-438D-BEE5-0AC3F6464031}"/>
    <cellStyle name="Normal 8 4 4 3" xfId="8196" xr:uid="{81BF67AB-DCC1-483B-A63B-B6F84D3053B4}"/>
    <cellStyle name="Normal 8 4 5" xfId="3456" xr:uid="{8E0B06E2-0326-4DE6-83AD-51AF48BE600F}"/>
    <cellStyle name="Normal 8 4 5 2" xfId="9795" xr:uid="{00F1FD6E-7050-4FB1-901A-4688F0B06E11}"/>
    <cellStyle name="Normal 8 4 6" xfId="6627" xr:uid="{98D45CD8-D4CD-44A1-A772-DE7E8730163E}"/>
    <cellStyle name="Normal 8 5" xfId="480" xr:uid="{965F1A0F-36FA-4DC4-B1E3-90263F1746CC}"/>
    <cellStyle name="Normal 8 5 2" xfId="1279" xr:uid="{ADC599BE-51E4-40C4-8169-9F96E09256CD}"/>
    <cellStyle name="Normal 8 5 2 2" xfId="2850" xr:uid="{6DA20443-6AEF-4777-95B1-B615C7C33A57}"/>
    <cellStyle name="Normal 8 5 2 2 2" xfId="6020" xr:uid="{704718F2-6CC5-4030-89A8-2E1229608E89}"/>
    <cellStyle name="Normal 8 5 2 2 2 2" xfId="12359" xr:uid="{E2015F86-FBF4-4CA5-882F-C13CB95BB0C5}"/>
    <cellStyle name="Normal 8 5 2 2 3" xfId="9191" xr:uid="{2CC7BE15-8E8E-4720-891D-F38AA945E6D6}"/>
    <cellStyle name="Normal 8 5 2 3" xfId="4451" xr:uid="{83C077CF-F2FC-4E54-A03F-3BCAD3375B84}"/>
    <cellStyle name="Normal 8 5 2 3 2" xfId="10790" xr:uid="{BE813690-6FB9-400F-8A11-F4BA8FB1C384}"/>
    <cellStyle name="Normal 8 5 2 4" xfId="7622" xr:uid="{7B1180CE-16F4-4961-8677-84D33336239B}"/>
    <cellStyle name="Normal 8 5 3" xfId="2053" xr:uid="{6B5147FB-38CC-4173-BED8-15A0C4CCF6AC}"/>
    <cellStyle name="Normal 8 5 3 2" xfId="5223" xr:uid="{C9D3BDC8-2C49-47F1-98A4-2AC1DBF540A2}"/>
    <cellStyle name="Normal 8 5 3 2 2" xfId="11562" xr:uid="{6CD40C00-5AE1-48B1-90E3-F865981D8BB7}"/>
    <cellStyle name="Normal 8 5 3 3" xfId="8394" xr:uid="{507736AA-5188-4699-9E16-AA7C7CAE2F74}"/>
    <cellStyle name="Normal 8 5 4" xfId="3654" xr:uid="{2EAA2E52-3F4F-454A-868D-4539B038A1DF}"/>
    <cellStyle name="Normal 8 5 4 2" xfId="9993" xr:uid="{01E7CEFA-4D59-4447-857E-398212FDF375}"/>
    <cellStyle name="Normal 8 5 5" xfId="6825" xr:uid="{C68C224F-F44E-4387-A955-76BCEC4DB764}"/>
    <cellStyle name="Normal 8 6" xfId="878" xr:uid="{5CBD9064-9490-4F5C-AB99-A0316F6BF933}"/>
    <cellStyle name="Normal 8 6 2" xfId="2449" xr:uid="{619C4930-0957-4CE4-8BA1-ACC1C582172D}"/>
    <cellStyle name="Normal 8 6 2 2" xfId="5619" xr:uid="{07888BF5-57BB-4D2B-9484-6A9AE1C842D8}"/>
    <cellStyle name="Normal 8 6 2 2 2" xfId="11958" xr:uid="{F8B8C995-3A56-4C83-B6BE-294F306F9D1E}"/>
    <cellStyle name="Normal 8 6 2 3" xfId="8790" xr:uid="{D1510A92-AD79-4C79-B445-2953B94681B0}"/>
    <cellStyle name="Normal 8 6 3" xfId="4050" xr:uid="{C242DC93-FDB2-408A-89A4-4E58E5B57685}"/>
    <cellStyle name="Normal 8 6 3 2" xfId="10389" xr:uid="{BF3FD26C-F2EC-42A1-9123-620A95C2E444}"/>
    <cellStyle name="Normal 8 6 4" xfId="7221" xr:uid="{1A191D07-8E95-4649-BB7D-2A4C2C598C56}"/>
    <cellStyle name="Normal 8 7" xfId="1675" xr:uid="{5C45D78C-0024-4C81-BBA1-10C0392191CC}"/>
    <cellStyle name="Normal 8 7 2" xfId="4845" xr:uid="{D48FF209-9331-40DC-B3D3-0906D17D65CE}"/>
    <cellStyle name="Normal 8 7 2 2" xfId="11184" xr:uid="{204DAEF3-F29A-4EF8-9FFC-6F25D7A5B592}"/>
    <cellStyle name="Normal 8 7 3" xfId="8016" xr:uid="{BFA7CB39-E84E-4C45-83C6-DDC0E4F40A72}"/>
    <cellStyle name="Normal 8 8" xfId="3253" xr:uid="{58269082-2E94-445D-AFE2-ACAE03F30F8F}"/>
    <cellStyle name="Normal 8 8 2" xfId="9592" xr:uid="{EBB3674D-359E-4D75-AE68-DF87129BFAB9}"/>
    <cellStyle name="Normal 8 9" xfId="6424" xr:uid="{14D53699-5306-4F73-AB11-A86DEF1E078D}"/>
    <cellStyle name="Normal 9" xfId="52" xr:uid="{11C4C919-42E0-4C75-B8EF-FAE50BAEBE26}"/>
    <cellStyle name="Normal 9 10" xfId="6427" xr:uid="{9945972B-41D1-49C9-BED3-8A8F1C3D5DA5}"/>
    <cellStyle name="Normal 9 2" xfId="98" xr:uid="{5FF0DCEA-91C2-46B5-B842-0CA110FCF74E}"/>
    <cellStyle name="Normal 9 3" xfId="65" xr:uid="{55EE82E5-9A84-4F9A-B613-99FD9B2A333E}"/>
    <cellStyle name="Normal 9 3 2" xfId="289" xr:uid="{DF4AA1EC-5D36-45E0-9A92-FE75DC734929}"/>
    <cellStyle name="Normal 9 3 2 2" xfId="679" xr:uid="{734BAA8A-37FB-4248-9B80-601DF1B4AB7D}"/>
    <cellStyle name="Normal 9 3 2 2 2" xfId="1478" xr:uid="{C3F2085C-ACEA-4628-BDD3-854F71E00582}"/>
    <cellStyle name="Normal 9 3 2 2 2 2" xfId="3049" xr:uid="{0DB80C9A-09ED-48CC-89F0-4511C044DECE}"/>
    <cellStyle name="Normal 9 3 2 2 2 2 2" xfId="6219" xr:uid="{2DD9907B-8888-4489-AFF0-16FDFFF5E6C7}"/>
    <cellStyle name="Normal 9 3 2 2 2 2 2 2" xfId="12558" xr:uid="{9E5DE208-5860-44F5-B1BA-87813523361B}"/>
    <cellStyle name="Normal 9 3 2 2 2 2 3" xfId="9390" xr:uid="{4592AF39-8410-4A2D-ADAA-84DA6A16192D}"/>
    <cellStyle name="Normal 9 3 2 2 2 3" xfId="4650" xr:uid="{86DD989F-A12B-447E-AE28-07B2C75D4201}"/>
    <cellStyle name="Normal 9 3 2 2 2 3 2" xfId="10989" xr:uid="{5EB5F0E6-1175-4B17-BE9A-34C9BBD530B4}"/>
    <cellStyle name="Normal 9 3 2 2 2 4" xfId="7821" xr:uid="{944868FC-383A-49E6-B735-CF46C32B8678}"/>
    <cellStyle name="Normal 9 3 2 2 3" xfId="2252" xr:uid="{0BA3A17D-9ADB-4075-814C-0AD488719510}"/>
    <cellStyle name="Normal 9 3 2 2 3 2" xfId="5422" xr:uid="{3F3806BC-6FBE-47A5-AA4A-A694818495AC}"/>
    <cellStyle name="Normal 9 3 2 2 3 2 2" xfId="11761" xr:uid="{F00E8324-F131-4A8B-ADF0-0933227F30A3}"/>
    <cellStyle name="Normal 9 3 2 2 3 3" xfId="8593" xr:uid="{BF25EAC9-E15C-4AD0-BEB8-6620226DBD58}"/>
    <cellStyle name="Normal 9 3 2 2 4" xfId="3853" xr:uid="{47A473CD-E543-4FF0-991F-DE337A8E1DC2}"/>
    <cellStyle name="Normal 9 3 2 2 4 2" xfId="10192" xr:uid="{1DA6D001-7BF4-4102-9734-9C400474D45C}"/>
    <cellStyle name="Normal 9 3 2 2 5" xfId="7024" xr:uid="{EBBDE069-0769-434A-875B-628200B3B33E}"/>
    <cellStyle name="Normal 9 3 2 3" xfId="1097" xr:uid="{F19B3806-C505-436C-A5D6-0B6281A1AE07}"/>
    <cellStyle name="Normal 9 3 2 3 2" xfId="2668" xr:uid="{1EAE0886-C975-4A61-9312-9FAFB5C7F69B}"/>
    <cellStyle name="Normal 9 3 2 3 2 2" xfId="5838" xr:uid="{9B73AAB2-5BFC-416A-B8BC-B8608168C97A}"/>
    <cellStyle name="Normal 9 3 2 3 2 2 2" xfId="12177" xr:uid="{C57CAAA9-2C42-4074-8E3A-BDFAC433C92B}"/>
    <cellStyle name="Normal 9 3 2 3 2 3" xfId="9009" xr:uid="{14E650D3-BBD2-4829-AED7-DA5D499618A9}"/>
    <cellStyle name="Normal 9 3 2 3 3" xfId="4269" xr:uid="{E3523D8F-8E19-480F-9D08-B84735504926}"/>
    <cellStyle name="Normal 9 3 2 3 3 2" xfId="10608" xr:uid="{12978BB2-48EB-457D-8886-C7FD42503562}"/>
    <cellStyle name="Normal 9 3 2 3 4" xfId="7440" xr:uid="{175E6CF2-F17C-4528-97EE-39567AA7D0A9}"/>
    <cellStyle name="Normal 9 3 2 4" xfId="1871" xr:uid="{B13B4CFD-2E84-476A-8EF6-83C6C8A5B5DD}"/>
    <cellStyle name="Normal 9 3 2 4 2" xfId="5041" xr:uid="{9BA36ACB-938D-4865-81DC-C4CBF7A0F61C}"/>
    <cellStyle name="Normal 9 3 2 4 2 2" xfId="11380" xr:uid="{E92CA601-A977-4F4C-A925-2699FE5E0DB1}"/>
    <cellStyle name="Normal 9 3 2 4 3" xfId="8212" xr:uid="{916AED2D-E7D0-45A3-8064-D128E9469929}"/>
    <cellStyle name="Normal 9 3 2 5" xfId="3472" xr:uid="{655275F2-1A3B-41E4-AC00-27F66EFDE5AA}"/>
    <cellStyle name="Normal 9 3 2 5 2" xfId="9811" xr:uid="{5D0C40B6-F66D-4FDE-9E38-CC20FC8A6BA1}"/>
    <cellStyle name="Normal 9 3 2 6" xfId="6643" xr:uid="{A5068F35-C8B9-43EF-908A-30124B6E5614}"/>
    <cellStyle name="Normal 9 3 3" xfId="496" xr:uid="{9D4AD836-4C8D-4BFC-A241-A1CE5E08BE16}"/>
    <cellStyle name="Normal 9 3 3 2" xfId="1295" xr:uid="{7609436A-F4CB-4E0A-9D76-A72B8F025E7E}"/>
    <cellStyle name="Normal 9 3 3 2 2" xfId="2866" xr:uid="{4B9E661B-B09E-4574-B325-B654C7791C0A}"/>
    <cellStyle name="Normal 9 3 3 2 2 2" xfId="6036" xr:uid="{71F42B3E-8F21-43BE-8A7B-AC052179DA21}"/>
    <cellStyle name="Normal 9 3 3 2 2 2 2" xfId="12375" xr:uid="{7647960B-2684-4254-851E-26AD39D679F8}"/>
    <cellStyle name="Normal 9 3 3 2 2 3" xfId="9207" xr:uid="{47F4396E-4C1B-41D3-B151-550A5B4692E9}"/>
    <cellStyle name="Normal 9 3 3 2 3" xfId="4467" xr:uid="{7FCD57F9-DE28-4C88-A1FF-DD0F9AB2E810}"/>
    <cellStyle name="Normal 9 3 3 2 3 2" xfId="10806" xr:uid="{123393DD-9512-4014-82C5-5464DE182D5F}"/>
    <cellStyle name="Normal 9 3 3 2 4" xfId="7638" xr:uid="{91FE7D41-1A85-4B7F-ABB1-668E6578CD42}"/>
    <cellStyle name="Normal 9 3 3 3" xfId="2069" xr:uid="{E4C718A6-015E-430F-AB4F-C12F9C1DF6F6}"/>
    <cellStyle name="Normal 9 3 3 3 2" xfId="5239" xr:uid="{F1FC6404-5AC0-494F-9F80-15C2D4C67C15}"/>
    <cellStyle name="Normal 9 3 3 3 2 2" xfId="11578" xr:uid="{29DFB552-A096-4182-8D5E-AC5DB1441731}"/>
    <cellStyle name="Normal 9 3 3 3 3" xfId="8410" xr:uid="{A16DBA0C-5812-4FC2-88A3-004AA22C1625}"/>
    <cellStyle name="Normal 9 3 3 4" xfId="3670" xr:uid="{0FAD6742-A3CB-4CAC-96F1-ACD7FB13CBCE}"/>
    <cellStyle name="Normal 9 3 3 4 2" xfId="10009" xr:uid="{23E73BD9-8B1D-4768-9DDB-82162CA8E3A0}"/>
    <cellStyle name="Normal 9 3 3 5" xfId="6841" xr:uid="{EA3D9DAE-83EF-49C9-B63B-3555FD1594A6}"/>
    <cellStyle name="Normal 9 3 4" xfId="894" xr:uid="{1D1C146F-979F-4245-A9D6-AB07E6238DA2}"/>
    <cellStyle name="Normal 9 3 4 2" xfId="2465" xr:uid="{49774430-F94E-47D9-8802-82E11C0AC002}"/>
    <cellStyle name="Normal 9 3 4 2 2" xfId="5635" xr:uid="{058141DF-55DB-4BB8-8D43-DFD14A3E8036}"/>
    <cellStyle name="Normal 9 3 4 2 2 2" xfId="11974" xr:uid="{9F27A36E-1F11-4CC5-A843-48CEEFF2E0B6}"/>
    <cellStyle name="Normal 9 3 4 2 3" xfId="8806" xr:uid="{21F0AD3F-7141-4ECA-AAA7-F392050CF175}"/>
    <cellStyle name="Normal 9 3 4 3" xfId="4066" xr:uid="{8B44BD96-D14E-4F1E-9D2E-F578B1CBAC66}"/>
    <cellStyle name="Normal 9 3 4 3 2" xfId="10405" xr:uid="{B36A35B8-0CB9-45F3-9C70-1E8106E8EA85}"/>
    <cellStyle name="Normal 9 3 4 4" xfId="7237" xr:uid="{610AD79C-FE8E-4992-A174-65029CAD8E08}"/>
    <cellStyle name="Normal 9 3 5" xfId="1691" xr:uid="{61CE77B7-96EC-40D1-9B0B-AD17076E1016}"/>
    <cellStyle name="Normal 9 3 5 2" xfId="4861" xr:uid="{3FF6D07C-143A-487A-9033-59B298414C22}"/>
    <cellStyle name="Normal 9 3 5 2 2" xfId="11200" xr:uid="{E303EB21-FD14-4F0E-923E-B63F0F0E7703}"/>
    <cellStyle name="Normal 9 3 5 3" xfId="8032" xr:uid="{247CE2AB-EB34-4745-A457-FCE3F7BC2749}"/>
    <cellStyle name="Normal 9 3 6" xfId="3269" xr:uid="{4D6F48B3-77D3-4130-B175-1BFC9BE34A5F}"/>
    <cellStyle name="Normal 9 3 6 2" xfId="9608" xr:uid="{E3F986BC-D062-47C5-9C4F-FD6203DC76CB}"/>
    <cellStyle name="Normal 9 3 7" xfId="6440" xr:uid="{B2B827F7-1354-4885-AC5A-4BC46974C1CB}"/>
    <cellStyle name="Normal 9 4" xfId="154" xr:uid="{E76EAEA0-6452-4144-8A79-F9722241EA7C}"/>
    <cellStyle name="Normal 9 4 2" xfId="371" xr:uid="{2E477D79-BA17-44C6-A3EF-8800F5D49550}"/>
    <cellStyle name="Normal 9 4 2 2" xfId="752" xr:uid="{5BEDF866-6E32-45D5-BD74-E834E2CAC405}"/>
    <cellStyle name="Normal 9 4 2 2 2" xfId="1551" xr:uid="{8B5B5598-C0FF-44AE-91C5-09864EE92184}"/>
    <cellStyle name="Normal 9 4 2 2 2 2" xfId="3122" xr:uid="{88FE3AEC-1E7C-4FFF-9E03-03CEB95451AF}"/>
    <cellStyle name="Normal 9 4 2 2 2 2 2" xfId="6292" xr:uid="{CA2FA19B-B8C5-437F-B77C-665177D36485}"/>
    <cellStyle name="Normal 9 4 2 2 2 2 2 2" xfId="12631" xr:uid="{F6497A50-509E-4E7C-8916-7236EAC4FD9E}"/>
    <cellStyle name="Normal 9 4 2 2 2 2 3" xfId="9463" xr:uid="{E9EC3FBB-08AA-4892-AE25-D902C78CA78A}"/>
    <cellStyle name="Normal 9 4 2 2 2 3" xfId="4723" xr:uid="{F75FACA5-203B-463E-BCC6-B33667133662}"/>
    <cellStyle name="Normal 9 4 2 2 2 3 2" xfId="11062" xr:uid="{BC9B9018-DC52-4363-BBD8-BB559B585E20}"/>
    <cellStyle name="Normal 9 4 2 2 2 4" xfId="7894" xr:uid="{F05295D3-84F3-4229-BD18-90F466C83D4F}"/>
    <cellStyle name="Normal 9 4 2 2 3" xfId="2325" xr:uid="{4A19AB1D-C6CF-482F-AC00-253AC4EB481D}"/>
    <cellStyle name="Normal 9 4 2 2 3 2" xfId="5495" xr:uid="{B3E7717B-51F8-4CA6-A0E9-F97493529B06}"/>
    <cellStyle name="Normal 9 4 2 2 3 2 2" xfId="11834" xr:uid="{B2F0245C-1A12-4A75-8ACE-0D8BAA8B1383}"/>
    <cellStyle name="Normal 9 4 2 2 3 3" xfId="8666" xr:uid="{655A410E-2E65-4EEF-A76C-33E61F3A711E}"/>
    <cellStyle name="Normal 9 4 2 2 4" xfId="3926" xr:uid="{2E092B86-296A-4D2E-B604-A709477A3C95}"/>
    <cellStyle name="Normal 9 4 2 2 4 2" xfId="10265" xr:uid="{89423D8E-4393-4291-971F-D057FB0406C3}"/>
    <cellStyle name="Normal 9 4 2 2 5" xfId="7097" xr:uid="{5EDCE68D-23FE-40AE-87C3-60A6B67F345E}"/>
    <cellStyle name="Normal 9 4 2 3" xfId="1170" xr:uid="{779F69A5-D8C5-453D-BAE2-AC5413F57E82}"/>
    <cellStyle name="Normal 9 4 2 3 2" xfId="2741" xr:uid="{845247CA-8002-4668-B2CF-468424D64414}"/>
    <cellStyle name="Normal 9 4 2 3 2 2" xfId="5911" xr:uid="{2043FA4F-B862-44B6-AC34-2DE06F258439}"/>
    <cellStyle name="Normal 9 4 2 3 2 2 2" xfId="12250" xr:uid="{49D313EA-55F7-4E02-830A-EA49C8710351}"/>
    <cellStyle name="Normal 9 4 2 3 2 3" xfId="9082" xr:uid="{9ADF7856-6F8D-44E7-B489-1F5F772A1183}"/>
    <cellStyle name="Normal 9 4 2 3 3" xfId="4342" xr:uid="{82C15864-1846-4C56-A4F3-8B73137524C8}"/>
    <cellStyle name="Normal 9 4 2 3 3 2" xfId="10681" xr:uid="{FF99F277-91C4-4C9B-86E2-3A13F61354DA}"/>
    <cellStyle name="Normal 9 4 2 3 4" xfId="7513" xr:uid="{4E80F070-2E89-4324-BF74-A645CCB833D8}"/>
    <cellStyle name="Normal 9 4 2 4" xfId="1944" xr:uid="{26060776-A753-41CC-B311-CADCCFDDF61D}"/>
    <cellStyle name="Normal 9 4 2 4 2" xfId="5114" xr:uid="{60AE8802-C5E9-49C7-B75C-9D14ADF7BAC6}"/>
    <cellStyle name="Normal 9 4 2 4 2 2" xfId="11453" xr:uid="{C2496D12-670E-467F-9CAC-0DEA1D42CF07}"/>
    <cellStyle name="Normal 9 4 2 4 3" xfId="8285" xr:uid="{E4FCCE52-987C-491A-9BA2-8A76CE6E4C8B}"/>
    <cellStyle name="Normal 9 4 2 5" xfId="3545" xr:uid="{07370C37-2EB0-428D-AD16-B1DC711F515B}"/>
    <cellStyle name="Normal 9 4 2 5 2" xfId="9884" xr:uid="{4FDA3A92-6917-45D6-AFA7-8BF9A10F6EB6}"/>
    <cellStyle name="Normal 9 4 2 6" xfId="6716" xr:uid="{D50841EF-A9C6-4884-9BAB-C0C370FE3102}"/>
    <cellStyle name="Normal 9 4 3" xfId="549" xr:uid="{887432D1-A1DC-4B1D-BF1A-CDA81D25F6A8}"/>
    <cellStyle name="Normal 9 4 3 2" xfId="1348" xr:uid="{3F3EEE6B-59AA-49CA-8477-BD7E3904C1B2}"/>
    <cellStyle name="Normal 9 4 3 2 2" xfId="2919" xr:uid="{9083CD1B-C860-40AC-BCBB-6A07904822CA}"/>
    <cellStyle name="Normal 9 4 3 2 2 2" xfId="6089" xr:uid="{3BBA5DA4-3BEE-4CE5-A939-A08B469BF30A}"/>
    <cellStyle name="Normal 9 4 3 2 2 2 2" xfId="12428" xr:uid="{71DECA57-1739-4332-92EF-E06CC51941F1}"/>
    <cellStyle name="Normal 9 4 3 2 2 3" xfId="9260" xr:uid="{2D2D8D03-00BF-4C0C-93BC-4CC458A6B7FF}"/>
    <cellStyle name="Normal 9 4 3 2 3" xfId="4520" xr:uid="{20E0AB84-024F-406B-B0BC-925EE3466C91}"/>
    <cellStyle name="Normal 9 4 3 2 3 2" xfId="10859" xr:uid="{2FE25B57-0DDC-4B4B-988D-799AE7BD26B0}"/>
    <cellStyle name="Normal 9 4 3 2 4" xfId="7691" xr:uid="{69E7F581-1305-439D-A611-D5403AD2C113}"/>
    <cellStyle name="Normal 9 4 3 3" xfId="2122" xr:uid="{05C81F4E-4890-48A4-BE44-AB3BA10221AA}"/>
    <cellStyle name="Normal 9 4 3 3 2" xfId="5292" xr:uid="{C888F548-E53C-48C7-B88D-3467EFA04E1E}"/>
    <cellStyle name="Normal 9 4 3 3 2 2" xfId="11631" xr:uid="{453CF9BE-60B7-48EE-921E-93B16620D1E2}"/>
    <cellStyle name="Normal 9 4 3 3 3" xfId="8463" xr:uid="{8787526E-F6EF-4A27-B165-C578EB087181}"/>
    <cellStyle name="Normal 9 4 3 4" xfId="3723" xr:uid="{0958C4B5-6095-4653-8831-AFC777B76B52}"/>
    <cellStyle name="Normal 9 4 3 4 2" xfId="10062" xr:uid="{93427651-73BB-4AD2-B327-C574D5D63271}"/>
    <cellStyle name="Normal 9 4 3 5" xfId="6894" xr:uid="{9F782D82-4620-46E0-9902-9A3782CFA192}"/>
    <cellStyle name="Normal 9 4 4" xfId="967" xr:uid="{65BDF83A-92B4-42E2-A192-82AD4677BDE5}"/>
    <cellStyle name="Normal 9 4 4 2" xfId="2538" xr:uid="{D0A5CE54-15AC-480D-98D2-C003AA52CD56}"/>
    <cellStyle name="Normal 9 4 4 2 2" xfId="5708" xr:uid="{134166B8-5AAF-4A90-915A-CDD32C7BFAFE}"/>
    <cellStyle name="Normal 9 4 4 2 2 2" xfId="12047" xr:uid="{2B63F3AF-8DEA-4A20-A3A0-6A9E5D39A1FD}"/>
    <cellStyle name="Normal 9 4 4 2 3" xfId="8879" xr:uid="{04932D78-B087-4EB0-BE7A-1BF9FEB73586}"/>
    <cellStyle name="Normal 9 4 4 3" xfId="4139" xr:uid="{0C80ABC3-8982-4666-A0E1-247397266119}"/>
    <cellStyle name="Normal 9 4 4 3 2" xfId="10478" xr:uid="{F3DC13D1-94AF-4AAC-BC49-603BE1912049}"/>
    <cellStyle name="Normal 9 4 4 4" xfId="7310" xr:uid="{E02F9E23-8220-44E0-B0FA-08080DCA44CF}"/>
    <cellStyle name="Normal 9 4 5" xfId="1741" xr:uid="{DC5F9066-5EF4-4A84-8EDA-126BD9DFCC83}"/>
    <cellStyle name="Normal 9 4 5 2" xfId="4911" xr:uid="{97C2126D-2E54-45EE-A44E-A66C72276532}"/>
    <cellStyle name="Normal 9 4 5 2 2" xfId="11250" xr:uid="{8D357F5B-5B67-4356-BCB0-709BF6604210}"/>
    <cellStyle name="Normal 9 4 5 3" xfId="8082" xr:uid="{6BB29E45-35D7-4C5E-BC48-F5BC8CE9D323}"/>
    <cellStyle name="Normal 9 4 6" xfId="3342" xr:uid="{7DF51686-4E1F-477F-B041-D35ED3F210B7}"/>
    <cellStyle name="Normal 9 4 6 2" xfId="9681" xr:uid="{4CA1B443-4495-4BF9-8555-2629D56E9CCF}"/>
    <cellStyle name="Normal 9 4 7" xfId="6513" xr:uid="{BF13099D-981C-4D14-BC89-6C261EF4808A}"/>
    <cellStyle name="Normal 9 5" xfId="276" xr:uid="{F58FF773-FF17-4FB0-8D7A-81A9A3D0586F}"/>
    <cellStyle name="Normal 9 5 2" xfId="666" xr:uid="{0DEC8D89-B27E-4E61-8097-C8F1AFD9AD36}"/>
    <cellStyle name="Normal 9 5 2 2" xfId="1465" xr:uid="{B9B71CF1-1D26-41B1-9509-91A100A15EC6}"/>
    <cellStyle name="Normal 9 5 2 2 2" xfId="3036" xr:uid="{9E746674-F1E5-44E5-A094-FE17DA141F3B}"/>
    <cellStyle name="Normal 9 5 2 2 2 2" xfId="6206" xr:uid="{72CB9057-8885-4208-B8B4-D4CD36F91819}"/>
    <cellStyle name="Normal 9 5 2 2 2 2 2" xfId="12545" xr:uid="{5ACF630F-C7B3-48B3-A59B-040BD2A674B0}"/>
    <cellStyle name="Normal 9 5 2 2 2 3" xfId="9377" xr:uid="{85AE59AF-CED9-4910-B033-3DA5D4EC386C}"/>
    <cellStyle name="Normal 9 5 2 2 3" xfId="4637" xr:uid="{0740B287-018F-46A4-8785-7AFB8589BFFD}"/>
    <cellStyle name="Normal 9 5 2 2 3 2" xfId="10976" xr:uid="{95437C1D-512A-4799-9121-79A37C00A3D8}"/>
    <cellStyle name="Normal 9 5 2 2 4" xfId="7808" xr:uid="{8D2F4518-57FC-4548-B0BA-8F728BF8C8B7}"/>
    <cellStyle name="Normal 9 5 2 3" xfId="2239" xr:uid="{AC55BC65-992A-4983-A522-C21AC3D7F545}"/>
    <cellStyle name="Normal 9 5 2 3 2" xfId="5409" xr:uid="{E47E411B-BD5E-457D-AF49-57931F7298E8}"/>
    <cellStyle name="Normal 9 5 2 3 2 2" xfId="11748" xr:uid="{E70DF420-8805-4FF5-BE04-BF831AB5BE44}"/>
    <cellStyle name="Normal 9 5 2 3 3" xfId="8580" xr:uid="{010FB77B-955A-4AA8-9CEB-9CCA94E6C9D8}"/>
    <cellStyle name="Normal 9 5 2 4" xfId="3840" xr:uid="{92FC2F7D-7215-4315-A5AF-6306838037FD}"/>
    <cellStyle name="Normal 9 5 2 4 2" xfId="10179" xr:uid="{CAD1B1A1-789F-4A2D-8628-C1EF27765230}"/>
    <cellStyle name="Normal 9 5 2 5" xfId="7011" xr:uid="{BFAA6B10-95D8-4A30-BA20-F6728CE152F3}"/>
    <cellStyle name="Normal 9 5 3" xfId="1084" xr:uid="{D7EC0041-7FD1-42D0-A264-8FB1F883488A}"/>
    <cellStyle name="Normal 9 5 3 2" xfId="2655" xr:uid="{EB07F889-52CB-4902-9519-396E80087525}"/>
    <cellStyle name="Normal 9 5 3 2 2" xfId="5825" xr:uid="{BFB9C531-3974-41B0-8F39-4AFD96BB7E67}"/>
    <cellStyle name="Normal 9 5 3 2 2 2" xfId="12164" xr:uid="{5DF7CB70-D756-4F14-9345-819B5C955472}"/>
    <cellStyle name="Normal 9 5 3 2 3" xfId="8996" xr:uid="{696EF1C3-9DED-4BD7-A815-68B992489EB0}"/>
    <cellStyle name="Normal 9 5 3 3" xfId="4256" xr:uid="{03AC9850-DDE4-4365-8288-592036F5AE9D}"/>
    <cellStyle name="Normal 9 5 3 3 2" xfId="10595" xr:uid="{6C761D74-659C-4525-A4CA-00F09FBAE47D}"/>
    <cellStyle name="Normal 9 5 3 4" xfId="7427" xr:uid="{575201EA-31CC-486E-8A1F-83A2F125FC83}"/>
    <cellStyle name="Normal 9 5 4" xfId="1858" xr:uid="{73E8A2DA-9E2F-43B9-9FD0-3A4875EBD649}"/>
    <cellStyle name="Normal 9 5 4 2" xfId="5028" xr:uid="{F54C9893-C497-4747-AF84-1BD11A42A2DA}"/>
    <cellStyle name="Normal 9 5 4 2 2" xfId="11367" xr:uid="{3F79358A-0E5E-433E-B9FD-0E515BBA9B84}"/>
    <cellStyle name="Normal 9 5 4 3" xfId="8199" xr:uid="{3DEB2BED-E0F6-4ECB-B4A7-52BB4D85AE8F}"/>
    <cellStyle name="Normal 9 5 5" xfId="3459" xr:uid="{69138A64-4A08-4D35-AF44-3E8C5BDAC7B5}"/>
    <cellStyle name="Normal 9 5 5 2" xfId="9798" xr:uid="{D241337F-2877-4E81-9EC8-12E09DDD2FA0}"/>
    <cellStyle name="Normal 9 5 6" xfId="6630" xr:uid="{C650FF40-1304-4293-82DA-39AD354D93EA}"/>
    <cellStyle name="Normal 9 6" xfId="483" xr:uid="{4770BB31-10CE-4EB0-9417-E6B48A558F0F}"/>
    <cellStyle name="Normal 9 6 2" xfId="1282" xr:uid="{3F370778-6A41-43F6-AD0F-FBA4AD922495}"/>
    <cellStyle name="Normal 9 6 2 2" xfId="2853" xr:uid="{A03DEE9C-5DE2-4663-B1B4-BA901600EFDD}"/>
    <cellStyle name="Normal 9 6 2 2 2" xfId="6023" xr:uid="{15EA038E-14AF-4073-9B65-2C41FF81E653}"/>
    <cellStyle name="Normal 9 6 2 2 2 2" xfId="12362" xr:uid="{2EFA22CB-7A10-45FA-8315-B51F772765FF}"/>
    <cellStyle name="Normal 9 6 2 2 3" xfId="9194" xr:uid="{ED3D12AE-7B12-4626-93DF-551C8D167E7C}"/>
    <cellStyle name="Normal 9 6 2 3" xfId="4454" xr:uid="{72056D78-7256-4319-9C16-F5EB6E87817D}"/>
    <cellStyle name="Normal 9 6 2 3 2" xfId="10793" xr:uid="{A3FE5E59-1B03-4E2A-B418-B9699A58DC94}"/>
    <cellStyle name="Normal 9 6 2 4" xfId="7625" xr:uid="{0E658E44-181F-46C2-8CC9-F145E621BF56}"/>
    <cellStyle name="Normal 9 6 3" xfId="2056" xr:uid="{34F63C8A-9845-4E3C-9C5A-708372A0D8CD}"/>
    <cellStyle name="Normal 9 6 3 2" xfId="5226" xr:uid="{C30CBF7A-4C01-456E-95EA-E33D40E61971}"/>
    <cellStyle name="Normal 9 6 3 2 2" xfId="11565" xr:uid="{BA005095-D23F-4442-BA8A-26DDE3868631}"/>
    <cellStyle name="Normal 9 6 3 3" xfId="8397" xr:uid="{43D07399-81BF-4252-847D-47F86D12FC48}"/>
    <cellStyle name="Normal 9 6 4" xfId="3657" xr:uid="{C404C385-0961-4290-AF7F-36618804925B}"/>
    <cellStyle name="Normal 9 6 4 2" xfId="9996" xr:uid="{576016A5-D1F7-4923-990B-2E8067A70322}"/>
    <cellStyle name="Normal 9 6 5" xfId="6828" xr:uid="{23C5D32E-63A1-4A12-AA33-4C5D27DECB58}"/>
    <cellStyle name="Normal 9 7" xfId="881" xr:uid="{4E62BF15-0941-412E-9B65-18DB1DF4F362}"/>
    <cellStyle name="Normal 9 7 2" xfId="2452" xr:uid="{35C9042A-8E9D-4DA5-8FE8-2CD112ED35B1}"/>
    <cellStyle name="Normal 9 7 2 2" xfId="5622" xr:uid="{E5C49040-2B49-428E-8643-3309EA808013}"/>
    <cellStyle name="Normal 9 7 2 2 2" xfId="11961" xr:uid="{F53CE6EA-A324-4788-B2F0-24B90F1B366B}"/>
    <cellStyle name="Normal 9 7 2 3" xfId="8793" xr:uid="{8EA98F59-80DC-4D39-A82E-B3E10385592C}"/>
    <cellStyle name="Normal 9 7 3" xfId="4053" xr:uid="{1D78C2A3-026D-4C8B-BCBA-FBD61B256462}"/>
    <cellStyle name="Normal 9 7 3 2" xfId="10392" xr:uid="{B19B2B95-E4FF-4F87-8D5C-841FB964FF26}"/>
    <cellStyle name="Normal 9 7 4" xfId="7224" xr:uid="{54E17D8A-5BE3-43E1-92E5-D557B4556BAE}"/>
    <cellStyle name="Normal 9 8" xfId="1678" xr:uid="{915A2777-5A99-4162-8056-F2946B56EE8E}"/>
    <cellStyle name="Normal 9 8 2" xfId="4848" xr:uid="{F982BA3B-F28A-4804-8926-570FBE306478}"/>
    <cellStyle name="Normal 9 8 2 2" xfId="11187" xr:uid="{BDE86B1D-8B00-43F6-98AD-F5532CC939BA}"/>
    <cellStyle name="Normal 9 8 3" xfId="8019" xr:uid="{8B882DF3-27F0-43F3-82B2-4C972277BFAA}"/>
    <cellStyle name="Normal 9 9" xfId="3256" xr:uid="{09160AEE-741E-40A7-8816-FC11F1CCEC46}"/>
    <cellStyle name="Normal 9 9 2" xfId="9595" xr:uid="{4AD2E3D9-239D-4DE9-BF99-31856B924ADA}"/>
    <cellStyle name="Porcentagem" xfId="12" builtinId="5"/>
    <cellStyle name="Porcentagem 10" xfId="449" xr:uid="{BB8D07B9-11EE-4823-96FB-35C2A0AFDC99}"/>
    <cellStyle name="Porcentagem 10 2" xfId="830" xr:uid="{5CA4D849-34B9-4E74-B0E1-0505F295B1B8}"/>
    <cellStyle name="Porcentagem 10 2 2" xfId="1629" xr:uid="{AB79103C-6C34-4428-8885-E12EBB8D7E95}"/>
    <cellStyle name="Porcentagem 10 2 2 2" xfId="3200" xr:uid="{044E4315-CBBB-4D17-9DDB-BA249DF1688F}"/>
    <cellStyle name="Porcentagem 10 2 2 2 2" xfId="6370" xr:uid="{D7F8F206-5EFC-4111-BA7A-4A11195BF199}"/>
    <cellStyle name="Porcentagem 10 2 2 2 2 2" xfId="12709" xr:uid="{2DCF37D6-E6C5-46AD-A2F6-469AC29CFE59}"/>
    <cellStyle name="Porcentagem 10 2 2 2 3" xfId="9541" xr:uid="{DAC45411-13E5-45DE-A3B5-3E624A0BDE9A}"/>
    <cellStyle name="Porcentagem 10 2 2 3" xfId="4801" xr:uid="{F5C4ADED-0C00-4C16-888C-A69D0A0CB6B1}"/>
    <cellStyle name="Porcentagem 10 2 2 3 2" xfId="11140" xr:uid="{8D00087E-5ABB-4165-8F89-73CBB97AA497}"/>
    <cellStyle name="Porcentagem 10 2 2 4" xfId="7972" xr:uid="{7BCB0F30-78E5-4C8D-A7D0-C9342781E080}"/>
    <cellStyle name="Porcentagem 10 2 3" xfId="2403" xr:uid="{0C2E914F-1DBC-4742-94DB-A6AF6CE0B5D6}"/>
    <cellStyle name="Porcentagem 10 2 3 2" xfId="5573" xr:uid="{8B86A3CA-480F-42D0-BC91-DBB1BF01ACB2}"/>
    <cellStyle name="Porcentagem 10 2 3 2 2" xfId="11912" xr:uid="{9BA0FEB5-5A9F-4E23-BCC1-669D8D848A67}"/>
    <cellStyle name="Porcentagem 10 2 3 3" xfId="8744" xr:uid="{2F8FCCA4-AE21-4A58-B21C-F24F0B88165E}"/>
    <cellStyle name="Porcentagem 10 2 4" xfId="4004" xr:uid="{E4B83093-B87E-4E60-A0E6-6C2F18CFE09C}"/>
    <cellStyle name="Porcentagem 10 2 4 2" xfId="10343" xr:uid="{3C0D10CA-3958-4E5F-B2A2-02C0326FED9B}"/>
    <cellStyle name="Porcentagem 10 2 5" xfId="7175" xr:uid="{D28C5EA9-F345-444C-8F4E-50AAD178067A}"/>
    <cellStyle name="Porcentagem 10 3" xfId="1248" xr:uid="{E943BC85-CDC9-4627-B160-797839FDF3E3}"/>
    <cellStyle name="Porcentagem 10 3 2" xfId="2819" xr:uid="{8B72CE91-05AB-4E43-B16D-A3B315F60F39}"/>
    <cellStyle name="Porcentagem 10 3 2 2" xfId="5989" xr:uid="{97476223-AF99-4EA5-BEF5-12C0E9A40766}"/>
    <cellStyle name="Porcentagem 10 3 2 2 2" xfId="12328" xr:uid="{09EF308D-CC97-4C78-BF87-B8D5BC877F5A}"/>
    <cellStyle name="Porcentagem 10 3 2 3" xfId="9160" xr:uid="{3B609AD4-FAF9-4821-B15E-BE059C7AEA31}"/>
    <cellStyle name="Porcentagem 10 3 3" xfId="4420" xr:uid="{DBC55CA3-9DF8-40DF-8C4D-6F4A02D27D65}"/>
    <cellStyle name="Porcentagem 10 3 3 2" xfId="10759" xr:uid="{DD4D743A-D029-480B-A673-BA9C28542764}"/>
    <cellStyle name="Porcentagem 10 3 4" xfId="7591" xr:uid="{ACA85E99-559F-430C-8AED-633AC3F415C2}"/>
    <cellStyle name="Porcentagem 10 4" xfId="2022" xr:uid="{45FF9E9D-44BD-43BE-985A-68340929856D}"/>
    <cellStyle name="Porcentagem 10 4 2" xfId="5192" xr:uid="{09CE930C-993C-4993-B382-8A3E19987841}"/>
    <cellStyle name="Porcentagem 10 4 2 2" xfId="11531" xr:uid="{4462DDF0-1B13-4DFD-A0E2-00A7FEED4C7D}"/>
    <cellStyle name="Porcentagem 10 4 3" xfId="8363" xr:uid="{68AC391F-596D-40C5-93FC-949F562D28E7}"/>
    <cellStyle name="Porcentagem 10 5" xfId="3623" xr:uid="{8CA9DBC0-63C8-430D-A250-85F142C32947}"/>
    <cellStyle name="Porcentagem 10 5 2" xfId="9962" xr:uid="{6F1AF6E0-24AB-4C72-9085-AE7C6989CF4C}"/>
    <cellStyle name="Porcentagem 10 6" xfId="6794" xr:uid="{4BFD47AF-6D77-4A85-8194-2ECCD145E6B4}"/>
    <cellStyle name="Porcentagem 11" xfId="833" xr:uid="{339ECBE0-6A15-44F1-9688-69870B7E1605}"/>
    <cellStyle name="Porcentagem 11 2" xfId="1632" xr:uid="{3B65522F-2444-43CB-8711-37941DC88783}"/>
    <cellStyle name="Porcentagem 11 2 2" xfId="3203" xr:uid="{187E3491-0D40-45FE-89F3-68941B098695}"/>
    <cellStyle name="Porcentagem 11 2 2 2" xfId="6373" xr:uid="{27C7D0C8-4C65-4173-8FC8-72D04425B747}"/>
    <cellStyle name="Porcentagem 11 2 2 2 2" xfId="12712" xr:uid="{D71ED61B-ECCD-43F1-9C61-800E1603FCA5}"/>
    <cellStyle name="Porcentagem 11 2 2 3" xfId="9544" xr:uid="{2AB22D7A-2CC5-422C-A8A2-50A62ABE6ACE}"/>
    <cellStyle name="Porcentagem 11 2 3" xfId="4804" xr:uid="{D5970394-DBCD-4E6A-BB30-AA432012573D}"/>
    <cellStyle name="Porcentagem 11 2 3 2" xfId="11143" xr:uid="{6FB2E7D8-F923-429A-BB23-704D023F3CBB}"/>
    <cellStyle name="Porcentagem 11 2 4" xfId="7975" xr:uid="{0A36D303-5C9B-4F4B-B3F9-F3A892AD3C2A}"/>
    <cellStyle name="Porcentagem 11 3" xfId="2406" xr:uid="{D39B5F40-497F-4A28-9DA8-7CAA4F715BC5}"/>
    <cellStyle name="Porcentagem 11 3 2" xfId="5576" xr:uid="{62E11DDA-7EBA-4052-AD0A-C6FD5A6E754E}"/>
    <cellStyle name="Porcentagem 11 3 2 2" xfId="11915" xr:uid="{74B3493B-BC76-4AE6-8059-2EC5EBEA7410}"/>
    <cellStyle name="Porcentagem 11 3 3" xfId="8747" xr:uid="{F628D3E0-E225-450A-9FAE-0AAD6085F72F}"/>
    <cellStyle name="Porcentagem 11 4" xfId="4007" xr:uid="{73F0877B-4109-482A-AB97-9CF3A028F44B}"/>
    <cellStyle name="Porcentagem 11 4 2" xfId="10346" xr:uid="{24B53948-8D8D-4DBA-93B5-BF414F180434}"/>
    <cellStyle name="Porcentagem 11 5" xfId="7178" xr:uid="{6496ADE6-FBC8-46AA-97AD-8E1A720971B3}"/>
    <cellStyle name="Porcentagem 12" xfId="836" xr:uid="{5723240A-DC0D-4C78-97A1-92EE6D97F3CF}"/>
    <cellStyle name="Porcentagem 12 2" xfId="1635" xr:uid="{B67CAD0B-E0CD-460F-8433-0A793D6907DA}"/>
    <cellStyle name="Porcentagem 12 2 2" xfId="3206" xr:uid="{6A3FDDFF-771F-4B13-AC6E-DBBBE17037BB}"/>
    <cellStyle name="Porcentagem 12 2 2 2" xfId="6376" xr:uid="{1E82FD91-6D35-421E-AA81-A8BBFCF80CD2}"/>
    <cellStyle name="Porcentagem 12 2 2 2 2" xfId="12715" xr:uid="{9A6CE9FF-BBDC-4129-B2FC-261476809106}"/>
    <cellStyle name="Porcentagem 12 2 2 3" xfId="9547" xr:uid="{1047E6D3-A116-4F77-93DE-F8F6A58B7D12}"/>
    <cellStyle name="Porcentagem 12 2 3" xfId="4807" xr:uid="{656A5E2C-CC10-442F-989F-B124CE31ACAF}"/>
    <cellStyle name="Porcentagem 12 2 3 2" xfId="11146" xr:uid="{E0EEC135-4D68-4F67-87C3-D61EF5E76883}"/>
    <cellStyle name="Porcentagem 12 2 4" xfId="7978" xr:uid="{030107EE-29E8-4ACD-BB50-AA12C5059A4D}"/>
    <cellStyle name="Porcentagem 12 3" xfId="2409" xr:uid="{8E7C555D-FD0F-4E6F-B064-B6750A8DBC44}"/>
    <cellStyle name="Porcentagem 12 3 2" xfId="5579" xr:uid="{20456C84-6B56-4CE1-81AE-FC292C3C2164}"/>
    <cellStyle name="Porcentagem 12 3 2 2" xfId="11918" xr:uid="{262AA5E2-8CE3-4A24-89BC-9DD568AB5A43}"/>
    <cellStyle name="Porcentagem 12 3 3" xfId="8750" xr:uid="{CEBC8048-E1F3-4591-80DB-8B61257C41AD}"/>
    <cellStyle name="Porcentagem 12 4" xfId="4010" xr:uid="{9B4AFF24-4722-4240-B3B9-87D5FB8BB2D3}"/>
    <cellStyle name="Porcentagem 12 4 2" xfId="10349" xr:uid="{6FA1511E-2B68-4BD3-9AAE-18C79CC25478}"/>
    <cellStyle name="Porcentagem 12 5" xfId="7181" xr:uid="{118A72D2-0B9F-4D7A-A25A-CE21926CFCBC}"/>
    <cellStyle name="Porcentagem 13" xfId="847" xr:uid="{F5AA74F2-C853-4257-84E5-D229C9FEADA3}"/>
    <cellStyle name="Porcentagem 14" xfId="1642" xr:uid="{A4E904F7-0967-4894-BF86-1323A55C1F92}"/>
    <cellStyle name="Porcentagem 14 2" xfId="3211" xr:uid="{B417F05F-EE5A-4225-A73F-AC7190A33CFE}"/>
    <cellStyle name="Porcentagem 14 2 2" xfId="6381" xr:uid="{3E71DC16-0783-47A8-9E53-63BDC4445465}"/>
    <cellStyle name="Porcentagem 14 2 2 2" xfId="12720" xr:uid="{6F147EE1-A340-452C-9EE6-2106764CAA0B}"/>
    <cellStyle name="Porcentagem 14 2 3" xfId="9552" xr:uid="{641FD193-206E-4077-8864-C177FF33E421}"/>
    <cellStyle name="Porcentagem 14 3" xfId="4812" xr:uid="{E45CD3BB-4E81-4194-891E-CE9A4E769D9C}"/>
    <cellStyle name="Porcentagem 14 3 2" xfId="11151" xr:uid="{F4B7E6F1-45CB-40B7-924A-5FF232C49F12}"/>
    <cellStyle name="Porcentagem 14 4" xfId="7983" xr:uid="{907B62A7-C692-43A6-9012-996AFC9D7198}"/>
    <cellStyle name="Porcentagem 15" xfId="1645" xr:uid="{6AA659AF-7C3E-4BC3-9C0A-DDA372CBE8D6}"/>
    <cellStyle name="Porcentagem 15 2" xfId="4815" xr:uid="{C4974C47-8B13-4793-9788-F65F399E96E6}"/>
    <cellStyle name="Porcentagem 15 2 2" xfId="11154" xr:uid="{4D78599D-5CB2-4631-ACE3-57999F9F754C}"/>
    <cellStyle name="Porcentagem 15 3" xfId="7986" xr:uid="{0671DD9A-1934-40AD-A6A8-2DC806A165E3}"/>
    <cellStyle name="Porcentagem 16" xfId="3222" xr:uid="{3FAD6103-099D-471D-AD43-167AEE668751}"/>
    <cellStyle name="Porcentagem 17" xfId="6393" xr:uid="{9DFED4CD-2BB8-4C63-AF36-E4399EBC017A}"/>
    <cellStyle name="Porcentagem 2" xfId="14" xr:uid="{EBC30B7D-1737-4EF4-B0F3-7431E743BF9D}"/>
    <cellStyle name="Porcentagem 2 2" xfId="74" xr:uid="{A5C8EBA3-92E4-4375-976E-45457AC31456}"/>
    <cellStyle name="Porcentagem 2 3" xfId="242" xr:uid="{62A22DE9-0E6E-44CC-B6A7-74163E39629E}"/>
    <cellStyle name="Porcentagem 2 3 2" xfId="634" xr:uid="{DF04BAAB-D4CF-4453-8B5B-B0955032A4BD}"/>
    <cellStyle name="Porcentagem 2 3 2 2" xfId="1433" xr:uid="{EDC625DC-CBC3-4F77-AD65-FB9157020ABF}"/>
    <cellStyle name="Porcentagem 2 3 2 2 2" xfId="3004" xr:uid="{0E8EC0EF-5BEC-4BB0-B875-CF703EA72F94}"/>
    <cellStyle name="Porcentagem 2 3 2 2 2 2" xfId="6174" xr:uid="{FD153455-C36A-4E12-93F6-334FBEB0C511}"/>
    <cellStyle name="Porcentagem 2 3 2 2 2 2 2" xfId="12513" xr:uid="{BA46A9CD-CAA2-4294-A045-7CA12A80B80E}"/>
    <cellStyle name="Porcentagem 2 3 2 2 2 3" xfId="9345" xr:uid="{C1A9716A-373D-4204-A0EB-BD7EBE4D8E7D}"/>
    <cellStyle name="Porcentagem 2 3 2 2 3" xfId="4605" xr:uid="{2D7C4AFD-BF96-4CB8-A1F9-53F6E4ECE08F}"/>
    <cellStyle name="Porcentagem 2 3 2 2 3 2" xfId="10944" xr:uid="{DD837DB7-955B-41DF-AC14-4845D0734D4A}"/>
    <cellStyle name="Porcentagem 2 3 2 2 4" xfId="7776" xr:uid="{62F17E80-7C5D-4035-BCE2-65E105309BF2}"/>
    <cellStyle name="Porcentagem 2 3 2 3" xfId="2207" xr:uid="{1E101E25-1ED7-45A4-88DC-03EC963D703B}"/>
    <cellStyle name="Porcentagem 2 3 2 3 2" xfId="5377" xr:uid="{4E8E4508-1C55-4F68-9092-602B7F4F831F}"/>
    <cellStyle name="Porcentagem 2 3 2 3 2 2" xfId="11716" xr:uid="{D8C7FB50-33E0-4EE5-B589-2D0C5B529C49}"/>
    <cellStyle name="Porcentagem 2 3 2 3 3" xfId="8548" xr:uid="{65B6D807-8E6F-4E3B-A2BB-A0A1CE50C8F1}"/>
    <cellStyle name="Porcentagem 2 3 2 4" xfId="3808" xr:uid="{EBACC224-F6B8-4F34-BC32-C0A246B0F1E7}"/>
    <cellStyle name="Porcentagem 2 3 2 4 2" xfId="10147" xr:uid="{1270A2DC-2265-4C17-9707-70BDCCA1A5A6}"/>
    <cellStyle name="Porcentagem 2 3 2 5" xfId="6979" xr:uid="{4C1484C8-3F62-4CB5-87DA-99D65E6B49A4}"/>
    <cellStyle name="Porcentagem 2 3 3" xfId="1052" xr:uid="{80578A99-F37D-451F-9B7B-6B82CD81F5A3}"/>
    <cellStyle name="Porcentagem 2 3 3 2" xfId="2623" xr:uid="{EEBBC7C8-40F8-4FC3-AB8C-C4589FB92B70}"/>
    <cellStyle name="Porcentagem 2 3 3 2 2" xfId="5793" xr:uid="{22F36469-7A1A-49AC-A717-CCE35C1675AA}"/>
    <cellStyle name="Porcentagem 2 3 3 2 2 2" xfId="12132" xr:uid="{390DB4A9-143A-4824-9235-BAE4AA0C5DDB}"/>
    <cellStyle name="Porcentagem 2 3 3 2 3" xfId="8964" xr:uid="{2D02D1C0-5829-4BAF-93CC-893581242F29}"/>
    <cellStyle name="Porcentagem 2 3 3 3" xfId="4224" xr:uid="{7D6F2702-525C-4496-9537-49E5EDF59B8B}"/>
    <cellStyle name="Porcentagem 2 3 3 3 2" xfId="10563" xr:uid="{F6784A58-4B68-40EF-AA68-CBCB090B60E4}"/>
    <cellStyle name="Porcentagem 2 3 3 4" xfId="7395" xr:uid="{361785DE-8053-44CA-B003-B2F174653C3E}"/>
    <cellStyle name="Porcentagem 2 3 4" xfId="1826" xr:uid="{6B965A72-930F-4D4D-B37B-3D9347DF60A2}"/>
    <cellStyle name="Porcentagem 2 3 4 2" xfId="4996" xr:uid="{BD696A80-9A81-4ADB-BD4C-8A3EE0A57A7F}"/>
    <cellStyle name="Porcentagem 2 3 4 2 2" xfId="11335" xr:uid="{B5DC7C1D-C1DB-4EE6-8CF1-6718CF629DC8}"/>
    <cellStyle name="Porcentagem 2 3 4 3" xfId="8167" xr:uid="{418586B1-BAC5-43DA-BED7-496B7B391D3A}"/>
    <cellStyle name="Porcentagem 2 3 5" xfId="3427" xr:uid="{0DA3F0CE-168C-46E1-987D-2FCE8D60B763}"/>
    <cellStyle name="Porcentagem 2 3 5 2" xfId="9766" xr:uid="{AB8DE1DD-4563-4D66-9125-F16254F5810E}"/>
    <cellStyle name="Porcentagem 2 3 6" xfId="6598" xr:uid="{2F383525-B85F-45CD-894B-C58474DBAE44}"/>
    <cellStyle name="Porcentagem 2 4" xfId="458" xr:uid="{384CCFCF-8B47-4AEA-80B9-F798F4E2496C}"/>
    <cellStyle name="Porcentagem 2 4 2" xfId="1257" xr:uid="{D2AC3B55-4F25-45BC-B587-D8684740AA9C}"/>
    <cellStyle name="Porcentagem 2 4 2 2" xfId="2828" xr:uid="{1EF0E62C-EAD9-4BD3-84C4-C542EB3A54E5}"/>
    <cellStyle name="Porcentagem 2 4 2 2 2" xfId="5998" xr:uid="{874A7C5A-A5C4-42F5-9A95-BD6BC19330BA}"/>
    <cellStyle name="Porcentagem 2 4 2 2 2 2" xfId="12337" xr:uid="{49B13D1F-72AD-495C-822C-4824C18B5335}"/>
    <cellStyle name="Porcentagem 2 4 2 2 3" xfId="9169" xr:uid="{BAA2D9F9-4472-4652-BFA1-FFA26D9E3DD8}"/>
    <cellStyle name="Porcentagem 2 4 2 3" xfId="4429" xr:uid="{016EEA9B-936C-4AB3-A1BF-1AAB07776FC5}"/>
    <cellStyle name="Porcentagem 2 4 2 3 2" xfId="10768" xr:uid="{60640656-3384-4C3D-B49B-6D8294DB8ACF}"/>
    <cellStyle name="Porcentagem 2 4 2 4" xfId="7600" xr:uid="{08C398FD-74DD-46C1-B3DD-1D4CA97BD4C4}"/>
    <cellStyle name="Porcentagem 2 4 3" xfId="2031" xr:uid="{0A9AE50C-33AA-4ABE-A2BB-8BB2D68D9DFB}"/>
    <cellStyle name="Porcentagem 2 4 3 2" xfId="5201" xr:uid="{615337D1-892D-4BCD-B12E-A4994C6976E5}"/>
    <cellStyle name="Porcentagem 2 4 3 2 2" xfId="11540" xr:uid="{20C8D321-A5B3-441F-B200-91497ED6982F}"/>
    <cellStyle name="Porcentagem 2 4 3 3" xfId="8372" xr:uid="{7518E99A-EB20-4041-9EEF-2A85A194BA5F}"/>
    <cellStyle name="Porcentagem 2 4 4" xfId="3632" xr:uid="{EEDBD279-6C51-4CAF-84B3-FD7703DF5D02}"/>
    <cellStyle name="Porcentagem 2 4 4 2" xfId="9971" xr:uid="{841412CF-DCC4-4E87-9926-2EF5BC57CE97}"/>
    <cellStyle name="Porcentagem 2 4 5" xfId="6803" xr:uid="{5CCF70EF-B65E-4A46-8B5F-A36FFC501205}"/>
    <cellStyle name="Porcentagem 2 5" xfId="849" xr:uid="{7E653900-398C-4F2A-A367-A03E64012D86}"/>
    <cellStyle name="Porcentagem 2 5 2" xfId="2420" xr:uid="{888FF56C-BE82-4878-92F0-1D93D2B52C94}"/>
    <cellStyle name="Porcentagem 2 5 2 2" xfId="5590" xr:uid="{D12D1AD3-85B5-41C7-82C4-A94A04922222}"/>
    <cellStyle name="Porcentagem 2 5 2 2 2" xfId="11929" xr:uid="{0E5FCB08-9DF7-4CE8-8F40-956985414FAF}"/>
    <cellStyle name="Porcentagem 2 5 2 3" xfId="8761" xr:uid="{E1F0B935-F804-4D76-8F48-A5AC8B75DADA}"/>
    <cellStyle name="Porcentagem 2 5 3" xfId="4021" xr:uid="{7933F5F5-B004-450F-990B-2F1B8F9C74BE}"/>
    <cellStyle name="Porcentagem 2 5 3 2" xfId="10360" xr:uid="{2ABFA324-C1A4-4036-9968-1078DFD48AC0}"/>
    <cellStyle name="Porcentagem 2 5 4" xfId="7192" xr:uid="{F0B5535B-C737-4EBC-9927-E40A4A31A257}"/>
    <cellStyle name="Porcentagem 2 6" xfId="1653" xr:uid="{5992B970-C9A7-4ECE-8225-E0F5B29AE33A}"/>
    <cellStyle name="Porcentagem 2 6 2" xfId="4823" xr:uid="{F90B8E18-42DB-45FB-A446-5BD0A28B239F}"/>
    <cellStyle name="Porcentagem 2 6 2 2" xfId="11162" xr:uid="{F751DCA1-EFD9-4DF7-9F16-04DD99190EEA}"/>
    <cellStyle name="Porcentagem 2 6 3" xfId="7994" xr:uid="{2D4167E5-04B5-44E7-B34A-FD4F56A64787}"/>
    <cellStyle name="Porcentagem 2 7" xfId="3224" xr:uid="{20CB55C1-9907-4539-B2A8-9F76F59A4FFE}"/>
    <cellStyle name="Porcentagem 2 7 2" xfId="9563" xr:uid="{3CCA49AE-3C2D-4B88-BF0A-C76E5C955318}"/>
    <cellStyle name="Porcentagem 2 8" xfId="6395" xr:uid="{C78CCADC-7342-49CB-AF76-033324190AD4}"/>
    <cellStyle name="Porcentagem 3" xfId="18" xr:uid="{6FED0241-AC00-4046-949B-C976B2330783}"/>
    <cellStyle name="Porcentagem 4" xfId="16" xr:uid="{532B5C3A-FD83-45F2-A327-6BA9AFDB1AB2}"/>
    <cellStyle name="Porcentagem 4 2" xfId="244" xr:uid="{425693B3-01B0-40AC-B549-FC6D22FC2289}"/>
    <cellStyle name="Porcentagem 4 2 2" xfId="636" xr:uid="{A367079C-1ABF-45AA-A48F-7017AC5EA0BA}"/>
    <cellStyle name="Porcentagem 4 2 2 2" xfId="1435" xr:uid="{6EB0E411-1640-4DD3-938A-48AAD0EB6A8D}"/>
    <cellStyle name="Porcentagem 4 2 2 2 2" xfId="3006" xr:uid="{E2C9466A-8DF3-48C3-A2E3-7AB248FF4183}"/>
    <cellStyle name="Porcentagem 4 2 2 2 2 2" xfId="6176" xr:uid="{41145E7F-59C6-497B-829C-24029FE427E0}"/>
    <cellStyle name="Porcentagem 4 2 2 2 2 2 2" xfId="12515" xr:uid="{439B20DE-44E5-472A-8B55-4EB1F14C07D2}"/>
    <cellStyle name="Porcentagem 4 2 2 2 2 3" xfId="9347" xr:uid="{8F914645-BEB5-4396-993C-F93A13DFDFE6}"/>
    <cellStyle name="Porcentagem 4 2 2 2 3" xfId="4607" xr:uid="{1706CC74-3985-4E9D-8EFB-B0362C5F460E}"/>
    <cellStyle name="Porcentagem 4 2 2 2 3 2" xfId="10946" xr:uid="{078BD4A6-5C91-40B5-B044-F51F8FC85BEA}"/>
    <cellStyle name="Porcentagem 4 2 2 2 4" xfId="7778" xr:uid="{CC32A6F0-7D5E-46A2-B72C-5C43B1A93895}"/>
    <cellStyle name="Porcentagem 4 2 2 3" xfId="2209" xr:uid="{1FB8244B-A145-45C3-838A-1B21DD050070}"/>
    <cellStyle name="Porcentagem 4 2 2 3 2" xfId="5379" xr:uid="{B98A5FCE-7D94-4DB7-8E85-1C6E55EA4A68}"/>
    <cellStyle name="Porcentagem 4 2 2 3 2 2" xfId="11718" xr:uid="{FA69F631-8B70-4E29-A6AE-396DD44C08C2}"/>
    <cellStyle name="Porcentagem 4 2 2 3 3" xfId="8550" xr:uid="{BD977FD5-2096-49BE-9ED3-996F755990B5}"/>
    <cellStyle name="Porcentagem 4 2 2 4" xfId="3810" xr:uid="{BAB6254E-BC25-42CA-B737-A51ECA9652F7}"/>
    <cellStyle name="Porcentagem 4 2 2 4 2" xfId="10149" xr:uid="{E225B9CC-03CA-40CA-AABD-0FAA988F834E}"/>
    <cellStyle name="Porcentagem 4 2 2 5" xfId="6981" xr:uid="{708A97D1-BE8C-4E2D-97B1-81BBD546483E}"/>
    <cellStyle name="Porcentagem 4 2 3" xfId="1054" xr:uid="{E12218D2-F411-4DFE-9228-221A32C57C36}"/>
    <cellStyle name="Porcentagem 4 2 3 2" xfId="2625" xr:uid="{36CA3CCF-908D-4683-9E2A-0447CE2A6FB3}"/>
    <cellStyle name="Porcentagem 4 2 3 2 2" xfId="5795" xr:uid="{00622B3A-8F41-4A50-8C2C-A01C4A04B2CA}"/>
    <cellStyle name="Porcentagem 4 2 3 2 2 2" xfId="12134" xr:uid="{26F80F67-C8BC-4087-AE37-8CB0CE56063A}"/>
    <cellStyle name="Porcentagem 4 2 3 2 3" xfId="8966" xr:uid="{F1E0E3BC-AD65-4C0E-BDCB-BE2DBE000F58}"/>
    <cellStyle name="Porcentagem 4 2 3 3" xfId="4226" xr:uid="{EA92BD6F-7B80-428B-933E-6C2B1220B390}"/>
    <cellStyle name="Porcentagem 4 2 3 3 2" xfId="10565" xr:uid="{64112072-BD8F-4D27-91A0-630D2B980C81}"/>
    <cellStyle name="Porcentagem 4 2 3 4" xfId="7397" xr:uid="{739806C2-ACA5-4DD1-9AC4-74621968B448}"/>
    <cellStyle name="Porcentagem 4 2 4" xfId="1828" xr:uid="{4F118256-22E4-4030-841A-6EB08749B970}"/>
    <cellStyle name="Porcentagem 4 2 4 2" xfId="4998" xr:uid="{72440A01-2DB0-4842-BF97-55477EDBAE63}"/>
    <cellStyle name="Porcentagem 4 2 4 2 2" xfId="11337" xr:uid="{3DEF7525-D764-4C49-BFF4-09BCACFE7675}"/>
    <cellStyle name="Porcentagem 4 2 4 3" xfId="8169" xr:uid="{32201CEB-B8AA-4939-A74A-EDBD384A1BCA}"/>
    <cellStyle name="Porcentagem 4 2 5" xfId="3429" xr:uid="{AE7FD6EC-6311-4E53-83A8-7F296861A7E8}"/>
    <cellStyle name="Porcentagem 4 2 5 2" xfId="9768" xr:uid="{567BBE7C-9333-4D6E-8952-47EC1220BD6E}"/>
    <cellStyle name="Porcentagem 4 2 6" xfId="6600" xr:uid="{978EE80A-C011-408E-BDDA-AB1AB2A849BD}"/>
    <cellStyle name="Porcentagem 4 3" xfId="460" xr:uid="{80481A8C-EE4B-4BF0-B651-62AFC7D5CF72}"/>
    <cellStyle name="Porcentagem 4 3 2" xfId="1259" xr:uid="{7423FEA3-FED7-42C4-9083-6386F69D08E0}"/>
    <cellStyle name="Porcentagem 4 3 2 2" xfId="2830" xr:uid="{3A71AA5B-635D-43FE-BF24-734189DBD136}"/>
    <cellStyle name="Porcentagem 4 3 2 2 2" xfId="6000" xr:uid="{B5A0B5C1-7A23-47FE-AA0D-CC7E5AAB537D}"/>
    <cellStyle name="Porcentagem 4 3 2 2 2 2" xfId="12339" xr:uid="{E89AAFD9-634C-4686-A5D4-EAF6BE172FCC}"/>
    <cellStyle name="Porcentagem 4 3 2 2 3" xfId="9171" xr:uid="{F2CBDA55-D50E-48EA-ADD4-6B786B642DCE}"/>
    <cellStyle name="Porcentagem 4 3 2 3" xfId="4431" xr:uid="{69607276-B3E3-4314-96AC-1F6F8371BA2B}"/>
    <cellStyle name="Porcentagem 4 3 2 3 2" xfId="10770" xr:uid="{09A9EF80-6223-4FC3-8D35-468B1BD60768}"/>
    <cellStyle name="Porcentagem 4 3 2 4" xfId="7602" xr:uid="{36621984-9218-477F-AC61-7F7B86D28D80}"/>
    <cellStyle name="Porcentagem 4 3 3" xfId="2033" xr:uid="{CE7F597A-597B-4A48-B24E-213DFB1E4B3B}"/>
    <cellStyle name="Porcentagem 4 3 3 2" xfId="5203" xr:uid="{CAC7686A-0354-49C6-8AA2-CC1D33CDBDBE}"/>
    <cellStyle name="Porcentagem 4 3 3 2 2" xfId="11542" xr:uid="{74598E18-26EE-4571-8F7F-1DAAF93AE5D9}"/>
    <cellStyle name="Porcentagem 4 3 3 3" xfId="8374" xr:uid="{8C6FFA13-691A-4FC1-8B39-5D4ECDC10FE4}"/>
    <cellStyle name="Porcentagem 4 3 4" xfId="3634" xr:uid="{5C4F023E-5FB2-424E-8C96-8C556B5FC92A}"/>
    <cellStyle name="Porcentagem 4 3 4 2" xfId="9973" xr:uid="{8530DFA3-1404-473A-8E48-6C630FDE7E16}"/>
    <cellStyle name="Porcentagem 4 3 5" xfId="6805" xr:uid="{67BDC6E5-6ADC-4112-9322-7E1A34576CDD}"/>
    <cellStyle name="Porcentagem 4 4" xfId="851" xr:uid="{7C0BAB7A-F093-405B-80C3-D4CCA9693BC3}"/>
    <cellStyle name="Porcentagem 4 4 2" xfId="2422" xr:uid="{06888F69-A7A3-4132-97EB-6594CA8D6D55}"/>
    <cellStyle name="Porcentagem 4 4 2 2" xfId="5592" xr:uid="{D3E1A20E-8ACA-4302-95FA-7546FFBD45EB}"/>
    <cellStyle name="Porcentagem 4 4 2 2 2" xfId="11931" xr:uid="{06A06BD8-40A8-42B0-9D5E-0F23856F1831}"/>
    <cellStyle name="Porcentagem 4 4 2 3" xfId="8763" xr:uid="{1DE55DFE-2B92-4C3C-9880-92E3D9E4589A}"/>
    <cellStyle name="Porcentagem 4 4 3" xfId="4023" xr:uid="{A9E1986E-9C23-43D7-B9EA-A206AA864156}"/>
    <cellStyle name="Porcentagem 4 4 3 2" xfId="10362" xr:uid="{626BFE75-A917-4385-A557-712493AFB581}"/>
    <cellStyle name="Porcentagem 4 4 4" xfId="7194" xr:uid="{2B12D2FC-54E0-4675-B0E7-6B54C23C0C2E}"/>
    <cellStyle name="Porcentagem 4 5" xfId="1655" xr:uid="{3F312437-7ACB-436A-A62E-8D5B2CD2A956}"/>
    <cellStyle name="Porcentagem 4 5 2" xfId="4825" xr:uid="{C1A0CEDF-B020-4633-A02B-DC148EFA0E71}"/>
    <cellStyle name="Porcentagem 4 5 2 2" xfId="11164" xr:uid="{672C92FE-9986-419C-B67A-53A305C5C0A4}"/>
    <cellStyle name="Porcentagem 4 5 3" xfId="7996" xr:uid="{71874E82-B19E-471C-8479-BF73A9C99F3B}"/>
    <cellStyle name="Porcentagem 4 6" xfId="3226" xr:uid="{3D22DA53-7B06-41D5-87F0-1037080CC3ED}"/>
    <cellStyle name="Porcentagem 4 6 2" xfId="9565" xr:uid="{5DEC73C8-C039-4F10-BD87-DAE0F0E4FE87}"/>
    <cellStyle name="Porcentagem 4 7" xfId="6397" xr:uid="{5AAE84AF-3489-4F83-9556-4EB1BEE826F1}"/>
    <cellStyle name="Porcentagem 5" xfId="50" xr:uid="{3824CD13-6928-4E95-8500-F29CC8E800D7}"/>
    <cellStyle name="Porcentagem 5 2" xfId="274" xr:uid="{1F556932-341E-4A39-A1E9-CB087CFE76F3}"/>
    <cellStyle name="Porcentagem 5 2 2" xfId="664" xr:uid="{0F0CACED-C8A6-46EC-BEED-C293D941616F}"/>
    <cellStyle name="Porcentagem 5 2 2 2" xfId="1463" xr:uid="{3FE4E003-4924-4487-9BC3-394306241BA7}"/>
    <cellStyle name="Porcentagem 5 2 2 2 2" xfId="3034" xr:uid="{F2AB8B80-9102-4294-BC44-E1D18519C7B5}"/>
    <cellStyle name="Porcentagem 5 2 2 2 2 2" xfId="6204" xr:uid="{AD74ACE5-64EB-4550-B6B8-12CE2250CC23}"/>
    <cellStyle name="Porcentagem 5 2 2 2 2 2 2" xfId="12543" xr:uid="{8811D8D9-121A-454F-9E5D-1E19103F3D34}"/>
    <cellStyle name="Porcentagem 5 2 2 2 2 3" xfId="9375" xr:uid="{9D4373FE-EAC9-49D1-8B8D-6AA83BEA16F9}"/>
    <cellStyle name="Porcentagem 5 2 2 2 3" xfId="4635" xr:uid="{89E93475-11D9-4BE9-BA8F-8738A0210265}"/>
    <cellStyle name="Porcentagem 5 2 2 2 3 2" xfId="10974" xr:uid="{4A0965BF-380D-4982-AD2E-F695E572BEA3}"/>
    <cellStyle name="Porcentagem 5 2 2 2 4" xfId="7806" xr:uid="{A562F642-E492-4CC4-A756-E860847D9FD7}"/>
    <cellStyle name="Porcentagem 5 2 2 3" xfId="2237" xr:uid="{2C364979-1E02-48ED-86E4-8BA6C7F024C6}"/>
    <cellStyle name="Porcentagem 5 2 2 3 2" xfId="5407" xr:uid="{121A1F78-B6E9-4FFD-A94B-3BED2B0A4606}"/>
    <cellStyle name="Porcentagem 5 2 2 3 2 2" xfId="11746" xr:uid="{67755E20-7B80-4B22-AB43-09484D480578}"/>
    <cellStyle name="Porcentagem 5 2 2 3 3" xfId="8578" xr:uid="{8018F80E-52A5-46F6-81F1-B7A35CE022B5}"/>
    <cellStyle name="Porcentagem 5 2 2 4" xfId="3838" xr:uid="{F44C77F7-2665-46D4-B1F3-8856FB985109}"/>
    <cellStyle name="Porcentagem 5 2 2 4 2" xfId="10177" xr:uid="{7EBAB63A-F656-4C1A-A3DB-6ABBE98749CF}"/>
    <cellStyle name="Porcentagem 5 2 2 5" xfId="7009" xr:uid="{CCE23911-0133-489F-B825-8D55EE643133}"/>
    <cellStyle name="Porcentagem 5 2 3" xfId="1082" xr:uid="{7C705CE2-6585-45B5-A058-D15B987E2698}"/>
    <cellStyle name="Porcentagem 5 2 3 2" xfId="2653" xr:uid="{30B788FB-561A-42A9-919E-0DEED422DDE6}"/>
    <cellStyle name="Porcentagem 5 2 3 2 2" xfId="5823" xr:uid="{D6A35D4D-9D8D-4A7B-93ED-2CF928B03494}"/>
    <cellStyle name="Porcentagem 5 2 3 2 2 2" xfId="12162" xr:uid="{EE71F439-68D8-40DA-8494-5357516B0269}"/>
    <cellStyle name="Porcentagem 5 2 3 2 3" xfId="8994" xr:uid="{F2A9E616-99C4-4005-AC8F-5AA13BB56FEE}"/>
    <cellStyle name="Porcentagem 5 2 3 3" xfId="4254" xr:uid="{A7DF1950-03D5-41DF-82F2-E9D78BF951D4}"/>
    <cellStyle name="Porcentagem 5 2 3 3 2" xfId="10593" xr:uid="{B9B05C65-ED1F-45F2-A683-FFD7D6B824AC}"/>
    <cellStyle name="Porcentagem 5 2 3 4" xfId="7425" xr:uid="{D1E6B5A1-327A-44C1-889D-922779E100A3}"/>
    <cellStyle name="Porcentagem 5 2 4" xfId="1856" xr:uid="{12494B31-23A1-4C89-87AF-2423BF038D5B}"/>
    <cellStyle name="Porcentagem 5 2 4 2" xfId="5026" xr:uid="{023C1E37-EC70-473C-A77C-E963CD5701DD}"/>
    <cellStyle name="Porcentagem 5 2 4 2 2" xfId="11365" xr:uid="{16DC69FB-8209-4D86-B7EC-CEC455E18CA1}"/>
    <cellStyle name="Porcentagem 5 2 4 3" xfId="8197" xr:uid="{7CE8F80A-7B9C-4149-9D97-DBA3F13733A1}"/>
    <cellStyle name="Porcentagem 5 2 5" xfId="3457" xr:uid="{7E0FA8A0-F11B-47C2-90DF-3ECCD642B2C6}"/>
    <cellStyle name="Porcentagem 5 2 5 2" xfId="9796" xr:uid="{E2D962DC-CB81-4293-94C7-3BAF676FE28B}"/>
    <cellStyle name="Porcentagem 5 2 6" xfId="6628" xr:uid="{27BE564A-415D-4B89-BDD1-BD3B84173806}"/>
    <cellStyle name="Porcentagem 5 3" xfId="481" xr:uid="{6039CCB7-FD3E-467C-8140-44A31D1144A6}"/>
    <cellStyle name="Porcentagem 5 3 2" xfId="1280" xr:uid="{81EA8150-171D-48AA-9D1F-12D0D8EF80E2}"/>
    <cellStyle name="Porcentagem 5 3 2 2" xfId="2851" xr:uid="{3513E350-F56C-4F6C-B9EC-8F164AEA1BA2}"/>
    <cellStyle name="Porcentagem 5 3 2 2 2" xfId="6021" xr:uid="{C8760BE7-8D56-4DB4-83E0-CA411E989627}"/>
    <cellStyle name="Porcentagem 5 3 2 2 2 2" xfId="12360" xr:uid="{3F95B808-9031-4F31-986C-37EA791B2062}"/>
    <cellStyle name="Porcentagem 5 3 2 2 3" xfId="9192" xr:uid="{1970ACCD-8E8B-4586-A054-AAFEE05E53CF}"/>
    <cellStyle name="Porcentagem 5 3 2 3" xfId="4452" xr:uid="{A480F6C5-CFE6-4226-B283-FF0FFE11ED93}"/>
    <cellStyle name="Porcentagem 5 3 2 3 2" xfId="10791" xr:uid="{BD616CFD-4ADD-4289-AC60-861D96EE1CD3}"/>
    <cellStyle name="Porcentagem 5 3 2 4" xfId="7623" xr:uid="{8AB427A5-764A-4EB3-8081-197E947B7FE5}"/>
    <cellStyle name="Porcentagem 5 3 3" xfId="2054" xr:uid="{2C2BD6DE-6A7D-4900-9ED8-05BAC1A0A8C7}"/>
    <cellStyle name="Porcentagem 5 3 3 2" xfId="5224" xr:uid="{A084AEE5-E795-4762-8192-6AFFF2103827}"/>
    <cellStyle name="Porcentagem 5 3 3 2 2" xfId="11563" xr:uid="{71705C9B-6CF2-424E-95B7-CCD209B85642}"/>
    <cellStyle name="Porcentagem 5 3 3 3" xfId="8395" xr:uid="{3789AF78-F584-4FEB-9C11-E675A1A382B0}"/>
    <cellStyle name="Porcentagem 5 3 4" xfId="3655" xr:uid="{D4672092-122B-419E-934D-9BDDB6B0C038}"/>
    <cellStyle name="Porcentagem 5 3 4 2" xfId="9994" xr:uid="{A4FC86A1-FC44-4E5C-ABA9-F57FB8F07E81}"/>
    <cellStyle name="Porcentagem 5 3 5" xfId="6826" xr:uid="{DA5B26C6-43D0-41B5-9637-92D9F0B17687}"/>
    <cellStyle name="Porcentagem 5 4" xfId="879" xr:uid="{33ACBC41-0513-4845-A211-6254FD2E8F21}"/>
    <cellStyle name="Porcentagem 5 4 2" xfId="2450" xr:uid="{DE50AAA2-4B7D-44F3-BB23-DC2A40BE4649}"/>
    <cellStyle name="Porcentagem 5 4 2 2" xfId="5620" xr:uid="{50180863-0936-465A-9654-35F70BF8448C}"/>
    <cellStyle name="Porcentagem 5 4 2 2 2" xfId="11959" xr:uid="{62BA14E9-3F61-48D1-9306-6188FC424C8D}"/>
    <cellStyle name="Porcentagem 5 4 2 3" xfId="8791" xr:uid="{4C2449F6-DCEF-4E9C-8CFC-34605EB02AF0}"/>
    <cellStyle name="Porcentagem 5 4 3" xfId="4051" xr:uid="{5442CAA5-A2AB-45B8-BB30-46C9AC36E136}"/>
    <cellStyle name="Porcentagem 5 4 3 2" xfId="10390" xr:uid="{7CAE2159-4D9B-48D9-8D5A-7E776B9C6A5A}"/>
    <cellStyle name="Porcentagem 5 4 4" xfId="7222" xr:uid="{0EC014E3-627B-4AB7-86AC-1ED67852EF60}"/>
    <cellStyle name="Porcentagem 5 5" xfId="1676" xr:uid="{5A4A2C57-CE92-4810-804B-8876568C0666}"/>
    <cellStyle name="Porcentagem 5 5 2" xfId="4846" xr:uid="{5B0BED81-CFAE-40CB-B396-2C69DA85A6E1}"/>
    <cellStyle name="Porcentagem 5 5 2 2" xfId="11185" xr:uid="{094BB7B1-8619-4494-8146-02E1949FD0DA}"/>
    <cellStyle name="Porcentagem 5 5 3" xfId="8017" xr:uid="{8A0FFE42-2130-42D2-AC5C-C9F7F9A9103F}"/>
    <cellStyle name="Porcentagem 5 6" xfId="3254" xr:uid="{2A10C30F-1DAB-4251-91F7-44734EF5AEFF}"/>
    <cellStyle name="Porcentagem 5 6 2" xfId="9593" xr:uid="{3F979D6C-EF5C-413B-8621-FF10DD2654DF}"/>
    <cellStyle name="Porcentagem 5 7" xfId="6425" xr:uid="{050A42A8-A10F-45C6-9BDF-FED090913975}"/>
    <cellStyle name="Porcentagem 6" xfId="56" xr:uid="{B5F3BA0E-8AB5-4EBA-ABD0-B6503F2A9406}"/>
    <cellStyle name="Porcentagem 6 2" xfId="280" xr:uid="{CD73D809-DAB3-40EB-A38A-3295456253D1}"/>
    <cellStyle name="Porcentagem 6 2 2" xfId="670" xr:uid="{574D77E7-A20C-47E9-AD23-7C0860B66560}"/>
    <cellStyle name="Porcentagem 6 2 2 2" xfId="1469" xr:uid="{8C361C7E-BAD9-4E36-AFA7-4E77A40997B7}"/>
    <cellStyle name="Porcentagem 6 2 2 2 2" xfId="3040" xr:uid="{BB6C57D3-897F-4C0F-9390-57BEA92E5EB2}"/>
    <cellStyle name="Porcentagem 6 2 2 2 2 2" xfId="6210" xr:uid="{811285DC-68FF-4F53-B888-18CCD7081B23}"/>
    <cellStyle name="Porcentagem 6 2 2 2 2 2 2" xfId="12549" xr:uid="{6C85CC7D-8DBF-491F-978C-F328151DE46B}"/>
    <cellStyle name="Porcentagem 6 2 2 2 2 3" xfId="9381" xr:uid="{81BBCB19-5B97-4AB4-8643-E16136298187}"/>
    <cellStyle name="Porcentagem 6 2 2 2 3" xfId="4641" xr:uid="{8F44DF4E-4A9C-4C43-AA1D-4E94ECA69C3E}"/>
    <cellStyle name="Porcentagem 6 2 2 2 3 2" xfId="10980" xr:uid="{24829CC4-3E73-44D0-A502-F519CFDB5BAE}"/>
    <cellStyle name="Porcentagem 6 2 2 2 4" xfId="7812" xr:uid="{96435C8C-01EB-4D2A-BE9A-B7B1A2C616D4}"/>
    <cellStyle name="Porcentagem 6 2 2 3" xfId="2243" xr:uid="{0C670DFA-7A95-403F-8C2D-82E01823834D}"/>
    <cellStyle name="Porcentagem 6 2 2 3 2" xfId="5413" xr:uid="{19CDF982-2124-4862-BB60-1416273578F1}"/>
    <cellStyle name="Porcentagem 6 2 2 3 2 2" xfId="11752" xr:uid="{471D12C9-04F8-43CB-B764-37A8130A43CC}"/>
    <cellStyle name="Porcentagem 6 2 2 3 3" xfId="8584" xr:uid="{5E893A14-F8E6-49A8-93D2-C61CF0F14A46}"/>
    <cellStyle name="Porcentagem 6 2 2 4" xfId="3844" xr:uid="{5E90D1BC-A01D-4D08-A482-DCF779B57AD1}"/>
    <cellStyle name="Porcentagem 6 2 2 4 2" xfId="10183" xr:uid="{A56BF98F-AB9B-4C9C-879C-BDBCA3265EFE}"/>
    <cellStyle name="Porcentagem 6 2 2 5" xfId="7015" xr:uid="{E1355075-AECB-42EE-84F6-F4373AA0C78D}"/>
    <cellStyle name="Porcentagem 6 2 3" xfId="1088" xr:uid="{E7CD246E-6C0B-433D-9BDF-5BFC2E4DAABD}"/>
    <cellStyle name="Porcentagem 6 2 3 2" xfId="2659" xr:uid="{57883E1A-F83B-4CE6-B947-EA999B2092E3}"/>
    <cellStyle name="Porcentagem 6 2 3 2 2" xfId="5829" xr:uid="{1AA1EBC9-45F8-4A6B-BE14-21A4B6165604}"/>
    <cellStyle name="Porcentagem 6 2 3 2 2 2" xfId="12168" xr:uid="{E59F14EE-1603-47A7-AF87-1327B8E4FACA}"/>
    <cellStyle name="Porcentagem 6 2 3 2 3" xfId="9000" xr:uid="{CFC0BCD6-55DE-46C5-BCDA-E8AA525904C4}"/>
    <cellStyle name="Porcentagem 6 2 3 3" xfId="4260" xr:uid="{2FB4F391-10ED-4E47-8FDE-27845421DC63}"/>
    <cellStyle name="Porcentagem 6 2 3 3 2" xfId="10599" xr:uid="{628CB838-1AF3-4CC6-8EB6-EABF6B554961}"/>
    <cellStyle name="Porcentagem 6 2 3 4" xfId="7431" xr:uid="{C1AA763C-706A-45D0-8E19-A014867CDB0C}"/>
    <cellStyle name="Porcentagem 6 2 4" xfId="1862" xr:uid="{31F04E6E-F15D-4CA7-989A-F6F553B43BD5}"/>
    <cellStyle name="Porcentagem 6 2 4 2" xfId="5032" xr:uid="{4AB88D83-610D-43FD-9E9B-C51B943AB505}"/>
    <cellStyle name="Porcentagem 6 2 4 2 2" xfId="11371" xr:uid="{198D65B0-2209-46B0-B492-3978CAD94BDE}"/>
    <cellStyle name="Porcentagem 6 2 4 3" xfId="8203" xr:uid="{23A01C0D-F155-4E86-9873-645207F96244}"/>
    <cellStyle name="Porcentagem 6 2 5" xfId="3463" xr:uid="{04C96E4F-F55A-4536-9CE7-A9457DBAA728}"/>
    <cellStyle name="Porcentagem 6 2 5 2" xfId="9802" xr:uid="{93779598-551A-4CDF-B6A4-065A952D64BE}"/>
    <cellStyle name="Porcentagem 6 2 6" xfId="6634" xr:uid="{83E81E4A-ABA1-4B14-9E95-A5B4B9B672C8}"/>
    <cellStyle name="Porcentagem 6 3" xfId="487" xr:uid="{85CA581E-63F6-48E4-9522-DDC8996559BD}"/>
    <cellStyle name="Porcentagem 6 3 2" xfId="1286" xr:uid="{A6F01333-5D4D-462B-BC01-4629BB314285}"/>
    <cellStyle name="Porcentagem 6 3 2 2" xfId="2857" xr:uid="{8B6C0FCC-1644-4944-9CB6-EDE527B937BE}"/>
    <cellStyle name="Porcentagem 6 3 2 2 2" xfId="6027" xr:uid="{0CCE332B-5FC5-4ED8-B03A-D90111C9EEDD}"/>
    <cellStyle name="Porcentagem 6 3 2 2 2 2" xfId="12366" xr:uid="{F27BBF6C-579B-4EF0-B773-20E96C28EB20}"/>
    <cellStyle name="Porcentagem 6 3 2 2 3" xfId="9198" xr:uid="{FC0A40BC-6457-479E-A23B-2083303A8925}"/>
    <cellStyle name="Porcentagem 6 3 2 3" xfId="4458" xr:uid="{10A3EFCD-14C3-4555-B6DD-AF9D6409D465}"/>
    <cellStyle name="Porcentagem 6 3 2 3 2" xfId="10797" xr:uid="{2C2A3074-E47B-467A-A2EF-D8A504C83C27}"/>
    <cellStyle name="Porcentagem 6 3 2 4" xfId="7629" xr:uid="{2387C4E5-5D7B-4A42-A186-E220A96D5F6E}"/>
    <cellStyle name="Porcentagem 6 3 3" xfId="2060" xr:uid="{7211DF9F-A02A-4712-8988-78A97A506ECA}"/>
    <cellStyle name="Porcentagem 6 3 3 2" xfId="5230" xr:uid="{3CCD3DFD-FD9F-450C-B2AA-AC845F12769E}"/>
    <cellStyle name="Porcentagem 6 3 3 2 2" xfId="11569" xr:uid="{5DD46D08-59D1-46D5-8C64-6F8FE9143EFC}"/>
    <cellStyle name="Porcentagem 6 3 3 3" xfId="8401" xr:uid="{B45A1D10-A622-4F32-9AA2-BDEE0EB556D1}"/>
    <cellStyle name="Porcentagem 6 3 4" xfId="3661" xr:uid="{ED77C231-A983-46E4-9FCA-81BC365B115A}"/>
    <cellStyle name="Porcentagem 6 3 4 2" xfId="10000" xr:uid="{1164434E-7D1C-48AA-AA34-F2840BF18A92}"/>
    <cellStyle name="Porcentagem 6 3 5" xfId="6832" xr:uid="{4A61F589-DA42-43EF-98EF-7A4639D167A1}"/>
    <cellStyle name="Porcentagem 6 4" xfId="885" xr:uid="{AFA515CE-9650-4BA8-B4C8-EF84A3BB7BE1}"/>
    <cellStyle name="Porcentagem 6 4 2" xfId="2456" xr:uid="{2AFC02B3-CF71-4926-A04B-1AA5F6E74FDF}"/>
    <cellStyle name="Porcentagem 6 4 2 2" xfId="5626" xr:uid="{167D5844-A241-4EA6-A603-BAD51DE70C34}"/>
    <cellStyle name="Porcentagem 6 4 2 2 2" xfId="11965" xr:uid="{76B08051-7B1B-4AB2-9D5E-E5574B3F6F5A}"/>
    <cellStyle name="Porcentagem 6 4 2 3" xfId="8797" xr:uid="{69E2D543-D4DA-49B9-9852-D23523FCB410}"/>
    <cellStyle name="Porcentagem 6 4 3" xfId="4057" xr:uid="{E968C1DE-B6B1-44C8-BD60-00583210E72A}"/>
    <cellStyle name="Porcentagem 6 4 3 2" xfId="10396" xr:uid="{14217321-0118-4250-B87E-5326942687C8}"/>
    <cellStyle name="Porcentagem 6 4 4" xfId="7228" xr:uid="{D77E5F26-BDE9-4B47-8F85-0B74CF8ED60C}"/>
    <cellStyle name="Porcentagem 6 5" xfId="1682" xr:uid="{F4171E5A-0C1E-4C22-BF5A-B23E2C135397}"/>
    <cellStyle name="Porcentagem 6 5 2" xfId="4852" xr:uid="{F7DF2433-96A7-462A-BDBE-C6F34BB610AE}"/>
    <cellStyle name="Porcentagem 6 5 2 2" xfId="11191" xr:uid="{C4EF4BCA-9819-4152-B0DF-CA8F96110FC1}"/>
    <cellStyle name="Porcentagem 6 5 3" xfId="8023" xr:uid="{5EF84FB1-9168-4195-9A52-5570C7324595}"/>
    <cellStyle name="Porcentagem 6 6" xfId="3260" xr:uid="{A7B2C9F5-D4DE-4245-A021-A4D2D6FA3C75}"/>
    <cellStyle name="Porcentagem 6 6 2" xfId="9599" xr:uid="{D100B336-8225-45A5-ABD0-5D00AD8E9DEC}"/>
    <cellStyle name="Porcentagem 6 7" xfId="6431" xr:uid="{C7175612-8455-465E-BA10-4BD879408E70}"/>
    <cellStyle name="Porcentagem 7" xfId="142" xr:uid="{401585C4-AF4E-4EB5-9C98-939A15DEC905}"/>
    <cellStyle name="Porcentagem 7 2" xfId="359" xr:uid="{EC111CAF-114F-4F56-85FA-114673E5ED2E}"/>
    <cellStyle name="Porcentagem 7 2 2" xfId="740" xr:uid="{C2FBEB79-222C-4E26-86F7-2EA81D3FE770}"/>
    <cellStyle name="Porcentagem 7 2 2 2" xfId="1539" xr:uid="{9E939C0E-62E1-49C3-A6E1-8C7EC9F09646}"/>
    <cellStyle name="Porcentagem 7 2 2 2 2" xfId="3110" xr:uid="{F710530B-18A8-428B-A3ED-759C6CBAE444}"/>
    <cellStyle name="Porcentagem 7 2 2 2 2 2" xfId="6280" xr:uid="{E142AC9C-6C0B-46BD-98D8-CB3EE133F293}"/>
    <cellStyle name="Porcentagem 7 2 2 2 2 2 2" xfId="12619" xr:uid="{0032C68B-D035-4845-8929-B5011FA5A702}"/>
    <cellStyle name="Porcentagem 7 2 2 2 2 3" xfId="9451" xr:uid="{82211FC6-7940-453F-A8FE-CD225BB9BA52}"/>
    <cellStyle name="Porcentagem 7 2 2 2 3" xfId="4711" xr:uid="{23879DFB-FDBB-44EB-AF5E-F57CF098D5BA}"/>
    <cellStyle name="Porcentagem 7 2 2 2 3 2" xfId="11050" xr:uid="{5913DC04-1633-49E1-9F33-6A79C9C44FE5}"/>
    <cellStyle name="Porcentagem 7 2 2 2 4" xfId="7882" xr:uid="{7FE97A8B-409C-4758-A2C5-32AE8D00AA6E}"/>
    <cellStyle name="Porcentagem 7 2 2 3" xfId="2313" xr:uid="{BDC291F5-35F9-45CE-8778-D793E78860B4}"/>
    <cellStyle name="Porcentagem 7 2 2 3 2" xfId="5483" xr:uid="{0D180BE4-365B-485F-BDF7-238ECDE83CA7}"/>
    <cellStyle name="Porcentagem 7 2 2 3 2 2" xfId="11822" xr:uid="{F6A15BD1-FC8E-4640-A32B-F7389C672C79}"/>
    <cellStyle name="Porcentagem 7 2 2 3 3" xfId="8654" xr:uid="{EFE3F8B9-8E69-47B1-8A0D-99A689245B08}"/>
    <cellStyle name="Porcentagem 7 2 2 4" xfId="3914" xr:uid="{4D83CB84-73DD-4B16-8CA1-1F3885AC141C}"/>
    <cellStyle name="Porcentagem 7 2 2 4 2" xfId="10253" xr:uid="{DDA395BF-1F28-44BE-A680-B9FC16D39775}"/>
    <cellStyle name="Porcentagem 7 2 2 5" xfId="7085" xr:uid="{0F3C7AEF-FE26-4854-9837-EEF8DBF31502}"/>
    <cellStyle name="Porcentagem 7 2 3" xfId="1158" xr:uid="{2B7485AC-9E7F-474A-B0B6-ECFBA1B29F6F}"/>
    <cellStyle name="Porcentagem 7 2 3 2" xfId="2729" xr:uid="{1EEFB884-7AE5-4462-820D-09D1F6B24B81}"/>
    <cellStyle name="Porcentagem 7 2 3 2 2" xfId="5899" xr:uid="{F199E660-5E84-4652-8ED9-BF8D67485F87}"/>
    <cellStyle name="Porcentagem 7 2 3 2 2 2" xfId="12238" xr:uid="{F9175D84-9645-4886-AA06-CD4FDFE99509}"/>
    <cellStyle name="Porcentagem 7 2 3 2 3" xfId="9070" xr:uid="{9B6181E8-D452-40C2-84F8-14A27302F77B}"/>
    <cellStyle name="Porcentagem 7 2 3 3" xfId="4330" xr:uid="{33ABB78D-9928-4A46-B1D5-E96F13371FF2}"/>
    <cellStyle name="Porcentagem 7 2 3 3 2" xfId="10669" xr:uid="{AD5FE8E9-DEE2-42E0-B96D-A7867393DC08}"/>
    <cellStyle name="Porcentagem 7 2 3 4" xfId="7501" xr:uid="{C3EB5E22-A7DB-4AEC-B6EE-BFEDE98EC7ED}"/>
    <cellStyle name="Porcentagem 7 2 4" xfId="1932" xr:uid="{5EAC61D4-BE47-403A-B858-7217948FD459}"/>
    <cellStyle name="Porcentagem 7 2 4 2" xfId="5102" xr:uid="{D493B823-9BFC-447B-8AC9-74D6AE722687}"/>
    <cellStyle name="Porcentagem 7 2 4 2 2" xfId="11441" xr:uid="{B145234E-D656-4A2E-B58D-C67D7CC43DAE}"/>
    <cellStyle name="Porcentagem 7 2 4 3" xfId="8273" xr:uid="{6B356278-A49C-4009-9D30-3E776A8E9F9D}"/>
    <cellStyle name="Porcentagem 7 2 5" xfId="3533" xr:uid="{5943174C-F786-481E-A86E-1A00996D853C}"/>
    <cellStyle name="Porcentagem 7 2 5 2" xfId="9872" xr:uid="{EF82A17E-B1DA-4499-9C91-442D05CC6A63}"/>
    <cellStyle name="Porcentagem 7 2 6" xfId="6704" xr:uid="{9DA6BBBC-3220-4EB6-94E7-BBEFCC4B564B}"/>
    <cellStyle name="Porcentagem 7 3" xfId="537" xr:uid="{2491AD16-A94B-4139-B926-C804A150DB64}"/>
    <cellStyle name="Porcentagem 7 3 2" xfId="1336" xr:uid="{7E9AF2E5-7BCB-4B71-A870-D5EAA984B8EF}"/>
    <cellStyle name="Porcentagem 7 3 2 2" xfId="2907" xr:uid="{3AEA7985-0DD4-49DC-9B60-36FA9074A6FF}"/>
    <cellStyle name="Porcentagem 7 3 2 2 2" xfId="6077" xr:uid="{94F666F0-7EDB-4F21-9D57-110F1D5EA5A2}"/>
    <cellStyle name="Porcentagem 7 3 2 2 2 2" xfId="12416" xr:uid="{967CFA17-938B-4D10-B8CC-4DFF8D3985D2}"/>
    <cellStyle name="Porcentagem 7 3 2 2 3" xfId="9248" xr:uid="{8CE58E8F-5373-4895-99CD-387DFDE63661}"/>
    <cellStyle name="Porcentagem 7 3 2 3" xfId="4508" xr:uid="{56D042A3-D962-449E-9F5F-0252A0206AD0}"/>
    <cellStyle name="Porcentagem 7 3 2 3 2" xfId="10847" xr:uid="{75B7C9A4-C5E7-46A1-BB55-DC199892AFD0}"/>
    <cellStyle name="Porcentagem 7 3 2 4" xfId="7679" xr:uid="{E1FEE8CA-014A-4D82-BE38-B01EA3E69080}"/>
    <cellStyle name="Porcentagem 7 3 3" xfId="2110" xr:uid="{5E659938-FC6B-4769-AA75-C975D694AFF2}"/>
    <cellStyle name="Porcentagem 7 3 3 2" xfId="5280" xr:uid="{31642995-6CD8-4D8D-9D26-85AAC8E03300}"/>
    <cellStyle name="Porcentagem 7 3 3 2 2" xfId="11619" xr:uid="{DF70B0A2-1E88-4346-93F5-2DC5834E5122}"/>
    <cellStyle name="Porcentagem 7 3 3 3" xfId="8451" xr:uid="{9F778F19-DCAB-4D35-9140-C789D1F3D290}"/>
    <cellStyle name="Porcentagem 7 3 4" xfId="3711" xr:uid="{3A8C67F3-505A-4D46-9AEA-478831DF6D0B}"/>
    <cellStyle name="Porcentagem 7 3 4 2" xfId="10050" xr:uid="{58F0AF3E-5A9B-44EA-92C0-003AD0D7084D}"/>
    <cellStyle name="Porcentagem 7 3 5" xfId="6882" xr:uid="{5746D8E8-6BD1-47CD-BA88-E20D806ADD0E}"/>
    <cellStyle name="Porcentagem 7 4" xfId="955" xr:uid="{F6CAD724-0997-4F4F-9A4C-A1719CA9A35D}"/>
    <cellStyle name="Porcentagem 7 4 2" xfId="2526" xr:uid="{AEB4520B-0C4A-4FF2-B011-97BABD081E58}"/>
    <cellStyle name="Porcentagem 7 4 2 2" xfId="5696" xr:uid="{88D7F2F7-0C48-4462-954B-D2806F2A8091}"/>
    <cellStyle name="Porcentagem 7 4 2 2 2" xfId="12035" xr:uid="{294F7E48-77BD-43FC-B3A4-7E6B4AD1A37B}"/>
    <cellStyle name="Porcentagem 7 4 2 3" xfId="8867" xr:uid="{BF2A9E38-2717-4143-8430-D190DF171969}"/>
    <cellStyle name="Porcentagem 7 4 3" xfId="4127" xr:uid="{2C78A377-BD6C-434D-82BA-52CC2F34DA50}"/>
    <cellStyle name="Porcentagem 7 4 3 2" xfId="10466" xr:uid="{D7E94F0B-E605-44A7-877E-844259546B87}"/>
    <cellStyle name="Porcentagem 7 4 4" xfId="7298" xr:uid="{0D0B9B54-96C7-4A97-A21A-8D2B8C97C2DE}"/>
    <cellStyle name="Porcentagem 7 5" xfId="1729" xr:uid="{3B8D7C4B-71FB-47AC-B177-ED7FD9215D2B}"/>
    <cellStyle name="Porcentagem 7 5 2" xfId="4899" xr:uid="{AE11D211-A345-4E8F-AD90-BC101E2AD4B4}"/>
    <cellStyle name="Porcentagem 7 5 2 2" xfId="11238" xr:uid="{64A942AA-2B5C-4395-A995-56095C419B85}"/>
    <cellStyle name="Porcentagem 7 5 3" xfId="8070" xr:uid="{14810BB8-7E9E-41F5-B7BC-F630458030CA}"/>
    <cellStyle name="Porcentagem 7 6" xfId="3330" xr:uid="{6AD55ADC-7BED-42A8-BB7C-8F1882067816}"/>
    <cellStyle name="Porcentagem 7 6 2" xfId="9669" xr:uid="{89ACA3B1-6723-42F5-A3C0-BA7655DE8992}"/>
    <cellStyle name="Porcentagem 7 7" xfId="6501" xr:uid="{C8327863-AAE5-475E-A390-60A7F8C5CC1E}"/>
    <cellStyle name="Porcentagem 8" xfId="145" xr:uid="{B58092E0-A816-4603-BD4E-A1032CD05114}"/>
    <cellStyle name="Porcentagem 8 2" xfId="362" xr:uid="{3CD4CF01-461B-41C2-B537-8F514D9B2F42}"/>
    <cellStyle name="Porcentagem 8 2 2" xfId="743" xr:uid="{445EEEB9-FD24-4DCE-AFDE-AF76638763FE}"/>
    <cellStyle name="Porcentagem 8 2 2 2" xfId="1542" xr:uid="{7DA8F710-86B5-4BDA-A69C-C3C8BB409CD3}"/>
    <cellStyle name="Porcentagem 8 2 2 2 2" xfId="3113" xr:uid="{270B48B5-1E72-4DD6-B860-497B4ED99A6F}"/>
    <cellStyle name="Porcentagem 8 2 2 2 2 2" xfId="6283" xr:uid="{AACF0EC3-A074-4FEA-BD24-E8B3C33B6E2D}"/>
    <cellStyle name="Porcentagem 8 2 2 2 2 2 2" xfId="12622" xr:uid="{820B9141-70D9-4BA2-B6B0-7F70205CEEF2}"/>
    <cellStyle name="Porcentagem 8 2 2 2 2 3" xfId="9454" xr:uid="{D723D89D-D68F-440C-8EC0-252973B99A3E}"/>
    <cellStyle name="Porcentagem 8 2 2 2 3" xfId="4714" xr:uid="{497E2E58-D1B9-4A83-8573-1396515C78DC}"/>
    <cellStyle name="Porcentagem 8 2 2 2 3 2" xfId="11053" xr:uid="{0A700C74-7AFD-41B3-8AA3-14DC1C9F6495}"/>
    <cellStyle name="Porcentagem 8 2 2 2 4" xfId="7885" xr:uid="{C92B0B61-13DA-4903-94CF-D8BE81EA5377}"/>
    <cellStyle name="Porcentagem 8 2 2 3" xfId="2316" xr:uid="{C9D02586-4830-43BA-B1AA-B64B78D3C0C8}"/>
    <cellStyle name="Porcentagem 8 2 2 3 2" xfId="5486" xr:uid="{2E2BA131-BD1A-43E4-82BA-0C99BE8ECFEE}"/>
    <cellStyle name="Porcentagem 8 2 2 3 2 2" xfId="11825" xr:uid="{604F4DF1-1C03-4D8C-B7F3-D5B4EF65C6BB}"/>
    <cellStyle name="Porcentagem 8 2 2 3 3" xfId="8657" xr:uid="{89C804B4-40EE-45C4-A85D-7BEA465870B2}"/>
    <cellStyle name="Porcentagem 8 2 2 4" xfId="3917" xr:uid="{8026924D-2EC5-4B19-AD9E-108F987D254B}"/>
    <cellStyle name="Porcentagem 8 2 2 4 2" xfId="10256" xr:uid="{E0F7EFBF-AC54-4D2E-B62B-D177F2568AB9}"/>
    <cellStyle name="Porcentagem 8 2 2 5" xfId="7088" xr:uid="{C87C240D-5B43-4BC0-8EEC-13E72FCDFB05}"/>
    <cellStyle name="Porcentagem 8 2 3" xfId="1161" xr:uid="{82642562-B281-43C7-897C-5F4048CF005B}"/>
    <cellStyle name="Porcentagem 8 2 3 2" xfId="2732" xr:uid="{B85DEB4D-625C-4127-A943-1F5C08FDABFF}"/>
    <cellStyle name="Porcentagem 8 2 3 2 2" xfId="5902" xr:uid="{107594A1-F0F3-4A42-A052-CFB3943C2FCD}"/>
    <cellStyle name="Porcentagem 8 2 3 2 2 2" xfId="12241" xr:uid="{ED52B543-FCB7-4C01-ADAE-0195409F81A0}"/>
    <cellStyle name="Porcentagem 8 2 3 2 3" xfId="9073" xr:uid="{9D096F6A-9ABF-425F-9E1F-600C7654C953}"/>
    <cellStyle name="Porcentagem 8 2 3 3" xfId="4333" xr:uid="{57DB31A0-8A9F-48B8-A6E6-9DA113A29746}"/>
    <cellStyle name="Porcentagem 8 2 3 3 2" xfId="10672" xr:uid="{9D8F8ADE-421F-43EA-8E1C-A54056B51ADE}"/>
    <cellStyle name="Porcentagem 8 2 3 4" xfId="7504" xr:uid="{85FE394E-78A3-4562-B99E-4A85664E24C1}"/>
    <cellStyle name="Porcentagem 8 2 4" xfId="1935" xr:uid="{6563BD81-FB51-4B2B-BEAE-193F134C539A}"/>
    <cellStyle name="Porcentagem 8 2 4 2" xfId="5105" xr:uid="{3579DF52-3B3B-41A4-9C25-3CE51536F66C}"/>
    <cellStyle name="Porcentagem 8 2 4 2 2" xfId="11444" xr:uid="{3EC62879-39D7-4C78-BCA8-D6E9028F92DE}"/>
    <cellStyle name="Porcentagem 8 2 4 3" xfId="8276" xr:uid="{AE835DFF-4041-47E9-A575-5B31E080CB41}"/>
    <cellStyle name="Porcentagem 8 2 5" xfId="3536" xr:uid="{F2EA2694-F66B-4CEB-AB93-0DB888F22243}"/>
    <cellStyle name="Porcentagem 8 2 5 2" xfId="9875" xr:uid="{10A74B69-EED1-4E82-9DED-8724E6C9E44B}"/>
    <cellStyle name="Porcentagem 8 2 6" xfId="6707" xr:uid="{8A5675CC-C770-427E-941F-421A7391060B}"/>
    <cellStyle name="Porcentagem 8 3" xfId="540" xr:uid="{295323C5-770A-4CAE-82D5-161F067EE09F}"/>
    <cellStyle name="Porcentagem 8 3 2" xfId="1339" xr:uid="{91FDDF93-CCEA-4DB6-89DF-2E935DA4E1D5}"/>
    <cellStyle name="Porcentagem 8 3 2 2" xfId="2910" xr:uid="{8C1B0D0E-5108-47E6-A9B8-7A00A0B9F77D}"/>
    <cellStyle name="Porcentagem 8 3 2 2 2" xfId="6080" xr:uid="{2C842A28-528B-4020-B199-68CF49B5985A}"/>
    <cellStyle name="Porcentagem 8 3 2 2 2 2" xfId="12419" xr:uid="{70554936-A829-4421-BF00-1197B3EFE2E4}"/>
    <cellStyle name="Porcentagem 8 3 2 2 3" xfId="9251" xr:uid="{8FAB90CF-B5A9-4B96-89DE-4C2A74239B15}"/>
    <cellStyle name="Porcentagem 8 3 2 3" xfId="4511" xr:uid="{DFDB64F5-47F3-420F-A406-D2EB7C4DB9DB}"/>
    <cellStyle name="Porcentagem 8 3 2 3 2" xfId="10850" xr:uid="{39A4F51B-718F-4B9D-9480-1FF233BE112D}"/>
    <cellStyle name="Porcentagem 8 3 2 4" xfId="7682" xr:uid="{429BCC6E-8A85-43EB-BB3E-27B560036D55}"/>
    <cellStyle name="Porcentagem 8 3 3" xfId="2113" xr:uid="{87B93DAD-44F6-46B4-8183-54FCB3DB9A56}"/>
    <cellStyle name="Porcentagem 8 3 3 2" xfId="5283" xr:uid="{638759CD-946B-4AD3-936B-13B26C5F4BDA}"/>
    <cellStyle name="Porcentagem 8 3 3 2 2" xfId="11622" xr:uid="{F0B495EF-6A58-4463-818C-89D7CE18A293}"/>
    <cellStyle name="Porcentagem 8 3 3 3" xfId="8454" xr:uid="{B7246C9A-FBB4-444F-B5CB-92383601A39A}"/>
    <cellStyle name="Porcentagem 8 3 4" xfId="3714" xr:uid="{0021286F-5B7D-44B6-BC57-6EA29DF3256E}"/>
    <cellStyle name="Porcentagem 8 3 4 2" xfId="10053" xr:uid="{A2F23196-038B-4EC7-81D9-74E72FC2BF49}"/>
    <cellStyle name="Porcentagem 8 3 5" xfId="6885" xr:uid="{E38EE325-96D8-47C5-B4AF-5FE806C50CCF}"/>
    <cellStyle name="Porcentagem 8 4" xfId="958" xr:uid="{D5742B96-7CF5-48C6-BA8B-D03CE2DAAC90}"/>
    <cellStyle name="Porcentagem 8 4 2" xfId="2529" xr:uid="{38ABF1DA-D5A4-485F-A113-A251D503BF41}"/>
    <cellStyle name="Porcentagem 8 4 2 2" xfId="5699" xr:uid="{F5AE805E-794C-4C33-ACC7-0A3FC1C0CC5D}"/>
    <cellStyle name="Porcentagem 8 4 2 2 2" xfId="12038" xr:uid="{F7B7EC2A-D520-4582-91D6-FE77B1DD1985}"/>
    <cellStyle name="Porcentagem 8 4 2 3" xfId="8870" xr:uid="{0BB0B919-2A42-4A1E-BEEC-F1BE4317322A}"/>
    <cellStyle name="Porcentagem 8 4 3" xfId="4130" xr:uid="{FE3FC623-ABC3-4248-BA61-374D950669BE}"/>
    <cellStyle name="Porcentagem 8 4 3 2" xfId="10469" xr:uid="{5FDBF643-C0DC-4C04-85A1-D92437D7ED9F}"/>
    <cellStyle name="Porcentagem 8 4 4" xfId="7301" xr:uid="{FB57490D-D793-4F95-BF2C-0CA3C1E8C76A}"/>
    <cellStyle name="Porcentagem 8 5" xfId="1732" xr:uid="{0B0EB49E-92E4-4212-BA7E-F1A26E998D7B}"/>
    <cellStyle name="Porcentagem 8 5 2" xfId="4902" xr:uid="{BAC80650-5065-4CF2-A33A-1FAA67796A8E}"/>
    <cellStyle name="Porcentagem 8 5 2 2" xfId="11241" xr:uid="{997AF1BA-EF08-421B-B728-EF213A5EED42}"/>
    <cellStyle name="Porcentagem 8 5 3" xfId="8073" xr:uid="{9E498A9E-4547-4FE4-BC46-6EC2E9BE4AA0}"/>
    <cellStyle name="Porcentagem 8 6" xfId="3333" xr:uid="{F22BA0B3-7495-4BFA-A686-E27155F46D9C}"/>
    <cellStyle name="Porcentagem 8 6 2" xfId="9672" xr:uid="{844E2102-B748-4D38-8584-0F57682E397E}"/>
    <cellStyle name="Porcentagem 8 7" xfId="6504" xr:uid="{3F07A8EF-EE7E-4D5F-A3B9-C4A194AB2650}"/>
    <cellStyle name="Porcentagem 9" xfId="240" xr:uid="{45BEF261-534F-4D44-8CA7-032125CCF7C8}"/>
    <cellStyle name="Separador de milhares" xfId="55" xr:uid="{2822A964-11A4-4F3B-B40C-2F28F69E9BE5}"/>
    <cellStyle name="Separador de milhares 12" xfId="21" xr:uid="{533F26A9-D698-4F75-AE2C-9093DFB12A54}"/>
    <cellStyle name="Separador de milhares 12 2" xfId="48" xr:uid="{2B2E778E-D16D-4AFC-A1DB-A904106D9BDA}"/>
    <cellStyle name="Separador de milhares 12 2 10" xfId="272" xr:uid="{AAA47968-DBF7-4D43-B85A-4BFD344B3121}"/>
    <cellStyle name="Separador de milhares 12 2 10 2" xfId="662" xr:uid="{B84BE760-50B2-4EC3-BCAB-8D267157EEA9}"/>
    <cellStyle name="Separador de milhares 12 2 10 2 2" xfId="1461" xr:uid="{C8BE5D69-F785-4018-817B-7BEFC67E920B}"/>
    <cellStyle name="Separador de milhares 12 2 10 2 2 2" xfId="3032" xr:uid="{5BFBE4A0-8D5D-48B4-BAEB-D291786C5A94}"/>
    <cellStyle name="Separador de milhares 12 2 10 2 2 2 2" xfId="6202" xr:uid="{AD8B2CDC-33F4-42BF-BFDE-CB8FDDBDC046}"/>
    <cellStyle name="Separador de milhares 12 2 10 2 2 2 2 2" xfId="12541" xr:uid="{8D9324C8-98C6-4E7E-B23B-36D138667CAD}"/>
    <cellStyle name="Separador de milhares 12 2 10 2 2 2 3" xfId="9373" xr:uid="{2168A6E2-BAAB-47B6-AFF6-DF2095066B36}"/>
    <cellStyle name="Separador de milhares 12 2 10 2 2 3" xfId="4633" xr:uid="{7B7481F8-4B2E-4557-95C3-95094100A70E}"/>
    <cellStyle name="Separador de milhares 12 2 10 2 2 3 2" xfId="10972" xr:uid="{60A31FFB-4481-4A97-9C08-E64F55A6D55A}"/>
    <cellStyle name="Separador de milhares 12 2 10 2 2 4" xfId="7804" xr:uid="{ECF6D018-AD16-44A8-85AF-E9C107C9DC88}"/>
    <cellStyle name="Separador de milhares 12 2 10 2 3" xfId="2235" xr:uid="{E70A6DCD-BE30-4ADF-A208-22AFC2FCE7C6}"/>
    <cellStyle name="Separador de milhares 12 2 10 2 3 2" xfId="5405" xr:uid="{E642FC08-E15F-4F00-8572-17C69E3D7F56}"/>
    <cellStyle name="Separador de milhares 12 2 10 2 3 2 2" xfId="11744" xr:uid="{8E2F2462-B834-4B63-805D-E2AE1A7BAA50}"/>
    <cellStyle name="Separador de milhares 12 2 10 2 3 3" xfId="8576" xr:uid="{D6DAB407-19C4-43F9-9936-D2E6733BDE6D}"/>
    <cellStyle name="Separador de milhares 12 2 10 2 4" xfId="3836" xr:uid="{93C57E04-3C32-4061-8D46-42337603EBED}"/>
    <cellStyle name="Separador de milhares 12 2 10 2 4 2" xfId="10175" xr:uid="{69C84C2D-950A-473B-9704-AB434D3DCD16}"/>
    <cellStyle name="Separador de milhares 12 2 10 2 5" xfId="7007" xr:uid="{1614DEBE-F7B3-4DCE-9675-DB78BB685092}"/>
    <cellStyle name="Separador de milhares 12 2 10 3" xfId="1080" xr:uid="{FD814E34-0D18-4A8E-8D32-40EB6DE0575A}"/>
    <cellStyle name="Separador de milhares 12 2 10 3 2" xfId="2651" xr:uid="{696D275B-DB78-406A-BEF2-F9B932A13523}"/>
    <cellStyle name="Separador de milhares 12 2 10 3 2 2" xfId="5821" xr:uid="{36915DB9-574C-49B1-A394-2281D6CF892B}"/>
    <cellStyle name="Separador de milhares 12 2 10 3 2 2 2" xfId="12160" xr:uid="{185433A7-FD39-4E99-8D5B-0E91A72C1DE5}"/>
    <cellStyle name="Separador de milhares 12 2 10 3 2 3" xfId="8992" xr:uid="{F811AE79-B65B-41FE-AED5-EF8BB17E6F6E}"/>
    <cellStyle name="Separador de milhares 12 2 10 3 3" xfId="4252" xr:uid="{2A04273E-9F0E-46FD-BDF4-F6042E47EFCA}"/>
    <cellStyle name="Separador de milhares 12 2 10 3 3 2" xfId="10591" xr:uid="{2B7EFF66-F2C6-48A5-B70F-BF9422A0633C}"/>
    <cellStyle name="Separador de milhares 12 2 10 3 4" xfId="7423" xr:uid="{2F61B609-B896-42AB-982E-9C323939807D}"/>
    <cellStyle name="Separador de milhares 12 2 10 4" xfId="1854" xr:uid="{6BA1F8B8-D7BF-4BB3-8C20-5FFCAE9DA071}"/>
    <cellStyle name="Separador de milhares 12 2 10 4 2" xfId="5024" xr:uid="{7F0C49FE-8961-428E-B797-1B1CB06BBD45}"/>
    <cellStyle name="Separador de milhares 12 2 10 4 2 2" xfId="11363" xr:uid="{C54D783C-6BDD-42CC-94E7-C9BAB3F870D5}"/>
    <cellStyle name="Separador de milhares 12 2 10 4 3" xfId="8195" xr:uid="{DB059BBA-7C79-41DE-9E9C-AC830B8684A0}"/>
    <cellStyle name="Separador de milhares 12 2 10 5" xfId="3455" xr:uid="{DDFF78A0-977D-4751-8B93-101C3F6064E5}"/>
    <cellStyle name="Separador de milhares 12 2 10 5 2" xfId="9794" xr:uid="{02D96547-141F-43EC-B029-CC9793D77C38}"/>
    <cellStyle name="Separador de milhares 12 2 10 6" xfId="6626" xr:uid="{AB9FD4D7-07E3-4C71-81CF-E5D86EC3A5E5}"/>
    <cellStyle name="Separador de milhares 12 2 11" xfId="877" xr:uid="{3DA42319-5B26-4432-90DD-344278899619}"/>
    <cellStyle name="Separador de milhares 12 2 11 2" xfId="2448" xr:uid="{98816BBC-A78D-49B5-AF16-B6BD8CF8CEF7}"/>
    <cellStyle name="Separador de milhares 12 2 11 2 2" xfId="5618" xr:uid="{2BF980A8-1428-4F8F-860F-96BEDB87BDDA}"/>
    <cellStyle name="Separador de milhares 12 2 11 2 2 2" xfId="11957" xr:uid="{02597843-DF3C-43F7-BE72-2988249AF461}"/>
    <cellStyle name="Separador de milhares 12 2 11 2 3" xfId="8789" xr:uid="{5BABC920-AF89-4C22-9DC2-ECE04BF5F4EA}"/>
    <cellStyle name="Separador de milhares 12 2 11 3" xfId="4049" xr:uid="{B3C4CD31-E7CD-4F82-87B9-2DF557EA4C8A}"/>
    <cellStyle name="Separador de milhares 12 2 11 3 2" xfId="10388" xr:uid="{A2E4CF67-8891-4E9D-9B58-8AE6114F6A90}"/>
    <cellStyle name="Separador de milhares 12 2 11 4" xfId="7220" xr:uid="{391E8F84-A103-48FF-BE95-66547FF817E0}"/>
    <cellStyle name="Separador de milhares 12 2 12" xfId="3252" xr:uid="{8EC4FD95-98AE-4471-8C34-7320669A498F}"/>
    <cellStyle name="Separador de milhares 12 2 12 2" xfId="9591" xr:uid="{7FCD6C98-1793-4057-ACE0-BA561239C8DC}"/>
    <cellStyle name="Separador de milhares 12 2 13" xfId="6423" xr:uid="{DB59B7D8-2B1F-4CBF-9200-D95FF99CD493}"/>
    <cellStyle name="Separador de milhares 12 2 2" xfId="116" xr:uid="{D600FAEE-24F8-4430-A056-68F5BA638555}"/>
    <cellStyle name="Separador de milhares 12 2 2 2" xfId="198" xr:uid="{90E6FAA6-7E5F-40A6-8B25-7E541A6212AD}"/>
    <cellStyle name="Separador de milhares 12 2 2 2 2" xfId="415" xr:uid="{F743AE1C-046D-483B-9F61-0E0C3A919629}"/>
    <cellStyle name="Separador de milhares 12 2 2 2 2 2" xfId="796" xr:uid="{DC0203A4-2D7F-4091-B46A-128D018DE5AE}"/>
    <cellStyle name="Separador de milhares 12 2 2 2 2 2 2" xfId="1595" xr:uid="{F26D12BF-4CE5-4B9B-B9AE-34E859E9163A}"/>
    <cellStyle name="Separador de milhares 12 2 2 2 2 2 2 2" xfId="3166" xr:uid="{45A1A098-501B-4398-80B8-5995D1189028}"/>
    <cellStyle name="Separador de milhares 12 2 2 2 2 2 2 2 2" xfId="6336" xr:uid="{79A5DBFD-C007-4E71-961F-22D764324C05}"/>
    <cellStyle name="Separador de milhares 12 2 2 2 2 2 2 2 2 2" xfId="12675" xr:uid="{4B0A03D5-C51C-45B5-86C8-56E3C40098FE}"/>
    <cellStyle name="Separador de milhares 12 2 2 2 2 2 2 2 3" xfId="9507" xr:uid="{3D89C0B7-4F2D-46A9-80CE-21DDAEF8AE7D}"/>
    <cellStyle name="Separador de milhares 12 2 2 2 2 2 2 3" xfId="4767" xr:uid="{0C1F9C07-AC95-4478-B648-F475C686EC91}"/>
    <cellStyle name="Separador de milhares 12 2 2 2 2 2 2 3 2" xfId="11106" xr:uid="{2E9B8025-DF5A-4B7E-AACA-0E15166B9A29}"/>
    <cellStyle name="Separador de milhares 12 2 2 2 2 2 2 4" xfId="7938" xr:uid="{28359A3C-AF3D-4787-92CE-31922399D274}"/>
    <cellStyle name="Separador de milhares 12 2 2 2 2 2 3" xfId="2369" xr:uid="{D63D30BB-CD4C-4298-85BA-C25CFF6A457B}"/>
    <cellStyle name="Separador de milhares 12 2 2 2 2 2 3 2" xfId="5539" xr:uid="{85C0C995-0B3A-4870-8379-0432899BA4E2}"/>
    <cellStyle name="Separador de milhares 12 2 2 2 2 2 3 2 2" xfId="11878" xr:uid="{F65F257A-BA9E-489C-8921-CE48F43465EA}"/>
    <cellStyle name="Separador de milhares 12 2 2 2 2 2 3 3" xfId="8710" xr:uid="{E4DE1F80-7C5E-44C1-98A7-5EB9AAA992CC}"/>
    <cellStyle name="Separador de milhares 12 2 2 2 2 2 4" xfId="3970" xr:uid="{86277084-7CD7-41CF-ABCB-F07D129F9FA4}"/>
    <cellStyle name="Separador de milhares 12 2 2 2 2 2 4 2" xfId="10309" xr:uid="{3AA03179-2A3C-4898-B8A4-90042404E834}"/>
    <cellStyle name="Separador de milhares 12 2 2 2 2 2 5" xfId="7141" xr:uid="{DB522637-E5AB-4AD4-9B26-7020B47A22ED}"/>
    <cellStyle name="Separador de milhares 12 2 2 2 2 3" xfId="1214" xr:uid="{9CF5579E-6AC0-4E25-BE81-EF312703844A}"/>
    <cellStyle name="Separador de milhares 12 2 2 2 2 3 2" xfId="2785" xr:uid="{9E3DC6B7-2B56-4F47-B80D-D7A8D2A30E5B}"/>
    <cellStyle name="Separador de milhares 12 2 2 2 2 3 2 2" xfId="5955" xr:uid="{0597AC8C-07EC-4095-9E07-37856F0683D9}"/>
    <cellStyle name="Separador de milhares 12 2 2 2 2 3 2 2 2" xfId="12294" xr:uid="{BFFA5D89-3B8E-4476-A7C8-E2EE290DF04E}"/>
    <cellStyle name="Separador de milhares 12 2 2 2 2 3 2 3" xfId="9126" xr:uid="{8A6BA3F2-F760-4DFD-AB6E-164C730D10A2}"/>
    <cellStyle name="Separador de milhares 12 2 2 2 2 3 3" xfId="4386" xr:uid="{C111D032-6DCA-416C-82AC-7EF30D246397}"/>
    <cellStyle name="Separador de milhares 12 2 2 2 2 3 3 2" xfId="10725" xr:uid="{C94FF8E6-DAE2-480F-B0A3-4FE75838089E}"/>
    <cellStyle name="Separador de milhares 12 2 2 2 2 3 4" xfId="7557" xr:uid="{6B7C1057-168B-4069-B430-D6579B2218DB}"/>
    <cellStyle name="Separador de milhares 12 2 2 2 2 4" xfId="1988" xr:uid="{1F729AB7-EBFE-41F4-A777-4AC668903D53}"/>
    <cellStyle name="Separador de milhares 12 2 2 2 2 4 2" xfId="5158" xr:uid="{1B04BD5C-F8A5-4ACB-B831-48B6A4D343E2}"/>
    <cellStyle name="Separador de milhares 12 2 2 2 2 4 2 2" xfId="11497" xr:uid="{776C9DF6-A80F-4E21-853B-4795A138E1DF}"/>
    <cellStyle name="Separador de milhares 12 2 2 2 2 4 3" xfId="8329" xr:uid="{C9131EFF-EEFA-429D-8C87-53644693B27E}"/>
    <cellStyle name="Separador de milhares 12 2 2 2 2 5" xfId="3589" xr:uid="{EDDAD585-34B6-4EAD-BCD0-2C8F8E462421}"/>
    <cellStyle name="Separador de milhares 12 2 2 2 2 5 2" xfId="9928" xr:uid="{63E85C1C-AE79-4B51-A5C0-55CB4CDF6503}"/>
    <cellStyle name="Separador de milhares 12 2 2 2 2 6" xfId="6760" xr:uid="{D11E1D01-E28E-4012-B16F-20396C68D28D}"/>
    <cellStyle name="Separador de milhares 12 2 2 2 3" xfId="593" xr:uid="{FDAED937-3267-44C3-BA99-D27D985FA278}"/>
    <cellStyle name="Separador de milhares 12 2 2 2 3 2" xfId="1392" xr:uid="{52F36896-C847-449B-BA24-9665AC94A62B}"/>
    <cellStyle name="Separador de milhares 12 2 2 2 3 2 2" xfId="2963" xr:uid="{714E9C5B-4C94-4E62-908B-A8523A32F549}"/>
    <cellStyle name="Separador de milhares 12 2 2 2 3 2 2 2" xfId="6133" xr:uid="{D3C41D50-026C-4DD2-A4F5-54A690B67185}"/>
    <cellStyle name="Separador de milhares 12 2 2 2 3 2 2 2 2" xfId="12472" xr:uid="{B19005A6-541C-4E72-A9FC-E6E5BE82869C}"/>
    <cellStyle name="Separador de milhares 12 2 2 2 3 2 2 3" xfId="9304" xr:uid="{955871D7-DA32-49C8-8203-48FAAB6334EE}"/>
    <cellStyle name="Separador de milhares 12 2 2 2 3 2 3" xfId="4564" xr:uid="{DED689FD-ADD0-4736-867A-A25583B426CD}"/>
    <cellStyle name="Separador de milhares 12 2 2 2 3 2 3 2" xfId="10903" xr:uid="{4D6450E6-E125-4253-ACEA-1810F941DA46}"/>
    <cellStyle name="Separador de milhares 12 2 2 2 3 2 4" xfId="7735" xr:uid="{E0AEE393-3A9E-473E-B270-D8CC3C63B9EB}"/>
    <cellStyle name="Separador de milhares 12 2 2 2 3 3" xfId="2166" xr:uid="{E8B91C58-3BD9-4FC3-9094-B728F6093033}"/>
    <cellStyle name="Separador de milhares 12 2 2 2 3 3 2" xfId="5336" xr:uid="{7D903AEF-767B-4F81-9952-CAAEAAAC9EC5}"/>
    <cellStyle name="Separador de milhares 12 2 2 2 3 3 2 2" xfId="11675" xr:uid="{94D2C3A9-5023-4BAE-952C-C444D443B0B0}"/>
    <cellStyle name="Separador de milhares 12 2 2 2 3 3 3" xfId="8507" xr:uid="{1B1622B9-4863-4430-A7BC-0028BEFE36C3}"/>
    <cellStyle name="Separador de milhares 12 2 2 2 3 4" xfId="3767" xr:uid="{26272474-B7E2-43B7-92D1-416FAE23274C}"/>
    <cellStyle name="Separador de milhares 12 2 2 2 3 4 2" xfId="10106" xr:uid="{9C75BC46-8014-4BC4-BCD9-D143B245DEEE}"/>
    <cellStyle name="Separador de milhares 12 2 2 2 3 5" xfId="6938" xr:uid="{CA59DAEA-BD7D-4925-B434-5F076E53F361}"/>
    <cellStyle name="Separador de milhares 12 2 2 2 4" xfId="1011" xr:uid="{49896337-1970-4EC8-9903-CE61C231400A}"/>
    <cellStyle name="Separador de milhares 12 2 2 2 4 2" xfId="2582" xr:uid="{15FE9B15-DB43-4D39-81B6-D9300B47000F}"/>
    <cellStyle name="Separador de milhares 12 2 2 2 4 2 2" xfId="5752" xr:uid="{DB50DD2B-9882-4C66-8027-D5CFDD43A679}"/>
    <cellStyle name="Separador de milhares 12 2 2 2 4 2 2 2" xfId="12091" xr:uid="{A3E6DFD7-55E2-4018-95B9-C3A6B4AFFF2B}"/>
    <cellStyle name="Separador de milhares 12 2 2 2 4 2 3" xfId="8923" xr:uid="{EFEF3836-41D8-4203-AE5D-95FE5DFB52E8}"/>
    <cellStyle name="Separador de milhares 12 2 2 2 4 3" xfId="4183" xr:uid="{0EE70C8E-A3AE-4D49-8E3B-E4245FF30557}"/>
    <cellStyle name="Separador de milhares 12 2 2 2 4 3 2" xfId="10522" xr:uid="{D21FF635-5A94-4DD0-8613-4F07F5BE8A09}"/>
    <cellStyle name="Separador de milhares 12 2 2 2 4 4" xfId="7354" xr:uid="{CC6FA66E-F409-41C5-96E7-4EF52F9A582E}"/>
    <cellStyle name="Separador de milhares 12 2 2 2 5" xfId="1785" xr:uid="{7D9EE8D0-85E3-47E0-BF3A-48DF3D927262}"/>
    <cellStyle name="Separador de milhares 12 2 2 2 5 2" xfId="4955" xr:uid="{162546C8-C380-4085-825B-69A542E6AB71}"/>
    <cellStyle name="Separador de milhares 12 2 2 2 5 2 2" xfId="11294" xr:uid="{DAF5429F-C89E-49BB-A586-FF72696F7991}"/>
    <cellStyle name="Separador de milhares 12 2 2 2 5 3" xfId="8126" xr:uid="{CF94E7EE-2BEB-45F3-94DF-8C07A1581674}"/>
    <cellStyle name="Separador de milhares 12 2 2 2 6" xfId="3386" xr:uid="{A28FEA13-A1AB-4E49-B958-89EFBEC91CE6}"/>
    <cellStyle name="Separador de milhares 12 2 2 2 6 2" xfId="9725" xr:uid="{18D6B4C3-47DB-4285-A5D6-BE2B2DA9B05A}"/>
    <cellStyle name="Separador de milhares 12 2 2 2 7" xfId="6557" xr:uid="{CC933C8A-F190-4D23-B297-0A3668BC51BF}"/>
    <cellStyle name="Separador de milhares 12 2 2 3" xfId="333" xr:uid="{04D13C8E-D54E-48A6-ADAF-697F1A41CFC3}"/>
    <cellStyle name="Separador de milhares 12 2 2 3 2" xfId="716" xr:uid="{78DA7F4A-14F0-410F-8E25-C20B5FA96B50}"/>
    <cellStyle name="Separador de milhares 12 2 2 3 2 2" xfId="1515" xr:uid="{7B3F2F20-E4A2-4D49-BD78-2B76EFB1D2EE}"/>
    <cellStyle name="Separador de milhares 12 2 2 3 2 2 2" xfId="3086" xr:uid="{FF9102A1-3443-4031-B261-A5FE4362C1C9}"/>
    <cellStyle name="Separador de milhares 12 2 2 3 2 2 2 2" xfId="6256" xr:uid="{E01DAC3B-7E4A-4E38-8E01-3B9F2FD9FECE}"/>
    <cellStyle name="Separador de milhares 12 2 2 3 2 2 2 2 2" xfId="12595" xr:uid="{F1FD4566-7F04-4B74-B0E9-46472C326DA6}"/>
    <cellStyle name="Separador de milhares 12 2 2 3 2 2 2 3" xfId="9427" xr:uid="{3B2A6E9E-8F63-41ED-98AC-5F47B9C35C67}"/>
    <cellStyle name="Separador de milhares 12 2 2 3 2 2 3" xfId="4687" xr:uid="{B0E475EF-D671-4C12-8795-9E2B31268D30}"/>
    <cellStyle name="Separador de milhares 12 2 2 3 2 2 3 2" xfId="11026" xr:uid="{781A5DD5-A7F1-4095-92E2-03171B891C75}"/>
    <cellStyle name="Separador de milhares 12 2 2 3 2 2 4" xfId="7858" xr:uid="{3F9ABED7-0680-47A6-884F-C2FA79D8A17B}"/>
    <cellStyle name="Separador de milhares 12 2 2 3 2 3" xfId="2289" xr:uid="{A2BF9266-84BC-491A-A310-FA70F54F4ABC}"/>
    <cellStyle name="Separador de milhares 12 2 2 3 2 3 2" xfId="5459" xr:uid="{FD23B673-98F5-45FB-8AF6-896EFC6E3226}"/>
    <cellStyle name="Separador de milhares 12 2 2 3 2 3 2 2" xfId="11798" xr:uid="{DE8BA1EB-C79E-4613-A04F-A95802473519}"/>
    <cellStyle name="Separador de milhares 12 2 2 3 2 3 3" xfId="8630" xr:uid="{716CC32E-58A2-484B-A692-E3FAA60FCAA8}"/>
    <cellStyle name="Separador de milhares 12 2 2 3 2 4" xfId="3890" xr:uid="{196C3CD8-70CA-4274-8E7F-C04C70740D40}"/>
    <cellStyle name="Separador de milhares 12 2 2 3 2 4 2" xfId="10229" xr:uid="{95703D62-F9C8-47C0-8C05-F336C9C0352D}"/>
    <cellStyle name="Separador de milhares 12 2 2 3 2 5" xfId="7061" xr:uid="{51469B18-0562-45B9-A7CC-C4E7DF3AE4CD}"/>
    <cellStyle name="Separador de milhares 12 2 2 3 3" xfId="1134" xr:uid="{08CD7EAA-08E3-4B70-9137-4261B54CE2ED}"/>
    <cellStyle name="Separador de milhares 12 2 2 3 3 2" xfId="2705" xr:uid="{7EEEECBE-9E87-4D62-B8BC-3CA1D7A79103}"/>
    <cellStyle name="Separador de milhares 12 2 2 3 3 2 2" xfId="5875" xr:uid="{C088C564-257D-4946-A9DE-07C3A32A8D23}"/>
    <cellStyle name="Separador de milhares 12 2 2 3 3 2 2 2" xfId="12214" xr:uid="{381EDA0B-5273-44BF-BA80-3134183BD16F}"/>
    <cellStyle name="Separador de milhares 12 2 2 3 3 2 3" xfId="9046" xr:uid="{3B5EA35B-64AD-4D64-B04F-EC9AE72DD5FC}"/>
    <cellStyle name="Separador de milhares 12 2 2 3 3 3" xfId="4306" xr:uid="{5D8B005C-6CF8-4150-9C32-1C7827846B03}"/>
    <cellStyle name="Separador de milhares 12 2 2 3 3 3 2" xfId="10645" xr:uid="{EC2141A8-BFA2-45A3-B535-DB7E6CAF211C}"/>
    <cellStyle name="Separador de milhares 12 2 2 3 3 4" xfId="7477" xr:uid="{AE88C02B-8961-4362-80F7-502F08C51195}"/>
    <cellStyle name="Separador de milhares 12 2 2 3 4" xfId="1908" xr:uid="{AE3D448A-A726-46E4-B84E-2C73580A58EC}"/>
    <cellStyle name="Separador de milhares 12 2 2 3 4 2" xfId="5078" xr:uid="{1F845390-22DD-4B3C-9297-A3861FF22B7C}"/>
    <cellStyle name="Separador de milhares 12 2 2 3 4 2 2" xfId="11417" xr:uid="{51E6D1D0-51D2-4E47-ACC0-4DCE4169F0EB}"/>
    <cellStyle name="Separador de milhares 12 2 2 3 4 3" xfId="8249" xr:uid="{9B914917-FCB2-48B1-B130-292B33580F85}"/>
    <cellStyle name="Separador de milhares 12 2 2 3 5" xfId="3509" xr:uid="{DB7E08D6-EC89-4BF2-9FED-40A18B35B8EE}"/>
    <cellStyle name="Separador de milhares 12 2 2 3 5 2" xfId="9848" xr:uid="{9F70F28C-53C7-41C5-BAFB-E46C43F6CBF3}"/>
    <cellStyle name="Separador de milhares 12 2 2 3 6" xfId="6680" xr:uid="{B9E7248A-8490-4FDC-8C68-F01A54C5A994}"/>
    <cellStyle name="Separador de milhares 12 2 2 4" xfId="931" xr:uid="{EEC3B6AE-D6C3-4896-A02B-5B2B9491E1C2}"/>
    <cellStyle name="Separador de milhares 12 2 2 4 2" xfId="2502" xr:uid="{B3C2E825-6113-4E06-9F5A-F8AF6E01FD0A}"/>
    <cellStyle name="Separador de milhares 12 2 2 4 2 2" xfId="5672" xr:uid="{41600575-8F96-44EC-BA29-87906CC15324}"/>
    <cellStyle name="Separador de milhares 12 2 2 4 2 2 2" xfId="12011" xr:uid="{931B402E-800F-4C77-A531-7D17BDFC3AB3}"/>
    <cellStyle name="Separador de milhares 12 2 2 4 2 3" xfId="8843" xr:uid="{A7E36CF1-50B1-4225-945C-281586ACFE8C}"/>
    <cellStyle name="Separador de milhares 12 2 2 4 3" xfId="4103" xr:uid="{99D66FE8-2BB1-4477-BD2E-1E83915FA702}"/>
    <cellStyle name="Separador de milhares 12 2 2 4 3 2" xfId="10442" xr:uid="{85BBD023-659F-4C32-B8E3-F1DA75E6B432}"/>
    <cellStyle name="Separador de milhares 12 2 2 4 4" xfId="7274" xr:uid="{F34B8A44-D977-45FC-A1DA-006845090075}"/>
    <cellStyle name="Separador de milhares 12 2 2 5" xfId="3306" xr:uid="{32F6E590-946C-4723-9C66-318D55B2CDC0}"/>
    <cellStyle name="Separador de milhares 12 2 2 5 2" xfId="9645" xr:uid="{B9A10165-B138-4170-AE17-1B7D19A3C940}"/>
    <cellStyle name="Separador de milhares 12 2 2 6" xfId="6477" xr:uid="{6BC5A416-9B50-4E7E-A967-4F3F7669C3E5}"/>
    <cellStyle name="Separador de milhares 12 2 3" xfId="115" xr:uid="{344F11BF-BCAE-4E07-929E-03CF0901908C}"/>
    <cellStyle name="Separador de milhares 12 2 3 2" xfId="197" xr:uid="{67066D0F-5EC4-47DF-96A3-B4B2691295CD}"/>
    <cellStyle name="Separador de milhares 12 2 3 2 2" xfId="414" xr:uid="{1E64C726-40AD-49E0-99F7-6BADD88452A2}"/>
    <cellStyle name="Separador de milhares 12 2 3 2 2 2" xfId="795" xr:uid="{34B30F0A-389F-453F-B536-3A4B9892A824}"/>
    <cellStyle name="Separador de milhares 12 2 3 2 2 2 2" xfId="1594" xr:uid="{A886F482-0AB6-4BC3-BB38-C4B372A38FE8}"/>
    <cellStyle name="Separador de milhares 12 2 3 2 2 2 2 2" xfId="3165" xr:uid="{CDF1452B-1B9D-4F73-BDC2-65401CDCDB03}"/>
    <cellStyle name="Separador de milhares 12 2 3 2 2 2 2 2 2" xfId="6335" xr:uid="{B8629FE4-E229-45AB-A5C9-D30F613695B9}"/>
    <cellStyle name="Separador de milhares 12 2 3 2 2 2 2 2 2 2" xfId="12674" xr:uid="{4BE7F354-33E3-406C-9070-6A4F148D093C}"/>
    <cellStyle name="Separador de milhares 12 2 3 2 2 2 2 2 3" xfId="9506" xr:uid="{961D2F4F-4F65-4D08-8858-85F89615F929}"/>
    <cellStyle name="Separador de milhares 12 2 3 2 2 2 2 3" xfId="4766" xr:uid="{88DD9BED-3EB5-4025-93EB-279659EB19DD}"/>
    <cellStyle name="Separador de milhares 12 2 3 2 2 2 2 3 2" xfId="11105" xr:uid="{C84EEAED-8E0A-47D4-BAC4-87443ABFC2C6}"/>
    <cellStyle name="Separador de milhares 12 2 3 2 2 2 2 4" xfId="7937" xr:uid="{05066FF8-969B-4707-ACEF-B3986939B0BB}"/>
    <cellStyle name="Separador de milhares 12 2 3 2 2 2 3" xfId="2368" xr:uid="{3AF1EA2A-6BFE-4E23-BBB4-6659C5C42F29}"/>
    <cellStyle name="Separador de milhares 12 2 3 2 2 2 3 2" xfId="5538" xr:uid="{AA12C3FD-58A1-44BE-8F61-133F02263511}"/>
    <cellStyle name="Separador de milhares 12 2 3 2 2 2 3 2 2" xfId="11877" xr:uid="{F75B95F4-5913-4913-8636-6DA4399DB101}"/>
    <cellStyle name="Separador de milhares 12 2 3 2 2 2 3 3" xfId="8709" xr:uid="{DEADF5BE-8112-4B3E-B144-053D4877E894}"/>
    <cellStyle name="Separador de milhares 12 2 3 2 2 2 4" xfId="3969" xr:uid="{F3928C7B-684E-4908-AC14-7B2F59811E37}"/>
    <cellStyle name="Separador de milhares 12 2 3 2 2 2 4 2" xfId="10308" xr:uid="{EC59E791-8905-4A82-94E1-E09590E547B0}"/>
    <cellStyle name="Separador de milhares 12 2 3 2 2 2 5" xfId="7140" xr:uid="{01325377-0A65-4F86-88B6-16CAE1B22CBD}"/>
    <cellStyle name="Separador de milhares 12 2 3 2 2 3" xfId="1213" xr:uid="{2872D84D-C958-4121-B25A-6F52ED1FD623}"/>
    <cellStyle name="Separador de milhares 12 2 3 2 2 3 2" xfId="2784" xr:uid="{4B8A25F4-87F8-4F71-847A-3B59FBC5BD4A}"/>
    <cellStyle name="Separador de milhares 12 2 3 2 2 3 2 2" xfId="5954" xr:uid="{3C6742C2-AB23-479C-835C-3105416DF94F}"/>
    <cellStyle name="Separador de milhares 12 2 3 2 2 3 2 2 2" xfId="12293" xr:uid="{2D31D3A2-BB75-4008-9570-4E28093EC144}"/>
    <cellStyle name="Separador de milhares 12 2 3 2 2 3 2 3" xfId="9125" xr:uid="{27D4710D-A516-449F-A104-9445B1F8AA79}"/>
    <cellStyle name="Separador de milhares 12 2 3 2 2 3 3" xfId="4385" xr:uid="{659755E9-8F13-4EFE-9694-B65A42179830}"/>
    <cellStyle name="Separador de milhares 12 2 3 2 2 3 3 2" xfId="10724" xr:uid="{774966A3-668F-435C-9E27-F8B46AD2747A}"/>
    <cellStyle name="Separador de milhares 12 2 3 2 2 3 4" xfId="7556" xr:uid="{5F5E828E-B6CC-47E1-8052-4A3A689D7D06}"/>
    <cellStyle name="Separador de milhares 12 2 3 2 2 4" xfId="1987" xr:uid="{5A800B5D-23C0-46E6-9688-4CEFA8B39200}"/>
    <cellStyle name="Separador de milhares 12 2 3 2 2 4 2" xfId="5157" xr:uid="{CA90CDAF-964E-4D4E-8BFE-6AF10AEB22D4}"/>
    <cellStyle name="Separador de milhares 12 2 3 2 2 4 2 2" xfId="11496" xr:uid="{65552461-9CDC-42DC-AB22-A04269D7980F}"/>
    <cellStyle name="Separador de milhares 12 2 3 2 2 4 3" xfId="8328" xr:uid="{F638355C-1F57-4BAB-8250-6A0314331E22}"/>
    <cellStyle name="Separador de milhares 12 2 3 2 2 5" xfId="3588" xr:uid="{6B454945-0829-4A84-AE24-D3F4E9304BF7}"/>
    <cellStyle name="Separador de milhares 12 2 3 2 2 5 2" xfId="9927" xr:uid="{57083D66-6775-4C35-96C4-B5870720AE73}"/>
    <cellStyle name="Separador de milhares 12 2 3 2 2 6" xfId="6759" xr:uid="{0C9E1721-4905-47E0-9165-E9D67D8882EC}"/>
    <cellStyle name="Separador de milhares 12 2 3 2 3" xfId="592" xr:uid="{A61A745F-74DA-4109-8FA1-044D12FEBB6B}"/>
    <cellStyle name="Separador de milhares 12 2 3 2 3 2" xfId="1391" xr:uid="{FA38ECDC-8E87-492B-BAB5-677288AFD5BF}"/>
    <cellStyle name="Separador de milhares 12 2 3 2 3 2 2" xfId="2962" xr:uid="{8D54AB2D-B917-433E-A0F2-9E943D5A4057}"/>
    <cellStyle name="Separador de milhares 12 2 3 2 3 2 2 2" xfId="6132" xr:uid="{E56283EB-FB14-4DB4-9D1B-9A1E9A2D9843}"/>
    <cellStyle name="Separador de milhares 12 2 3 2 3 2 2 2 2" xfId="12471" xr:uid="{CD3FC6B0-9D91-43C2-8551-97FB9F55E7B6}"/>
    <cellStyle name="Separador de milhares 12 2 3 2 3 2 2 3" xfId="9303" xr:uid="{E430374E-3C05-487E-B733-E437E2BDA156}"/>
    <cellStyle name="Separador de milhares 12 2 3 2 3 2 3" xfId="4563" xr:uid="{B15383B7-5D77-43BD-B2DA-3899581E8FBD}"/>
    <cellStyle name="Separador de milhares 12 2 3 2 3 2 3 2" xfId="10902" xr:uid="{E6E49931-1E00-45B9-A1E7-A1D9D2CFE85F}"/>
    <cellStyle name="Separador de milhares 12 2 3 2 3 2 4" xfId="7734" xr:uid="{AD85AE46-CF38-48CA-9547-3A9AFA4A5024}"/>
    <cellStyle name="Separador de milhares 12 2 3 2 3 3" xfId="2165" xr:uid="{4F594514-C8D4-46DE-B76E-A3F7760BE42B}"/>
    <cellStyle name="Separador de milhares 12 2 3 2 3 3 2" xfId="5335" xr:uid="{9317420D-206E-420A-AB9A-24A6FD11D66C}"/>
    <cellStyle name="Separador de milhares 12 2 3 2 3 3 2 2" xfId="11674" xr:uid="{EA620C77-BB97-4CA3-9F4B-7585C10F1161}"/>
    <cellStyle name="Separador de milhares 12 2 3 2 3 3 3" xfId="8506" xr:uid="{22366FAB-ED63-451A-A20B-5358967E2257}"/>
    <cellStyle name="Separador de milhares 12 2 3 2 3 4" xfId="3766" xr:uid="{7FAB0B25-BF11-42FA-BD90-6C9E6C3FEBF4}"/>
    <cellStyle name="Separador de milhares 12 2 3 2 3 4 2" xfId="10105" xr:uid="{321B1C97-403D-461A-B949-4D556814433F}"/>
    <cellStyle name="Separador de milhares 12 2 3 2 3 5" xfId="6937" xr:uid="{C879462F-DE1B-4E35-91BD-71789F044064}"/>
    <cellStyle name="Separador de milhares 12 2 3 2 4" xfId="1010" xr:uid="{ACE6909C-4BB7-40D1-9C73-771EFD210470}"/>
    <cellStyle name="Separador de milhares 12 2 3 2 4 2" xfId="2581" xr:uid="{033C3505-7C42-4532-9D55-A5A89D3D98AD}"/>
    <cellStyle name="Separador de milhares 12 2 3 2 4 2 2" xfId="5751" xr:uid="{64429C64-17E0-47A2-A381-6DE01A2B4DE1}"/>
    <cellStyle name="Separador de milhares 12 2 3 2 4 2 2 2" xfId="12090" xr:uid="{A3CCF9E6-3BCB-4222-BE06-A10BFA6262AF}"/>
    <cellStyle name="Separador de milhares 12 2 3 2 4 2 3" xfId="8922" xr:uid="{36C33558-E6E9-4BCE-904A-53D4A1E2C774}"/>
    <cellStyle name="Separador de milhares 12 2 3 2 4 3" xfId="4182" xr:uid="{49BF62EC-46FA-4068-A938-E04F37277F49}"/>
    <cellStyle name="Separador de milhares 12 2 3 2 4 3 2" xfId="10521" xr:uid="{DBEA7D6B-B771-4BBD-9C79-65774CF4977C}"/>
    <cellStyle name="Separador de milhares 12 2 3 2 4 4" xfId="7353" xr:uid="{0D1F7F64-C9CE-46F4-A50D-EC18FFE0067C}"/>
    <cellStyle name="Separador de milhares 12 2 3 2 5" xfId="1784" xr:uid="{9031972C-B350-40F8-A44F-923EE7188A00}"/>
    <cellStyle name="Separador de milhares 12 2 3 2 5 2" xfId="4954" xr:uid="{2566F983-282A-44FE-93B5-19B3D6598F29}"/>
    <cellStyle name="Separador de milhares 12 2 3 2 5 2 2" xfId="11293" xr:uid="{A6FB5B55-A248-4E9E-89CC-A2040EB617F1}"/>
    <cellStyle name="Separador de milhares 12 2 3 2 5 3" xfId="8125" xr:uid="{201A2573-899A-4872-B324-705ABDFA2F56}"/>
    <cellStyle name="Separador de milhares 12 2 3 2 6" xfId="3385" xr:uid="{7A05F8AD-3EE1-45E3-B830-2B1087821597}"/>
    <cellStyle name="Separador de milhares 12 2 3 2 6 2" xfId="9724" xr:uid="{3074BEC4-CE26-422E-A62B-5E00E6182553}"/>
    <cellStyle name="Separador de milhares 12 2 3 2 7" xfId="6556" xr:uid="{BB7CF647-83C4-4504-AA47-8D28A225A5EB}"/>
    <cellStyle name="Separador de milhares 12 2 3 3" xfId="332" xr:uid="{537B3324-512C-4245-AF0B-E5C24E7B0D4C}"/>
    <cellStyle name="Separador de milhares 12 2 3 3 2" xfId="715" xr:uid="{8E9EBED4-3FF0-49C3-AE7B-8C9C835C30F5}"/>
    <cellStyle name="Separador de milhares 12 2 3 3 2 2" xfId="1514" xr:uid="{8BD903DF-3C37-4E2F-AE62-DD427D0EF048}"/>
    <cellStyle name="Separador de milhares 12 2 3 3 2 2 2" xfId="3085" xr:uid="{48331FBD-C28C-4B87-B7BB-2979FBDFA570}"/>
    <cellStyle name="Separador de milhares 12 2 3 3 2 2 2 2" xfId="6255" xr:uid="{69E88F90-718D-488F-B9BA-56EC9CC6F02A}"/>
    <cellStyle name="Separador de milhares 12 2 3 3 2 2 2 2 2" xfId="12594" xr:uid="{5134DAC8-6F3B-42A5-860E-DF51B05C0CBA}"/>
    <cellStyle name="Separador de milhares 12 2 3 3 2 2 2 3" xfId="9426" xr:uid="{FB0F7048-0DD1-4E7D-8AF2-19FB6B9136D1}"/>
    <cellStyle name="Separador de milhares 12 2 3 3 2 2 3" xfId="4686" xr:uid="{18BB423B-36E7-407C-B8A2-FDBC7ACA0318}"/>
    <cellStyle name="Separador de milhares 12 2 3 3 2 2 3 2" xfId="11025" xr:uid="{1C761730-D9EE-463A-8E15-68E5CB30E7BA}"/>
    <cellStyle name="Separador de milhares 12 2 3 3 2 2 4" xfId="7857" xr:uid="{B4FB71B0-299F-4D77-B79F-6C57A4A6B7B9}"/>
    <cellStyle name="Separador de milhares 12 2 3 3 2 3" xfId="2288" xr:uid="{8A30B2B4-2484-45E4-BBF3-74B50C52687B}"/>
    <cellStyle name="Separador de milhares 12 2 3 3 2 3 2" xfId="5458" xr:uid="{C84624BF-1A92-4642-A05A-060FF615812A}"/>
    <cellStyle name="Separador de milhares 12 2 3 3 2 3 2 2" xfId="11797" xr:uid="{00AF4A1C-7EC9-4F60-BE59-01422D2C8CD1}"/>
    <cellStyle name="Separador de milhares 12 2 3 3 2 3 3" xfId="8629" xr:uid="{75F86584-DB0E-48BD-BAB1-A6C2E314E437}"/>
    <cellStyle name="Separador de milhares 12 2 3 3 2 4" xfId="3889" xr:uid="{EE5353C4-1098-46C2-BFED-DAAC5B8DA4A9}"/>
    <cellStyle name="Separador de milhares 12 2 3 3 2 4 2" xfId="10228" xr:uid="{4A0A4466-038E-4B91-959F-AEC9D5DC8293}"/>
    <cellStyle name="Separador de milhares 12 2 3 3 2 5" xfId="7060" xr:uid="{71069685-3F69-4CE6-A973-68AD034F6FB9}"/>
    <cellStyle name="Separador de milhares 12 2 3 3 3" xfId="1133" xr:uid="{4465BA5A-5F4B-4386-BDDF-F14F6B2DB129}"/>
    <cellStyle name="Separador de milhares 12 2 3 3 3 2" xfId="2704" xr:uid="{D34FDA5F-FE80-4E47-951E-70037A3B24D1}"/>
    <cellStyle name="Separador de milhares 12 2 3 3 3 2 2" xfId="5874" xr:uid="{61A3FA71-E315-40B6-9539-98EB757EA29A}"/>
    <cellStyle name="Separador de milhares 12 2 3 3 3 2 2 2" xfId="12213" xr:uid="{36D7F549-7FF0-4033-A820-4BD39B057FD6}"/>
    <cellStyle name="Separador de milhares 12 2 3 3 3 2 3" xfId="9045" xr:uid="{8FA6E463-D9B5-455B-92D6-89A1F2C07FFE}"/>
    <cellStyle name="Separador de milhares 12 2 3 3 3 3" xfId="4305" xr:uid="{E14F24AB-44D5-4964-95FD-F2EA7ACD2A3F}"/>
    <cellStyle name="Separador de milhares 12 2 3 3 3 3 2" xfId="10644" xr:uid="{DFF27CD4-80DB-4EE4-B431-854DDA8861CE}"/>
    <cellStyle name="Separador de milhares 12 2 3 3 3 4" xfId="7476" xr:uid="{4C46A745-99BA-43B3-9F15-B6D3049B9020}"/>
    <cellStyle name="Separador de milhares 12 2 3 3 4" xfId="1907" xr:uid="{E89DC5FB-4530-4BB7-9D73-0F645F84D990}"/>
    <cellStyle name="Separador de milhares 12 2 3 3 4 2" xfId="5077" xr:uid="{E1F7A148-CF16-4756-9097-395697E83506}"/>
    <cellStyle name="Separador de milhares 12 2 3 3 4 2 2" xfId="11416" xr:uid="{2C1A75A5-3C39-4CF5-A84B-800B405C03AC}"/>
    <cellStyle name="Separador de milhares 12 2 3 3 4 3" xfId="8248" xr:uid="{F1597A61-22EC-443F-A983-6A538E6EE983}"/>
    <cellStyle name="Separador de milhares 12 2 3 3 5" xfId="3508" xr:uid="{3E3E5ECC-4EB8-430E-A9D0-6A117AE30700}"/>
    <cellStyle name="Separador de milhares 12 2 3 3 5 2" xfId="9847" xr:uid="{7A6B9427-CA0C-4F5D-943C-7D2B0AD0E2F7}"/>
    <cellStyle name="Separador de milhares 12 2 3 3 6" xfId="6679" xr:uid="{94C5CEDB-539C-43B2-BD50-F194E47875BA}"/>
    <cellStyle name="Separador de milhares 12 2 3 4" xfId="930" xr:uid="{E4B285E2-6F10-4921-B05D-CFADBB127422}"/>
    <cellStyle name="Separador de milhares 12 2 3 4 2" xfId="2501" xr:uid="{DE9E0219-54AA-4D31-8104-1A0D8A818448}"/>
    <cellStyle name="Separador de milhares 12 2 3 4 2 2" xfId="5671" xr:uid="{56677B32-BB32-4E26-A12A-ECA0DD15F09E}"/>
    <cellStyle name="Separador de milhares 12 2 3 4 2 2 2" xfId="12010" xr:uid="{86300317-0E63-459A-8065-E22B3F6C7A37}"/>
    <cellStyle name="Separador de milhares 12 2 3 4 2 3" xfId="8842" xr:uid="{57F1B395-6AAE-4751-932E-9F69C50F3051}"/>
    <cellStyle name="Separador de milhares 12 2 3 4 3" xfId="4102" xr:uid="{A575CB8F-9CC4-4BD2-A0DA-4DF8D8164B5D}"/>
    <cellStyle name="Separador de milhares 12 2 3 4 3 2" xfId="10441" xr:uid="{9ACCF2F9-64A0-4726-AFB9-421AC57DF9D2}"/>
    <cellStyle name="Separador de milhares 12 2 3 4 4" xfId="7273" xr:uid="{3B595948-BD7B-4CD3-9E14-0CC39DF92B12}"/>
    <cellStyle name="Separador de milhares 12 2 3 5" xfId="3305" xr:uid="{EDFAD10C-D825-4D51-9176-D10C6DDE92DE}"/>
    <cellStyle name="Separador de milhares 12 2 3 5 2" xfId="9644" xr:uid="{711A492F-B3E2-44C3-8D38-9F22156EB6B8}"/>
    <cellStyle name="Separador de milhares 12 2 3 6" xfId="6476" xr:uid="{EB07A38A-807E-4FF4-93DD-4D968AA6B14C}"/>
    <cellStyle name="Separador de milhares 12 2 4" xfId="123" xr:uid="{96508F17-ECAB-4510-817E-51C27695707C}"/>
    <cellStyle name="Separador de milhares 12 2 4 2" xfId="205" xr:uid="{A3CCA557-74E0-4C41-801A-C3C9DF620C65}"/>
    <cellStyle name="Separador de milhares 12 2 4 2 2" xfId="422" xr:uid="{DE5A90C2-AE11-486D-8A08-B7745FB033DE}"/>
    <cellStyle name="Separador de milhares 12 2 4 2 2 2" xfId="803" xr:uid="{6B72E440-C8A5-490E-9BFA-BA29E94AB848}"/>
    <cellStyle name="Separador de milhares 12 2 4 2 2 2 2" xfId="1602" xr:uid="{B4E874BB-7E8F-429A-8EF4-E87C56AF213D}"/>
    <cellStyle name="Separador de milhares 12 2 4 2 2 2 2 2" xfId="3173" xr:uid="{EE865054-DBEC-480A-A595-0C9F497B25A2}"/>
    <cellStyle name="Separador de milhares 12 2 4 2 2 2 2 2 2" xfId="6343" xr:uid="{8C4312AB-FB46-4C7B-9DD6-CFD51C67C6EE}"/>
    <cellStyle name="Separador de milhares 12 2 4 2 2 2 2 2 2 2" xfId="12682" xr:uid="{07FBD903-BE56-4234-8845-5059DFC3EE81}"/>
    <cellStyle name="Separador de milhares 12 2 4 2 2 2 2 2 3" xfId="9514" xr:uid="{83FB32D9-BBEA-4B95-B806-B5C1AA274015}"/>
    <cellStyle name="Separador de milhares 12 2 4 2 2 2 2 3" xfId="4774" xr:uid="{1B41DAEC-95AC-49F1-9C2F-61900F6CC093}"/>
    <cellStyle name="Separador de milhares 12 2 4 2 2 2 2 3 2" xfId="11113" xr:uid="{8DF05D0E-32DD-4060-9EF2-0D367E8DBEBF}"/>
    <cellStyle name="Separador de milhares 12 2 4 2 2 2 2 4" xfId="7945" xr:uid="{43E0E1C1-FA85-486B-BB74-325D4E7A5381}"/>
    <cellStyle name="Separador de milhares 12 2 4 2 2 2 3" xfId="2376" xr:uid="{A81179A4-64DA-4F59-A35C-A612F513FA9C}"/>
    <cellStyle name="Separador de milhares 12 2 4 2 2 2 3 2" xfId="5546" xr:uid="{7A491251-C8EC-4E42-806E-184BAD7F11A0}"/>
    <cellStyle name="Separador de milhares 12 2 4 2 2 2 3 2 2" xfId="11885" xr:uid="{E1E8F0DF-9CA2-404A-A83F-52CE8D869589}"/>
    <cellStyle name="Separador de milhares 12 2 4 2 2 2 3 3" xfId="8717" xr:uid="{369258B5-A967-4ABE-9267-6E990E64BE6B}"/>
    <cellStyle name="Separador de milhares 12 2 4 2 2 2 4" xfId="3977" xr:uid="{A48CACE7-B030-4DC4-BE4B-C42BBCD11B36}"/>
    <cellStyle name="Separador de milhares 12 2 4 2 2 2 4 2" xfId="10316" xr:uid="{3345D1FC-FCCE-4139-89E1-D9FC42B5416E}"/>
    <cellStyle name="Separador de milhares 12 2 4 2 2 2 5" xfId="7148" xr:uid="{1E752833-9A43-4E52-90C8-C42888D6FFAF}"/>
    <cellStyle name="Separador de milhares 12 2 4 2 2 3" xfId="1221" xr:uid="{3E360981-4FA9-4056-A4A5-9EE747928955}"/>
    <cellStyle name="Separador de milhares 12 2 4 2 2 3 2" xfId="2792" xr:uid="{0D99C186-581E-4EAE-AA75-A33131881B87}"/>
    <cellStyle name="Separador de milhares 12 2 4 2 2 3 2 2" xfId="5962" xr:uid="{EE1AC3EA-27B6-469B-9C45-A06B42CB9BAC}"/>
    <cellStyle name="Separador de milhares 12 2 4 2 2 3 2 2 2" xfId="12301" xr:uid="{51DD2813-8537-48B5-837B-0E94988C8F07}"/>
    <cellStyle name="Separador de milhares 12 2 4 2 2 3 2 3" xfId="9133" xr:uid="{425B8311-7038-4D81-8278-3D77BD1E208C}"/>
    <cellStyle name="Separador de milhares 12 2 4 2 2 3 3" xfId="4393" xr:uid="{8343EFB9-01F2-459D-9140-5E7AC5543546}"/>
    <cellStyle name="Separador de milhares 12 2 4 2 2 3 3 2" xfId="10732" xr:uid="{24DD97B3-3836-4BFC-825B-5797CA37AB4C}"/>
    <cellStyle name="Separador de milhares 12 2 4 2 2 3 4" xfId="7564" xr:uid="{B4C2D065-A7C1-4D12-8B9F-9EAE060418CA}"/>
    <cellStyle name="Separador de milhares 12 2 4 2 2 4" xfId="1995" xr:uid="{9FB7094A-CE42-4936-AED7-448B13C03C85}"/>
    <cellStyle name="Separador de milhares 12 2 4 2 2 4 2" xfId="5165" xr:uid="{6807584B-6A8D-4C23-A8B0-7AC299C96942}"/>
    <cellStyle name="Separador de milhares 12 2 4 2 2 4 2 2" xfId="11504" xr:uid="{0EE048C4-85E2-4652-8E8A-91C9846E82A5}"/>
    <cellStyle name="Separador de milhares 12 2 4 2 2 4 3" xfId="8336" xr:uid="{7934F1EC-D4ED-4243-B6CC-8D0405BFBE8E}"/>
    <cellStyle name="Separador de milhares 12 2 4 2 2 5" xfId="3596" xr:uid="{1128D196-1454-438C-B587-6CD6608833E0}"/>
    <cellStyle name="Separador de milhares 12 2 4 2 2 5 2" xfId="9935" xr:uid="{50F426FD-E28B-4570-AB87-8B31351BC469}"/>
    <cellStyle name="Separador de milhares 12 2 4 2 2 6" xfId="6767" xr:uid="{CC1A713B-C530-4A55-BA26-466CB7507A38}"/>
    <cellStyle name="Separador de milhares 12 2 4 2 3" xfId="600" xr:uid="{49566A30-F13F-428A-8AF2-768074255A9E}"/>
    <cellStyle name="Separador de milhares 12 2 4 2 3 2" xfId="1399" xr:uid="{E6D10946-69B3-4A68-9C4F-6D01ADCFBB5C}"/>
    <cellStyle name="Separador de milhares 12 2 4 2 3 2 2" xfId="2970" xr:uid="{5060D252-6BA5-4D49-B194-0B9CED01E7B8}"/>
    <cellStyle name="Separador de milhares 12 2 4 2 3 2 2 2" xfId="6140" xr:uid="{2B285750-243D-4866-B23D-029AE65F0482}"/>
    <cellStyle name="Separador de milhares 12 2 4 2 3 2 2 2 2" xfId="12479" xr:uid="{5BD9B7B2-663E-480F-80C6-80015C2C84B1}"/>
    <cellStyle name="Separador de milhares 12 2 4 2 3 2 2 3" xfId="9311" xr:uid="{B6D9A36E-E8E3-4727-A5BE-5380F4FBED48}"/>
    <cellStyle name="Separador de milhares 12 2 4 2 3 2 3" xfId="4571" xr:uid="{5D305515-2250-47E8-872D-1CF8BC1A3076}"/>
    <cellStyle name="Separador de milhares 12 2 4 2 3 2 3 2" xfId="10910" xr:uid="{B51686E9-769E-45D9-91B4-59F179DB7B90}"/>
    <cellStyle name="Separador de milhares 12 2 4 2 3 2 4" xfId="7742" xr:uid="{324CDC5D-D812-498C-BCDD-13B6E7864A6C}"/>
    <cellStyle name="Separador de milhares 12 2 4 2 3 3" xfId="2173" xr:uid="{6130FE7D-1E51-48C9-9339-3011787A16F6}"/>
    <cellStyle name="Separador de milhares 12 2 4 2 3 3 2" xfId="5343" xr:uid="{BE23E062-5733-4367-9E11-A4A71F58086E}"/>
    <cellStyle name="Separador de milhares 12 2 4 2 3 3 2 2" xfId="11682" xr:uid="{CB6C729F-36C2-488F-A4F9-BFB52F0CFC67}"/>
    <cellStyle name="Separador de milhares 12 2 4 2 3 3 3" xfId="8514" xr:uid="{D7F9903F-25C8-4C32-9CBB-5CE2F19BFB06}"/>
    <cellStyle name="Separador de milhares 12 2 4 2 3 4" xfId="3774" xr:uid="{AE93CEEE-17EB-4EC8-A604-B37D14EF7CFA}"/>
    <cellStyle name="Separador de milhares 12 2 4 2 3 4 2" xfId="10113" xr:uid="{A51091EA-CC66-4F69-B53A-D2D902F076C4}"/>
    <cellStyle name="Separador de milhares 12 2 4 2 3 5" xfId="6945" xr:uid="{97A0F632-EBCE-4769-890D-8D03ECD4A49C}"/>
    <cellStyle name="Separador de milhares 12 2 4 2 4" xfId="1018" xr:uid="{DCB326B2-2956-433B-A969-F6E007BF718E}"/>
    <cellStyle name="Separador de milhares 12 2 4 2 4 2" xfId="2589" xr:uid="{361FF1D0-9B34-4B08-9A68-FE420D9FCC77}"/>
    <cellStyle name="Separador de milhares 12 2 4 2 4 2 2" xfId="5759" xr:uid="{F63F108F-6708-4A30-910E-94240BCB94D6}"/>
    <cellStyle name="Separador de milhares 12 2 4 2 4 2 2 2" xfId="12098" xr:uid="{A1BBF01B-CD0C-43D9-AD4D-E92F5559E95A}"/>
    <cellStyle name="Separador de milhares 12 2 4 2 4 2 3" xfId="8930" xr:uid="{6C7780B9-D0ED-44ED-BF5C-DFB4ECC0C9F2}"/>
    <cellStyle name="Separador de milhares 12 2 4 2 4 3" xfId="4190" xr:uid="{FC8A1E55-04AD-4AC8-926A-8244FED66B62}"/>
    <cellStyle name="Separador de milhares 12 2 4 2 4 3 2" xfId="10529" xr:uid="{671F27C4-06FF-499C-A539-B598141E74CA}"/>
    <cellStyle name="Separador de milhares 12 2 4 2 4 4" xfId="7361" xr:uid="{7904688B-FC98-49F2-B5DD-683A8A9F0CD5}"/>
    <cellStyle name="Separador de milhares 12 2 4 2 5" xfId="1792" xr:uid="{3862F580-C516-4D68-B1DD-4234958DB328}"/>
    <cellStyle name="Separador de milhares 12 2 4 2 5 2" xfId="4962" xr:uid="{0BE01014-345C-4EB1-858B-218FAEACD032}"/>
    <cellStyle name="Separador de milhares 12 2 4 2 5 2 2" xfId="11301" xr:uid="{3083EAAE-611A-4A0F-A124-67FFD55324E2}"/>
    <cellStyle name="Separador de milhares 12 2 4 2 5 3" xfId="8133" xr:uid="{BBF063EB-67AA-47D4-B4F0-2A6EDE30AF5E}"/>
    <cellStyle name="Separador de milhares 12 2 4 2 6" xfId="3393" xr:uid="{24706560-2239-42FF-B61D-2BACD54448DA}"/>
    <cellStyle name="Separador de milhares 12 2 4 2 6 2" xfId="9732" xr:uid="{1097A28B-29D4-41A1-A7D3-CDCE3593F15F}"/>
    <cellStyle name="Separador de milhares 12 2 4 2 7" xfId="6564" xr:uid="{2B27B14D-2248-445F-8C6F-671F0650D411}"/>
    <cellStyle name="Separador de milhares 12 2 4 3" xfId="340" xr:uid="{FFDB1423-56F6-42A3-A504-6158BB06EE6B}"/>
    <cellStyle name="Separador de milhares 12 2 4 3 2" xfId="721" xr:uid="{84833E63-4292-48B0-A3E2-EA99C151C569}"/>
    <cellStyle name="Separador de milhares 12 2 4 3 2 2" xfId="1520" xr:uid="{7AB9817F-EE16-48A5-A898-19512D5AC8D6}"/>
    <cellStyle name="Separador de milhares 12 2 4 3 2 2 2" xfId="3091" xr:uid="{3DA0D299-2992-4383-A6E2-6BA42273AE01}"/>
    <cellStyle name="Separador de milhares 12 2 4 3 2 2 2 2" xfId="6261" xr:uid="{897DE89F-2921-4966-8231-73455266F5FB}"/>
    <cellStyle name="Separador de milhares 12 2 4 3 2 2 2 2 2" xfId="12600" xr:uid="{AFC89199-2D71-47FB-822D-A9F1028F8A68}"/>
    <cellStyle name="Separador de milhares 12 2 4 3 2 2 2 3" xfId="9432" xr:uid="{6BAF66D9-1F54-4AA8-8FDD-03DB5E0708F2}"/>
    <cellStyle name="Separador de milhares 12 2 4 3 2 2 3" xfId="4692" xr:uid="{2BB736DA-DC69-4B34-A4C7-C5F2A8940B63}"/>
    <cellStyle name="Separador de milhares 12 2 4 3 2 2 3 2" xfId="11031" xr:uid="{13FD1D77-DDEB-4B99-89C4-4A7A3555881E}"/>
    <cellStyle name="Separador de milhares 12 2 4 3 2 2 4" xfId="7863" xr:uid="{665DCC43-EC11-4273-BC2C-0CB27EF6EA59}"/>
    <cellStyle name="Separador de milhares 12 2 4 3 2 3" xfId="2294" xr:uid="{FA38B81F-6C40-4D52-BC1A-8223F7E58F4B}"/>
    <cellStyle name="Separador de milhares 12 2 4 3 2 3 2" xfId="5464" xr:uid="{4D0322D1-29F1-4700-9FBE-F850B7AD7081}"/>
    <cellStyle name="Separador de milhares 12 2 4 3 2 3 2 2" xfId="11803" xr:uid="{07CB2D79-C26A-4AEA-AF96-9B4F94F5FE4E}"/>
    <cellStyle name="Separador de milhares 12 2 4 3 2 3 3" xfId="8635" xr:uid="{D2CEDADE-53E4-49A5-9B7F-A77C2BA65251}"/>
    <cellStyle name="Separador de milhares 12 2 4 3 2 4" xfId="3895" xr:uid="{883A2774-73ED-4B80-B911-E70033696492}"/>
    <cellStyle name="Separador de milhares 12 2 4 3 2 4 2" xfId="10234" xr:uid="{204C8BD9-5481-4F1F-BB1C-31935504AB81}"/>
    <cellStyle name="Separador de milhares 12 2 4 3 2 5" xfId="7066" xr:uid="{6208548E-D9CD-4431-A60F-1BBE2E946A10}"/>
    <cellStyle name="Separador de milhares 12 2 4 3 3" xfId="1139" xr:uid="{86CAB449-E811-4622-AACD-8E2DCD3734CC}"/>
    <cellStyle name="Separador de milhares 12 2 4 3 3 2" xfId="2710" xr:uid="{75DD0B93-0D6F-470B-92B8-41E98007B42E}"/>
    <cellStyle name="Separador de milhares 12 2 4 3 3 2 2" xfId="5880" xr:uid="{B056FC57-CD9D-4E27-8660-9EEC33470A70}"/>
    <cellStyle name="Separador de milhares 12 2 4 3 3 2 2 2" xfId="12219" xr:uid="{772643D0-9BCA-4384-9D65-2F6B7E45E248}"/>
    <cellStyle name="Separador de milhares 12 2 4 3 3 2 3" xfId="9051" xr:uid="{85C25A49-DDEF-4725-BD24-404A4E3278B8}"/>
    <cellStyle name="Separador de milhares 12 2 4 3 3 3" xfId="4311" xr:uid="{0C7D955B-637E-4DE2-8564-3B903A3AAF5D}"/>
    <cellStyle name="Separador de milhares 12 2 4 3 3 3 2" xfId="10650" xr:uid="{23950E4F-66DA-4102-88B9-658AF103F9F3}"/>
    <cellStyle name="Separador de milhares 12 2 4 3 3 4" xfId="7482" xr:uid="{63FD19F0-D34E-469D-BC26-DC10D338025D}"/>
    <cellStyle name="Separador de milhares 12 2 4 3 4" xfId="1913" xr:uid="{CB2F196A-FF88-4C21-BA7D-4E0597894299}"/>
    <cellStyle name="Separador de milhares 12 2 4 3 4 2" xfId="5083" xr:uid="{6C6DF46C-FB42-45B7-8A36-4721A4162D6E}"/>
    <cellStyle name="Separador de milhares 12 2 4 3 4 2 2" xfId="11422" xr:uid="{498142F5-85E7-4E09-8ED0-7C487CF2A891}"/>
    <cellStyle name="Separador de milhares 12 2 4 3 4 3" xfId="8254" xr:uid="{0C2F06CA-55B2-4C32-8001-38D4E0FA7D3A}"/>
    <cellStyle name="Separador de milhares 12 2 4 3 5" xfId="3514" xr:uid="{FEA3E242-FCEA-4DF9-A343-662DD26DE949}"/>
    <cellStyle name="Separador de milhares 12 2 4 3 5 2" xfId="9853" xr:uid="{2F903CCE-DE37-446D-87C1-9BB97ABA7ECF}"/>
    <cellStyle name="Separador de milhares 12 2 4 3 6" xfId="6685" xr:uid="{B09E8D3F-95C3-4893-8B53-52D39BF1ACE9}"/>
    <cellStyle name="Separador de milhares 12 2 4 4" xfId="936" xr:uid="{FD08AF64-431E-4374-AD3B-B64569DBE932}"/>
    <cellStyle name="Separador de milhares 12 2 4 4 2" xfId="2507" xr:uid="{27CB14E8-7ACE-46DF-B63B-BC30B387712E}"/>
    <cellStyle name="Separador de milhares 12 2 4 4 2 2" xfId="5677" xr:uid="{5833BE10-80A6-41BC-9075-ED05A523B18B}"/>
    <cellStyle name="Separador de milhares 12 2 4 4 2 2 2" xfId="12016" xr:uid="{4F7F2E6D-CC5C-438D-A7AC-6D9AE1D4FFD0}"/>
    <cellStyle name="Separador de milhares 12 2 4 4 2 3" xfId="8848" xr:uid="{C9CC46F6-CB3C-4547-A512-F6A13AB08196}"/>
    <cellStyle name="Separador de milhares 12 2 4 4 3" xfId="4108" xr:uid="{81A9ADF0-2326-47AB-B08F-ABBBB6CC6087}"/>
    <cellStyle name="Separador de milhares 12 2 4 4 3 2" xfId="10447" xr:uid="{74F2709B-F2EF-4B4A-AF67-486C7D1F6848}"/>
    <cellStyle name="Separador de milhares 12 2 4 4 4" xfId="7279" xr:uid="{D7AFA84F-62A6-4060-BC09-9687917E9565}"/>
    <cellStyle name="Separador de milhares 12 2 4 5" xfId="3311" xr:uid="{A2D29792-D24B-4799-B1A1-4DCE18EC3611}"/>
    <cellStyle name="Separador de milhares 12 2 4 5 2" xfId="9650" xr:uid="{C1BF6B7F-ACB0-4262-9071-33099E6C7275}"/>
    <cellStyle name="Separador de milhares 12 2 4 6" xfId="6482" xr:uid="{84B96D1F-4C0F-4DE8-979F-8950F07C9364}"/>
    <cellStyle name="Separador de milhares 12 2 5" xfId="129" xr:uid="{8394817A-44E5-41C7-8626-BCFD3DD09074}"/>
    <cellStyle name="Separador de milhares 12 2 5 2" xfId="210" xr:uid="{7D9280A2-72BB-409A-BC1C-BB705CF16382}"/>
    <cellStyle name="Separador de milhares 12 2 5 2 2" xfId="427" xr:uid="{4CD572B2-B4ED-44BB-8F19-8CF5A78E76FB}"/>
    <cellStyle name="Separador de milhares 12 2 5 2 2 2" xfId="808" xr:uid="{A631AC61-F55B-4D66-9613-AC9F1F77103D}"/>
    <cellStyle name="Separador de milhares 12 2 5 2 2 2 2" xfId="1607" xr:uid="{788B77C6-D721-44B7-8DBE-DCCC4BEAB6F0}"/>
    <cellStyle name="Separador de milhares 12 2 5 2 2 2 2 2" xfId="3178" xr:uid="{7818EC8F-7741-4A49-8DD1-E428FB1A51C2}"/>
    <cellStyle name="Separador de milhares 12 2 5 2 2 2 2 2 2" xfId="6348" xr:uid="{9BF4ADA8-2935-437E-AA09-E6B8F524FB1E}"/>
    <cellStyle name="Separador de milhares 12 2 5 2 2 2 2 2 2 2" xfId="12687" xr:uid="{02E0BEF5-F680-44B5-AA2F-3404601F212F}"/>
    <cellStyle name="Separador de milhares 12 2 5 2 2 2 2 2 3" xfId="9519" xr:uid="{05926CCA-DD6D-4437-9309-FF423CC38989}"/>
    <cellStyle name="Separador de milhares 12 2 5 2 2 2 2 3" xfId="4779" xr:uid="{27ACB9E4-BEE3-4B90-A3C9-CA0CA429AAFB}"/>
    <cellStyle name="Separador de milhares 12 2 5 2 2 2 2 3 2" xfId="11118" xr:uid="{4E32DA8C-CBA4-465C-832E-08A7FA5F3217}"/>
    <cellStyle name="Separador de milhares 12 2 5 2 2 2 2 4" xfId="7950" xr:uid="{6FF4D113-8F61-4550-A74C-F9FF26B9C5D2}"/>
    <cellStyle name="Separador de milhares 12 2 5 2 2 2 3" xfId="2381" xr:uid="{882BF321-BA20-49AC-976A-26EAA0F3D362}"/>
    <cellStyle name="Separador de milhares 12 2 5 2 2 2 3 2" xfId="5551" xr:uid="{51736A8F-82D0-44D4-AF73-67A8588B5CB5}"/>
    <cellStyle name="Separador de milhares 12 2 5 2 2 2 3 2 2" xfId="11890" xr:uid="{D7B8F2CD-F359-48B3-B3AA-0EEF6FE77885}"/>
    <cellStyle name="Separador de milhares 12 2 5 2 2 2 3 3" xfId="8722" xr:uid="{0B4A35D5-9857-477F-8484-FF0D788E8FA2}"/>
    <cellStyle name="Separador de milhares 12 2 5 2 2 2 4" xfId="3982" xr:uid="{599737A8-F9B2-4BB5-B150-6A92F6C90788}"/>
    <cellStyle name="Separador de milhares 12 2 5 2 2 2 4 2" xfId="10321" xr:uid="{8FD1704A-3141-4BCA-B7E4-2316F0A83F01}"/>
    <cellStyle name="Separador de milhares 12 2 5 2 2 2 5" xfId="7153" xr:uid="{DD706046-5E6B-4AFF-8963-41ED68BD716B}"/>
    <cellStyle name="Separador de milhares 12 2 5 2 2 3" xfId="1226" xr:uid="{0CD80DA5-E87A-4F43-8513-31C103450092}"/>
    <cellStyle name="Separador de milhares 12 2 5 2 2 3 2" xfId="2797" xr:uid="{DC7C1192-BFF4-46EF-A242-9635295A65B0}"/>
    <cellStyle name="Separador de milhares 12 2 5 2 2 3 2 2" xfId="5967" xr:uid="{E175BE49-702E-474F-AAF0-45B5B3886275}"/>
    <cellStyle name="Separador de milhares 12 2 5 2 2 3 2 2 2" xfId="12306" xr:uid="{A32850C4-C6BD-4899-87A5-326EC5A3DCBE}"/>
    <cellStyle name="Separador de milhares 12 2 5 2 2 3 2 3" xfId="9138" xr:uid="{83B917FA-F6A6-48E4-A243-7DB8832137F5}"/>
    <cellStyle name="Separador de milhares 12 2 5 2 2 3 3" xfId="4398" xr:uid="{70C926AE-14ED-4194-AC12-CFE36E625F61}"/>
    <cellStyle name="Separador de milhares 12 2 5 2 2 3 3 2" xfId="10737" xr:uid="{6540585A-ED8A-4D3F-B3C0-9AC3ECB4C44B}"/>
    <cellStyle name="Separador de milhares 12 2 5 2 2 3 4" xfId="7569" xr:uid="{8A1540F9-B378-4F4C-AB2E-35C1CA9DE351}"/>
    <cellStyle name="Separador de milhares 12 2 5 2 2 4" xfId="2000" xr:uid="{23E578CF-15AE-4FE3-9814-EA6B83B4FA1F}"/>
    <cellStyle name="Separador de milhares 12 2 5 2 2 4 2" xfId="5170" xr:uid="{8F647603-4F5A-4974-B079-D1D5A11A8FF0}"/>
    <cellStyle name="Separador de milhares 12 2 5 2 2 4 2 2" xfId="11509" xr:uid="{5966A50A-E4C2-449B-A086-7C97D83D2AAE}"/>
    <cellStyle name="Separador de milhares 12 2 5 2 2 4 3" xfId="8341" xr:uid="{12E00038-6ADD-41D9-B093-0493CD9CCAD0}"/>
    <cellStyle name="Separador de milhares 12 2 5 2 2 5" xfId="3601" xr:uid="{2CE6708F-0E86-49B0-8269-9E0EF631ABB5}"/>
    <cellStyle name="Separador de milhares 12 2 5 2 2 5 2" xfId="9940" xr:uid="{50836DD1-0844-417D-9EA2-E847BAB75A22}"/>
    <cellStyle name="Separador de milhares 12 2 5 2 2 6" xfId="6772" xr:uid="{A0EE2AED-7F89-4351-8A46-780CF173C23F}"/>
    <cellStyle name="Separador de milhares 12 2 5 2 3" xfId="605" xr:uid="{776451E7-6660-4FE6-9D51-9FEB0419E7BE}"/>
    <cellStyle name="Separador de milhares 12 2 5 2 3 2" xfId="1404" xr:uid="{245E96F4-91C1-4885-8334-098F3B706BEC}"/>
    <cellStyle name="Separador de milhares 12 2 5 2 3 2 2" xfId="2975" xr:uid="{E791DD05-92F0-478B-A037-0DE2528B504F}"/>
    <cellStyle name="Separador de milhares 12 2 5 2 3 2 2 2" xfId="6145" xr:uid="{C64F0624-E101-49D9-BA75-9DA0D92717A1}"/>
    <cellStyle name="Separador de milhares 12 2 5 2 3 2 2 2 2" xfId="12484" xr:uid="{F0CDC913-4ECE-40E4-8EB0-C91D6CE6AFBD}"/>
    <cellStyle name="Separador de milhares 12 2 5 2 3 2 2 3" xfId="9316" xr:uid="{454E07DE-4EEE-4A58-86BD-DEBAD713F1F2}"/>
    <cellStyle name="Separador de milhares 12 2 5 2 3 2 3" xfId="4576" xr:uid="{03F967DB-D1D6-42A9-A6E4-0C2DEE0859B3}"/>
    <cellStyle name="Separador de milhares 12 2 5 2 3 2 3 2" xfId="10915" xr:uid="{1287CA4A-0DFE-469B-A112-A1FADADB20E2}"/>
    <cellStyle name="Separador de milhares 12 2 5 2 3 2 4" xfId="7747" xr:uid="{DD02D19D-5FA6-4F25-990F-D75029E00F2E}"/>
    <cellStyle name="Separador de milhares 12 2 5 2 3 3" xfId="2178" xr:uid="{E0B1E938-C980-481C-B6B5-4D8AFCC742D3}"/>
    <cellStyle name="Separador de milhares 12 2 5 2 3 3 2" xfId="5348" xr:uid="{A141DDCF-8E2F-433A-BC00-62D262E4CC5F}"/>
    <cellStyle name="Separador de milhares 12 2 5 2 3 3 2 2" xfId="11687" xr:uid="{A88A1D31-C904-46D9-ADE3-23F3805A1DED}"/>
    <cellStyle name="Separador de milhares 12 2 5 2 3 3 3" xfId="8519" xr:uid="{7D1F346D-25A7-49BF-83B2-9D1FAF278F17}"/>
    <cellStyle name="Separador de milhares 12 2 5 2 3 4" xfId="3779" xr:uid="{ABB2C1BC-4BF0-4056-8307-DE0569DDDDBE}"/>
    <cellStyle name="Separador de milhares 12 2 5 2 3 4 2" xfId="10118" xr:uid="{50C2A922-E09B-4F8C-912A-0D143EB4187A}"/>
    <cellStyle name="Separador de milhares 12 2 5 2 3 5" xfId="6950" xr:uid="{37E8595E-45D2-4182-BD1C-723E44FEF905}"/>
    <cellStyle name="Separador de milhares 12 2 5 2 4" xfId="1023" xr:uid="{C306AC49-0CB9-479A-B442-F922D65EF30F}"/>
    <cellStyle name="Separador de milhares 12 2 5 2 4 2" xfId="2594" xr:uid="{6E88C228-F921-4332-BBD6-8A69B2EF70A8}"/>
    <cellStyle name="Separador de milhares 12 2 5 2 4 2 2" xfId="5764" xr:uid="{5EB82C8E-D47F-4D12-86FE-B23AE0327169}"/>
    <cellStyle name="Separador de milhares 12 2 5 2 4 2 2 2" xfId="12103" xr:uid="{94D2B5C8-6210-4721-9620-24560385F88B}"/>
    <cellStyle name="Separador de milhares 12 2 5 2 4 2 3" xfId="8935" xr:uid="{AE6CF23A-1462-467C-A445-5B8E1C02B246}"/>
    <cellStyle name="Separador de milhares 12 2 5 2 4 3" xfId="4195" xr:uid="{FF4F699E-557D-46FE-A62E-E7E95E8CC7CA}"/>
    <cellStyle name="Separador de milhares 12 2 5 2 4 3 2" xfId="10534" xr:uid="{324077DA-7CAB-4182-B35C-D33CB99AB25E}"/>
    <cellStyle name="Separador de milhares 12 2 5 2 4 4" xfId="7366" xr:uid="{982E6A3E-3BB8-4A72-9D7D-C8FACDF5ACB5}"/>
    <cellStyle name="Separador de milhares 12 2 5 2 5" xfId="1797" xr:uid="{CC6BE3FF-0CD1-41AD-A8FB-B1C24611B056}"/>
    <cellStyle name="Separador de milhares 12 2 5 2 5 2" xfId="4967" xr:uid="{5FFD1494-917C-4C7E-BDB0-0C7BA4032A19}"/>
    <cellStyle name="Separador de milhares 12 2 5 2 5 2 2" xfId="11306" xr:uid="{FA3689FA-5D2A-4AAE-9E9C-654F275F7E10}"/>
    <cellStyle name="Separador de milhares 12 2 5 2 5 3" xfId="8138" xr:uid="{E0F5AB44-9427-4DB0-8358-2578E96BEDEE}"/>
    <cellStyle name="Separador de milhares 12 2 5 2 6" xfId="3398" xr:uid="{524BA6EA-7763-4BA3-88B1-93DD18001CAF}"/>
    <cellStyle name="Separador de milhares 12 2 5 2 6 2" xfId="9737" xr:uid="{38175890-1192-435C-845F-10B81EDAF52B}"/>
    <cellStyle name="Separador de milhares 12 2 5 2 7" xfId="6569" xr:uid="{CE100920-664B-49EE-A80F-66D1F445CAD8}"/>
    <cellStyle name="Separador de milhares 12 2 5 3" xfId="346" xr:uid="{7EF6AFEB-C054-4E4D-A9E0-CF41DA4DD8CA}"/>
    <cellStyle name="Separador de milhares 12 2 5 3 2" xfId="727" xr:uid="{25C12057-95DA-4846-9160-4268BF81ADA0}"/>
    <cellStyle name="Separador de milhares 12 2 5 3 2 2" xfId="1526" xr:uid="{B9768D20-821D-4B73-8A77-5A31CF69D8D5}"/>
    <cellStyle name="Separador de milhares 12 2 5 3 2 2 2" xfId="3097" xr:uid="{9079DB66-C42F-4B0A-855C-674F6A2A66A4}"/>
    <cellStyle name="Separador de milhares 12 2 5 3 2 2 2 2" xfId="6267" xr:uid="{780A9F2A-A527-4F63-AA16-6916D4B0E655}"/>
    <cellStyle name="Separador de milhares 12 2 5 3 2 2 2 2 2" xfId="12606" xr:uid="{79C4D18D-33D4-47E9-8A47-CFD732FA8A95}"/>
    <cellStyle name="Separador de milhares 12 2 5 3 2 2 2 3" xfId="9438" xr:uid="{DE32AA24-E92A-411E-89BA-31924DFAA1AB}"/>
    <cellStyle name="Separador de milhares 12 2 5 3 2 2 3" xfId="4698" xr:uid="{ACE127AB-711E-4A02-8EEF-35D52E726858}"/>
    <cellStyle name="Separador de milhares 12 2 5 3 2 2 3 2" xfId="11037" xr:uid="{C61299F5-CAAA-4716-BB59-67670E3BFFE7}"/>
    <cellStyle name="Separador de milhares 12 2 5 3 2 2 4" xfId="7869" xr:uid="{31D9896C-A13F-46B8-8CB4-51422090FB8B}"/>
    <cellStyle name="Separador de milhares 12 2 5 3 2 3" xfId="2300" xr:uid="{1343A146-5D1C-4ED9-9CD7-BDD5FD704011}"/>
    <cellStyle name="Separador de milhares 12 2 5 3 2 3 2" xfId="5470" xr:uid="{794BF233-1510-4370-9C8A-E345FE5545B9}"/>
    <cellStyle name="Separador de milhares 12 2 5 3 2 3 2 2" xfId="11809" xr:uid="{053D1319-B8A6-4B6C-9B9D-F1BFC83F6E3B}"/>
    <cellStyle name="Separador de milhares 12 2 5 3 2 3 3" xfId="8641" xr:uid="{2EC093F0-A7BB-4E58-946D-D8B29D8ECC68}"/>
    <cellStyle name="Separador de milhares 12 2 5 3 2 4" xfId="3901" xr:uid="{655A0809-B146-46C5-B650-26F5A68A0E91}"/>
    <cellStyle name="Separador de milhares 12 2 5 3 2 4 2" xfId="10240" xr:uid="{D72CA919-1956-41A4-81EB-EF161C37128D}"/>
    <cellStyle name="Separador de milhares 12 2 5 3 2 5" xfId="7072" xr:uid="{A54D43A2-B458-4352-A84E-198CA918B80E}"/>
    <cellStyle name="Separador de milhares 12 2 5 3 3" xfId="1145" xr:uid="{6EAA52E2-4E99-4F75-BA60-E78245DFFD20}"/>
    <cellStyle name="Separador de milhares 12 2 5 3 3 2" xfId="2716" xr:uid="{01F17ED1-906E-424C-884D-FFF4653C699F}"/>
    <cellStyle name="Separador de milhares 12 2 5 3 3 2 2" xfId="5886" xr:uid="{82E16E4A-7FC4-44C7-99EC-6DB637DB16A7}"/>
    <cellStyle name="Separador de milhares 12 2 5 3 3 2 2 2" xfId="12225" xr:uid="{785EC845-66F9-4CCA-9FC2-6E358DA9661E}"/>
    <cellStyle name="Separador de milhares 12 2 5 3 3 2 3" xfId="9057" xr:uid="{06CCC18D-20DD-41CB-8BA0-1EDF09147081}"/>
    <cellStyle name="Separador de milhares 12 2 5 3 3 3" xfId="4317" xr:uid="{6D9942C3-C83D-4808-9FBF-AC09FFAE2DCA}"/>
    <cellStyle name="Separador de milhares 12 2 5 3 3 3 2" xfId="10656" xr:uid="{48065014-4483-4EEC-B384-ABC53CA2F388}"/>
    <cellStyle name="Separador de milhares 12 2 5 3 3 4" xfId="7488" xr:uid="{9E93AD4A-5B49-4C43-97FC-9865286374D8}"/>
    <cellStyle name="Separador de milhares 12 2 5 3 4" xfId="1919" xr:uid="{7F96DD42-BD4C-4A1C-AF3F-6D6728A859AA}"/>
    <cellStyle name="Separador de milhares 12 2 5 3 4 2" xfId="5089" xr:uid="{B7119845-178D-417E-B422-808802AD3A44}"/>
    <cellStyle name="Separador de milhares 12 2 5 3 4 2 2" xfId="11428" xr:uid="{F89C9959-570D-4AC0-B1DE-5A72ECB00F6E}"/>
    <cellStyle name="Separador de milhares 12 2 5 3 4 3" xfId="8260" xr:uid="{373505CD-0DAE-48DE-82CB-DFE19575A1F7}"/>
    <cellStyle name="Separador de milhares 12 2 5 3 5" xfId="3520" xr:uid="{BF639996-B674-4538-B715-3561A1967966}"/>
    <cellStyle name="Separador de milhares 12 2 5 3 5 2" xfId="9859" xr:uid="{B6E5C6E3-7691-43CA-882C-F37340E83781}"/>
    <cellStyle name="Separador de milhares 12 2 5 3 6" xfId="6691" xr:uid="{BBD38446-9DA0-4A6E-AB98-14F3ABCAC28B}"/>
    <cellStyle name="Separador de milhares 12 2 5 4" xfId="942" xr:uid="{26BD9EB1-36E3-4313-842C-68C6371C5000}"/>
    <cellStyle name="Separador de milhares 12 2 5 4 2" xfId="2513" xr:uid="{321EBF87-D54D-4A0D-8ADA-0407182794B3}"/>
    <cellStyle name="Separador de milhares 12 2 5 4 2 2" xfId="5683" xr:uid="{7E4750AE-B2FA-4D5A-8E75-4D137D8A44BB}"/>
    <cellStyle name="Separador de milhares 12 2 5 4 2 2 2" xfId="12022" xr:uid="{5845488D-D089-4AB3-865E-5AF66C5070EF}"/>
    <cellStyle name="Separador de milhares 12 2 5 4 2 3" xfId="8854" xr:uid="{95F1112E-35AE-45EF-B494-CF374B310934}"/>
    <cellStyle name="Separador de milhares 12 2 5 4 3" xfId="4114" xr:uid="{B2CCDA00-FA64-4F7E-9BA5-A12F6078A7C4}"/>
    <cellStyle name="Separador de milhares 12 2 5 4 3 2" xfId="10453" xr:uid="{5C49D07C-D6A1-4648-950F-C542CAE6B73E}"/>
    <cellStyle name="Separador de milhares 12 2 5 4 4" xfId="7285" xr:uid="{C168E724-3559-4F87-BBCF-08176E0E7DE8}"/>
    <cellStyle name="Separador de milhares 12 2 5 5" xfId="3317" xr:uid="{978D344A-9021-41E7-815F-BE0F4F46DB06}"/>
    <cellStyle name="Separador de milhares 12 2 5 5 2" xfId="9656" xr:uid="{830C5C94-2A3A-441A-AED1-2CF4F7B7FF1F}"/>
    <cellStyle name="Separador de milhares 12 2 5 6" xfId="6488" xr:uid="{4BD5D461-BFA9-4688-9EB3-3FFFEC879D4D}"/>
    <cellStyle name="Separador de milhares 12 2 6" xfId="134" xr:uid="{768EE9E3-9258-4D21-8CFB-1D94D2FCF4C3}"/>
    <cellStyle name="Separador de milhares 12 2 6 2" xfId="215" xr:uid="{F8F6748E-4935-412B-B67E-C7E0EAB3CA85}"/>
    <cellStyle name="Separador de milhares 12 2 6 2 2" xfId="432" xr:uid="{AE8F4BAB-AB94-46F7-83EE-2A2AE58E94A6}"/>
    <cellStyle name="Separador de milhares 12 2 6 2 2 2" xfId="813" xr:uid="{0B4EEFCE-62AB-46EA-8EB0-2668A3890859}"/>
    <cellStyle name="Separador de milhares 12 2 6 2 2 2 2" xfId="1612" xr:uid="{498E587E-BAFE-4F8A-9D3A-CC27EB28471C}"/>
    <cellStyle name="Separador de milhares 12 2 6 2 2 2 2 2" xfId="3183" xr:uid="{15E7F45F-531E-43E5-822C-986237CD2DA5}"/>
    <cellStyle name="Separador de milhares 12 2 6 2 2 2 2 2 2" xfId="6353" xr:uid="{558979F3-30FB-4A4A-8557-905BD60CB0DE}"/>
    <cellStyle name="Separador de milhares 12 2 6 2 2 2 2 2 2 2" xfId="12692" xr:uid="{8020DB67-D881-4D95-937A-771CCD480FDF}"/>
    <cellStyle name="Separador de milhares 12 2 6 2 2 2 2 2 3" xfId="9524" xr:uid="{CFC5BC18-9978-4FFD-8DEB-67A5E1F47EBE}"/>
    <cellStyle name="Separador de milhares 12 2 6 2 2 2 2 3" xfId="4784" xr:uid="{B818AB3F-0040-48FB-BD0F-DEF63BF51AE5}"/>
    <cellStyle name="Separador de milhares 12 2 6 2 2 2 2 3 2" xfId="11123" xr:uid="{0DF788EA-9F16-46B4-BD8A-F80CA37F3BA9}"/>
    <cellStyle name="Separador de milhares 12 2 6 2 2 2 2 4" xfId="7955" xr:uid="{BBA40774-73EE-46C7-A379-4049D82B6CEB}"/>
    <cellStyle name="Separador de milhares 12 2 6 2 2 2 3" xfId="2386" xr:uid="{8C453863-624D-472F-ADBA-990EFFD3C14E}"/>
    <cellStyle name="Separador de milhares 12 2 6 2 2 2 3 2" xfId="5556" xr:uid="{4E143377-D65D-4633-9530-27546BC2F9CC}"/>
    <cellStyle name="Separador de milhares 12 2 6 2 2 2 3 2 2" xfId="11895" xr:uid="{506D4B6E-BC67-44F8-920F-CCE106134408}"/>
    <cellStyle name="Separador de milhares 12 2 6 2 2 2 3 3" xfId="8727" xr:uid="{6D77BA7D-A1E9-4845-B49F-FA534B0BB439}"/>
    <cellStyle name="Separador de milhares 12 2 6 2 2 2 4" xfId="3987" xr:uid="{0AF8CD93-206A-43C3-85FF-904A7113912D}"/>
    <cellStyle name="Separador de milhares 12 2 6 2 2 2 4 2" xfId="10326" xr:uid="{EB349A04-A9BE-4064-B27C-30CADC173298}"/>
    <cellStyle name="Separador de milhares 12 2 6 2 2 2 5" xfId="7158" xr:uid="{7B91A20B-4E81-43D3-9E5F-CAF115A35400}"/>
    <cellStyle name="Separador de milhares 12 2 6 2 2 3" xfId="1231" xr:uid="{0DA3707B-FCBE-4446-8E87-8BB29B072F1D}"/>
    <cellStyle name="Separador de milhares 12 2 6 2 2 3 2" xfId="2802" xr:uid="{AB7EED87-E3DE-43C9-954C-AE625F2DDE9E}"/>
    <cellStyle name="Separador de milhares 12 2 6 2 2 3 2 2" xfId="5972" xr:uid="{382EBB57-70CB-4474-B51F-74D5D813A138}"/>
    <cellStyle name="Separador de milhares 12 2 6 2 2 3 2 2 2" xfId="12311" xr:uid="{350B7C75-D28F-4FF2-96D3-3DAFC2BBE891}"/>
    <cellStyle name="Separador de milhares 12 2 6 2 2 3 2 3" xfId="9143" xr:uid="{E1D9648F-DB57-4521-A034-4278FB7831D4}"/>
    <cellStyle name="Separador de milhares 12 2 6 2 2 3 3" xfId="4403" xr:uid="{268D69B2-4B4F-4D20-AFCE-4A56A9EA7601}"/>
    <cellStyle name="Separador de milhares 12 2 6 2 2 3 3 2" xfId="10742" xr:uid="{43C888C6-2F56-4375-AA95-D168F4DF6F9E}"/>
    <cellStyle name="Separador de milhares 12 2 6 2 2 3 4" xfId="7574" xr:uid="{BF6DB925-7F78-49F8-8ED5-333184B7C041}"/>
    <cellStyle name="Separador de milhares 12 2 6 2 2 4" xfId="2005" xr:uid="{E3A27F81-6A0F-4375-934B-9648AD75F9DE}"/>
    <cellStyle name="Separador de milhares 12 2 6 2 2 4 2" xfId="5175" xr:uid="{A909B443-A2BE-45B6-AE33-891F681E6ABE}"/>
    <cellStyle name="Separador de milhares 12 2 6 2 2 4 2 2" xfId="11514" xr:uid="{7BF0C099-6761-4720-B689-08F2FE7DE6C4}"/>
    <cellStyle name="Separador de milhares 12 2 6 2 2 4 3" xfId="8346" xr:uid="{7B7B58D4-BF60-4589-A138-BA6FC49078FA}"/>
    <cellStyle name="Separador de milhares 12 2 6 2 2 5" xfId="3606" xr:uid="{798F5ACA-A6F4-44A9-8085-4272F66C77BF}"/>
    <cellStyle name="Separador de milhares 12 2 6 2 2 5 2" xfId="9945" xr:uid="{6992B750-7B58-418B-8CE9-77B52DCE7078}"/>
    <cellStyle name="Separador de milhares 12 2 6 2 2 6" xfId="6777" xr:uid="{60172765-30D2-433B-B667-C1F45D0A1B90}"/>
    <cellStyle name="Separador de milhares 12 2 6 2 3" xfId="610" xr:uid="{FFF26FF7-D8BB-47B0-A950-AFC97460F5C9}"/>
    <cellStyle name="Separador de milhares 12 2 6 2 3 2" xfId="1409" xr:uid="{D27D87DF-2439-4B15-9F16-3596DA20A794}"/>
    <cellStyle name="Separador de milhares 12 2 6 2 3 2 2" xfId="2980" xr:uid="{2F8AB9A3-8047-4CA3-84AC-E64E5B3F74A8}"/>
    <cellStyle name="Separador de milhares 12 2 6 2 3 2 2 2" xfId="6150" xr:uid="{54155EF9-40AB-42A4-AB8D-0D8B888365ED}"/>
    <cellStyle name="Separador de milhares 12 2 6 2 3 2 2 2 2" xfId="12489" xr:uid="{02F5985D-1E7C-4816-8F8C-5411B3D2A964}"/>
    <cellStyle name="Separador de milhares 12 2 6 2 3 2 2 3" xfId="9321" xr:uid="{F54162A6-0656-416E-B4FE-40A98069A484}"/>
    <cellStyle name="Separador de milhares 12 2 6 2 3 2 3" xfId="4581" xr:uid="{A4C465B2-C7C3-4B99-9D83-344B812A070E}"/>
    <cellStyle name="Separador de milhares 12 2 6 2 3 2 3 2" xfId="10920" xr:uid="{CF6F9844-E605-4C3C-A568-D9104E96085F}"/>
    <cellStyle name="Separador de milhares 12 2 6 2 3 2 4" xfId="7752" xr:uid="{5877720D-ED91-4FF2-8049-9A78D88C9B46}"/>
    <cellStyle name="Separador de milhares 12 2 6 2 3 3" xfId="2183" xr:uid="{7D010D4A-AC4D-42AD-807A-935448B875BE}"/>
    <cellStyle name="Separador de milhares 12 2 6 2 3 3 2" xfId="5353" xr:uid="{9FC9EE32-032B-42D5-8FF1-E36C2AE6247C}"/>
    <cellStyle name="Separador de milhares 12 2 6 2 3 3 2 2" xfId="11692" xr:uid="{3366D5EA-BFFF-480C-8BD8-4EADC723D5EE}"/>
    <cellStyle name="Separador de milhares 12 2 6 2 3 3 3" xfId="8524" xr:uid="{C62A2D26-A04C-469B-AB7C-9A7CE44DCC3F}"/>
    <cellStyle name="Separador de milhares 12 2 6 2 3 4" xfId="3784" xr:uid="{73F230A0-D237-4D1A-8469-EEA9C40E53E6}"/>
    <cellStyle name="Separador de milhares 12 2 6 2 3 4 2" xfId="10123" xr:uid="{E23ACEA9-EAED-4DB3-A102-CBAB1AC0C5CE}"/>
    <cellStyle name="Separador de milhares 12 2 6 2 3 5" xfId="6955" xr:uid="{0788378C-EE76-4FA6-B7FE-27F2FFB1A013}"/>
    <cellStyle name="Separador de milhares 12 2 6 2 4" xfId="1028" xr:uid="{F163E05A-9BFA-4B98-B0EC-3D16AD12E4A5}"/>
    <cellStyle name="Separador de milhares 12 2 6 2 4 2" xfId="2599" xr:uid="{2DBD53AD-71FB-440E-A33F-92857601D8C1}"/>
    <cellStyle name="Separador de milhares 12 2 6 2 4 2 2" xfId="5769" xr:uid="{9C39AB71-9A8F-4BD6-9EBA-2EA5F4D9BAAA}"/>
    <cellStyle name="Separador de milhares 12 2 6 2 4 2 2 2" xfId="12108" xr:uid="{029C5895-669D-4B3A-B632-5D3E424159D1}"/>
    <cellStyle name="Separador de milhares 12 2 6 2 4 2 3" xfId="8940" xr:uid="{2C7C5BE2-9D70-4575-ACB3-C71B3DD2D7DB}"/>
    <cellStyle name="Separador de milhares 12 2 6 2 4 3" xfId="4200" xr:uid="{4A7641F5-C344-4959-A7E8-450EAEBFBDDC}"/>
    <cellStyle name="Separador de milhares 12 2 6 2 4 3 2" xfId="10539" xr:uid="{74F0570F-B30A-47F3-ADC4-416C00853ECF}"/>
    <cellStyle name="Separador de milhares 12 2 6 2 4 4" xfId="7371" xr:uid="{7C71D37C-3ED2-4584-B11F-40D7CC45B62E}"/>
    <cellStyle name="Separador de milhares 12 2 6 2 5" xfId="1802" xr:uid="{67ACD007-0193-4F95-9513-855C51A65355}"/>
    <cellStyle name="Separador de milhares 12 2 6 2 5 2" xfId="4972" xr:uid="{DCDBCFDE-CF37-419F-9FB7-E9ED426802C9}"/>
    <cellStyle name="Separador de milhares 12 2 6 2 5 2 2" xfId="11311" xr:uid="{0CB2E08A-AE3B-4743-A9CF-A8EB355916AD}"/>
    <cellStyle name="Separador de milhares 12 2 6 2 5 3" xfId="8143" xr:uid="{39EC9113-6030-4322-BAA5-7B6C57FACFD2}"/>
    <cellStyle name="Separador de milhares 12 2 6 2 6" xfId="3403" xr:uid="{11B78CB9-CAEB-4D22-B3AF-0983509262B7}"/>
    <cellStyle name="Separador de milhares 12 2 6 2 6 2" xfId="9742" xr:uid="{7D7581CD-8ADC-49EA-B55B-47471170ED95}"/>
    <cellStyle name="Separador de milhares 12 2 6 2 7" xfId="6574" xr:uid="{72837475-5BC7-4DC2-917D-25CD6EEDBF39}"/>
    <cellStyle name="Separador de milhares 12 2 6 3" xfId="351" xr:uid="{3DD9D2B4-AF59-48A9-A971-A4F1A25A6500}"/>
    <cellStyle name="Separador de milhares 12 2 6 3 2" xfId="732" xr:uid="{D01B7C68-65F0-4CFA-84A0-0A871D7908BB}"/>
    <cellStyle name="Separador de milhares 12 2 6 3 2 2" xfId="1531" xr:uid="{69D89CBF-7D3B-4914-B123-E7C5F5A72692}"/>
    <cellStyle name="Separador de milhares 12 2 6 3 2 2 2" xfId="3102" xr:uid="{127ABC2A-9839-4471-BF17-3C73554F4F14}"/>
    <cellStyle name="Separador de milhares 12 2 6 3 2 2 2 2" xfId="6272" xr:uid="{ECB53419-CCE0-4DA7-94C2-003778644F64}"/>
    <cellStyle name="Separador de milhares 12 2 6 3 2 2 2 2 2" xfId="12611" xr:uid="{5FA972A1-FEB9-4EC3-B186-CE93E7068186}"/>
    <cellStyle name="Separador de milhares 12 2 6 3 2 2 2 3" xfId="9443" xr:uid="{3E22DA00-649B-49B3-8902-28A0223C9D16}"/>
    <cellStyle name="Separador de milhares 12 2 6 3 2 2 3" xfId="4703" xr:uid="{F8CD94F7-57F4-4092-BDB9-68BB784F548E}"/>
    <cellStyle name="Separador de milhares 12 2 6 3 2 2 3 2" xfId="11042" xr:uid="{790A1E00-08CF-4C74-A3AE-2D8203E8354A}"/>
    <cellStyle name="Separador de milhares 12 2 6 3 2 2 4" xfId="7874" xr:uid="{A904BF12-B030-4AD5-B10C-CDDDC6AB7C81}"/>
    <cellStyle name="Separador de milhares 12 2 6 3 2 3" xfId="2305" xr:uid="{50D2E612-9585-40CD-AB79-4EBF348445B2}"/>
    <cellStyle name="Separador de milhares 12 2 6 3 2 3 2" xfId="5475" xr:uid="{87B88804-A25B-4291-A965-E74FDEE8DDED}"/>
    <cellStyle name="Separador de milhares 12 2 6 3 2 3 2 2" xfId="11814" xr:uid="{3C2741B6-84AB-4E76-AD0B-784EC227878E}"/>
    <cellStyle name="Separador de milhares 12 2 6 3 2 3 3" xfId="8646" xr:uid="{16B03248-D718-466B-9FD8-450A91BD8FC6}"/>
    <cellStyle name="Separador de milhares 12 2 6 3 2 4" xfId="3906" xr:uid="{714D3BCF-7873-49B0-9EB4-02CE17CC7621}"/>
    <cellStyle name="Separador de milhares 12 2 6 3 2 4 2" xfId="10245" xr:uid="{1EBC5FAD-6AA6-477A-8E49-C8A51B4BABAB}"/>
    <cellStyle name="Separador de milhares 12 2 6 3 2 5" xfId="7077" xr:uid="{9341FCB9-3AB9-4EDC-B9DA-34C24CBD6196}"/>
    <cellStyle name="Separador de milhares 12 2 6 3 3" xfId="1150" xr:uid="{FB18CDD6-DA32-4AFE-A69F-2F01DD87EABC}"/>
    <cellStyle name="Separador de milhares 12 2 6 3 3 2" xfId="2721" xr:uid="{E11DBDBE-E8FC-4465-906D-ABF9472272FF}"/>
    <cellStyle name="Separador de milhares 12 2 6 3 3 2 2" xfId="5891" xr:uid="{A117E71B-96E3-4060-9AA2-002F962B2F50}"/>
    <cellStyle name="Separador de milhares 12 2 6 3 3 2 2 2" xfId="12230" xr:uid="{BB2FE782-A549-4CCB-B4CE-D86A3FA2C97D}"/>
    <cellStyle name="Separador de milhares 12 2 6 3 3 2 3" xfId="9062" xr:uid="{11643DF2-6048-4352-8331-11AD652096EB}"/>
    <cellStyle name="Separador de milhares 12 2 6 3 3 3" xfId="4322" xr:uid="{762C7DA8-EB06-4435-88B5-2CB839299820}"/>
    <cellStyle name="Separador de milhares 12 2 6 3 3 3 2" xfId="10661" xr:uid="{8288C675-F037-4B5A-9D6C-14D14F610B3E}"/>
    <cellStyle name="Separador de milhares 12 2 6 3 3 4" xfId="7493" xr:uid="{2736650E-D8F3-494F-A22D-7AED2A3F6D1C}"/>
    <cellStyle name="Separador de milhares 12 2 6 3 4" xfId="1924" xr:uid="{D30848BE-D54B-467B-BACE-CABE717E7337}"/>
    <cellStyle name="Separador de milhares 12 2 6 3 4 2" xfId="5094" xr:uid="{B1C45738-A233-4EE6-A621-CD318290B3EA}"/>
    <cellStyle name="Separador de milhares 12 2 6 3 4 2 2" xfId="11433" xr:uid="{79AD74E0-F859-43D5-ABF9-8890164B79B4}"/>
    <cellStyle name="Separador de milhares 12 2 6 3 4 3" xfId="8265" xr:uid="{DEFEAA19-6C61-4368-AE45-0E1DE57D053E}"/>
    <cellStyle name="Separador de milhares 12 2 6 3 5" xfId="3525" xr:uid="{EA3D5A4B-B123-4959-A635-E5C1D74E7BAF}"/>
    <cellStyle name="Separador de milhares 12 2 6 3 5 2" xfId="9864" xr:uid="{B1E11D21-7F5C-4346-96A6-658C83514C4B}"/>
    <cellStyle name="Separador de milhares 12 2 6 3 6" xfId="6696" xr:uid="{6F597AD8-2BAD-4151-A5EB-676F59749192}"/>
    <cellStyle name="Separador de milhares 12 2 6 4" xfId="947" xr:uid="{FC0BF0D9-F7ED-48A1-8E72-79B92C3EDE9A}"/>
    <cellStyle name="Separador de milhares 12 2 6 4 2" xfId="2518" xr:uid="{E85DA519-F9AE-4FD4-91C7-9AF86CAB90C1}"/>
    <cellStyle name="Separador de milhares 12 2 6 4 2 2" xfId="5688" xr:uid="{7046E02D-415B-45CD-91D9-D984220C96B7}"/>
    <cellStyle name="Separador de milhares 12 2 6 4 2 2 2" xfId="12027" xr:uid="{3B27D7A7-1B47-4199-A00E-4F34BA799212}"/>
    <cellStyle name="Separador de milhares 12 2 6 4 2 3" xfId="8859" xr:uid="{6054059F-FE0F-494D-BFC5-CCC395698084}"/>
    <cellStyle name="Separador de milhares 12 2 6 4 3" xfId="4119" xr:uid="{E55804E3-32B4-47C0-883A-F663834CFED7}"/>
    <cellStyle name="Separador de milhares 12 2 6 4 3 2" xfId="10458" xr:uid="{BB7ADA80-468F-475C-B5D1-99D07EA7FDBF}"/>
    <cellStyle name="Separador de milhares 12 2 6 4 4" xfId="7290" xr:uid="{13A0464E-9E9D-4F9A-B8EC-534C6C60E6DA}"/>
    <cellStyle name="Separador de milhares 12 2 6 5" xfId="3322" xr:uid="{CF404EFF-FD53-4314-8841-BC672EC11EC2}"/>
    <cellStyle name="Separador de milhares 12 2 6 5 2" xfId="9661" xr:uid="{9A884194-2E98-4D5F-869F-BF9AF803C69D}"/>
    <cellStyle name="Separador de milhares 12 2 6 6" xfId="6493" xr:uid="{5ABA4C30-2A1D-45CD-8058-95380777AA31}"/>
    <cellStyle name="Separador de milhares 12 2 7" xfId="140" xr:uid="{D9DF9D1D-F6B7-4F94-A111-6F5C46B9FF09}"/>
    <cellStyle name="Separador de milhares 12 2 7 2" xfId="221" xr:uid="{9E79C6B7-68F4-4E89-AF6B-BB54296D757B}"/>
    <cellStyle name="Separador de milhares 12 2 7 2 2" xfId="438" xr:uid="{2629E7B9-4314-45BF-9E79-FE55EB8FA2B9}"/>
    <cellStyle name="Separador de milhares 12 2 7 2 2 2" xfId="819" xr:uid="{D6252C31-256C-4FE5-9471-04BF2C5339C9}"/>
    <cellStyle name="Separador de milhares 12 2 7 2 2 2 2" xfId="1618" xr:uid="{A673E0C7-F488-40D0-ABE5-730F7E298E4D}"/>
    <cellStyle name="Separador de milhares 12 2 7 2 2 2 2 2" xfId="3189" xr:uid="{2D73044F-342D-41C7-9A26-D05F7624E48B}"/>
    <cellStyle name="Separador de milhares 12 2 7 2 2 2 2 2 2" xfId="6359" xr:uid="{8ADA99E2-3E24-4C84-B877-F380C7E6FA26}"/>
    <cellStyle name="Separador de milhares 12 2 7 2 2 2 2 2 2 2" xfId="12698" xr:uid="{A12CD143-E2DF-46DF-A3DF-276F11ADFDC5}"/>
    <cellStyle name="Separador de milhares 12 2 7 2 2 2 2 2 3" xfId="9530" xr:uid="{7B1A2963-0F85-4321-ADCD-3C950D65A946}"/>
    <cellStyle name="Separador de milhares 12 2 7 2 2 2 2 3" xfId="4790" xr:uid="{2335AAD1-97A6-4B68-B85A-2E1E52700360}"/>
    <cellStyle name="Separador de milhares 12 2 7 2 2 2 2 3 2" xfId="11129" xr:uid="{E89A33A2-C55C-4CD9-80E3-05E03F327B2C}"/>
    <cellStyle name="Separador de milhares 12 2 7 2 2 2 2 4" xfId="7961" xr:uid="{6FB6D27A-8F56-4149-BEF5-164A0403995E}"/>
    <cellStyle name="Separador de milhares 12 2 7 2 2 2 3" xfId="2392" xr:uid="{5065FF56-11BB-4E9D-ACA0-8F28DC3501F1}"/>
    <cellStyle name="Separador de milhares 12 2 7 2 2 2 3 2" xfId="5562" xr:uid="{D454D6A8-0E59-4C0E-8A53-841027376181}"/>
    <cellStyle name="Separador de milhares 12 2 7 2 2 2 3 2 2" xfId="11901" xr:uid="{6600BBC4-2C96-4CE6-B8D8-79F596F3DA60}"/>
    <cellStyle name="Separador de milhares 12 2 7 2 2 2 3 3" xfId="8733" xr:uid="{199C52AE-CE42-451E-8258-3CBFAA6BC790}"/>
    <cellStyle name="Separador de milhares 12 2 7 2 2 2 4" xfId="3993" xr:uid="{B5F9893C-24F3-40B8-941B-C7822E7CE246}"/>
    <cellStyle name="Separador de milhares 12 2 7 2 2 2 4 2" xfId="10332" xr:uid="{F0C5F9E3-8709-48CB-8FF4-51339B754CB7}"/>
    <cellStyle name="Separador de milhares 12 2 7 2 2 2 5" xfId="7164" xr:uid="{8FCD7860-4D28-4F16-B3C9-7624117D788F}"/>
    <cellStyle name="Separador de milhares 12 2 7 2 2 3" xfId="1237" xr:uid="{70332260-0F9D-42F7-B8FC-604C3EA9D9E1}"/>
    <cellStyle name="Separador de milhares 12 2 7 2 2 3 2" xfId="2808" xr:uid="{4119FBD0-CD47-4198-AE73-E163ECDCD715}"/>
    <cellStyle name="Separador de milhares 12 2 7 2 2 3 2 2" xfId="5978" xr:uid="{7242737B-158D-4023-BE67-994047C4A1D1}"/>
    <cellStyle name="Separador de milhares 12 2 7 2 2 3 2 2 2" xfId="12317" xr:uid="{BCB556A6-ECDA-4AB1-A3F4-725F68ECBB73}"/>
    <cellStyle name="Separador de milhares 12 2 7 2 2 3 2 3" xfId="9149" xr:uid="{3F17A106-A92D-45CB-9D6E-AB201160895A}"/>
    <cellStyle name="Separador de milhares 12 2 7 2 2 3 3" xfId="4409" xr:uid="{179C8B4E-635F-412B-A1CD-04EA55D35AD2}"/>
    <cellStyle name="Separador de milhares 12 2 7 2 2 3 3 2" xfId="10748" xr:uid="{40BF9CF7-B789-4010-B524-B71BB67070D8}"/>
    <cellStyle name="Separador de milhares 12 2 7 2 2 3 4" xfId="7580" xr:uid="{D187C28D-F6E1-4D58-B6F6-B82B0D45B4B6}"/>
    <cellStyle name="Separador de milhares 12 2 7 2 2 4" xfId="2011" xr:uid="{AFD71E2E-695E-4699-841C-9C2151EE2DD7}"/>
    <cellStyle name="Separador de milhares 12 2 7 2 2 4 2" xfId="5181" xr:uid="{1E472266-5C79-455B-B315-26D1E7267DEF}"/>
    <cellStyle name="Separador de milhares 12 2 7 2 2 4 2 2" xfId="11520" xr:uid="{C44D57A5-0156-4E95-8A08-EE414238E2EE}"/>
    <cellStyle name="Separador de milhares 12 2 7 2 2 4 3" xfId="8352" xr:uid="{6069AA74-C657-4E98-8374-A0478CEBAB41}"/>
    <cellStyle name="Separador de milhares 12 2 7 2 2 5" xfId="3612" xr:uid="{725793BD-B6C6-45FD-A2C3-5CDFD2ADC645}"/>
    <cellStyle name="Separador de milhares 12 2 7 2 2 5 2" xfId="9951" xr:uid="{F98C76B4-9B3E-4A87-A242-69679198206C}"/>
    <cellStyle name="Separador de milhares 12 2 7 2 2 6" xfId="6783" xr:uid="{D5F0F2BB-0145-4056-939B-A65F1410EF4E}"/>
    <cellStyle name="Separador de milhares 12 2 7 2 3" xfId="616" xr:uid="{E0BEC624-9EB3-40D1-99F5-40E91475D861}"/>
    <cellStyle name="Separador de milhares 12 2 7 2 3 2" xfId="1415" xr:uid="{C30482EB-50E5-4E1F-8624-1C3C082121F8}"/>
    <cellStyle name="Separador de milhares 12 2 7 2 3 2 2" xfId="2986" xr:uid="{FA76E985-8E5D-4734-B682-72DB5846430E}"/>
    <cellStyle name="Separador de milhares 12 2 7 2 3 2 2 2" xfId="6156" xr:uid="{4FA4AD60-AB6D-4A2D-BDC5-B3421E7D074B}"/>
    <cellStyle name="Separador de milhares 12 2 7 2 3 2 2 2 2" xfId="12495" xr:uid="{8F14D523-D033-45B1-953A-9D8718A7D8FF}"/>
    <cellStyle name="Separador de milhares 12 2 7 2 3 2 2 3" xfId="9327" xr:uid="{AB7EB6F7-FE05-45C5-B82B-1E559E3D6835}"/>
    <cellStyle name="Separador de milhares 12 2 7 2 3 2 3" xfId="4587" xr:uid="{1F19566C-8DC4-4BC0-8CA7-351CC4A30DE4}"/>
    <cellStyle name="Separador de milhares 12 2 7 2 3 2 3 2" xfId="10926" xr:uid="{4DDAB77D-C0FD-4456-BC62-10C3F811F6BC}"/>
    <cellStyle name="Separador de milhares 12 2 7 2 3 2 4" xfId="7758" xr:uid="{3A1DDD07-AE07-41B5-957D-5EA96BAB1863}"/>
    <cellStyle name="Separador de milhares 12 2 7 2 3 3" xfId="2189" xr:uid="{9E59BC6E-9151-4864-ACAB-73B1664A2425}"/>
    <cellStyle name="Separador de milhares 12 2 7 2 3 3 2" xfId="5359" xr:uid="{35ED1F5A-4DE8-48B5-9C29-0FD09A1687F9}"/>
    <cellStyle name="Separador de milhares 12 2 7 2 3 3 2 2" xfId="11698" xr:uid="{B9E4DF41-817E-4B96-AA1E-EFBF9A9254C3}"/>
    <cellStyle name="Separador de milhares 12 2 7 2 3 3 3" xfId="8530" xr:uid="{8D9B31FA-4C05-4CB7-A5A3-DF930A10A6F3}"/>
    <cellStyle name="Separador de milhares 12 2 7 2 3 4" xfId="3790" xr:uid="{136FBE90-1E3F-4A42-BBF0-2667852C5264}"/>
    <cellStyle name="Separador de milhares 12 2 7 2 3 4 2" xfId="10129" xr:uid="{896DCD0E-7CF7-47C6-9BCB-15184ABB01C4}"/>
    <cellStyle name="Separador de milhares 12 2 7 2 3 5" xfId="6961" xr:uid="{A1D47EC8-F60E-4E17-9805-F961D7B125C0}"/>
    <cellStyle name="Separador de milhares 12 2 7 2 4" xfId="1034" xr:uid="{25532694-0DF1-4A8B-A2A3-63CD249560A1}"/>
    <cellStyle name="Separador de milhares 12 2 7 2 4 2" xfId="2605" xr:uid="{18EDB357-4211-44C5-BF29-EAFB97CA3591}"/>
    <cellStyle name="Separador de milhares 12 2 7 2 4 2 2" xfId="5775" xr:uid="{6415A712-B875-4E80-9973-3EE2780347EA}"/>
    <cellStyle name="Separador de milhares 12 2 7 2 4 2 2 2" xfId="12114" xr:uid="{D4812276-F5F5-4087-83DE-DD14FEFCF27F}"/>
    <cellStyle name="Separador de milhares 12 2 7 2 4 2 3" xfId="8946" xr:uid="{28E457E8-856D-4194-8C4D-C468C1284316}"/>
    <cellStyle name="Separador de milhares 12 2 7 2 4 3" xfId="4206" xr:uid="{97655AD5-DD80-4A43-BB6E-E08A7D05A597}"/>
    <cellStyle name="Separador de milhares 12 2 7 2 4 3 2" xfId="10545" xr:uid="{550C83B0-EECB-44AC-9941-AC3110F61897}"/>
    <cellStyle name="Separador de milhares 12 2 7 2 4 4" xfId="7377" xr:uid="{DFDA0328-77CA-467D-BA0B-D075953E0854}"/>
    <cellStyle name="Separador de milhares 12 2 7 2 5" xfId="1808" xr:uid="{D8F3DF09-0DCF-4667-ADDA-7328725B9871}"/>
    <cellStyle name="Separador de milhares 12 2 7 2 5 2" xfId="4978" xr:uid="{4E42AB71-136F-4635-8CA7-298DE8D1E956}"/>
    <cellStyle name="Separador de milhares 12 2 7 2 5 2 2" xfId="11317" xr:uid="{3FFCE28E-8C28-4191-B779-4C96A4281557}"/>
    <cellStyle name="Separador de milhares 12 2 7 2 5 3" xfId="8149" xr:uid="{48825C9B-2331-4F2B-997C-9AD739B7F0BB}"/>
    <cellStyle name="Separador de milhares 12 2 7 2 6" xfId="3409" xr:uid="{E51B4078-D049-4444-9110-62F8E89ABC6B}"/>
    <cellStyle name="Separador de milhares 12 2 7 2 6 2" xfId="9748" xr:uid="{4F64E9CA-AA56-4870-8149-CB3490BCB3B7}"/>
    <cellStyle name="Separador de milhares 12 2 7 2 7" xfId="6580" xr:uid="{DC275270-17B5-4E02-A9B5-098FA97740B6}"/>
    <cellStyle name="Separador de milhares 12 2 7 3" xfId="357" xr:uid="{27DAF6FA-6CC3-4A38-B9A9-C8DDEB2DB4F9}"/>
    <cellStyle name="Separador de milhares 12 2 7 3 2" xfId="738" xr:uid="{4737E3B0-65E2-406B-8AA0-9A37B1965B20}"/>
    <cellStyle name="Separador de milhares 12 2 7 3 2 2" xfId="1537" xr:uid="{5CC89168-5A20-4957-9120-3D645BF36EE2}"/>
    <cellStyle name="Separador de milhares 12 2 7 3 2 2 2" xfId="3108" xr:uid="{FE890601-6ED4-443D-A0AE-42F81B2953F8}"/>
    <cellStyle name="Separador de milhares 12 2 7 3 2 2 2 2" xfId="6278" xr:uid="{87C71BAF-1C1B-4195-8AA4-7FCEB35D54EF}"/>
    <cellStyle name="Separador de milhares 12 2 7 3 2 2 2 2 2" xfId="12617" xr:uid="{99AC07BD-5B59-4EE3-B1FF-1CB05BB3079F}"/>
    <cellStyle name="Separador de milhares 12 2 7 3 2 2 2 3" xfId="9449" xr:uid="{4DC23CD5-5F20-4966-BFD5-18362581CD77}"/>
    <cellStyle name="Separador de milhares 12 2 7 3 2 2 3" xfId="4709" xr:uid="{786D0DC0-53E9-414A-922C-5BE5D9A94D41}"/>
    <cellStyle name="Separador de milhares 12 2 7 3 2 2 3 2" xfId="11048" xr:uid="{A3C7BF8D-2829-4707-AA7E-2B9ED09547FB}"/>
    <cellStyle name="Separador de milhares 12 2 7 3 2 2 4" xfId="7880" xr:uid="{F423437E-6D9B-4913-81D3-10EBB905F52B}"/>
    <cellStyle name="Separador de milhares 12 2 7 3 2 3" xfId="2311" xr:uid="{CEC81F98-5E95-49F3-B96D-3D91BF1D42CB}"/>
    <cellStyle name="Separador de milhares 12 2 7 3 2 3 2" xfId="5481" xr:uid="{B11667C7-58ED-43CB-8C2D-9067B31628F8}"/>
    <cellStyle name="Separador de milhares 12 2 7 3 2 3 2 2" xfId="11820" xr:uid="{2A39F75B-A29A-45C0-9884-93D7ABCE8A3E}"/>
    <cellStyle name="Separador de milhares 12 2 7 3 2 3 3" xfId="8652" xr:uid="{E4853A3F-86C4-4012-8277-C3989FAFF68D}"/>
    <cellStyle name="Separador de milhares 12 2 7 3 2 4" xfId="3912" xr:uid="{92F6E4AE-8932-4716-8F85-5DC7F3FE2F19}"/>
    <cellStyle name="Separador de milhares 12 2 7 3 2 4 2" xfId="10251" xr:uid="{69480953-9C20-490D-BA89-F76FB8BA4874}"/>
    <cellStyle name="Separador de milhares 12 2 7 3 2 5" xfId="7083" xr:uid="{834C89C4-C882-437F-A8EA-54FEB8576D23}"/>
    <cellStyle name="Separador de milhares 12 2 7 3 3" xfId="1156" xr:uid="{3993CFE5-A0B0-4B88-A30A-4470BDD727BA}"/>
    <cellStyle name="Separador de milhares 12 2 7 3 3 2" xfId="2727" xr:uid="{3CCC98A8-B397-4C1F-AB4D-FFBFC3F74422}"/>
    <cellStyle name="Separador de milhares 12 2 7 3 3 2 2" xfId="5897" xr:uid="{82264F0C-2254-4512-B824-DB9C43667411}"/>
    <cellStyle name="Separador de milhares 12 2 7 3 3 2 2 2" xfId="12236" xr:uid="{A6578944-3401-4197-99E9-E33B23B7DB92}"/>
    <cellStyle name="Separador de milhares 12 2 7 3 3 2 3" xfId="9068" xr:uid="{89B04E26-9440-4480-B0F6-21CD55D62F78}"/>
    <cellStyle name="Separador de milhares 12 2 7 3 3 3" xfId="4328" xr:uid="{1EC7E46E-9949-4337-85DE-5EF117B9F6D9}"/>
    <cellStyle name="Separador de milhares 12 2 7 3 3 3 2" xfId="10667" xr:uid="{BA8F77F6-85C8-4C36-8C50-E802ABFFCEA3}"/>
    <cellStyle name="Separador de milhares 12 2 7 3 3 4" xfId="7499" xr:uid="{2516C229-31AD-47C3-BDF5-6358DF0E540A}"/>
    <cellStyle name="Separador de milhares 12 2 7 3 4" xfId="1930" xr:uid="{DB51C4EA-4CBA-4610-A85A-8CFA17D7B112}"/>
    <cellStyle name="Separador de milhares 12 2 7 3 4 2" xfId="5100" xr:uid="{089A5EB5-2A26-4F16-B1BD-0D39CA1CD0CF}"/>
    <cellStyle name="Separador de milhares 12 2 7 3 4 2 2" xfId="11439" xr:uid="{DB1C8296-6F83-42E1-B4A9-E40D1CB9D2F9}"/>
    <cellStyle name="Separador de milhares 12 2 7 3 4 3" xfId="8271" xr:uid="{328B9089-C800-4016-BD40-C7E0167770FF}"/>
    <cellStyle name="Separador de milhares 12 2 7 3 5" xfId="3531" xr:uid="{24A26DEA-47E1-4893-82C9-A18184D1C1BD}"/>
    <cellStyle name="Separador de milhares 12 2 7 3 5 2" xfId="9870" xr:uid="{C3813EC5-E32E-4E3A-BB48-C2A3CE829C23}"/>
    <cellStyle name="Separador de milhares 12 2 7 3 6" xfId="6702" xr:uid="{39BC9018-F460-4C60-A418-6AF4D1910074}"/>
    <cellStyle name="Separador de milhares 12 2 7 4" xfId="953" xr:uid="{8725C00A-DA52-4D5D-B871-34B949477388}"/>
    <cellStyle name="Separador de milhares 12 2 7 4 2" xfId="2524" xr:uid="{BAE7913F-C38E-4475-A87F-45ED23A09589}"/>
    <cellStyle name="Separador de milhares 12 2 7 4 2 2" xfId="5694" xr:uid="{C429BA25-D81B-4292-98FE-1606AA301470}"/>
    <cellStyle name="Separador de milhares 12 2 7 4 2 2 2" xfId="12033" xr:uid="{109B73A1-6CDC-4066-8970-122FE1770F5D}"/>
    <cellStyle name="Separador de milhares 12 2 7 4 2 3" xfId="8865" xr:uid="{6C0CEAE9-12E0-4DF5-9369-00B4D173A6E1}"/>
    <cellStyle name="Separador de milhares 12 2 7 4 3" xfId="4125" xr:uid="{3E7E50A5-9CCA-4F89-8A81-D9DD8576869A}"/>
    <cellStyle name="Separador de milhares 12 2 7 4 3 2" xfId="10464" xr:uid="{D11B161B-4735-4BB6-9C81-322ED0CC169A}"/>
    <cellStyle name="Separador de milhares 12 2 7 4 4" xfId="7296" xr:uid="{8AF23123-8149-4738-85FE-5D343BD56831}"/>
    <cellStyle name="Separador de milhares 12 2 7 5" xfId="3328" xr:uid="{B990BF13-8A96-43A3-9AE7-B5EB08D4CA78}"/>
    <cellStyle name="Separador de milhares 12 2 7 5 2" xfId="9667" xr:uid="{292F829D-9F15-490B-8D2E-21F248184850}"/>
    <cellStyle name="Separador de milhares 12 2 7 6" xfId="6499" xr:uid="{EEC52338-F500-4911-AE1B-8F47A5AD7B82}"/>
    <cellStyle name="Separador de milhares 12 2 8" xfId="107" xr:uid="{91C456C9-F5E4-4A05-B141-75029346436F}"/>
    <cellStyle name="Separador de milhares 12 2 8 2" xfId="226" xr:uid="{19315BBC-12CE-4058-87DB-D028F67F8EB2}"/>
    <cellStyle name="Separador de milhares 12 2 8 2 2" xfId="443" xr:uid="{901E3EB2-F388-4CF8-B662-3B5EB3A8B98F}"/>
    <cellStyle name="Separador de milhares 12 2 8 2 2 2" xfId="824" xr:uid="{B957375E-1FD6-4CC4-B98C-892D48F7F9F2}"/>
    <cellStyle name="Separador de milhares 12 2 8 2 2 2 2" xfId="1623" xr:uid="{E64803D3-8C5A-4332-983E-1DB77A5C9BF2}"/>
    <cellStyle name="Separador de milhares 12 2 8 2 2 2 2 2" xfId="3194" xr:uid="{9E21B1D9-5B76-4CE4-842A-96D23DC51F1F}"/>
    <cellStyle name="Separador de milhares 12 2 8 2 2 2 2 2 2" xfId="6364" xr:uid="{074C77DB-A7CF-41EF-841A-9F54B6304457}"/>
    <cellStyle name="Separador de milhares 12 2 8 2 2 2 2 2 2 2" xfId="12703" xr:uid="{EBD6A939-36A5-40CA-80D3-18D433A6B8D7}"/>
    <cellStyle name="Separador de milhares 12 2 8 2 2 2 2 2 3" xfId="9535" xr:uid="{B756B4EC-8CDA-4808-BFCE-E58ECF46799D}"/>
    <cellStyle name="Separador de milhares 12 2 8 2 2 2 2 3" xfId="4795" xr:uid="{76D6C87E-66D8-4F9E-98DE-52F1892ACEFD}"/>
    <cellStyle name="Separador de milhares 12 2 8 2 2 2 2 3 2" xfId="11134" xr:uid="{315CF909-C7C8-4B8C-B889-2655534967D9}"/>
    <cellStyle name="Separador de milhares 12 2 8 2 2 2 2 4" xfId="7966" xr:uid="{97C1E6A6-B4EC-4711-ACC0-807210B82732}"/>
    <cellStyle name="Separador de milhares 12 2 8 2 2 2 3" xfId="2397" xr:uid="{FD4DFDF7-7002-4776-8545-3E846777D4B7}"/>
    <cellStyle name="Separador de milhares 12 2 8 2 2 2 3 2" xfId="5567" xr:uid="{1EA0D2AC-CE90-48E8-8A5A-BDA30FBCA126}"/>
    <cellStyle name="Separador de milhares 12 2 8 2 2 2 3 2 2" xfId="11906" xr:uid="{3B5E379D-1795-4F49-A49D-2F16B8F2F32A}"/>
    <cellStyle name="Separador de milhares 12 2 8 2 2 2 3 3" xfId="8738" xr:uid="{32357539-B27E-46BE-AF86-605A47E1EA0B}"/>
    <cellStyle name="Separador de milhares 12 2 8 2 2 2 4" xfId="3998" xr:uid="{FA6D9C4F-FD42-40CD-8291-9D35B1E6D7DD}"/>
    <cellStyle name="Separador de milhares 12 2 8 2 2 2 4 2" xfId="10337" xr:uid="{77CDE200-071B-4B15-82BF-FD5C5AE395D1}"/>
    <cellStyle name="Separador de milhares 12 2 8 2 2 2 5" xfId="7169" xr:uid="{187F2DFB-9E32-48E7-90B5-E065151973AE}"/>
    <cellStyle name="Separador de milhares 12 2 8 2 2 3" xfId="1242" xr:uid="{8803DE3C-C307-4800-922D-5465BE5FAEE4}"/>
    <cellStyle name="Separador de milhares 12 2 8 2 2 3 2" xfId="2813" xr:uid="{107B14C9-620C-41C8-831E-11B457B9419C}"/>
    <cellStyle name="Separador de milhares 12 2 8 2 2 3 2 2" xfId="5983" xr:uid="{EAC0F34A-E374-425C-816A-238D59081FBD}"/>
    <cellStyle name="Separador de milhares 12 2 8 2 2 3 2 2 2" xfId="12322" xr:uid="{2805F340-421E-4014-980B-E98AB915BF90}"/>
    <cellStyle name="Separador de milhares 12 2 8 2 2 3 2 3" xfId="9154" xr:uid="{9DAF4418-4C0B-489D-A2AC-C4093AB6B034}"/>
    <cellStyle name="Separador de milhares 12 2 8 2 2 3 3" xfId="4414" xr:uid="{031BB3A6-D743-48F1-B66E-DF15DCE9B61D}"/>
    <cellStyle name="Separador de milhares 12 2 8 2 2 3 3 2" xfId="10753" xr:uid="{D521557E-14CC-48F0-8992-8FD3A3791553}"/>
    <cellStyle name="Separador de milhares 12 2 8 2 2 3 4" xfId="7585" xr:uid="{4C0A8C40-DA4D-4822-9FD2-E20BF7292DA6}"/>
    <cellStyle name="Separador de milhares 12 2 8 2 2 4" xfId="2016" xr:uid="{FA9031F6-7E3F-4431-99BE-E5CEB652ADBB}"/>
    <cellStyle name="Separador de milhares 12 2 8 2 2 4 2" xfId="5186" xr:uid="{D641770E-F2F8-4DC9-8DE8-02AB4FB1A73B}"/>
    <cellStyle name="Separador de milhares 12 2 8 2 2 4 2 2" xfId="11525" xr:uid="{636A7170-D35F-4118-9525-B7347120B32E}"/>
    <cellStyle name="Separador de milhares 12 2 8 2 2 4 3" xfId="8357" xr:uid="{B49CD46C-FAB0-479D-A6EE-F1791601B955}"/>
    <cellStyle name="Separador de milhares 12 2 8 2 2 5" xfId="3617" xr:uid="{5B939F15-0A06-460E-936F-7E558D86C3C7}"/>
    <cellStyle name="Separador de milhares 12 2 8 2 2 5 2" xfId="9956" xr:uid="{B1EEF7B1-2633-406A-B56C-F1C58E511589}"/>
    <cellStyle name="Separador de milhares 12 2 8 2 2 6" xfId="6788" xr:uid="{8CF467CB-4552-452D-893D-6C534600CB2B}"/>
    <cellStyle name="Separador de milhares 12 2 8 2 3" xfId="621" xr:uid="{D6326F77-76F8-4E39-9225-197F85CC944B}"/>
    <cellStyle name="Separador de milhares 12 2 8 2 3 2" xfId="1420" xr:uid="{031A9828-FD28-46E5-8F9E-5107FA2B0206}"/>
    <cellStyle name="Separador de milhares 12 2 8 2 3 2 2" xfId="2991" xr:uid="{C2D154FB-9538-454F-80FF-B973A59036D4}"/>
    <cellStyle name="Separador de milhares 12 2 8 2 3 2 2 2" xfId="6161" xr:uid="{DDE50C10-1AED-445D-8F51-B70FC22F4FCA}"/>
    <cellStyle name="Separador de milhares 12 2 8 2 3 2 2 2 2" xfId="12500" xr:uid="{0994CC85-5257-4D74-8D13-33C57E4060E5}"/>
    <cellStyle name="Separador de milhares 12 2 8 2 3 2 2 3" xfId="9332" xr:uid="{0B07FD2F-A987-4984-82F3-6A236E18BA59}"/>
    <cellStyle name="Separador de milhares 12 2 8 2 3 2 3" xfId="4592" xr:uid="{CD6FF14D-7142-4A6E-B8F8-03E601759E14}"/>
    <cellStyle name="Separador de milhares 12 2 8 2 3 2 3 2" xfId="10931" xr:uid="{C6EA3E5B-E19F-4ADD-8968-26B780D1C630}"/>
    <cellStyle name="Separador de milhares 12 2 8 2 3 2 4" xfId="7763" xr:uid="{6F5CAED3-81D7-46AD-89DE-53A6943E0D41}"/>
    <cellStyle name="Separador de milhares 12 2 8 2 3 3" xfId="2194" xr:uid="{F1141049-8BB6-416E-BDD3-28E6694C82A7}"/>
    <cellStyle name="Separador de milhares 12 2 8 2 3 3 2" xfId="5364" xr:uid="{418B7608-5B45-4751-BE1E-F0ABF7010472}"/>
    <cellStyle name="Separador de milhares 12 2 8 2 3 3 2 2" xfId="11703" xr:uid="{5C76459D-DCF0-4D49-82D8-A680142BE444}"/>
    <cellStyle name="Separador de milhares 12 2 8 2 3 3 3" xfId="8535" xr:uid="{F2B8E23A-E348-4FC3-A319-A182D36E524E}"/>
    <cellStyle name="Separador de milhares 12 2 8 2 3 4" xfId="3795" xr:uid="{2F5B2151-AB26-4A12-BDAF-B82487F50B0E}"/>
    <cellStyle name="Separador de milhares 12 2 8 2 3 4 2" xfId="10134" xr:uid="{E569BE5B-DAE8-4733-B8C2-D00A0D8EB5EE}"/>
    <cellStyle name="Separador de milhares 12 2 8 2 3 5" xfId="6966" xr:uid="{4850FE41-1667-45F3-B13C-E35730471605}"/>
    <cellStyle name="Separador de milhares 12 2 8 2 4" xfId="1039" xr:uid="{492C89DB-0DD5-438E-B540-154C5DC119BD}"/>
    <cellStyle name="Separador de milhares 12 2 8 2 4 2" xfId="2610" xr:uid="{625B9622-1A2F-40BD-969E-79099EDEB1F6}"/>
    <cellStyle name="Separador de milhares 12 2 8 2 4 2 2" xfId="5780" xr:uid="{751DE4FB-8965-4A1D-BB0D-5EC63D3EA6C1}"/>
    <cellStyle name="Separador de milhares 12 2 8 2 4 2 2 2" xfId="12119" xr:uid="{010F26AC-E2AD-4131-A4B4-90817C201032}"/>
    <cellStyle name="Separador de milhares 12 2 8 2 4 2 3" xfId="8951" xr:uid="{E3E2A05C-524C-4CD2-9C64-7FA1AE5D1516}"/>
    <cellStyle name="Separador de milhares 12 2 8 2 4 3" xfId="4211" xr:uid="{54B6CF91-1FF9-4D18-9086-D30B469E3346}"/>
    <cellStyle name="Separador de milhares 12 2 8 2 4 3 2" xfId="10550" xr:uid="{60684D27-4657-4CAB-B158-35B5F6104DAE}"/>
    <cellStyle name="Separador de milhares 12 2 8 2 4 4" xfId="7382" xr:uid="{4DD32CC2-561A-4EFC-9013-85210DFB707A}"/>
    <cellStyle name="Separador de milhares 12 2 8 2 5" xfId="1813" xr:uid="{C8A82E52-E8E5-478B-92AA-61901BDE58C9}"/>
    <cellStyle name="Separador de milhares 12 2 8 2 5 2" xfId="4983" xr:uid="{B5E71C75-9F85-428C-94D1-6F007D4DD46A}"/>
    <cellStyle name="Separador de milhares 12 2 8 2 5 2 2" xfId="11322" xr:uid="{58558672-56E0-4B49-8926-6D8858A0E92A}"/>
    <cellStyle name="Separador de milhares 12 2 8 2 5 3" xfId="8154" xr:uid="{684392DF-7E0C-43EB-9450-763F4EB6EA23}"/>
    <cellStyle name="Separador de milhares 12 2 8 2 6" xfId="3414" xr:uid="{13518F9D-8013-4175-B951-9A333BE44EC9}"/>
    <cellStyle name="Separador de milhares 12 2 8 2 6 2" xfId="9753" xr:uid="{9F8AE6F5-B165-4C20-A41E-8B78DB571D08}"/>
    <cellStyle name="Separador de milhares 12 2 8 2 7" xfId="6585" xr:uid="{D63FA168-5EBC-4CE0-A43C-A42C3DEC8D21}"/>
    <cellStyle name="Separador de milhares 12 2 8 3" xfId="324" xr:uid="{560CDA95-736D-4863-BA4C-8D3536B3EAFA}"/>
    <cellStyle name="Separador de milhares 12 2 8 3 2" xfId="709" xr:uid="{6911EBEC-4FF1-4165-9031-F296E6471029}"/>
    <cellStyle name="Separador de milhares 12 2 8 3 2 2" xfId="1508" xr:uid="{6FB76A7B-A846-4374-8BA4-B3AAA7A3C8D4}"/>
    <cellStyle name="Separador de milhares 12 2 8 3 2 2 2" xfId="3079" xr:uid="{44EEBCB8-DE01-49E7-9504-31134BA01CCB}"/>
    <cellStyle name="Separador de milhares 12 2 8 3 2 2 2 2" xfId="6249" xr:uid="{5E175922-9619-43A8-B26E-0E1C633E907F}"/>
    <cellStyle name="Separador de milhares 12 2 8 3 2 2 2 2 2" xfId="12588" xr:uid="{40DBADFD-B794-4D14-8F18-5782819022D5}"/>
    <cellStyle name="Separador de milhares 12 2 8 3 2 2 2 3" xfId="9420" xr:uid="{0A658C4B-6C64-4997-B2BC-7B2B41F2DF76}"/>
    <cellStyle name="Separador de milhares 12 2 8 3 2 2 3" xfId="4680" xr:uid="{110F3BF7-57EF-462C-AD09-852041A2F8AD}"/>
    <cellStyle name="Separador de milhares 12 2 8 3 2 2 3 2" xfId="11019" xr:uid="{0AE450E4-F188-49E2-B901-20AEDCEAAFAC}"/>
    <cellStyle name="Separador de milhares 12 2 8 3 2 2 4" xfId="7851" xr:uid="{841995B8-1B7E-4CD0-AF4B-C933AEB2FC97}"/>
    <cellStyle name="Separador de milhares 12 2 8 3 2 3" xfId="2282" xr:uid="{6B04233E-60F4-4352-A3EB-04775C09A9F9}"/>
    <cellStyle name="Separador de milhares 12 2 8 3 2 3 2" xfId="5452" xr:uid="{B2F67888-1345-4CDC-B1CF-484740201F89}"/>
    <cellStyle name="Separador de milhares 12 2 8 3 2 3 2 2" xfId="11791" xr:uid="{165C4D06-F1A1-464D-AD8D-0335F3461A79}"/>
    <cellStyle name="Separador de milhares 12 2 8 3 2 3 3" xfId="8623" xr:uid="{0C819CBC-CB65-4E22-96B3-129EB222C7EC}"/>
    <cellStyle name="Separador de milhares 12 2 8 3 2 4" xfId="3883" xr:uid="{F0191644-DA83-4E55-843B-12CA8BCF8575}"/>
    <cellStyle name="Separador de milhares 12 2 8 3 2 4 2" xfId="10222" xr:uid="{3E35AD8A-E373-451B-8C19-8147086E7177}"/>
    <cellStyle name="Separador de milhares 12 2 8 3 2 5" xfId="7054" xr:uid="{6BF38191-9143-46A9-B9DF-6361C5F07D89}"/>
    <cellStyle name="Separador de milhares 12 2 8 3 3" xfId="1127" xr:uid="{116E542D-A117-4D63-A363-2E78CFD6E537}"/>
    <cellStyle name="Separador de milhares 12 2 8 3 3 2" xfId="2698" xr:uid="{7F64B345-9B90-4330-B1EB-D638392768C5}"/>
    <cellStyle name="Separador de milhares 12 2 8 3 3 2 2" xfId="5868" xr:uid="{1F10933F-3249-4D6E-AB1D-27FCE3B5B2EE}"/>
    <cellStyle name="Separador de milhares 12 2 8 3 3 2 2 2" xfId="12207" xr:uid="{BB399A1D-4528-4F64-961A-C8DF68F6ED4B}"/>
    <cellStyle name="Separador de milhares 12 2 8 3 3 2 3" xfId="9039" xr:uid="{5726555B-689F-4799-B679-A486F1F7BCE5}"/>
    <cellStyle name="Separador de milhares 12 2 8 3 3 3" xfId="4299" xr:uid="{DBA4C730-175A-473B-BEB2-089ECC63DAE6}"/>
    <cellStyle name="Separador de milhares 12 2 8 3 3 3 2" xfId="10638" xr:uid="{455E4AB3-F591-4AFC-8732-7865336B117C}"/>
    <cellStyle name="Separador de milhares 12 2 8 3 3 4" xfId="7470" xr:uid="{15C4E5A9-261D-4AA3-AA11-E5ADD83E1BEA}"/>
    <cellStyle name="Separador de milhares 12 2 8 3 4" xfId="1901" xr:uid="{6349C537-D1E3-46AA-8F65-655389D29B49}"/>
    <cellStyle name="Separador de milhares 12 2 8 3 4 2" xfId="5071" xr:uid="{63A5DC38-4B6C-4F53-A3AA-612034F2378D}"/>
    <cellStyle name="Separador de milhares 12 2 8 3 4 2 2" xfId="11410" xr:uid="{C5A46211-6310-47F3-92A3-8764AD8732A8}"/>
    <cellStyle name="Separador de milhares 12 2 8 3 4 3" xfId="8242" xr:uid="{889F10D4-27B5-4E2E-9DDA-5AF7A69677C5}"/>
    <cellStyle name="Separador de milhares 12 2 8 3 5" xfId="3502" xr:uid="{CF83704C-A013-4794-8371-6DFAA79DD30C}"/>
    <cellStyle name="Separador de milhares 12 2 8 3 5 2" xfId="9841" xr:uid="{3FE6AB6D-F478-4D1A-A06B-3987A094DFDB}"/>
    <cellStyle name="Separador de milhares 12 2 8 3 6" xfId="6673" xr:uid="{51D64190-860D-4B75-B753-1047310EED8A}"/>
    <cellStyle name="Separador de milhares 12 2 8 4" xfId="924" xr:uid="{70D5A43D-F742-4581-8F97-D7315C6F6944}"/>
    <cellStyle name="Separador de milhares 12 2 8 4 2" xfId="2495" xr:uid="{B2159315-304B-4CBD-84D6-FD4C7D5ED1F2}"/>
    <cellStyle name="Separador de milhares 12 2 8 4 2 2" xfId="5665" xr:uid="{6CB7C71C-F8AE-4535-970D-BDA8189699BB}"/>
    <cellStyle name="Separador de milhares 12 2 8 4 2 2 2" xfId="12004" xr:uid="{09227F41-D321-48F9-96E2-F9D9C2F6A117}"/>
    <cellStyle name="Separador de milhares 12 2 8 4 2 3" xfId="8836" xr:uid="{B524C070-5B34-4229-91FB-D4B41A17DAB0}"/>
    <cellStyle name="Separador de milhares 12 2 8 4 3" xfId="4096" xr:uid="{50D700C5-3FDD-423D-B941-F65D54FD22BC}"/>
    <cellStyle name="Separador de milhares 12 2 8 4 3 2" xfId="10435" xr:uid="{87F33F1D-B605-4690-A9B6-DD6AC9370F41}"/>
    <cellStyle name="Separador de milhares 12 2 8 4 4" xfId="7267" xr:uid="{87A40650-6E0C-4CAC-A2D3-409DB723FFA7}"/>
    <cellStyle name="Separador de milhares 12 2 8 5" xfId="3299" xr:uid="{D04BCE36-B1F2-4B0E-9912-FB014F1F1C35}"/>
    <cellStyle name="Separador de milhares 12 2 8 5 2" xfId="9638" xr:uid="{CB81CDEE-3EDE-4CB6-A4E9-3B584757D518}"/>
    <cellStyle name="Separador de milhares 12 2 8 6" xfId="6470" xr:uid="{8D98CAC8-1F93-404F-B44B-681C7F4DA3B2}"/>
    <cellStyle name="Separador de milhares 12 2 9" xfId="189" xr:uid="{82724D2E-EE8E-4BE9-9E2D-A07EDE15CF69}"/>
    <cellStyle name="Separador de milhares 12 2 9 2" xfId="406" xr:uid="{89D05EFB-E2F9-4249-A8D8-B62543129E84}"/>
    <cellStyle name="Separador de milhares 12 2 9 2 2" xfId="787" xr:uid="{A897F6A3-0CED-4B68-8E3B-A100756A541C}"/>
    <cellStyle name="Separador de milhares 12 2 9 2 2 2" xfId="1586" xr:uid="{ABF37035-6DFB-4591-9EFC-27F1D7219341}"/>
    <cellStyle name="Separador de milhares 12 2 9 2 2 2 2" xfId="3157" xr:uid="{691F131C-5DAF-409A-B83D-3FA23DD5AA9B}"/>
    <cellStyle name="Separador de milhares 12 2 9 2 2 2 2 2" xfId="6327" xr:uid="{6186498C-DD4B-47B9-A168-080DC50EA798}"/>
    <cellStyle name="Separador de milhares 12 2 9 2 2 2 2 2 2" xfId="12666" xr:uid="{549B0CEE-1F46-4B5E-9A1F-0C7F6CFF1D8F}"/>
    <cellStyle name="Separador de milhares 12 2 9 2 2 2 2 3" xfId="9498" xr:uid="{F6C302DD-BB78-4634-B9AB-B844121A6D3C}"/>
    <cellStyle name="Separador de milhares 12 2 9 2 2 2 3" xfId="4758" xr:uid="{83BA3123-984A-4583-A5A5-4FCF62B96E96}"/>
    <cellStyle name="Separador de milhares 12 2 9 2 2 2 3 2" xfId="11097" xr:uid="{85A82B66-BAA2-47E5-916D-9AE7C6303BE7}"/>
    <cellStyle name="Separador de milhares 12 2 9 2 2 2 4" xfId="7929" xr:uid="{E64C639A-406A-40DD-B6ED-F279CDC13FC4}"/>
    <cellStyle name="Separador de milhares 12 2 9 2 2 3" xfId="2360" xr:uid="{A8586569-BFF7-4E38-AC64-3AF98D7F4E27}"/>
    <cellStyle name="Separador de milhares 12 2 9 2 2 3 2" xfId="5530" xr:uid="{11D3DB55-796F-4CFE-BC47-238FE42CA652}"/>
    <cellStyle name="Separador de milhares 12 2 9 2 2 3 2 2" xfId="11869" xr:uid="{10FC7045-DB37-4478-8708-594098C1384F}"/>
    <cellStyle name="Separador de milhares 12 2 9 2 2 3 3" xfId="8701" xr:uid="{6D6C0F1C-71E3-47E5-8257-35982257A2E8}"/>
    <cellStyle name="Separador de milhares 12 2 9 2 2 4" xfId="3961" xr:uid="{4CB3AB8A-F630-439F-97D9-0C37BB9623D2}"/>
    <cellStyle name="Separador de milhares 12 2 9 2 2 4 2" xfId="10300" xr:uid="{B26268F5-C872-4558-ABC6-F64B6364BE5A}"/>
    <cellStyle name="Separador de milhares 12 2 9 2 2 5" xfId="7132" xr:uid="{EF65F353-6505-47A2-99DE-930EB438219F}"/>
    <cellStyle name="Separador de milhares 12 2 9 2 3" xfId="1205" xr:uid="{704469A9-1D15-48C6-8D79-80C97562CA04}"/>
    <cellStyle name="Separador de milhares 12 2 9 2 3 2" xfId="2776" xr:uid="{A449746B-369B-43C5-A515-32FD42361D24}"/>
    <cellStyle name="Separador de milhares 12 2 9 2 3 2 2" xfId="5946" xr:uid="{FCAA7B7F-D0E5-44BC-9D0F-89927D0B482C}"/>
    <cellStyle name="Separador de milhares 12 2 9 2 3 2 2 2" xfId="12285" xr:uid="{FAB92D34-998C-4495-B3EE-85A6A125FAB7}"/>
    <cellStyle name="Separador de milhares 12 2 9 2 3 2 3" xfId="9117" xr:uid="{11AD72F4-06FE-41C9-93BA-1B87FFF557B3}"/>
    <cellStyle name="Separador de milhares 12 2 9 2 3 3" xfId="4377" xr:uid="{1F06BCB7-57BE-48E2-A1C0-24F7F102B76A}"/>
    <cellStyle name="Separador de milhares 12 2 9 2 3 3 2" xfId="10716" xr:uid="{313EAE6B-FB91-4ACF-AD4B-EB8608E71A13}"/>
    <cellStyle name="Separador de milhares 12 2 9 2 3 4" xfId="7548" xr:uid="{09AD9D95-8ECF-47BE-9ABE-7D8FE5CF2B11}"/>
    <cellStyle name="Separador de milhares 12 2 9 2 4" xfId="1979" xr:uid="{62AD8B35-5CD7-4A04-8173-2A151E540BC3}"/>
    <cellStyle name="Separador de milhares 12 2 9 2 4 2" xfId="5149" xr:uid="{4A19C176-6E8D-4549-8D46-2E1DE96759C1}"/>
    <cellStyle name="Separador de milhares 12 2 9 2 4 2 2" xfId="11488" xr:uid="{AD8E29EE-8299-475F-825D-9B8D9CFEA7F9}"/>
    <cellStyle name="Separador de milhares 12 2 9 2 4 3" xfId="8320" xr:uid="{91CEEBEC-7FBA-4278-8C47-FD038DFC9687}"/>
    <cellStyle name="Separador de milhares 12 2 9 2 5" xfId="3580" xr:uid="{CD6DC24E-CCB7-4F9A-8939-04DED9BEC45A}"/>
    <cellStyle name="Separador de milhares 12 2 9 2 5 2" xfId="9919" xr:uid="{6DCB4543-9E43-49F7-B386-B92A8B53B8FA}"/>
    <cellStyle name="Separador de milhares 12 2 9 2 6" xfId="6751" xr:uid="{530D2A5D-D9BE-4875-A91F-7A7672A0F12C}"/>
    <cellStyle name="Separador de milhares 12 2 9 3" xfId="584" xr:uid="{F7C08C42-D187-4CD2-A9AB-DAC60CFA2BAE}"/>
    <cellStyle name="Separador de milhares 12 2 9 3 2" xfId="1383" xr:uid="{7FA40AFE-B98B-4C5F-9F6F-09C67296DC2D}"/>
    <cellStyle name="Separador de milhares 12 2 9 3 2 2" xfId="2954" xr:uid="{FE9837B4-0158-438E-A34C-90514B6B2C77}"/>
    <cellStyle name="Separador de milhares 12 2 9 3 2 2 2" xfId="6124" xr:uid="{83821F3B-5151-4335-B4AE-B9429F1F94D1}"/>
    <cellStyle name="Separador de milhares 12 2 9 3 2 2 2 2" xfId="12463" xr:uid="{D51ED1AC-1CAF-497F-B669-F5A5B186CB61}"/>
    <cellStyle name="Separador de milhares 12 2 9 3 2 2 3" xfId="9295" xr:uid="{04501015-80BB-449D-83DE-6682A5E09F5E}"/>
    <cellStyle name="Separador de milhares 12 2 9 3 2 3" xfId="4555" xr:uid="{1D597854-634B-42D4-BE4D-494FE74B939A}"/>
    <cellStyle name="Separador de milhares 12 2 9 3 2 3 2" xfId="10894" xr:uid="{62F4D0EE-0CA4-443D-8E94-454013517DEA}"/>
    <cellStyle name="Separador de milhares 12 2 9 3 2 4" xfId="7726" xr:uid="{DC4941F3-ED80-4DA4-9EC0-5A73821B54CF}"/>
    <cellStyle name="Separador de milhares 12 2 9 3 3" xfId="2157" xr:uid="{A134BDD4-04D5-47B4-84E5-4E327DE2B63B}"/>
    <cellStyle name="Separador de milhares 12 2 9 3 3 2" xfId="5327" xr:uid="{B4975B36-04E5-437A-A928-E2FE53A8476A}"/>
    <cellStyle name="Separador de milhares 12 2 9 3 3 2 2" xfId="11666" xr:uid="{A9C45708-D398-4297-8BF0-A9E1E396724D}"/>
    <cellStyle name="Separador de milhares 12 2 9 3 3 3" xfId="8498" xr:uid="{4CA0E434-7D69-4E4D-919E-0B9F2861A228}"/>
    <cellStyle name="Separador de milhares 12 2 9 3 4" xfId="3758" xr:uid="{332845AE-3BD6-43C2-A3D1-37820D0F2691}"/>
    <cellStyle name="Separador de milhares 12 2 9 3 4 2" xfId="10097" xr:uid="{D838E785-0ED6-4A06-BEC4-9D7DCBAD1925}"/>
    <cellStyle name="Separador de milhares 12 2 9 3 5" xfId="6929" xr:uid="{E51191E3-5A34-4A9F-A31E-2519D0DF8082}"/>
    <cellStyle name="Separador de milhares 12 2 9 4" xfId="1002" xr:uid="{A9BB189A-9194-4AAC-A985-7ECA2E5EE8A6}"/>
    <cellStyle name="Separador de milhares 12 2 9 4 2" xfId="2573" xr:uid="{C4A618E2-581D-4121-AACB-A4FC27E5E4CB}"/>
    <cellStyle name="Separador de milhares 12 2 9 4 2 2" xfId="5743" xr:uid="{F15DB06D-5F0D-4DFA-8CCC-3E9E6EFF0961}"/>
    <cellStyle name="Separador de milhares 12 2 9 4 2 2 2" xfId="12082" xr:uid="{615A3C20-717A-458A-ADF8-2DE218C5F2B5}"/>
    <cellStyle name="Separador de milhares 12 2 9 4 2 3" xfId="8914" xr:uid="{555FC58F-E8FE-4827-A2B9-5A95F4C61D93}"/>
    <cellStyle name="Separador de milhares 12 2 9 4 3" xfId="4174" xr:uid="{40C14B36-8844-47AB-BCED-A8C7A85FDFFF}"/>
    <cellStyle name="Separador de milhares 12 2 9 4 3 2" xfId="10513" xr:uid="{B23DE0CA-2DA3-4434-8B11-0CC95DF238FA}"/>
    <cellStyle name="Separador de milhares 12 2 9 4 4" xfId="7345" xr:uid="{A341AF8C-F398-4DB7-82B2-704146F81F45}"/>
    <cellStyle name="Separador de milhares 12 2 9 5" xfId="1776" xr:uid="{FCA83D37-010B-4DE4-A623-29A2A6B7A872}"/>
    <cellStyle name="Separador de milhares 12 2 9 5 2" xfId="4946" xr:uid="{7D9D2A37-F354-4F70-8A28-CD7D2D11BBF0}"/>
    <cellStyle name="Separador de milhares 12 2 9 5 2 2" xfId="11285" xr:uid="{246DBC0E-671A-4856-BEFD-EC795A4924C6}"/>
    <cellStyle name="Separador de milhares 12 2 9 5 3" xfId="8117" xr:uid="{AD554344-545E-4BF7-B59A-5968A042A58F}"/>
    <cellStyle name="Separador de milhares 12 2 9 6" xfId="3377" xr:uid="{EC2EBB6A-8237-40E6-A01C-5499473F4472}"/>
    <cellStyle name="Separador de milhares 12 2 9 6 2" xfId="9716" xr:uid="{7DE3CB51-2401-4588-86A0-02E840039AD0}"/>
    <cellStyle name="Separador de milhares 12 2 9 7" xfId="6548" xr:uid="{F6851FD0-497D-40A5-9C74-04280750D7F2}"/>
    <cellStyle name="Separador de milhares 2" xfId="24" xr:uid="{BEEE6FC8-66CD-47E2-96D8-6838C6AB5EAA}"/>
    <cellStyle name="Separador de milhares 2 10" xfId="78" xr:uid="{09C9FC96-BB9A-4262-9FEA-663678D6CE18}"/>
    <cellStyle name="Separador de milhares 2 10 2" xfId="223" xr:uid="{33F98BAB-FEF8-448F-9A63-2FC3BA6602B9}"/>
    <cellStyle name="Separador de milhares 2 10 2 2" xfId="440" xr:uid="{D49A34EB-0A0C-4B3D-9A47-A41910AF1BA6}"/>
    <cellStyle name="Separador de milhares 2 10 2 2 2" xfId="821" xr:uid="{7A37EFB4-2313-4F7F-BEF4-6CBE2F06E59D}"/>
    <cellStyle name="Separador de milhares 2 10 2 2 2 2" xfId="1620" xr:uid="{5ABDD758-4204-46EA-803D-C2827CA2E62F}"/>
    <cellStyle name="Separador de milhares 2 10 2 2 2 2 2" xfId="3191" xr:uid="{5D9F845A-233F-4D51-9976-544E7918D5FF}"/>
    <cellStyle name="Separador de milhares 2 10 2 2 2 2 2 2" xfId="6361" xr:uid="{F92EEBA2-D942-4598-9946-10652E0D4236}"/>
    <cellStyle name="Separador de milhares 2 10 2 2 2 2 2 2 2" xfId="12700" xr:uid="{A6848F33-7FF4-4DF6-99B2-CAA82DE7E012}"/>
    <cellStyle name="Separador de milhares 2 10 2 2 2 2 2 3" xfId="9532" xr:uid="{009723AA-BD85-4426-93E1-639F207CD082}"/>
    <cellStyle name="Separador de milhares 2 10 2 2 2 2 3" xfId="4792" xr:uid="{62EF9189-88F5-459E-AFB0-A3DDFB2FD1BC}"/>
    <cellStyle name="Separador de milhares 2 10 2 2 2 2 3 2" xfId="11131" xr:uid="{10ACB01C-64A8-4103-A013-F70454FB211D}"/>
    <cellStyle name="Separador de milhares 2 10 2 2 2 2 4" xfId="7963" xr:uid="{CA2A0350-9A0B-47FE-BD87-0F1AE03E1EA8}"/>
    <cellStyle name="Separador de milhares 2 10 2 2 2 3" xfId="2394" xr:uid="{6ABC0BB8-B2E0-4229-BDD1-28CE645B6919}"/>
    <cellStyle name="Separador de milhares 2 10 2 2 2 3 2" xfId="5564" xr:uid="{F4B46F17-8A4D-4E0D-8C47-EBCAADEF570D}"/>
    <cellStyle name="Separador de milhares 2 10 2 2 2 3 2 2" xfId="11903" xr:uid="{A8E0B065-5AE7-4528-B7F8-62319364A315}"/>
    <cellStyle name="Separador de milhares 2 10 2 2 2 3 3" xfId="8735" xr:uid="{75036CC0-09C3-49B7-9048-0F6ECC1E289C}"/>
    <cellStyle name="Separador de milhares 2 10 2 2 2 4" xfId="3995" xr:uid="{71EB839A-6824-4063-B8CC-7294D1EC640F}"/>
    <cellStyle name="Separador de milhares 2 10 2 2 2 4 2" xfId="10334" xr:uid="{07D0617A-96C7-4D60-AD97-CFA71DC3F611}"/>
    <cellStyle name="Separador de milhares 2 10 2 2 2 5" xfId="7166" xr:uid="{912F66CF-67BC-49B9-AF5E-02BE89182D51}"/>
    <cellStyle name="Separador de milhares 2 10 2 2 3" xfId="1239" xr:uid="{D7CF073F-B736-4E34-B8A0-C3479C705842}"/>
    <cellStyle name="Separador de milhares 2 10 2 2 3 2" xfId="2810" xr:uid="{81EFFBBF-C89A-4EEB-819F-6588316C7F41}"/>
    <cellStyle name="Separador de milhares 2 10 2 2 3 2 2" xfId="5980" xr:uid="{5E88D656-806F-4A5F-8085-D314DCA7954B}"/>
    <cellStyle name="Separador de milhares 2 10 2 2 3 2 2 2" xfId="12319" xr:uid="{B2320443-565C-4150-8C00-E6862F3119C8}"/>
    <cellStyle name="Separador de milhares 2 10 2 2 3 2 3" xfId="9151" xr:uid="{6FDE440B-3CF7-4CD1-A552-29D9407B9571}"/>
    <cellStyle name="Separador de milhares 2 10 2 2 3 3" xfId="4411" xr:uid="{6BFBB0DA-59B5-48BC-8CAE-1D68C72E8B1B}"/>
    <cellStyle name="Separador de milhares 2 10 2 2 3 3 2" xfId="10750" xr:uid="{9DA68751-DE1F-4C77-9759-BA4139ECB7C3}"/>
    <cellStyle name="Separador de milhares 2 10 2 2 3 4" xfId="7582" xr:uid="{8BF4D40D-8002-4F46-84AE-6ACC97E9CCD9}"/>
    <cellStyle name="Separador de milhares 2 10 2 2 4" xfId="2013" xr:uid="{E151E4B1-0CB0-4AA6-9D29-572239E4655F}"/>
    <cellStyle name="Separador de milhares 2 10 2 2 4 2" xfId="5183" xr:uid="{E8E90652-A297-43BC-8D20-212E80501514}"/>
    <cellStyle name="Separador de milhares 2 10 2 2 4 2 2" xfId="11522" xr:uid="{433FF862-A35F-4E84-ADE8-58F44DA7BE94}"/>
    <cellStyle name="Separador de milhares 2 10 2 2 4 3" xfId="8354" xr:uid="{8EAA6270-67EC-432D-BBB9-D0BD5CD9C40A}"/>
    <cellStyle name="Separador de milhares 2 10 2 2 5" xfId="3614" xr:uid="{F9E31E5D-81A8-4186-ADE5-752E6E8262EB}"/>
    <cellStyle name="Separador de milhares 2 10 2 2 5 2" xfId="9953" xr:uid="{6705077C-0AC8-415E-8CA4-6EAD1C31DD13}"/>
    <cellStyle name="Separador de milhares 2 10 2 2 6" xfId="6785" xr:uid="{A0F475A9-F36A-44F6-84E9-1AAA7BFEFD25}"/>
    <cellStyle name="Separador de milhares 2 10 2 3" xfId="618" xr:uid="{7224C043-4D70-4023-9C6A-233B556C8447}"/>
    <cellStyle name="Separador de milhares 2 10 2 3 2" xfId="1417" xr:uid="{E72D73C5-3B56-492E-B9D1-11F231695EDC}"/>
    <cellStyle name="Separador de milhares 2 10 2 3 2 2" xfId="2988" xr:uid="{E1D29295-F7F9-4EF4-B8C5-788B912263B2}"/>
    <cellStyle name="Separador de milhares 2 10 2 3 2 2 2" xfId="6158" xr:uid="{BFF90916-A4EB-4E72-B993-76D85C413065}"/>
    <cellStyle name="Separador de milhares 2 10 2 3 2 2 2 2" xfId="12497" xr:uid="{84A11771-F408-4A5F-8B6F-62CE0ECD891D}"/>
    <cellStyle name="Separador de milhares 2 10 2 3 2 2 3" xfId="9329" xr:uid="{D70EF577-3E04-459D-98FB-26E9E911FF98}"/>
    <cellStyle name="Separador de milhares 2 10 2 3 2 3" xfId="4589" xr:uid="{15C473E1-0A11-40DC-B963-F504C979C040}"/>
    <cellStyle name="Separador de milhares 2 10 2 3 2 3 2" xfId="10928" xr:uid="{2059C2B3-96DB-4A19-93B9-5A77817ECBE7}"/>
    <cellStyle name="Separador de milhares 2 10 2 3 2 4" xfId="7760" xr:uid="{7D4968A7-44BA-4577-9059-3E2D415F9045}"/>
    <cellStyle name="Separador de milhares 2 10 2 3 3" xfId="2191" xr:uid="{5693140E-CFE3-4287-9D75-FE9259C3F5A2}"/>
    <cellStyle name="Separador de milhares 2 10 2 3 3 2" xfId="5361" xr:uid="{CC2A9540-08AB-4668-8835-177B6362315C}"/>
    <cellStyle name="Separador de milhares 2 10 2 3 3 2 2" xfId="11700" xr:uid="{25F003C9-AFE9-4B16-94DC-F381328FB6EA}"/>
    <cellStyle name="Separador de milhares 2 10 2 3 3 3" xfId="8532" xr:uid="{1B6BE583-A79F-4D45-AC93-73107708A408}"/>
    <cellStyle name="Separador de milhares 2 10 2 3 4" xfId="3792" xr:uid="{7900477E-289D-421E-9966-86F412562A70}"/>
    <cellStyle name="Separador de milhares 2 10 2 3 4 2" xfId="10131" xr:uid="{101F4D77-953E-4A75-B2B9-9A4EA7267E29}"/>
    <cellStyle name="Separador de milhares 2 10 2 3 5" xfId="6963" xr:uid="{2DF5ABC7-CDD3-4D62-92D6-896D052CC0F0}"/>
    <cellStyle name="Separador de milhares 2 10 2 4" xfId="1036" xr:uid="{C3C54198-4443-4E6E-8375-0D1810066FED}"/>
    <cellStyle name="Separador de milhares 2 10 2 4 2" xfId="2607" xr:uid="{DF5F493E-F2C4-4951-8F65-2A91F512E4D4}"/>
    <cellStyle name="Separador de milhares 2 10 2 4 2 2" xfId="5777" xr:uid="{1FBA3DBE-076C-4EC8-AFC3-3C701C2C753F}"/>
    <cellStyle name="Separador de milhares 2 10 2 4 2 2 2" xfId="12116" xr:uid="{40B94019-FDC6-4F55-A2CA-E37832A972BE}"/>
    <cellStyle name="Separador de milhares 2 10 2 4 2 3" xfId="8948" xr:uid="{CBDFA8CF-55F7-4941-8665-D8A7D903BEC2}"/>
    <cellStyle name="Separador de milhares 2 10 2 4 3" xfId="4208" xr:uid="{816B0C02-466A-49BD-BEC1-F49D5A8145AD}"/>
    <cellStyle name="Separador de milhares 2 10 2 4 3 2" xfId="10547" xr:uid="{4664FA69-6C51-454B-AB1D-8C005ACA066E}"/>
    <cellStyle name="Separador de milhares 2 10 2 4 4" xfId="7379" xr:uid="{54639074-30E0-48C6-99F5-DA7089A93DDC}"/>
    <cellStyle name="Separador de milhares 2 10 2 5" xfId="1810" xr:uid="{323340E4-77EA-4929-8930-CB1E768042F8}"/>
    <cellStyle name="Separador de milhares 2 10 2 5 2" xfId="4980" xr:uid="{8714A5BF-6EA3-45EC-8298-CE7CEE36B5D9}"/>
    <cellStyle name="Separador de milhares 2 10 2 5 2 2" xfId="11319" xr:uid="{7A099816-F904-4FE2-82AB-A1E28A64724A}"/>
    <cellStyle name="Separador de milhares 2 10 2 5 3" xfId="8151" xr:uid="{B02EA3BC-4A47-4953-8623-D92B32C39428}"/>
    <cellStyle name="Separador de milhares 2 10 2 6" xfId="3411" xr:uid="{9DB0863E-98D7-4E25-B33F-B690483A4A5B}"/>
    <cellStyle name="Separador de milhares 2 10 2 6 2" xfId="9750" xr:uid="{A0B76FD9-BF01-4EB0-9073-C8334AECD9FD}"/>
    <cellStyle name="Separador de milhares 2 10 2 7" xfId="6582" xr:uid="{B5C7562E-1BEF-4703-9385-74BBC1672855}"/>
    <cellStyle name="Separador de milhares 2 10 3" xfId="299" xr:uid="{5ADB08DB-C001-487D-B4A9-2EA631764A84}"/>
    <cellStyle name="Separador de milhares 2 10 3 2" xfId="688" xr:uid="{665E1CFB-B199-4B90-9019-BBABA84E108D}"/>
    <cellStyle name="Separador de milhares 2 10 3 2 2" xfId="1487" xr:uid="{46F0D6F8-6541-492D-A04E-27B2ABF00203}"/>
    <cellStyle name="Separador de milhares 2 10 3 2 2 2" xfId="3058" xr:uid="{009D87EE-1C04-4222-8937-5DA4B49F1C34}"/>
    <cellStyle name="Separador de milhares 2 10 3 2 2 2 2" xfId="6228" xr:uid="{09E03AED-74C4-4B5B-8230-7D83981A1890}"/>
    <cellStyle name="Separador de milhares 2 10 3 2 2 2 2 2" xfId="12567" xr:uid="{469CF105-CA4F-4F97-930D-98E3622D06BD}"/>
    <cellStyle name="Separador de milhares 2 10 3 2 2 2 3" xfId="9399" xr:uid="{E5F400E3-B4D0-44C1-95C7-680E0F2114DB}"/>
    <cellStyle name="Separador de milhares 2 10 3 2 2 3" xfId="4659" xr:uid="{6A63A8F7-9D1D-4184-83F3-2D1DB84B72AB}"/>
    <cellStyle name="Separador de milhares 2 10 3 2 2 3 2" xfId="10998" xr:uid="{30A9A8B0-6227-4C63-8BBF-08950577CAD8}"/>
    <cellStyle name="Separador de milhares 2 10 3 2 2 4" xfId="7830" xr:uid="{9193E7F6-F28B-4928-A086-2FD242AC169D}"/>
    <cellStyle name="Separador de milhares 2 10 3 2 3" xfId="2261" xr:uid="{2965ACD7-1239-409A-8CE9-640FB2176DD9}"/>
    <cellStyle name="Separador de milhares 2 10 3 2 3 2" xfId="5431" xr:uid="{F4CA650C-DD43-417A-8A0F-D90C4ED72BCA}"/>
    <cellStyle name="Separador de milhares 2 10 3 2 3 2 2" xfId="11770" xr:uid="{62DDC45B-80A8-4EF0-AE24-7D5B42EC54AB}"/>
    <cellStyle name="Separador de milhares 2 10 3 2 3 3" xfId="8602" xr:uid="{3A0AF3BE-8FDE-4B91-990E-F5C949FB6BB3}"/>
    <cellStyle name="Separador de milhares 2 10 3 2 4" xfId="3862" xr:uid="{717D7F6D-1758-496B-917F-2129966E00EB}"/>
    <cellStyle name="Separador de milhares 2 10 3 2 4 2" xfId="10201" xr:uid="{DED31E73-7B5C-40F8-B625-DB27C01F9567}"/>
    <cellStyle name="Separador de milhares 2 10 3 2 5" xfId="7033" xr:uid="{FCF6B924-FA8D-4CB8-8D4F-96BD59265088}"/>
    <cellStyle name="Separador de milhares 2 10 3 3" xfId="1106" xr:uid="{97F30C28-385E-4006-8EB0-1C257170DFC8}"/>
    <cellStyle name="Separador de milhares 2 10 3 3 2" xfId="2677" xr:uid="{39E4CC89-50A7-448C-AE98-B45118315398}"/>
    <cellStyle name="Separador de milhares 2 10 3 3 2 2" xfId="5847" xr:uid="{329BCD11-DB28-4436-86D2-2142CB59ADF1}"/>
    <cellStyle name="Separador de milhares 2 10 3 3 2 2 2" xfId="12186" xr:uid="{44ED656B-E6B2-4416-8FBE-CD57AD11FA61}"/>
    <cellStyle name="Separador de milhares 2 10 3 3 2 3" xfId="9018" xr:uid="{52D33A00-F754-4432-B6B3-D345F40346C2}"/>
    <cellStyle name="Separador de milhares 2 10 3 3 3" xfId="4278" xr:uid="{6C0588F5-376F-4F59-BC86-DE3B17B03F00}"/>
    <cellStyle name="Separador de milhares 2 10 3 3 3 2" xfId="10617" xr:uid="{90497C58-C8D3-4DF9-970F-2B5BD1BA006B}"/>
    <cellStyle name="Separador de milhares 2 10 3 3 4" xfId="7449" xr:uid="{974D0ED2-488A-425B-B9B5-2F164FA84112}"/>
    <cellStyle name="Separador de milhares 2 10 3 4" xfId="1880" xr:uid="{8F4A18AC-519A-450C-9FBA-1B018C8A621B}"/>
    <cellStyle name="Separador de milhares 2 10 3 4 2" xfId="5050" xr:uid="{818B6501-A2C0-42AC-9FA7-25F1BFE9F561}"/>
    <cellStyle name="Separador de milhares 2 10 3 4 2 2" xfId="11389" xr:uid="{9F7790EC-2290-443D-82B7-44F92EAD13C2}"/>
    <cellStyle name="Separador de milhares 2 10 3 4 3" xfId="8221" xr:uid="{5D537D96-0ABE-4BFC-BDB2-DDA96FB576A1}"/>
    <cellStyle name="Separador de milhares 2 10 3 5" xfId="3481" xr:uid="{B511713A-9723-4E03-9D01-725E6E442B1B}"/>
    <cellStyle name="Separador de milhares 2 10 3 5 2" xfId="9820" xr:uid="{96250575-586B-4679-B7D1-768FD9C9EDA9}"/>
    <cellStyle name="Separador de milhares 2 10 3 6" xfId="6652" xr:uid="{3141A0D1-8018-44E1-9D51-6FE3BB74999C}"/>
    <cellStyle name="Separador de milhares 2 10 4" xfId="505" xr:uid="{82647C74-6EC5-4195-8B8E-F6B6E7D2EEAD}"/>
    <cellStyle name="Separador de milhares 2 10 4 2" xfId="1304" xr:uid="{B1B82343-0C7A-4F5B-BD9D-3FDF04DBEE44}"/>
    <cellStyle name="Separador de milhares 2 10 4 2 2" xfId="2875" xr:uid="{989EEF66-5B2A-4250-8B55-3F15B5D096EA}"/>
    <cellStyle name="Separador de milhares 2 10 4 2 2 2" xfId="6045" xr:uid="{7E443247-D9DF-450C-B1A1-29FB34BAB596}"/>
    <cellStyle name="Separador de milhares 2 10 4 2 2 2 2" xfId="12384" xr:uid="{C858D813-C341-4C47-9885-5A1B7DB606E5}"/>
    <cellStyle name="Separador de milhares 2 10 4 2 2 3" xfId="9216" xr:uid="{BCC3B55B-8DFC-4A2E-A434-9C92D7EC4AFB}"/>
    <cellStyle name="Separador de milhares 2 10 4 2 3" xfId="4476" xr:uid="{E061C7E6-C32E-4E46-93B5-47C9F96C4F71}"/>
    <cellStyle name="Separador de milhares 2 10 4 2 3 2" xfId="10815" xr:uid="{8CAD46A6-F228-4E72-A77A-D390AAB25DF1}"/>
    <cellStyle name="Separador de milhares 2 10 4 2 4" xfId="7647" xr:uid="{A4EE0C4D-1CB2-4FC1-836C-CE1284FF967F}"/>
    <cellStyle name="Separador de milhares 2 10 4 3" xfId="2078" xr:uid="{46112DC9-F493-49CF-AA9D-6B7ECEB8A3B2}"/>
    <cellStyle name="Separador de milhares 2 10 4 3 2" xfId="5248" xr:uid="{7F86B75B-7084-4F70-8585-8CF596C173C5}"/>
    <cellStyle name="Separador de milhares 2 10 4 3 2 2" xfId="11587" xr:uid="{19AEF092-FD42-40E2-8243-95E581AE5935}"/>
    <cellStyle name="Separador de milhares 2 10 4 3 3" xfId="8419" xr:uid="{6322474B-0E68-4634-9A68-485790B41A73}"/>
    <cellStyle name="Separador de milhares 2 10 4 4" xfId="3679" xr:uid="{C3D84F0F-C0A5-4B02-855A-2D3AEC111F1E}"/>
    <cellStyle name="Separador de milhares 2 10 4 4 2" xfId="10018" xr:uid="{AAA54F85-DA62-49B0-A010-05610E69FD2A}"/>
    <cellStyle name="Separador de milhares 2 10 4 5" xfId="6850" xr:uid="{96CF768F-F5E9-45D2-A425-F01AB569F819}"/>
    <cellStyle name="Separador de milhares 2 10 5" xfId="903" xr:uid="{3FBA9DFB-EB79-4291-A226-B8138B613275}"/>
    <cellStyle name="Separador de milhares 2 10 5 2" xfId="2474" xr:uid="{92473CE5-F5DD-432A-8792-4C565F9AF1B8}"/>
    <cellStyle name="Separador de milhares 2 10 5 2 2" xfId="5644" xr:uid="{5FAC54A9-1DF4-4899-BB29-45F7073945FB}"/>
    <cellStyle name="Separador de milhares 2 10 5 2 2 2" xfId="11983" xr:uid="{E32EF1FC-EDDC-493B-B536-825C68C2A0C3}"/>
    <cellStyle name="Separador de milhares 2 10 5 2 3" xfId="8815" xr:uid="{53FEE817-CD03-421A-8EDA-7A99A0160205}"/>
    <cellStyle name="Separador de milhares 2 10 5 3" xfId="4075" xr:uid="{5A68CD07-049E-4341-B9C8-161B8C851B1F}"/>
    <cellStyle name="Separador de milhares 2 10 5 3 2" xfId="10414" xr:uid="{85CF4EB2-A84E-409E-ACDD-814F77018A29}"/>
    <cellStyle name="Separador de milhares 2 10 5 4" xfId="7246" xr:uid="{FB60E2A2-6ABD-448F-85FC-57BCC8E73909}"/>
    <cellStyle name="Separador de milhares 2 10 6" xfId="1699" xr:uid="{FBCBEEF5-61F1-4BF8-8817-31B4740AAA18}"/>
    <cellStyle name="Separador de milhares 2 10 6 2" xfId="4869" xr:uid="{141339BF-B1DE-4CA8-8C14-B2BA67093EBD}"/>
    <cellStyle name="Separador de milhares 2 10 6 2 2" xfId="11208" xr:uid="{6EC7D6D3-BEDD-40A1-B7CA-E01E8DFF4C61}"/>
    <cellStyle name="Separador de milhares 2 10 6 3" xfId="8040" xr:uid="{F60E24DB-E9A2-4898-8820-EE33703B103B}"/>
    <cellStyle name="Separador de milhares 2 10 7" xfId="3278" xr:uid="{F2E7B278-A113-438D-ADDA-B72A4E9A5F60}"/>
    <cellStyle name="Separador de milhares 2 10 7 2" xfId="9617" xr:uid="{D6695778-58DF-4B14-82F1-6C37B70D1A41}"/>
    <cellStyle name="Separador de milhares 2 10 8" xfId="6449" xr:uid="{1A6FF700-1397-4131-8AF7-26314DBE05B0}"/>
    <cellStyle name="Separador de milhares 2 11" xfId="164" xr:uid="{357F28DE-3E11-4EA2-B657-B9593108F630}"/>
    <cellStyle name="Separador de milhares 2 11 2" xfId="381" xr:uid="{7EABBD25-09BB-44F7-A9AD-1F3DD4F8190D}"/>
    <cellStyle name="Separador de milhares 2 11 2 2" xfId="762" xr:uid="{7220224C-A736-4A52-8C36-91F576AFBDF4}"/>
    <cellStyle name="Separador de milhares 2 11 2 2 2" xfId="1561" xr:uid="{6D1D6ECB-CF0C-443D-96C2-428CCCDF1801}"/>
    <cellStyle name="Separador de milhares 2 11 2 2 2 2" xfId="3132" xr:uid="{06F4F372-F5C6-4F37-B382-533FD5FEE35B}"/>
    <cellStyle name="Separador de milhares 2 11 2 2 2 2 2" xfId="6302" xr:uid="{115E0994-51A8-4454-AF5D-54ED36EFB47E}"/>
    <cellStyle name="Separador de milhares 2 11 2 2 2 2 2 2" xfId="12641" xr:uid="{2EF9F0EB-D729-402D-AD60-D1B218B15F73}"/>
    <cellStyle name="Separador de milhares 2 11 2 2 2 2 3" xfId="9473" xr:uid="{71335603-4F3D-470C-8413-1B01DDB04C0E}"/>
    <cellStyle name="Separador de milhares 2 11 2 2 2 3" xfId="4733" xr:uid="{DE510600-6B29-4075-853B-427C19E7A45F}"/>
    <cellStyle name="Separador de milhares 2 11 2 2 2 3 2" xfId="11072" xr:uid="{0BCC13EB-D6BD-4019-AF32-4DD8EDAC3C84}"/>
    <cellStyle name="Separador de milhares 2 11 2 2 2 4" xfId="7904" xr:uid="{F5F53BCE-53FB-460B-BE1E-31381F020B12}"/>
    <cellStyle name="Separador de milhares 2 11 2 2 3" xfId="2335" xr:uid="{23FEA69F-8DAA-47B1-81F8-5472720F1254}"/>
    <cellStyle name="Separador de milhares 2 11 2 2 3 2" xfId="5505" xr:uid="{C7CCFD83-64B9-44B4-8E60-947737A56CD7}"/>
    <cellStyle name="Separador de milhares 2 11 2 2 3 2 2" xfId="11844" xr:uid="{5F36B67D-CC37-4C2D-9D64-F9BD96F94E3D}"/>
    <cellStyle name="Separador de milhares 2 11 2 2 3 3" xfId="8676" xr:uid="{3057633D-3117-4F5B-A7BC-D7F30167A586}"/>
    <cellStyle name="Separador de milhares 2 11 2 2 4" xfId="3936" xr:uid="{743B77EA-8413-4A88-9611-54BDE91436DD}"/>
    <cellStyle name="Separador de milhares 2 11 2 2 4 2" xfId="10275" xr:uid="{691C4A74-471B-42C9-BC17-8D1E24A05162}"/>
    <cellStyle name="Separador de milhares 2 11 2 2 5" xfId="7107" xr:uid="{033560B1-7A87-4675-A5BD-BEEC66388001}"/>
    <cellStyle name="Separador de milhares 2 11 2 3" xfId="1180" xr:uid="{C27D4B55-2A87-4F1D-BD99-3B98BC8E75DE}"/>
    <cellStyle name="Separador de milhares 2 11 2 3 2" xfId="2751" xr:uid="{1365D7C8-2265-462E-9C82-C6E36BB8AD17}"/>
    <cellStyle name="Separador de milhares 2 11 2 3 2 2" xfId="5921" xr:uid="{5BDBD9A0-3D43-4466-916E-B20ACF7BD780}"/>
    <cellStyle name="Separador de milhares 2 11 2 3 2 2 2" xfId="12260" xr:uid="{3237846D-3D9F-4D66-AE06-4BA84AF8621F}"/>
    <cellStyle name="Separador de milhares 2 11 2 3 2 3" xfId="9092" xr:uid="{CBF38643-4D4A-4D11-98FC-15006006D850}"/>
    <cellStyle name="Separador de milhares 2 11 2 3 3" xfId="4352" xr:uid="{5ED614F1-8892-4E47-9DB4-45E7D6A7AF27}"/>
    <cellStyle name="Separador de milhares 2 11 2 3 3 2" xfId="10691" xr:uid="{0CB38E8B-1426-4D1A-A8A1-D65DD3600774}"/>
    <cellStyle name="Separador de milhares 2 11 2 3 4" xfId="7523" xr:uid="{9862B93C-6108-4472-BF2D-370DE995227E}"/>
    <cellStyle name="Separador de milhares 2 11 2 4" xfId="1954" xr:uid="{D31449FD-5BCD-42AA-AEF8-AF0759D43F04}"/>
    <cellStyle name="Separador de milhares 2 11 2 4 2" xfId="5124" xr:uid="{F23B1C29-619C-4183-85D9-4B08D93249D6}"/>
    <cellStyle name="Separador de milhares 2 11 2 4 2 2" xfId="11463" xr:uid="{66590400-484F-4FA0-9B34-AAD71C5F441F}"/>
    <cellStyle name="Separador de milhares 2 11 2 4 3" xfId="8295" xr:uid="{46ABC25C-94FE-4831-A5B1-38B7E5B34904}"/>
    <cellStyle name="Separador de milhares 2 11 2 5" xfId="3555" xr:uid="{C35A61F8-9F1B-4810-BB95-5EA355DA3FCF}"/>
    <cellStyle name="Separador de milhares 2 11 2 5 2" xfId="9894" xr:uid="{A46858E9-83CB-477E-8B8A-D6AC8FC52949}"/>
    <cellStyle name="Separador de milhares 2 11 2 6" xfId="6726" xr:uid="{A0E7B44B-9F69-4AB9-8788-591459BF67A9}"/>
    <cellStyle name="Separador de milhares 2 11 3" xfId="559" xr:uid="{4EF7DA5E-BFAC-4954-A5E1-957DDF2BD31A}"/>
    <cellStyle name="Separador de milhares 2 11 3 2" xfId="1358" xr:uid="{6933D4DE-B4C3-42EC-8A26-F34B92D0F1FA}"/>
    <cellStyle name="Separador de milhares 2 11 3 2 2" xfId="2929" xr:uid="{9835666F-48DA-4D3A-9E50-85E39C9A85DF}"/>
    <cellStyle name="Separador de milhares 2 11 3 2 2 2" xfId="6099" xr:uid="{A13AAC4A-A447-44BC-AC31-F899C5B7DD3F}"/>
    <cellStyle name="Separador de milhares 2 11 3 2 2 2 2" xfId="12438" xr:uid="{D3A53A5E-8BC4-401C-8E63-993E998033DD}"/>
    <cellStyle name="Separador de milhares 2 11 3 2 2 3" xfId="9270" xr:uid="{2741CCD8-4407-4602-A2FA-6574003BD24C}"/>
    <cellStyle name="Separador de milhares 2 11 3 2 3" xfId="4530" xr:uid="{EE40137E-692D-4903-B2E6-02B0B87FBB05}"/>
    <cellStyle name="Separador de milhares 2 11 3 2 3 2" xfId="10869" xr:uid="{2B8BD53C-2146-49A9-AA7B-FB383BA91C69}"/>
    <cellStyle name="Separador de milhares 2 11 3 2 4" xfId="7701" xr:uid="{46F48B68-6225-41BF-A8EC-9651C475F27C}"/>
    <cellStyle name="Separador de milhares 2 11 3 3" xfId="2132" xr:uid="{261AE7B5-CAAA-468F-9B5E-E4CD6D3257DD}"/>
    <cellStyle name="Separador de milhares 2 11 3 3 2" xfId="5302" xr:uid="{A35FFB8B-D283-4909-B90F-4F42BF721D46}"/>
    <cellStyle name="Separador de milhares 2 11 3 3 2 2" xfId="11641" xr:uid="{00855A35-BEB8-40CE-B6B4-4ED669A8007A}"/>
    <cellStyle name="Separador de milhares 2 11 3 3 3" xfId="8473" xr:uid="{20591524-51CD-47F2-94FC-9E0009801654}"/>
    <cellStyle name="Separador de milhares 2 11 3 4" xfId="3733" xr:uid="{700C2788-12BB-4AB5-A37A-712D9DFF035A}"/>
    <cellStyle name="Separador de milhares 2 11 3 4 2" xfId="10072" xr:uid="{B14DB1E3-F6F1-41F2-B81E-8F4F9CC9DDF9}"/>
    <cellStyle name="Separador de milhares 2 11 3 5" xfId="6904" xr:uid="{D0009222-AC03-4297-B2B9-E4B910C1593A}"/>
    <cellStyle name="Separador de milhares 2 11 4" xfId="977" xr:uid="{42B6DBED-1CCD-4CDA-A21B-D64BF9D6D555}"/>
    <cellStyle name="Separador de milhares 2 11 4 2" xfId="2548" xr:uid="{94DD08BA-58DD-4CDD-918E-98ECFD93486D}"/>
    <cellStyle name="Separador de milhares 2 11 4 2 2" xfId="5718" xr:uid="{9EA4564A-DA23-4E06-8788-EE8FCCF5F708}"/>
    <cellStyle name="Separador de milhares 2 11 4 2 2 2" xfId="12057" xr:uid="{4C900A63-9CB6-4EBA-A36B-973553063AD4}"/>
    <cellStyle name="Separador de milhares 2 11 4 2 3" xfId="8889" xr:uid="{A8E12CF2-D597-47FB-80D4-B6DE9FD031DD}"/>
    <cellStyle name="Separador de milhares 2 11 4 3" xfId="4149" xr:uid="{6A7F8CCB-1C2F-4BCA-AE36-D113E6165375}"/>
    <cellStyle name="Separador de milhares 2 11 4 3 2" xfId="10488" xr:uid="{9B1DBCE3-8628-4586-B0CF-474790E6FE87}"/>
    <cellStyle name="Separador de milhares 2 11 4 4" xfId="7320" xr:uid="{53E2FFC5-6511-4A2E-B33E-62DF61C83D88}"/>
    <cellStyle name="Separador de milhares 2 11 5" xfId="1751" xr:uid="{588567DC-FC8B-45A8-9DA6-3DA3626C1250}"/>
    <cellStyle name="Separador de milhares 2 11 5 2" xfId="4921" xr:uid="{41270758-FB75-4C1D-8A5B-6D92E1DB3984}"/>
    <cellStyle name="Separador de milhares 2 11 5 2 2" xfId="11260" xr:uid="{E9C329E9-E99B-48BC-86DD-7DAB2726F313}"/>
    <cellStyle name="Separador de milhares 2 11 5 3" xfId="8092" xr:uid="{7B195FF5-F634-403D-9ADE-D23DAE559FFB}"/>
    <cellStyle name="Separador de milhares 2 11 6" xfId="3352" xr:uid="{4703E122-CBC8-40C5-9185-3B5F69EFCF4B}"/>
    <cellStyle name="Separador de milhares 2 11 6 2" xfId="9691" xr:uid="{46C98663-DC1C-486F-B3F3-C410DF51BD26}"/>
    <cellStyle name="Separador de milhares 2 11 7" xfId="6523" xr:uid="{B0F55A78-3014-47B0-818C-EF16C81FF348}"/>
    <cellStyle name="Separador de milhares 2 12" xfId="248" xr:uid="{D3B6AEBF-4C9A-4BA9-9C3D-0A82518F9E46}"/>
    <cellStyle name="Separador de milhares 2 12 2" xfId="639" xr:uid="{533730BE-AE6D-4280-A3C3-C4BF55E7E33C}"/>
    <cellStyle name="Separador de milhares 2 12 2 2" xfId="1438" xr:uid="{90D06241-54BB-4421-A001-C53B422658AA}"/>
    <cellStyle name="Separador de milhares 2 12 2 2 2" xfId="3009" xr:uid="{FB2925E7-8849-476E-9F16-3C49E6C91707}"/>
    <cellStyle name="Separador de milhares 2 12 2 2 2 2" xfId="6179" xr:uid="{19254DCD-7D93-4CF0-AE97-FBC001A4A4A7}"/>
    <cellStyle name="Separador de milhares 2 12 2 2 2 2 2" xfId="12518" xr:uid="{5768BE6A-F854-4F6B-901E-3838D450D6DE}"/>
    <cellStyle name="Separador de milhares 2 12 2 2 2 3" xfId="9350" xr:uid="{6A8EF0F9-7D48-4CC6-8279-816FF4AE834F}"/>
    <cellStyle name="Separador de milhares 2 12 2 2 3" xfId="4610" xr:uid="{88E4D8F9-F8C7-4A0A-8068-F0C691CCE13A}"/>
    <cellStyle name="Separador de milhares 2 12 2 2 3 2" xfId="10949" xr:uid="{6BD8ACEC-F93A-420C-A5FF-026A77610D4E}"/>
    <cellStyle name="Separador de milhares 2 12 2 2 4" xfId="7781" xr:uid="{264F9368-999E-4779-BC5C-C015958D4218}"/>
    <cellStyle name="Separador de milhares 2 12 2 3" xfId="2212" xr:uid="{094F6F57-6949-4A88-812F-B9E3D40E02CE}"/>
    <cellStyle name="Separador de milhares 2 12 2 3 2" xfId="5382" xr:uid="{1CB0A357-7B5C-42B5-97C9-AFFF5B68D155}"/>
    <cellStyle name="Separador de milhares 2 12 2 3 2 2" xfId="11721" xr:uid="{0F4AA203-FFD5-4F5E-ABF5-15D1A4A657AA}"/>
    <cellStyle name="Separador de milhares 2 12 2 3 3" xfId="8553" xr:uid="{1A896C1D-6D51-4963-9C13-DB8B67EDB948}"/>
    <cellStyle name="Separador de milhares 2 12 2 4" xfId="3813" xr:uid="{03D119C0-EE5E-446E-8C1C-07FFB9AEA4CC}"/>
    <cellStyle name="Separador de milhares 2 12 2 4 2" xfId="10152" xr:uid="{D3A5A05F-64D4-44A5-AFEB-989E7B305ACC}"/>
    <cellStyle name="Separador de milhares 2 12 2 5" xfId="6984" xr:uid="{DE9625DE-CA69-4858-A890-EE0603D5846E}"/>
    <cellStyle name="Separador de milhares 2 12 3" xfId="1057" xr:uid="{50472F16-DB07-47F9-BDAA-1BEEF052CD80}"/>
    <cellStyle name="Separador de milhares 2 12 3 2" xfId="2628" xr:uid="{E741BC72-8C49-4C6A-B332-5A87EF373F84}"/>
    <cellStyle name="Separador de milhares 2 12 3 2 2" xfId="5798" xr:uid="{79AB7E27-5F46-43FB-B696-26BEB418B86C}"/>
    <cellStyle name="Separador de milhares 2 12 3 2 2 2" xfId="12137" xr:uid="{3DBABB67-E62B-4EDA-B084-ECC58FCE6DA6}"/>
    <cellStyle name="Separador de milhares 2 12 3 2 3" xfId="8969" xr:uid="{0FB8DC26-3B81-4060-8841-A279CF71E8CA}"/>
    <cellStyle name="Separador de milhares 2 12 3 3" xfId="4229" xr:uid="{73F33036-CF64-4AE4-B629-E00391063578}"/>
    <cellStyle name="Separador de milhares 2 12 3 3 2" xfId="10568" xr:uid="{D371AF38-70CB-4B45-BAEE-9A357D60C601}"/>
    <cellStyle name="Separador de milhares 2 12 3 4" xfId="7400" xr:uid="{1FF55971-2443-4A19-92EF-58EE22BC58E7}"/>
    <cellStyle name="Separador de milhares 2 12 4" xfId="1831" xr:uid="{A259F0E5-68B4-4E2C-BB91-5EDE616C0935}"/>
    <cellStyle name="Separador de milhares 2 12 4 2" xfId="5001" xr:uid="{3D449E74-C5E7-45A2-97A8-D189E7D74063}"/>
    <cellStyle name="Separador de milhares 2 12 4 2 2" xfId="11340" xr:uid="{A696551D-3C48-4A51-864A-02123F9C7701}"/>
    <cellStyle name="Separador de milhares 2 12 4 3" xfId="8172" xr:uid="{2B2A03CE-9C67-43FB-A931-AEB0B04041F5}"/>
    <cellStyle name="Separador de milhares 2 12 5" xfId="3432" xr:uid="{2B8C4C79-B622-4267-9B82-718E482AB940}"/>
    <cellStyle name="Separador de milhares 2 12 5 2" xfId="9771" xr:uid="{3D1C5540-1795-4B09-8FB0-6DDD049D8B2D}"/>
    <cellStyle name="Separador de milhares 2 12 6" xfId="6603" xr:uid="{C2A0DED1-9FB3-487C-8D00-B3C8C4FC12FD}"/>
    <cellStyle name="Separador de milhares 2 13" xfId="462" xr:uid="{3A6F8753-562D-4153-BE89-3615F72029EF}"/>
    <cellStyle name="Separador de milhares 2 13 2" xfId="1261" xr:uid="{FB775A64-1F86-4EDF-86EE-DD7414EBDE7C}"/>
    <cellStyle name="Separador de milhares 2 13 2 2" xfId="2832" xr:uid="{E939E2A1-952B-410B-8BB2-4451D2A8AB3E}"/>
    <cellStyle name="Separador de milhares 2 13 2 2 2" xfId="6002" xr:uid="{CB964A6E-83D9-4FD3-8964-A9727FB7130B}"/>
    <cellStyle name="Separador de milhares 2 13 2 2 2 2" xfId="12341" xr:uid="{CD18255E-7BFB-4709-9A9F-F6AA0CED313B}"/>
    <cellStyle name="Separador de milhares 2 13 2 2 3" xfId="9173" xr:uid="{CE66D83F-A93E-4CB2-A7BA-8CBF3A958116}"/>
    <cellStyle name="Separador de milhares 2 13 2 3" xfId="4433" xr:uid="{E9A12C99-C652-4187-93B1-2468E7F66633}"/>
    <cellStyle name="Separador de milhares 2 13 2 3 2" xfId="10772" xr:uid="{88C8C88B-B6BA-47E5-A665-3B7C9A59FDD7}"/>
    <cellStyle name="Separador de milhares 2 13 2 4" xfId="7604" xr:uid="{1BDC6E07-BEBC-485E-A446-01CDF8764353}"/>
    <cellStyle name="Separador de milhares 2 13 3" xfId="2035" xr:uid="{EECE30C3-94E8-4668-B7A2-57B5BCDC4CEA}"/>
    <cellStyle name="Separador de milhares 2 13 3 2" xfId="5205" xr:uid="{96312E09-23DA-492F-8AB7-BCFA0CEBFC77}"/>
    <cellStyle name="Separador de milhares 2 13 3 2 2" xfId="11544" xr:uid="{5ACD9F4B-CEEE-4DE5-B77E-22BA8D1781E0}"/>
    <cellStyle name="Separador de milhares 2 13 3 3" xfId="8376" xr:uid="{0FF3EB8F-C347-4186-8073-410B05B14858}"/>
    <cellStyle name="Separador de milhares 2 13 4" xfId="3636" xr:uid="{1A553F9E-97F4-4B05-A22F-A2AFC4600CAA}"/>
    <cellStyle name="Separador de milhares 2 13 4 2" xfId="9975" xr:uid="{F10F7A61-0330-43B2-AF62-E2F4EBDAFB7B}"/>
    <cellStyle name="Separador de milhares 2 13 5" xfId="6807" xr:uid="{290A5D50-3B04-4D5B-8298-95415C3C0CF5}"/>
    <cellStyle name="Separador de milhares 2 14" xfId="854" xr:uid="{5DCFCAAB-11FA-499E-AC3B-3D39F628E7F7}"/>
    <cellStyle name="Separador de milhares 2 14 2" xfId="2425" xr:uid="{61893B5F-0F18-41CA-A5AB-C68897BAB658}"/>
    <cellStyle name="Separador de milhares 2 14 2 2" xfId="5595" xr:uid="{29058971-CF0C-4150-9927-CE301BE425E9}"/>
    <cellStyle name="Separador de milhares 2 14 2 2 2" xfId="11934" xr:uid="{7CBFA5D6-7FC1-46B0-A664-8B1BB76E4312}"/>
    <cellStyle name="Separador de milhares 2 14 2 3" xfId="8766" xr:uid="{8DFD536F-C373-4D90-8E92-0AE51C704ABD}"/>
    <cellStyle name="Separador de milhares 2 14 3" xfId="4026" xr:uid="{A8D88A3F-EB37-4D4C-ADF3-D08376C982A4}"/>
    <cellStyle name="Separador de milhares 2 14 3 2" xfId="10365" xr:uid="{9E54CB7E-F125-4266-B692-2FE29FB0FD44}"/>
    <cellStyle name="Separador de milhares 2 14 4" xfId="7197" xr:uid="{8406ED6D-B501-40C4-857B-F76360A765C4}"/>
    <cellStyle name="Separador de milhares 2 15" xfId="1657" xr:uid="{984EC481-9553-4332-9F7F-AE31B7338892}"/>
    <cellStyle name="Separador de milhares 2 15 2" xfId="4827" xr:uid="{23644895-A238-4572-90D9-E7C5CD6197B4}"/>
    <cellStyle name="Separador de milhares 2 15 2 2" xfId="11166" xr:uid="{1104350E-B164-4074-8206-BD6063055D77}"/>
    <cellStyle name="Separador de milhares 2 15 3" xfId="7998" xr:uid="{E5AB6CC5-DB9D-4796-8E21-884CE40F57F9}"/>
    <cellStyle name="Separador de milhares 2 16" xfId="3229" xr:uid="{DAC58E31-42A9-42B2-A835-98A316A653A1}"/>
    <cellStyle name="Separador de milhares 2 16 2" xfId="9568" xr:uid="{3C945D7E-03C5-488A-B304-3C78F8E2303A}"/>
    <cellStyle name="Separador de milhares 2 17" xfId="6400" xr:uid="{002DEA75-B563-4801-A8E5-B5DFE89F28A9}"/>
    <cellStyle name="Separador de milhares 2 2" xfId="29" xr:uid="{5D3B07B0-93AC-43F0-B02B-4F2EE03AA3AF}"/>
    <cellStyle name="Separador de milhares 2 2 10" xfId="253" xr:uid="{559A06DB-8FF6-4560-950A-FDDC04ED9746}"/>
    <cellStyle name="Separador de milhares 2 2 10 2" xfId="643" xr:uid="{94087164-4489-4B08-8488-FF2717BE5444}"/>
    <cellStyle name="Separador de milhares 2 2 10 2 2" xfId="1442" xr:uid="{734CE429-EB0A-486F-B36B-332B00D6E414}"/>
    <cellStyle name="Separador de milhares 2 2 10 2 2 2" xfId="3013" xr:uid="{CE3E95E5-1E3B-40C0-9313-EBA8C295967D}"/>
    <cellStyle name="Separador de milhares 2 2 10 2 2 2 2" xfId="6183" xr:uid="{DC14DC52-CC13-4F0B-A2DC-4D83499642C1}"/>
    <cellStyle name="Separador de milhares 2 2 10 2 2 2 2 2" xfId="12522" xr:uid="{F8F34A22-AC36-4823-B02A-33135C0E7DD6}"/>
    <cellStyle name="Separador de milhares 2 2 10 2 2 2 3" xfId="9354" xr:uid="{4B0FFDF3-D587-487F-8CB9-6FE2C936B6DA}"/>
    <cellStyle name="Separador de milhares 2 2 10 2 2 3" xfId="4614" xr:uid="{CF3AAB5E-44BB-4D6F-82CB-336547F6B65C}"/>
    <cellStyle name="Separador de milhares 2 2 10 2 2 3 2" xfId="10953" xr:uid="{8D0A9640-86B2-4D3B-9926-DD6592FB4CB8}"/>
    <cellStyle name="Separador de milhares 2 2 10 2 2 4" xfId="7785" xr:uid="{EF13E47A-8979-4390-B0B5-F0740C7FCAD1}"/>
    <cellStyle name="Separador de milhares 2 2 10 2 3" xfId="2216" xr:uid="{E3CC95DD-1628-4DE7-85C5-F4C3DA90F111}"/>
    <cellStyle name="Separador de milhares 2 2 10 2 3 2" xfId="5386" xr:uid="{055D771F-C613-4E52-A512-CCD0129CC362}"/>
    <cellStyle name="Separador de milhares 2 2 10 2 3 2 2" xfId="11725" xr:uid="{F7D87B5B-AC10-4DAC-939F-6760C138F084}"/>
    <cellStyle name="Separador de milhares 2 2 10 2 3 3" xfId="8557" xr:uid="{DD4937F9-9CF1-495E-A37C-5DFCD2F86589}"/>
    <cellStyle name="Separador de milhares 2 2 10 2 4" xfId="3817" xr:uid="{5AFDA0C7-E127-4BA1-A067-39132ABC6368}"/>
    <cellStyle name="Separador de milhares 2 2 10 2 4 2" xfId="10156" xr:uid="{E7CF8D8E-A9D0-4B6D-9156-F47716439EC1}"/>
    <cellStyle name="Separador de milhares 2 2 10 2 5" xfId="6988" xr:uid="{C13C6C03-A279-4170-99CA-E4A69DE697AD}"/>
    <cellStyle name="Separador de milhares 2 2 10 3" xfId="1061" xr:uid="{CC88BE90-6B08-479C-9022-F2EC1F023D16}"/>
    <cellStyle name="Separador de milhares 2 2 10 3 2" xfId="2632" xr:uid="{90D1896D-85F2-49BD-A2F3-3919378FE295}"/>
    <cellStyle name="Separador de milhares 2 2 10 3 2 2" xfId="5802" xr:uid="{68E710B3-2C9A-447B-8EF1-911C85F72BFE}"/>
    <cellStyle name="Separador de milhares 2 2 10 3 2 2 2" xfId="12141" xr:uid="{ED61A6F0-C230-4E2C-8C2D-F8871EE87701}"/>
    <cellStyle name="Separador de milhares 2 2 10 3 2 3" xfId="8973" xr:uid="{74CB44AB-9E00-4F9E-B728-9A764132B301}"/>
    <cellStyle name="Separador de milhares 2 2 10 3 3" xfId="4233" xr:uid="{5E080E3F-B9FD-4CA1-86F5-96CA01BCC3A6}"/>
    <cellStyle name="Separador de milhares 2 2 10 3 3 2" xfId="10572" xr:uid="{2FDFCC42-6FE2-489F-9B8F-ED495D2E1156}"/>
    <cellStyle name="Separador de milhares 2 2 10 3 4" xfId="7404" xr:uid="{C16753F8-7992-4FF6-A0CE-9BE4EC8DDDDB}"/>
    <cellStyle name="Separador de milhares 2 2 10 4" xfId="1835" xr:uid="{05E8B288-8232-472A-B09B-CC442F221CD9}"/>
    <cellStyle name="Separador de milhares 2 2 10 4 2" xfId="5005" xr:uid="{6C03BF2B-21F9-4C3D-87AE-71610E00670A}"/>
    <cellStyle name="Separador de milhares 2 2 10 4 2 2" xfId="11344" xr:uid="{D4619FFD-A735-4F0D-AA86-EE2BA719F108}"/>
    <cellStyle name="Separador de milhares 2 2 10 4 3" xfId="8176" xr:uid="{93586043-AB8B-47B6-96C4-46AF252DA743}"/>
    <cellStyle name="Separador de milhares 2 2 10 5" xfId="3436" xr:uid="{CE2F6868-83C4-46D1-A64B-7C89A81EC732}"/>
    <cellStyle name="Separador de milhares 2 2 10 5 2" xfId="9775" xr:uid="{9843840F-7DC1-42A9-88B8-C161748B3E10}"/>
    <cellStyle name="Separador de milhares 2 2 10 6" xfId="6607" xr:uid="{C103764E-B188-4DF9-AF0D-72EB38786B3F}"/>
    <cellStyle name="Separador de milhares 2 2 11" xfId="465" xr:uid="{242508CC-E470-4ED4-9B5A-7A4940988845}"/>
    <cellStyle name="Separador de milhares 2 2 11 2" xfId="1264" xr:uid="{ABC46073-42F9-436A-B166-F0144ED6E7C0}"/>
    <cellStyle name="Separador de milhares 2 2 11 2 2" xfId="2835" xr:uid="{D8222128-26A0-4B9D-A85F-6E00029C83E0}"/>
    <cellStyle name="Separador de milhares 2 2 11 2 2 2" xfId="6005" xr:uid="{3C3CFC03-23B0-4DF4-9B19-47DB2AA4E27F}"/>
    <cellStyle name="Separador de milhares 2 2 11 2 2 2 2" xfId="12344" xr:uid="{A2490297-2A08-4D93-B5CA-694F4BD1DADC}"/>
    <cellStyle name="Separador de milhares 2 2 11 2 2 3" xfId="9176" xr:uid="{9CEDDD4B-AA7D-4275-B837-36C25F6DD295}"/>
    <cellStyle name="Separador de milhares 2 2 11 2 3" xfId="4436" xr:uid="{CF096420-3329-4DB2-8667-64563337CEFF}"/>
    <cellStyle name="Separador de milhares 2 2 11 2 3 2" xfId="10775" xr:uid="{54F9C370-5C5C-4208-A550-3F10FFCA92EC}"/>
    <cellStyle name="Separador de milhares 2 2 11 2 4" xfId="7607" xr:uid="{76CF49F1-89E1-4684-A213-AA540096EC22}"/>
    <cellStyle name="Separador de milhares 2 2 11 3" xfId="2038" xr:uid="{4196335C-95DA-4231-8394-084DB845ED3F}"/>
    <cellStyle name="Separador de milhares 2 2 11 3 2" xfId="5208" xr:uid="{40EF2CD8-EF5C-4CD7-8D61-248C66373F95}"/>
    <cellStyle name="Separador de milhares 2 2 11 3 2 2" xfId="11547" xr:uid="{69E8AFFE-BADE-4A3B-A45B-B5FA624BEA47}"/>
    <cellStyle name="Separador de milhares 2 2 11 3 3" xfId="8379" xr:uid="{ABD842B8-31B8-44E6-A571-835BD7E5ADB0}"/>
    <cellStyle name="Separador de milhares 2 2 11 4" xfId="3639" xr:uid="{4981C1B4-B68E-4AF6-8719-BA2813A40E89}"/>
    <cellStyle name="Separador de milhares 2 2 11 4 2" xfId="9978" xr:uid="{51DAA983-73BA-4798-980D-249F502E5D0E}"/>
    <cellStyle name="Separador de milhares 2 2 11 5" xfId="6810" xr:uid="{4B7E689B-6584-4D6A-9AD2-77B6FF16D02C}"/>
    <cellStyle name="Separador de milhares 2 2 12" xfId="858" xr:uid="{320E9731-FD7C-4893-A4A2-F491285CFE44}"/>
    <cellStyle name="Separador de milhares 2 2 12 2" xfId="2429" xr:uid="{AB89827A-4807-4DE1-8B78-1A8193E1B4B6}"/>
    <cellStyle name="Separador de milhares 2 2 12 2 2" xfId="5599" xr:uid="{79455592-D101-4993-8248-84C38DBBC5C3}"/>
    <cellStyle name="Separador de milhares 2 2 12 2 2 2" xfId="11938" xr:uid="{93E0D384-6159-4AF5-9CA0-55632CF2C9FB}"/>
    <cellStyle name="Separador de milhares 2 2 12 2 3" xfId="8770" xr:uid="{95AF7E28-2B6F-439D-8D98-CF1C6176923E}"/>
    <cellStyle name="Separador de milhares 2 2 12 3" xfId="4030" xr:uid="{E1B65F08-3FC9-4B55-84EA-C78CF929739B}"/>
    <cellStyle name="Separador de milhares 2 2 12 3 2" xfId="10369" xr:uid="{9AAAF92A-757F-4BEB-8E4C-5F4CEF4D5115}"/>
    <cellStyle name="Separador de milhares 2 2 12 4" xfId="7201" xr:uid="{41D070DA-CEED-477F-A046-9DC70D9B1DA7}"/>
    <cellStyle name="Separador de milhares 2 2 13" xfId="1660" xr:uid="{5EB7FAD9-8882-4D98-BB81-B3E983A3D75D}"/>
    <cellStyle name="Separador de milhares 2 2 13 2" xfId="4830" xr:uid="{7B32B2C7-16C2-4DD2-953D-01A49D06E606}"/>
    <cellStyle name="Separador de milhares 2 2 13 2 2" xfId="11169" xr:uid="{A8AEB712-A2A0-4811-9AAF-D6D7CB533E6B}"/>
    <cellStyle name="Separador de milhares 2 2 13 3" xfId="8001" xr:uid="{DAAE4F12-3DC1-423D-892B-C9D8C362920C}"/>
    <cellStyle name="Separador de milhares 2 2 14" xfId="3233" xr:uid="{39C53E7C-C381-4B07-80FC-D3D7C2AEA7F2}"/>
    <cellStyle name="Separador de milhares 2 2 14 2" xfId="9572" xr:uid="{F5218DDE-61C3-4C49-9E21-1D6C7177CD26}"/>
    <cellStyle name="Separador de milhares 2 2 15" xfId="6404" xr:uid="{B2F17CE1-3D7D-4A15-B59C-6A83772AA0E9}"/>
    <cellStyle name="Separador de milhares 2 2 2" xfId="38" xr:uid="{0D1844F8-52A4-47F4-AD9C-29DAB8E35EC7}"/>
    <cellStyle name="Separador de milhares 2 2 2 2" xfId="106" xr:uid="{35A544D6-E300-4EFE-8135-098D199824A2}"/>
    <cellStyle name="Separador de milhares 2 2 2 2 2" xfId="323" xr:uid="{F1226800-D325-49A7-B1FA-C0D22E9B0995}"/>
    <cellStyle name="Separador de milhares 2 2 2 2 2 2" xfId="708" xr:uid="{31F3F0B6-C03F-4101-915F-50C2A15F0749}"/>
    <cellStyle name="Separador de milhares 2 2 2 2 2 2 2" xfId="1507" xr:uid="{2C349AD1-E03F-494E-98FE-67387921E33D}"/>
    <cellStyle name="Separador de milhares 2 2 2 2 2 2 2 2" xfId="3078" xr:uid="{AD184967-42BD-42F5-854E-BEE1D0C26073}"/>
    <cellStyle name="Separador de milhares 2 2 2 2 2 2 2 2 2" xfId="6248" xr:uid="{93AD5E47-5882-4BA1-A399-50ECEF8D94D2}"/>
    <cellStyle name="Separador de milhares 2 2 2 2 2 2 2 2 2 2" xfId="12587" xr:uid="{54840B3E-ED40-455E-9ADC-1FDCFECCD207}"/>
    <cellStyle name="Separador de milhares 2 2 2 2 2 2 2 2 3" xfId="9419" xr:uid="{100254D4-041D-4249-93DB-A2578411A1C8}"/>
    <cellStyle name="Separador de milhares 2 2 2 2 2 2 2 3" xfId="4679" xr:uid="{3816B715-374F-47B1-9CF9-A6EAB47A7945}"/>
    <cellStyle name="Separador de milhares 2 2 2 2 2 2 2 3 2" xfId="11018" xr:uid="{31EE48CC-27E3-4C4A-A2FC-8775177854ED}"/>
    <cellStyle name="Separador de milhares 2 2 2 2 2 2 2 4" xfId="7850" xr:uid="{A90829B7-6F22-46AE-B475-6B08EFFCF909}"/>
    <cellStyle name="Separador de milhares 2 2 2 2 2 2 3" xfId="2281" xr:uid="{8E6DE415-19D7-4706-848D-1360060BE6A7}"/>
    <cellStyle name="Separador de milhares 2 2 2 2 2 2 3 2" xfId="5451" xr:uid="{78A9CC24-E8FE-4F80-ABEB-CAFBE9336A59}"/>
    <cellStyle name="Separador de milhares 2 2 2 2 2 2 3 2 2" xfId="11790" xr:uid="{4B889FF8-7AAC-46A9-B8AF-C4767D3F420C}"/>
    <cellStyle name="Separador de milhares 2 2 2 2 2 2 3 3" xfId="8622" xr:uid="{6D7863CA-0113-4937-99F3-47F8C9E984B7}"/>
    <cellStyle name="Separador de milhares 2 2 2 2 2 2 4" xfId="3882" xr:uid="{4DF6EC7D-B066-491D-9215-5BB2767FEC99}"/>
    <cellStyle name="Separador de milhares 2 2 2 2 2 2 4 2" xfId="10221" xr:uid="{1594AFA7-866C-445D-AEE4-D706C712CE9A}"/>
    <cellStyle name="Separador de milhares 2 2 2 2 2 2 5" xfId="7053" xr:uid="{41860AA2-43A2-458C-B53C-711B7F9049DC}"/>
    <cellStyle name="Separador de milhares 2 2 2 2 2 3" xfId="1126" xr:uid="{B2806CF5-D25C-43DC-B23A-3392E433CF56}"/>
    <cellStyle name="Separador de milhares 2 2 2 2 2 3 2" xfId="2697" xr:uid="{68306956-784D-4AC4-BD0B-ABC07E94064E}"/>
    <cellStyle name="Separador de milhares 2 2 2 2 2 3 2 2" xfId="5867" xr:uid="{F1106029-B3CD-46BD-9C1E-3FD32960D093}"/>
    <cellStyle name="Separador de milhares 2 2 2 2 2 3 2 2 2" xfId="12206" xr:uid="{D8B169AB-74A1-4C0C-A2D8-4511B323188E}"/>
    <cellStyle name="Separador de milhares 2 2 2 2 2 3 2 3" xfId="9038" xr:uid="{E5B72018-FA8B-4631-B7B6-09F8AD9D5E49}"/>
    <cellStyle name="Separador de milhares 2 2 2 2 2 3 3" xfId="4298" xr:uid="{6B8263FC-8003-4D45-8E9D-CFDE78D87629}"/>
    <cellStyle name="Separador de milhares 2 2 2 2 2 3 3 2" xfId="10637" xr:uid="{BB85D418-1181-4C2F-8AAF-7328632C19BB}"/>
    <cellStyle name="Separador de milhares 2 2 2 2 2 3 4" xfId="7469" xr:uid="{5602B546-719D-4DBE-AAD8-9E4852330936}"/>
    <cellStyle name="Separador de milhares 2 2 2 2 2 4" xfId="1900" xr:uid="{7115B664-03C8-4FC9-9729-3307AED5A0DA}"/>
    <cellStyle name="Separador de milhares 2 2 2 2 2 4 2" xfId="5070" xr:uid="{86208EF4-3FA6-421C-81DA-35D11E157719}"/>
    <cellStyle name="Separador de milhares 2 2 2 2 2 4 2 2" xfId="11409" xr:uid="{57E2640A-143E-476D-BA37-DC2FE546FBC1}"/>
    <cellStyle name="Separador de milhares 2 2 2 2 2 4 3" xfId="8241" xr:uid="{AA8E46BF-E6E7-4275-910A-899D143FCCF4}"/>
    <cellStyle name="Separador de milhares 2 2 2 2 2 5" xfId="3501" xr:uid="{E6CAA395-0E5D-4218-A11B-1E58152D7FBB}"/>
    <cellStyle name="Separador de milhares 2 2 2 2 2 5 2" xfId="9840" xr:uid="{485977B1-4101-4AB7-96A7-A9663395398A}"/>
    <cellStyle name="Separador de milhares 2 2 2 2 2 6" xfId="6672" xr:uid="{606177C1-5219-4040-8ECE-E07034E93B38}"/>
    <cellStyle name="Separador de milhares 2 2 2 2 3" xfId="522" xr:uid="{623023AF-1899-4DE8-8357-20B698DB933F}"/>
    <cellStyle name="Separador de milhares 2 2 2 2 3 2" xfId="1321" xr:uid="{5AC50BB1-0EED-4928-AC2F-E47C4EDF6900}"/>
    <cellStyle name="Separador de milhares 2 2 2 2 3 2 2" xfId="2892" xr:uid="{CFEC98BF-C0F9-42AD-B165-AC394BF98CA4}"/>
    <cellStyle name="Separador de milhares 2 2 2 2 3 2 2 2" xfId="6062" xr:uid="{33F80538-9A77-484B-8495-43A2F62EC092}"/>
    <cellStyle name="Separador de milhares 2 2 2 2 3 2 2 2 2" xfId="12401" xr:uid="{029822B7-A119-4DD7-AD09-7FA7369D5A38}"/>
    <cellStyle name="Separador de milhares 2 2 2 2 3 2 2 3" xfId="9233" xr:uid="{7172CEE8-6201-48A2-BC76-EA4696B8BF37}"/>
    <cellStyle name="Separador de milhares 2 2 2 2 3 2 3" xfId="4493" xr:uid="{50BB8A36-2F68-486D-BC97-2DA8AFA1249A}"/>
    <cellStyle name="Separador de milhares 2 2 2 2 3 2 3 2" xfId="10832" xr:uid="{C5ABF1BB-9021-46BB-B738-BF7A983EAF8C}"/>
    <cellStyle name="Separador de milhares 2 2 2 2 3 2 4" xfId="7664" xr:uid="{91306695-5324-46AD-BC8E-8DA90E43F500}"/>
    <cellStyle name="Separador de milhares 2 2 2 2 3 3" xfId="2095" xr:uid="{8710C1EB-7420-41E5-AAF4-00904E071BDA}"/>
    <cellStyle name="Separador de milhares 2 2 2 2 3 3 2" xfId="5265" xr:uid="{08F1FCEA-01CB-417F-9863-6DC78E4DC06C}"/>
    <cellStyle name="Separador de milhares 2 2 2 2 3 3 2 2" xfId="11604" xr:uid="{2E5A688D-2113-49CB-8923-F7AABDB8D886}"/>
    <cellStyle name="Separador de milhares 2 2 2 2 3 3 3" xfId="8436" xr:uid="{21BD4B27-5124-4819-B383-8B49BAF057B4}"/>
    <cellStyle name="Separador de milhares 2 2 2 2 3 4" xfId="3696" xr:uid="{E12B5CAD-573C-431E-89ED-2139DE80FFF7}"/>
    <cellStyle name="Separador de milhares 2 2 2 2 3 4 2" xfId="10035" xr:uid="{91478F05-B1C3-4D1D-B42E-782131AE0F0A}"/>
    <cellStyle name="Separador de milhares 2 2 2 2 3 5" xfId="6867" xr:uid="{B9A9ADDA-AC32-4D99-A70A-A83AB09E9576}"/>
    <cellStyle name="Separador de milhares 2 2 2 2 4" xfId="923" xr:uid="{EB0E1832-36C5-4543-8427-8875246EB3DD}"/>
    <cellStyle name="Separador de milhares 2 2 2 2 4 2" xfId="2494" xr:uid="{89AC92C2-0B68-4A03-BF3D-483983E8C33C}"/>
    <cellStyle name="Separador de milhares 2 2 2 2 4 2 2" xfId="5664" xr:uid="{62A0EB9F-DF69-47DF-88EB-0884939BDAED}"/>
    <cellStyle name="Separador de milhares 2 2 2 2 4 2 2 2" xfId="12003" xr:uid="{16AC8109-8852-4515-83F2-AF6A31A5FE1E}"/>
    <cellStyle name="Separador de milhares 2 2 2 2 4 2 3" xfId="8835" xr:uid="{BECBBF02-9AB7-462F-BAE7-CA61FC119EEA}"/>
    <cellStyle name="Separador de milhares 2 2 2 2 4 3" xfId="4095" xr:uid="{1A5F4EA6-AB57-4C2B-A52A-B94C2FA9481C}"/>
    <cellStyle name="Separador de milhares 2 2 2 2 4 3 2" xfId="10434" xr:uid="{08CF3FA0-D038-4E49-8F93-8444B375F105}"/>
    <cellStyle name="Separador de milhares 2 2 2 2 4 4" xfId="7266" xr:uid="{0AA53436-57A7-4B3F-B896-D6B12B3C51E1}"/>
    <cellStyle name="Separador de milhares 2 2 2 2 5" xfId="1714" xr:uid="{2CE406DA-886C-43F6-9844-3ABAF878E87A}"/>
    <cellStyle name="Separador de milhares 2 2 2 2 5 2" xfId="4884" xr:uid="{E75103C4-2C91-4568-B8D8-49A9B58F4271}"/>
    <cellStyle name="Separador de milhares 2 2 2 2 5 2 2" xfId="11223" xr:uid="{E8651D15-D9C6-44D2-9E08-B7E6387A9B00}"/>
    <cellStyle name="Separador de milhares 2 2 2 2 5 3" xfId="8055" xr:uid="{578262FF-1ECB-4095-9A7E-9427357E156F}"/>
    <cellStyle name="Separador de milhares 2 2 2 2 6" xfId="3298" xr:uid="{CE18BADC-39A1-4978-A60C-563552E60F20}"/>
    <cellStyle name="Separador de milhares 2 2 2 2 6 2" xfId="9637" xr:uid="{5CB6F136-6993-4EBE-873F-EE0DBD6E42B1}"/>
    <cellStyle name="Separador de milhares 2 2 2 2 7" xfId="6469" xr:uid="{68F05EDD-52F5-44AC-8060-A61FC90E2B39}"/>
    <cellStyle name="Separador de milhares 2 2 2 3" xfId="188" xr:uid="{B2AE5580-A2AD-4641-A8F7-51FC1D0CABDF}"/>
    <cellStyle name="Separador de milhares 2 2 2 3 2" xfId="405" xr:uid="{61A54B44-5731-4916-8223-3B880A35584B}"/>
    <cellStyle name="Separador de milhares 2 2 2 3 2 2" xfId="786" xr:uid="{A7CCD8A6-F302-4A0F-928B-C3D72EEA20A8}"/>
    <cellStyle name="Separador de milhares 2 2 2 3 2 2 2" xfId="1585" xr:uid="{F9F17EA7-7330-4647-A238-79EDA5D5DD69}"/>
    <cellStyle name="Separador de milhares 2 2 2 3 2 2 2 2" xfId="3156" xr:uid="{CA9C2321-3F44-48B8-8042-26C194B531B6}"/>
    <cellStyle name="Separador de milhares 2 2 2 3 2 2 2 2 2" xfId="6326" xr:uid="{46C22D53-5644-4CB8-90F3-8218A16C40AE}"/>
    <cellStyle name="Separador de milhares 2 2 2 3 2 2 2 2 2 2" xfId="12665" xr:uid="{11A0C394-A72F-47EF-B91D-CC0D607BF16E}"/>
    <cellStyle name="Separador de milhares 2 2 2 3 2 2 2 2 3" xfId="9497" xr:uid="{043A5C0D-56F1-4BDF-8B79-5BA3BB5CF9B8}"/>
    <cellStyle name="Separador de milhares 2 2 2 3 2 2 2 3" xfId="4757" xr:uid="{87C53C88-8E1D-47E9-BE8D-0CCBB2D34BF2}"/>
    <cellStyle name="Separador de milhares 2 2 2 3 2 2 2 3 2" xfId="11096" xr:uid="{BA3AD082-2278-42BB-97B8-7E3C0176FBDD}"/>
    <cellStyle name="Separador de milhares 2 2 2 3 2 2 2 4" xfId="7928" xr:uid="{84DDB806-FE7F-424A-90E4-523107E84D14}"/>
    <cellStyle name="Separador de milhares 2 2 2 3 2 2 3" xfId="2359" xr:uid="{5AA90F06-5851-4330-93AC-7AC5BF8708BF}"/>
    <cellStyle name="Separador de milhares 2 2 2 3 2 2 3 2" xfId="5529" xr:uid="{52918D29-A7B2-43BA-AF27-A061D8C63723}"/>
    <cellStyle name="Separador de milhares 2 2 2 3 2 2 3 2 2" xfId="11868" xr:uid="{87CE7CA3-73A8-4C59-A782-956663A7839B}"/>
    <cellStyle name="Separador de milhares 2 2 2 3 2 2 3 3" xfId="8700" xr:uid="{FD179EC3-58A3-4D7D-A1DC-563BBA8F2D8E}"/>
    <cellStyle name="Separador de milhares 2 2 2 3 2 2 4" xfId="3960" xr:uid="{56ABD4FC-FD78-46CC-9827-CF8677E5BC98}"/>
    <cellStyle name="Separador de milhares 2 2 2 3 2 2 4 2" xfId="10299" xr:uid="{6FC7F444-9AB7-445B-9898-60C91413E3FA}"/>
    <cellStyle name="Separador de milhares 2 2 2 3 2 2 5" xfId="7131" xr:uid="{E7825291-CE83-4C35-9049-06A60715A25E}"/>
    <cellStyle name="Separador de milhares 2 2 2 3 2 3" xfId="1204" xr:uid="{0236DF61-6CD8-4392-818C-D1BECB40DF11}"/>
    <cellStyle name="Separador de milhares 2 2 2 3 2 3 2" xfId="2775" xr:uid="{10B4873B-0F34-4518-A89E-4EDD13B3DFCC}"/>
    <cellStyle name="Separador de milhares 2 2 2 3 2 3 2 2" xfId="5945" xr:uid="{DCFA5023-B268-444F-83D9-6D4290A33274}"/>
    <cellStyle name="Separador de milhares 2 2 2 3 2 3 2 2 2" xfId="12284" xr:uid="{5C49EAD6-89E8-40CC-94D9-A1299C6F9811}"/>
    <cellStyle name="Separador de milhares 2 2 2 3 2 3 2 3" xfId="9116" xr:uid="{3D4D4A05-33FF-4C9B-8E29-4F1A8785D1CA}"/>
    <cellStyle name="Separador de milhares 2 2 2 3 2 3 3" xfId="4376" xr:uid="{648347AC-400C-4182-B0C6-6D5A7182844C}"/>
    <cellStyle name="Separador de milhares 2 2 2 3 2 3 3 2" xfId="10715" xr:uid="{4ED05F3B-D800-461B-8BEB-B868433328F5}"/>
    <cellStyle name="Separador de milhares 2 2 2 3 2 3 4" xfId="7547" xr:uid="{174CE05D-A153-4055-BE1D-A11E573C9993}"/>
    <cellStyle name="Separador de milhares 2 2 2 3 2 4" xfId="1978" xr:uid="{33917DD1-E6FD-4927-BF4F-3BA09CD9CCB1}"/>
    <cellStyle name="Separador de milhares 2 2 2 3 2 4 2" xfId="5148" xr:uid="{2002D107-E41A-479C-9BDA-2253ADAF217C}"/>
    <cellStyle name="Separador de milhares 2 2 2 3 2 4 2 2" xfId="11487" xr:uid="{C5535AB6-C14B-41BC-BFC8-839E470DFD0B}"/>
    <cellStyle name="Separador de milhares 2 2 2 3 2 4 3" xfId="8319" xr:uid="{3CDC46E9-C0AC-4E5E-950E-7D69EC8BE10D}"/>
    <cellStyle name="Separador de milhares 2 2 2 3 2 5" xfId="3579" xr:uid="{4638928A-C539-4D3C-B63A-255B12F65A7F}"/>
    <cellStyle name="Separador de milhares 2 2 2 3 2 5 2" xfId="9918" xr:uid="{53E807E8-19DD-4359-9C05-4F5EE5C3BD39}"/>
    <cellStyle name="Separador de milhares 2 2 2 3 2 6" xfId="6750" xr:uid="{6A646E47-E6E3-43C8-8EAA-5E8207E6C084}"/>
    <cellStyle name="Separador de milhares 2 2 2 3 3" xfId="583" xr:uid="{6A1EB12C-64BC-4D51-ADD7-DB7603D8C6A9}"/>
    <cellStyle name="Separador de milhares 2 2 2 3 3 2" xfId="1382" xr:uid="{5FB09085-4C40-4B75-94A9-D797757204B7}"/>
    <cellStyle name="Separador de milhares 2 2 2 3 3 2 2" xfId="2953" xr:uid="{DBBDD8C3-2FB8-4D25-8790-15EE6702D409}"/>
    <cellStyle name="Separador de milhares 2 2 2 3 3 2 2 2" xfId="6123" xr:uid="{511D5AA4-45E5-4D60-A8F5-C219855435D1}"/>
    <cellStyle name="Separador de milhares 2 2 2 3 3 2 2 2 2" xfId="12462" xr:uid="{FF00B56A-4876-4BAC-B8C9-87B8157085D8}"/>
    <cellStyle name="Separador de milhares 2 2 2 3 3 2 2 3" xfId="9294" xr:uid="{D49F0C36-AF7D-4E8E-B3DB-33C44021A93C}"/>
    <cellStyle name="Separador de milhares 2 2 2 3 3 2 3" xfId="4554" xr:uid="{1A64646B-F180-4AD7-8D9F-8A7ADE1F5E72}"/>
    <cellStyle name="Separador de milhares 2 2 2 3 3 2 3 2" xfId="10893" xr:uid="{76DE8EB1-BA72-43CB-931D-33AA06C91285}"/>
    <cellStyle name="Separador de milhares 2 2 2 3 3 2 4" xfId="7725" xr:uid="{D3B08483-3AE2-4BB6-97E5-AF4DFC4E650F}"/>
    <cellStyle name="Separador de milhares 2 2 2 3 3 3" xfId="2156" xr:uid="{A5CF7049-D218-4227-AF4B-94BA76BFFABF}"/>
    <cellStyle name="Separador de milhares 2 2 2 3 3 3 2" xfId="5326" xr:uid="{B25D9563-DE8D-4893-829C-B505B56D54F8}"/>
    <cellStyle name="Separador de milhares 2 2 2 3 3 3 2 2" xfId="11665" xr:uid="{FB902E08-A4CB-48D1-B417-6FED35DEDCA4}"/>
    <cellStyle name="Separador de milhares 2 2 2 3 3 3 3" xfId="8497" xr:uid="{122CB442-A527-48F1-BC99-D6B87207DA04}"/>
    <cellStyle name="Separador de milhares 2 2 2 3 3 4" xfId="3757" xr:uid="{C917817F-9C9E-469C-A3D9-3EB47BEEB17E}"/>
    <cellStyle name="Separador de milhares 2 2 2 3 3 4 2" xfId="10096" xr:uid="{77874B88-F28E-40B1-B4B9-622A84600394}"/>
    <cellStyle name="Separador de milhares 2 2 2 3 3 5" xfId="6928" xr:uid="{9F2F2864-578C-43CF-9C31-2AF56D92CDB4}"/>
    <cellStyle name="Separador de milhares 2 2 2 3 4" xfId="1001" xr:uid="{8AF5C3B8-2D9B-465B-8605-E57B56014E6D}"/>
    <cellStyle name="Separador de milhares 2 2 2 3 4 2" xfId="2572" xr:uid="{21771B6E-6637-4399-9DE3-F3ED30BC3B3F}"/>
    <cellStyle name="Separador de milhares 2 2 2 3 4 2 2" xfId="5742" xr:uid="{1F0813B8-E280-452B-929E-BEA806DF232D}"/>
    <cellStyle name="Separador de milhares 2 2 2 3 4 2 2 2" xfId="12081" xr:uid="{6BBD8A22-4F07-4B50-94FA-F962B628B305}"/>
    <cellStyle name="Separador de milhares 2 2 2 3 4 2 3" xfId="8913" xr:uid="{08CEB102-8203-4760-B616-CAC1896ECE71}"/>
    <cellStyle name="Separador de milhares 2 2 2 3 4 3" xfId="4173" xr:uid="{0D8FA525-B405-41F5-A873-F4FD0326596D}"/>
    <cellStyle name="Separador de milhares 2 2 2 3 4 3 2" xfId="10512" xr:uid="{8AF817BD-B147-4D0E-8CCE-7B1ABB1F2631}"/>
    <cellStyle name="Separador de milhares 2 2 2 3 4 4" xfId="7344" xr:uid="{683D8594-F532-4026-8975-2763486D6CB0}"/>
    <cellStyle name="Separador de milhares 2 2 2 3 5" xfId="1775" xr:uid="{3E76A650-EA90-4F94-98C8-58FA1152B172}"/>
    <cellStyle name="Separador de milhares 2 2 2 3 5 2" xfId="4945" xr:uid="{090F6E2E-FDB2-4EA8-9388-78E2D61118FC}"/>
    <cellStyle name="Separador de milhares 2 2 2 3 5 2 2" xfId="11284" xr:uid="{012A636E-2C97-4163-86DB-23AF37ECCB2D}"/>
    <cellStyle name="Separador de milhares 2 2 2 3 5 3" xfId="8116" xr:uid="{1C0F68EE-2819-48E5-8476-3EF6CD70163B}"/>
    <cellStyle name="Separador de milhares 2 2 2 3 6" xfId="3376" xr:uid="{67CD3184-E5D1-48DC-9915-5C681B2CBD0B}"/>
    <cellStyle name="Separador de milhares 2 2 2 3 6 2" xfId="9715" xr:uid="{7DB04E9D-7823-45A3-A5B9-CE6AB01DF78C}"/>
    <cellStyle name="Separador de milhares 2 2 2 3 7" xfId="6547" xr:uid="{3CDAECA8-622E-4267-BA97-129F3DBB5107}"/>
    <cellStyle name="Separador de milhares 2 2 2 4" xfId="262" xr:uid="{97E4B67F-7B37-4E3B-BA94-0A37DA274256}"/>
    <cellStyle name="Separador de milhares 2 2 2 4 2" xfId="652" xr:uid="{487DA157-9E23-41AB-A231-FA07E52FD68A}"/>
    <cellStyle name="Separador de milhares 2 2 2 4 2 2" xfId="1451" xr:uid="{F108AAF6-55D5-4B3F-9656-9A62ABC88D09}"/>
    <cellStyle name="Separador de milhares 2 2 2 4 2 2 2" xfId="3022" xr:uid="{B46F89C7-DAAA-4D0D-9A83-3EBA7D9FC319}"/>
    <cellStyle name="Separador de milhares 2 2 2 4 2 2 2 2" xfId="6192" xr:uid="{E60937B4-EF0E-46FA-83F9-EEF484797A10}"/>
    <cellStyle name="Separador de milhares 2 2 2 4 2 2 2 2 2" xfId="12531" xr:uid="{07CA5974-0CCF-4D39-8E5B-F515B3C9F80A}"/>
    <cellStyle name="Separador de milhares 2 2 2 4 2 2 2 3" xfId="9363" xr:uid="{7C4E283C-329D-42FC-AF80-C52E00341263}"/>
    <cellStyle name="Separador de milhares 2 2 2 4 2 2 3" xfId="4623" xr:uid="{9669D908-CD63-432E-A111-F3848FEA8DFB}"/>
    <cellStyle name="Separador de milhares 2 2 2 4 2 2 3 2" xfId="10962" xr:uid="{A837336E-3BCB-4FAB-8547-08D6069CBE10}"/>
    <cellStyle name="Separador de milhares 2 2 2 4 2 2 4" xfId="7794" xr:uid="{ED83642D-FC74-4960-A45C-EB454D5CA3CC}"/>
    <cellStyle name="Separador de milhares 2 2 2 4 2 3" xfId="2225" xr:uid="{E4DDEBE4-1CDC-4422-A3B3-A1A527422717}"/>
    <cellStyle name="Separador de milhares 2 2 2 4 2 3 2" xfId="5395" xr:uid="{A07B21A8-645A-454A-AD7D-AFFA39C869A8}"/>
    <cellStyle name="Separador de milhares 2 2 2 4 2 3 2 2" xfId="11734" xr:uid="{782CBCA1-8B67-4E73-9047-4E0766393D2B}"/>
    <cellStyle name="Separador de milhares 2 2 2 4 2 3 3" xfId="8566" xr:uid="{F03F8396-86A1-4F9A-933B-EE5FDEFEF288}"/>
    <cellStyle name="Separador de milhares 2 2 2 4 2 4" xfId="3826" xr:uid="{F3932A31-8E40-475A-A6DA-CA2CA2627584}"/>
    <cellStyle name="Separador de milhares 2 2 2 4 2 4 2" xfId="10165" xr:uid="{744AB9DF-77A1-4555-B444-9308C7642EE8}"/>
    <cellStyle name="Separador de milhares 2 2 2 4 2 5" xfId="6997" xr:uid="{FD6558C8-02A4-4C7C-BCEB-6948354D7A45}"/>
    <cellStyle name="Separador de milhares 2 2 2 4 3" xfId="1070" xr:uid="{DB0AA43D-19E8-41B1-8AD5-F9A79CD10BE4}"/>
    <cellStyle name="Separador de milhares 2 2 2 4 3 2" xfId="2641" xr:uid="{F1F9A021-DB79-472B-A72E-032ED04AC89E}"/>
    <cellStyle name="Separador de milhares 2 2 2 4 3 2 2" xfId="5811" xr:uid="{5000E847-F781-46A2-B906-61FBFE7A20A0}"/>
    <cellStyle name="Separador de milhares 2 2 2 4 3 2 2 2" xfId="12150" xr:uid="{7C2CB4A1-FFC4-435B-9724-9273B9B0AF88}"/>
    <cellStyle name="Separador de milhares 2 2 2 4 3 2 3" xfId="8982" xr:uid="{E535A683-2BA6-4258-9125-D8B698D84D95}"/>
    <cellStyle name="Separador de milhares 2 2 2 4 3 3" xfId="4242" xr:uid="{C831F98D-2A3B-41FD-9E9C-4D9389023581}"/>
    <cellStyle name="Separador de milhares 2 2 2 4 3 3 2" xfId="10581" xr:uid="{9CC1C208-CA29-42EB-9013-731A9E354323}"/>
    <cellStyle name="Separador de milhares 2 2 2 4 3 4" xfId="7413" xr:uid="{734B01D2-C8E4-47FB-9E7E-4283EF6E2E63}"/>
    <cellStyle name="Separador de milhares 2 2 2 4 4" xfId="1844" xr:uid="{EED894FE-3C81-40D1-B3F1-0B017060D29C}"/>
    <cellStyle name="Separador de milhares 2 2 2 4 4 2" xfId="5014" xr:uid="{0C57F42E-2A09-400A-BD6B-6F30E80CD641}"/>
    <cellStyle name="Separador de milhares 2 2 2 4 4 2 2" xfId="11353" xr:uid="{C4FD5C6D-B8C4-4987-8934-4FB71EE78CD3}"/>
    <cellStyle name="Separador de milhares 2 2 2 4 4 3" xfId="8185" xr:uid="{C7979339-BDCA-49E5-827A-F99B92413808}"/>
    <cellStyle name="Separador de milhares 2 2 2 4 5" xfId="3445" xr:uid="{82787C74-8F39-4860-BC47-9DF0AC9774C4}"/>
    <cellStyle name="Separador de milhares 2 2 2 4 5 2" xfId="9784" xr:uid="{7230C201-7163-42C4-B75C-BFAB9A52371B}"/>
    <cellStyle name="Separador de milhares 2 2 2 4 6" xfId="6616" xr:uid="{59E9A1DE-1B24-4F8D-880B-9838D0DE8234}"/>
    <cellStyle name="Separador de milhares 2 2 2 5" xfId="472" xr:uid="{ECAA5366-7413-46A0-9AF0-5FBBD0685047}"/>
    <cellStyle name="Separador de milhares 2 2 2 5 2" xfId="1271" xr:uid="{A8C73903-A661-4E19-9B45-7FD3F0366A5A}"/>
    <cellStyle name="Separador de milhares 2 2 2 5 2 2" xfId="2842" xr:uid="{93FAB05C-9802-4D87-9DE0-7BEFF078F0B1}"/>
    <cellStyle name="Separador de milhares 2 2 2 5 2 2 2" xfId="6012" xr:uid="{64DC647D-62A5-44C5-A499-026979188B89}"/>
    <cellStyle name="Separador de milhares 2 2 2 5 2 2 2 2" xfId="12351" xr:uid="{4FBCAEE6-D7F8-490A-98DB-36D192E57F37}"/>
    <cellStyle name="Separador de milhares 2 2 2 5 2 2 3" xfId="9183" xr:uid="{6DFF9506-9F96-476B-B6BF-882784FE4088}"/>
    <cellStyle name="Separador de milhares 2 2 2 5 2 3" xfId="4443" xr:uid="{29DCCB5B-B1CF-4E01-922C-6A542E0C63C8}"/>
    <cellStyle name="Separador de milhares 2 2 2 5 2 3 2" xfId="10782" xr:uid="{AAB1E200-46CA-4A12-8619-B58E6694DDD3}"/>
    <cellStyle name="Separador de milhares 2 2 2 5 2 4" xfId="7614" xr:uid="{A3BA895F-FDAC-40AE-A119-E61D49C890CE}"/>
    <cellStyle name="Separador de milhares 2 2 2 5 3" xfId="2045" xr:uid="{A9F7E175-7D79-4452-B324-656B7A27E96F}"/>
    <cellStyle name="Separador de milhares 2 2 2 5 3 2" xfId="5215" xr:uid="{CCBCE2C0-EFD1-4F01-AAEC-BEA2F4DA101B}"/>
    <cellStyle name="Separador de milhares 2 2 2 5 3 2 2" xfId="11554" xr:uid="{1FF3D24B-ABF3-4381-850F-180658DDF3D0}"/>
    <cellStyle name="Separador de milhares 2 2 2 5 3 3" xfId="8386" xr:uid="{39D50575-F65B-470A-B324-5F9343A62125}"/>
    <cellStyle name="Separador de milhares 2 2 2 5 4" xfId="3646" xr:uid="{A5A954E0-FBF2-441E-9B7D-227FA53C1419}"/>
    <cellStyle name="Separador de milhares 2 2 2 5 4 2" xfId="9985" xr:uid="{E5DA121A-DF87-4A94-A085-501AF48A1BDB}"/>
    <cellStyle name="Separador de milhares 2 2 2 5 5" xfId="6817" xr:uid="{0BD4B6D5-B274-47AA-80DA-C0C370A1B407}"/>
    <cellStyle name="Separador de milhares 2 2 2 6" xfId="867" xr:uid="{0149C056-8AE1-45E9-A22D-DA2AC1892271}"/>
    <cellStyle name="Separador de milhares 2 2 2 6 2" xfId="2438" xr:uid="{86B8C503-7993-446B-B1A0-2AEAD464CEBD}"/>
    <cellStyle name="Separador de milhares 2 2 2 6 2 2" xfId="5608" xr:uid="{3295CA19-BD54-42EB-BA46-A4332CBB6ED2}"/>
    <cellStyle name="Separador de milhares 2 2 2 6 2 2 2" xfId="11947" xr:uid="{D8129C0F-FC37-4B24-8CDC-556B338FBDD9}"/>
    <cellStyle name="Separador de milhares 2 2 2 6 2 3" xfId="8779" xr:uid="{9A47FE2B-82F3-4F05-A673-1BA217C09F2D}"/>
    <cellStyle name="Separador de milhares 2 2 2 6 3" xfId="4039" xr:uid="{BA25848D-7A48-4444-AD38-E3C7B0D44116}"/>
    <cellStyle name="Separador de milhares 2 2 2 6 3 2" xfId="10378" xr:uid="{4B481CC0-25EF-4250-B7CA-75761CEAC5A1}"/>
    <cellStyle name="Separador de milhares 2 2 2 6 4" xfId="7210" xr:uid="{5569CF5A-D9BF-413E-B3C0-E24AACBF2D1B}"/>
    <cellStyle name="Separador de milhares 2 2 2 7" xfId="1667" xr:uid="{18385273-E012-4E62-8904-930C9820419A}"/>
    <cellStyle name="Separador de milhares 2 2 2 7 2" xfId="4837" xr:uid="{9EB77933-833F-4F49-B41F-417FBEF6F1B0}"/>
    <cellStyle name="Separador de milhares 2 2 2 7 2 2" xfId="11176" xr:uid="{A6EC2E99-1571-46DA-9BFD-3EE509962C45}"/>
    <cellStyle name="Separador de milhares 2 2 2 7 3" xfId="8008" xr:uid="{A45307CA-547B-417E-89E4-A59AEE4EE128}"/>
    <cellStyle name="Separador de milhares 2 2 2 8" xfId="3242" xr:uid="{984833E4-66D8-41F3-9413-BA5F401ADCC9}"/>
    <cellStyle name="Separador de milhares 2 2 2 8 2" xfId="9581" xr:uid="{61B6CA85-AD40-4B02-85E8-9D5A31E4C418}"/>
    <cellStyle name="Separador de milhares 2 2 2 9" xfId="6413" xr:uid="{E87BD84A-A5C0-4630-B8D1-91E21A95826E}"/>
    <cellStyle name="Separador de milhares 2 2 3" xfId="46" xr:uid="{B54230F7-47FC-4C64-A607-2BBA5B67AC95}"/>
    <cellStyle name="Separador de milhares 2 2 3 2" xfId="114" xr:uid="{9FD796C9-FC75-45FE-A21D-ABBC3D717EA2}"/>
    <cellStyle name="Separador de milhares 2 2 3 2 2" xfId="331" xr:uid="{62A0891B-2EF7-44BF-8E70-5F31731FFA67}"/>
    <cellStyle name="Separador de milhares 2 2 3 2 2 2" xfId="714" xr:uid="{0E1C177C-8AB9-4A9B-B0C7-1BD4E357C374}"/>
    <cellStyle name="Separador de milhares 2 2 3 2 2 2 2" xfId="1513" xr:uid="{960DC543-031A-46F2-A0BE-658FF62C26C6}"/>
    <cellStyle name="Separador de milhares 2 2 3 2 2 2 2 2" xfId="3084" xr:uid="{FA24176C-E3E3-4166-8C2B-CC55089BD1B7}"/>
    <cellStyle name="Separador de milhares 2 2 3 2 2 2 2 2 2" xfId="6254" xr:uid="{6CAF931D-C30D-4ACE-B59F-2727A73CB8F0}"/>
    <cellStyle name="Separador de milhares 2 2 3 2 2 2 2 2 2 2" xfId="12593" xr:uid="{534AB4CA-90DA-4706-B9E3-61644B990599}"/>
    <cellStyle name="Separador de milhares 2 2 3 2 2 2 2 2 3" xfId="9425" xr:uid="{E10113AB-1F25-4C0A-BFC3-C1AFE8CB33AE}"/>
    <cellStyle name="Separador de milhares 2 2 3 2 2 2 2 3" xfId="4685" xr:uid="{C4320A99-AC44-4957-94D8-ABC7D2DC3900}"/>
    <cellStyle name="Separador de milhares 2 2 3 2 2 2 2 3 2" xfId="11024" xr:uid="{ACAC2663-4138-49AD-B89B-CFD1932C2A28}"/>
    <cellStyle name="Separador de milhares 2 2 3 2 2 2 2 4" xfId="7856" xr:uid="{857B670F-1596-41C1-8A09-31CCAF5CE0BB}"/>
    <cellStyle name="Separador de milhares 2 2 3 2 2 2 3" xfId="2287" xr:uid="{911534EE-E352-40A7-8135-E5F29C613879}"/>
    <cellStyle name="Separador de milhares 2 2 3 2 2 2 3 2" xfId="5457" xr:uid="{269BC0FB-EE52-4FA2-91E5-1DA8544E2DCF}"/>
    <cellStyle name="Separador de milhares 2 2 3 2 2 2 3 2 2" xfId="11796" xr:uid="{E85F8023-4003-47C9-B988-91A0B98A04B2}"/>
    <cellStyle name="Separador de milhares 2 2 3 2 2 2 3 3" xfId="8628" xr:uid="{B989F3AB-139A-48EC-9144-5D5A2A1830F6}"/>
    <cellStyle name="Separador de milhares 2 2 3 2 2 2 4" xfId="3888" xr:uid="{75CF23CD-1D2E-4447-BEF2-88E7AEBB480D}"/>
    <cellStyle name="Separador de milhares 2 2 3 2 2 2 4 2" xfId="10227" xr:uid="{3E2707C5-FF44-4B63-93DA-887017EE4E6D}"/>
    <cellStyle name="Separador de milhares 2 2 3 2 2 2 5" xfId="7059" xr:uid="{B948FE7E-B575-4BAD-98CE-64DBB1B4D9D3}"/>
    <cellStyle name="Separador de milhares 2 2 3 2 2 3" xfId="1132" xr:uid="{8DD00829-79CE-4974-B902-EE6677F628F0}"/>
    <cellStyle name="Separador de milhares 2 2 3 2 2 3 2" xfId="2703" xr:uid="{D2000FB7-837F-468B-AD36-8088C8258889}"/>
    <cellStyle name="Separador de milhares 2 2 3 2 2 3 2 2" xfId="5873" xr:uid="{C9D35383-483F-48BD-B838-B7438DEC3508}"/>
    <cellStyle name="Separador de milhares 2 2 3 2 2 3 2 2 2" xfId="12212" xr:uid="{BCA56457-DDC8-4702-8684-3EA4CA1E406C}"/>
    <cellStyle name="Separador de milhares 2 2 3 2 2 3 2 3" xfId="9044" xr:uid="{B281293A-CCAC-4285-ABC7-A35EEE85612F}"/>
    <cellStyle name="Separador de milhares 2 2 3 2 2 3 3" xfId="4304" xr:uid="{C4F3816D-748A-4C56-BB52-23C0A3AB7839}"/>
    <cellStyle name="Separador de milhares 2 2 3 2 2 3 3 2" xfId="10643" xr:uid="{A7D8ECDD-7801-4859-8C59-81AC59A0F8D2}"/>
    <cellStyle name="Separador de milhares 2 2 3 2 2 3 4" xfId="7475" xr:uid="{40CFB7D6-9AC0-4355-A06D-4B2310708190}"/>
    <cellStyle name="Separador de milhares 2 2 3 2 2 4" xfId="1906" xr:uid="{31E308CF-1CD9-4C84-AD8B-CF4ACBBB4458}"/>
    <cellStyle name="Separador de milhares 2 2 3 2 2 4 2" xfId="5076" xr:uid="{48B533F1-5045-404B-93E4-D13912D5DC98}"/>
    <cellStyle name="Separador de milhares 2 2 3 2 2 4 2 2" xfId="11415" xr:uid="{86BBB4D7-38A5-4E2E-8483-4F658496A34F}"/>
    <cellStyle name="Separador de milhares 2 2 3 2 2 4 3" xfId="8247" xr:uid="{EE5C0DBB-A098-4114-9DC7-17C7FFEA77CF}"/>
    <cellStyle name="Separador de milhares 2 2 3 2 2 5" xfId="3507" xr:uid="{BADE8F80-4570-4715-BADD-4F24F5437881}"/>
    <cellStyle name="Separador de milhares 2 2 3 2 2 5 2" xfId="9846" xr:uid="{F07D1B40-05E7-40DA-88F5-E0DFA30258E1}"/>
    <cellStyle name="Separador de milhares 2 2 3 2 2 6" xfId="6678" xr:uid="{CA13E330-D5D0-4340-ACCF-A59286CFA3CB}"/>
    <cellStyle name="Separador de milhares 2 2 3 2 3" xfId="525" xr:uid="{8922A311-EF6A-43E6-B3B9-64EF0051F8DD}"/>
    <cellStyle name="Separador de milhares 2 2 3 2 3 2" xfId="1324" xr:uid="{9FAC62B3-7A90-43B6-A99D-FA6D07BB6E98}"/>
    <cellStyle name="Separador de milhares 2 2 3 2 3 2 2" xfId="2895" xr:uid="{23C6F211-B8D7-4636-8B18-075A9A519C36}"/>
    <cellStyle name="Separador de milhares 2 2 3 2 3 2 2 2" xfId="6065" xr:uid="{5F4222EB-1181-413B-8B9F-CBB84762BA29}"/>
    <cellStyle name="Separador de milhares 2 2 3 2 3 2 2 2 2" xfId="12404" xr:uid="{2F211354-A633-4E86-B74B-0186A8D26F3E}"/>
    <cellStyle name="Separador de milhares 2 2 3 2 3 2 2 3" xfId="9236" xr:uid="{EA90C77F-950B-447D-8F48-FE46B70FC8EF}"/>
    <cellStyle name="Separador de milhares 2 2 3 2 3 2 3" xfId="4496" xr:uid="{5180B04F-72F7-41C5-9FFD-03FDD8144B36}"/>
    <cellStyle name="Separador de milhares 2 2 3 2 3 2 3 2" xfId="10835" xr:uid="{07E8D59C-E226-4404-96E6-3C10072175F6}"/>
    <cellStyle name="Separador de milhares 2 2 3 2 3 2 4" xfId="7667" xr:uid="{629CFD95-922F-4677-A86E-AA01301CDC91}"/>
    <cellStyle name="Separador de milhares 2 2 3 2 3 3" xfId="2098" xr:uid="{C7CA106D-C00C-440C-B704-781758195B71}"/>
    <cellStyle name="Separador de milhares 2 2 3 2 3 3 2" xfId="5268" xr:uid="{F371695A-6C27-475D-8CE2-7A6F225B83F6}"/>
    <cellStyle name="Separador de milhares 2 2 3 2 3 3 2 2" xfId="11607" xr:uid="{5CFD4241-DE45-4693-B894-1D09095A93E7}"/>
    <cellStyle name="Separador de milhares 2 2 3 2 3 3 3" xfId="8439" xr:uid="{4FF6D55F-5000-47E5-9CC9-72D9F48184F4}"/>
    <cellStyle name="Separador de milhares 2 2 3 2 3 4" xfId="3699" xr:uid="{1319B3B2-F15F-4F14-9F02-581C6BDE57D7}"/>
    <cellStyle name="Separador de milhares 2 2 3 2 3 4 2" xfId="10038" xr:uid="{4298F0DC-40A4-41BE-BE43-ED497EAE31D7}"/>
    <cellStyle name="Separador de milhares 2 2 3 2 3 5" xfId="6870" xr:uid="{D3ABDD5A-80F9-47AE-B3F1-63BF3FD29A45}"/>
    <cellStyle name="Separador de milhares 2 2 3 2 4" xfId="929" xr:uid="{8C2E8529-BCA7-42D4-A384-28F73B551A1C}"/>
    <cellStyle name="Separador de milhares 2 2 3 2 4 2" xfId="2500" xr:uid="{8903F340-5E5D-4637-9292-0A815CCDF1CC}"/>
    <cellStyle name="Separador de milhares 2 2 3 2 4 2 2" xfId="5670" xr:uid="{C70AEE69-8B28-44B2-B698-FE40A3A5B694}"/>
    <cellStyle name="Separador de milhares 2 2 3 2 4 2 2 2" xfId="12009" xr:uid="{CA7F94EA-FABB-4356-BF15-F791FC8C639F}"/>
    <cellStyle name="Separador de milhares 2 2 3 2 4 2 3" xfId="8841" xr:uid="{6AFD51D3-8723-4EFF-82FB-0D6CC449DB9B}"/>
    <cellStyle name="Separador de milhares 2 2 3 2 4 3" xfId="4101" xr:uid="{5F6D1160-CF70-4B9F-9EF3-170976D83D2D}"/>
    <cellStyle name="Separador de milhares 2 2 3 2 4 3 2" xfId="10440" xr:uid="{7B2213A9-EFFB-4475-B11D-50C74B6661C0}"/>
    <cellStyle name="Separador de milhares 2 2 3 2 4 4" xfId="7272" xr:uid="{FF0DE3DF-9E79-4E58-95BB-8C28251D561C}"/>
    <cellStyle name="Separador de milhares 2 2 3 2 5" xfId="1717" xr:uid="{7305AEFA-202B-4E1B-9C31-4E7FBE630035}"/>
    <cellStyle name="Separador de milhares 2 2 3 2 5 2" xfId="4887" xr:uid="{9B3C7157-5B17-4866-844D-D04ACF98BD09}"/>
    <cellStyle name="Separador de milhares 2 2 3 2 5 2 2" xfId="11226" xr:uid="{F012CF39-E6DD-4964-BB67-E806245C842D}"/>
    <cellStyle name="Separador de milhares 2 2 3 2 5 3" xfId="8058" xr:uid="{11F37B11-2462-4C80-8DD4-BF438D97E972}"/>
    <cellStyle name="Separador de milhares 2 2 3 2 6" xfId="3304" xr:uid="{51D881E8-1B07-45BC-9018-A4E2736C6BEA}"/>
    <cellStyle name="Separador de milhares 2 2 3 2 6 2" xfId="9643" xr:uid="{198ADF88-4DBE-42FD-AF6D-EA939AF9E134}"/>
    <cellStyle name="Separador de milhares 2 2 3 2 7" xfId="6475" xr:uid="{7F853DD8-1404-4F37-9B49-AB87B03FF88D}"/>
    <cellStyle name="Separador de milhares 2 2 3 3" xfId="196" xr:uid="{690B3C96-7926-46FD-8AF8-9F2C88F4CDE1}"/>
    <cellStyle name="Separador de milhares 2 2 3 3 2" xfId="413" xr:uid="{D621571F-6B00-4B43-BC61-74C7E2EB73B7}"/>
    <cellStyle name="Separador de milhares 2 2 3 3 2 2" xfId="794" xr:uid="{ED29EC85-12D4-4F50-987B-CE8C16167C01}"/>
    <cellStyle name="Separador de milhares 2 2 3 3 2 2 2" xfId="1593" xr:uid="{C1FEF419-6D3C-401F-BCB2-6EAC4127F40A}"/>
    <cellStyle name="Separador de milhares 2 2 3 3 2 2 2 2" xfId="3164" xr:uid="{13126ABA-BF70-46D0-B5DC-62601E7180A1}"/>
    <cellStyle name="Separador de milhares 2 2 3 3 2 2 2 2 2" xfId="6334" xr:uid="{F886F80A-7C9F-4E6E-82ED-11C511A49C12}"/>
    <cellStyle name="Separador de milhares 2 2 3 3 2 2 2 2 2 2" xfId="12673" xr:uid="{984C8C3E-4E52-4A67-82AF-A9FAC0BBFED2}"/>
    <cellStyle name="Separador de milhares 2 2 3 3 2 2 2 2 3" xfId="9505" xr:uid="{F8B97F2D-0224-4F9A-A479-DA47A6F251E1}"/>
    <cellStyle name="Separador de milhares 2 2 3 3 2 2 2 3" xfId="4765" xr:uid="{D82B96A3-15B8-4199-932F-CA7C3F73E828}"/>
    <cellStyle name="Separador de milhares 2 2 3 3 2 2 2 3 2" xfId="11104" xr:uid="{ECEFA733-F5E6-4258-B192-7957B18B54DE}"/>
    <cellStyle name="Separador de milhares 2 2 3 3 2 2 2 4" xfId="7936" xr:uid="{9B06F0D2-A24A-4BE3-AEA6-D7132AC34D8E}"/>
    <cellStyle name="Separador de milhares 2 2 3 3 2 2 3" xfId="2367" xr:uid="{A5A9A825-405D-4235-913F-F72198EA8B17}"/>
    <cellStyle name="Separador de milhares 2 2 3 3 2 2 3 2" xfId="5537" xr:uid="{58893324-A7E7-481C-BC96-DC89F092CB90}"/>
    <cellStyle name="Separador de milhares 2 2 3 3 2 2 3 2 2" xfId="11876" xr:uid="{6EE271FF-71C4-4FC9-886C-D16564D8AF2D}"/>
    <cellStyle name="Separador de milhares 2 2 3 3 2 2 3 3" xfId="8708" xr:uid="{EFF37079-941E-4EDF-99C7-4A381054FEFD}"/>
    <cellStyle name="Separador de milhares 2 2 3 3 2 2 4" xfId="3968" xr:uid="{B187A1AF-2866-474C-8E54-5F2085C1F1D0}"/>
    <cellStyle name="Separador de milhares 2 2 3 3 2 2 4 2" xfId="10307" xr:uid="{12D234DB-5377-429A-9781-29CA4914094C}"/>
    <cellStyle name="Separador de milhares 2 2 3 3 2 2 5" xfId="7139" xr:uid="{CF4EED95-FA12-4784-9481-260B6ADB7FD7}"/>
    <cellStyle name="Separador de milhares 2 2 3 3 2 3" xfId="1212" xr:uid="{D1C39C73-E4EE-4F96-976F-02AA23194180}"/>
    <cellStyle name="Separador de milhares 2 2 3 3 2 3 2" xfId="2783" xr:uid="{C7783F3A-1884-4966-B9F7-9FFDC10A13A2}"/>
    <cellStyle name="Separador de milhares 2 2 3 3 2 3 2 2" xfId="5953" xr:uid="{1CE376C9-3957-4C44-AE84-0C51B88AFB21}"/>
    <cellStyle name="Separador de milhares 2 2 3 3 2 3 2 2 2" xfId="12292" xr:uid="{5B2BC215-CFFE-4EF4-BE94-A55E19119CFF}"/>
    <cellStyle name="Separador de milhares 2 2 3 3 2 3 2 3" xfId="9124" xr:uid="{60F0C9F2-68E3-4BD8-A66E-A446474065D0}"/>
    <cellStyle name="Separador de milhares 2 2 3 3 2 3 3" xfId="4384" xr:uid="{F14F3A27-B54A-4D4F-AEC2-ED11C5812AC6}"/>
    <cellStyle name="Separador de milhares 2 2 3 3 2 3 3 2" xfId="10723" xr:uid="{5C728249-B630-4A4D-BDDD-8D4ABE86F688}"/>
    <cellStyle name="Separador de milhares 2 2 3 3 2 3 4" xfId="7555" xr:uid="{73F621EA-8C5E-4946-A1A7-60DB7F7671C3}"/>
    <cellStyle name="Separador de milhares 2 2 3 3 2 4" xfId="1986" xr:uid="{3E5F9A51-F96F-4B8B-97D4-E24DF65D1D74}"/>
    <cellStyle name="Separador de milhares 2 2 3 3 2 4 2" xfId="5156" xr:uid="{E19B2207-826B-42FB-B18C-1100FEDBFFBE}"/>
    <cellStyle name="Separador de milhares 2 2 3 3 2 4 2 2" xfId="11495" xr:uid="{38FC5209-FF47-4146-AB5C-A0EDD2F6110A}"/>
    <cellStyle name="Separador de milhares 2 2 3 3 2 4 3" xfId="8327" xr:uid="{60F9DAE6-B96D-4F6B-A20F-70B051F7DBD1}"/>
    <cellStyle name="Separador de milhares 2 2 3 3 2 5" xfId="3587" xr:uid="{135AD746-168B-4F58-907A-F8A4E139A164}"/>
    <cellStyle name="Separador de milhares 2 2 3 3 2 5 2" xfId="9926" xr:uid="{84399762-31B9-41C3-908B-5377E1D21254}"/>
    <cellStyle name="Separador de milhares 2 2 3 3 2 6" xfId="6758" xr:uid="{33FCE0A4-72BD-4AA2-99FA-08D2F8EFB8A6}"/>
    <cellStyle name="Separador de milhares 2 2 3 3 3" xfId="591" xr:uid="{9B4A1595-F427-46FB-AFD2-1CDBBE3F6F71}"/>
    <cellStyle name="Separador de milhares 2 2 3 3 3 2" xfId="1390" xr:uid="{283A4F3B-2DDE-4F1C-BD76-37CEC73B3CF2}"/>
    <cellStyle name="Separador de milhares 2 2 3 3 3 2 2" xfId="2961" xr:uid="{3A85089C-913C-4801-ADEE-2C32E8325D3B}"/>
    <cellStyle name="Separador de milhares 2 2 3 3 3 2 2 2" xfId="6131" xr:uid="{4C2A5088-D19C-4701-9E53-A6ECEBCF0A73}"/>
    <cellStyle name="Separador de milhares 2 2 3 3 3 2 2 2 2" xfId="12470" xr:uid="{74D3EF18-DCA8-48F6-9977-6DD5C00020F0}"/>
    <cellStyle name="Separador de milhares 2 2 3 3 3 2 2 3" xfId="9302" xr:uid="{1ECE8611-54E1-42B9-B327-5F69CAD8C9AD}"/>
    <cellStyle name="Separador de milhares 2 2 3 3 3 2 3" xfId="4562" xr:uid="{B258259E-FD5F-4500-B541-471D751A7618}"/>
    <cellStyle name="Separador de milhares 2 2 3 3 3 2 3 2" xfId="10901" xr:uid="{55B2AF4A-B07E-4B06-B2AE-00AAA3D9D2A4}"/>
    <cellStyle name="Separador de milhares 2 2 3 3 3 2 4" xfId="7733" xr:uid="{AC042E81-E716-454A-ADA8-7E1A5F5CE998}"/>
    <cellStyle name="Separador de milhares 2 2 3 3 3 3" xfId="2164" xr:uid="{98892429-AD1E-4437-B6D2-E3BC9C366C52}"/>
    <cellStyle name="Separador de milhares 2 2 3 3 3 3 2" xfId="5334" xr:uid="{3F024F96-5733-4966-B749-9AD535B1B40C}"/>
    <cellStyle name="Separador de milhares 2 2 3 3 3 3 2 2" xfId="11673" xr:uid="{15CB3AE9-C905-4850-9875-791349AF3C47}"/>
    <cellStyle name="Separador de milhares 2 2 3 3 3 3 3" xfId="8505" xr:uid="{2D691AB1-C585-4ADA-BE3F-89A7526DC5A2}"/>
    <cellStyle name="Separador de milhares 2 2 3 3 3 4" xfId="3765" xr:uid="{EEA6F0CF-7B8E-499A-8298-6D5122D6D01E}"/>
    <cellStyle name="Separador de milhares 2 2 3 3 3 4 2" xfId="10104" xr:uid="{F95AAE92-BBD4-4666-83BE-C3D134EC9EA0}"/>
    <cellStyle name="Separador de milhares 2 2 3 3 3 5" xfId="6936" xr:uid="{08466E02-FD77-4478-87BB-26B69A161425}"/>
    <cellStyle name="Separador de milhares 2 2 3 3 4" xfId="1009" xr:uid="{E48B1FB8-5851-427B-BA4F-0DB64C500397}"/>
    <cellStyle name="Separador de milhares 2 2 3 3 4 2" xfId="2580" xr:uid="{B91467F6-EB72-45C6-BF76-E449091A7063}"/>
    <cellStyle name="Separador de milhares 2 2 3 3 4 2 2" xfId="5750" xr:uid="{77299BAB-E320-4E67-A159-F0413A75C960}"/>
    <cellStyle name="Separador de milhares 2 2 3 3 4 2 2 2" xfId="12089" xr:uid="{4FDA621F-D546-4AD5-BF86-B841DA438CC2}"/>
    <cellStyle name="Separador de milhares 2 2 3 3 4 2 3" xfId="8921" xr:uid="{8E0A3B32-2010-4D79-9B55-F5C28DF73A6F}"/>
    <cellStyle name="Separador de milhares 2 2 3 3 4 3" xfId="4181" xr:uid="{DD91B2F7-5CFA-41E4-937C-E6448B89425A}"/>
    <cellStyle name="Separador de milhares 2 2 3 3 4 3 2" xfId="10520" xr:uid="{A39101CA-155F-4385-97DE-DEB5DEA6BABF}"/>
    <cellStyle name="Separador de milhares 2 2 3 3 4 4" xfId="7352" xr:uid="{678E627D-B2C0-4DA2-BD2B-C68D1BF88059}"/>
    <cellStyle name="Separador de milhares 2 2 3 3 5" xfId="1783" xr:uid="{DD3E8121-E7C1-47C5-9F57-7514376AE858}"/>
    <cellStyle name="Separador de milhares 2 2 3 3 5 2" xfId="4953" xr:uid="{7BAB3AE8-F390-47A0-A10D-361E5323D241}"/>
    <cellStyle name="Separador de milhares 2 2 3 3 5 2 2" xfId="11292" xr:uid="{B1A206BF-29CC-4C30-9F8E-2922D0A6ED1B}"/>
    <cellStyle name="Separador de milhares 2 2 3 3 5 3" xfId="8124" xr:uid="{97B164ED-1A0E-42D9-BD40-D98BBE47E4BA}"/>
    <cellStyle name="Separador de milhares 2 2 3 3 6" xfId="3384" xr:uid="{D08F5975-D9EE-44C5-BE84-7269D250A4A5}"/>
    <cellStyle name="Separador de milhares 2 2 3 3 6 2" xfId="9723" xr:uid="{394821F7-1450-48FB-B68E-B0847CA452BD}"/>
    <cellStyle name="Separador de milhares 2 2 3 3 7" xfId="6555" xr:uid="{EB514D1A-1862-4160-BE23-220B41F8895F}"/>
    <cellStyle name="Separador de milhares 2 2 3 4" xfId="270" xr:uid="{661617AA-A53E-4045-BADC-E2EEBBC03C09}"/>
    <cellStyle name="Separador de milhares 2 2 3 4 2" xfId="660" xr:uid="{C2739A01-57A0-4B38-9408-84C3F7C55125}"/>
    <cellStyle name="Separador de milhares 2 2 3 4 2 2" xfId="1459" xr:uid="{F318855E-D7A7-4DAA-9225-51F3394B1D53}"/>
    <cellStyle name="Separador de milhares 2 2 3 4 2 2 2" xfId="3030" xr:uid="{300594AD-A51D-47C7-947A-37238B87A074}"/>
    <cellStyle name="Separador de milhares 2 2 3 4 2 2 2 2" xfId="6200" xr:uid="{93C1993D-0C83-430B-886F-C24EC4F862F9}"/>
    <cellStyle name="Separador de milhares 2 2 3 4 2 2 2 2 2" xfId="12539" xr:uid="{714446A6-EE15-4D06-81B0-B10C24BE38FF}"/>
    <cellStyle name="Separador de milhares 2 2 3 4 2 2 2 3" xfId="9371" xr:uid="{5C3E625B-2542-46EB-8C2B-A5AAF6075DCB}"/>
    <cellStyle name="Separador de milhares 2 2 3 4 2 2 3" xfId="4631" xr:uid="{99F9B4A3-72E8-4E74-B560-E8D62B5C42CF}"/>
    <cellStyle name="Separador de milhares 2 2 3 4 2 2 3 2" xfId="10970" xr:uid="{EBF4F477-B631-433B-A8F4-77EFAA2F8592}"/>
    <cellStyle name="Separador de milhares 2 2 3 4 2 2 4" xfId="7802" xr:uid="{E73C6BCE-CA57-4B39-9F68-ECE426DA2F82}"/>
    <cellStyle name="Separador de milhares 2 2 3 4 2 3" xfId="2233" xr:uid="{88DAAC5D-4092-40E5-B91E-01FD8A9379ED}"/>
    <cellStyle name="Separador de milhares 2 2 3 4 2 3 2" xfId="5403" xr:uid="{C39B7D4E-B5D4-40B5-B7C3-ABF123528190}"/>
    <cellStyle name="Separador de milhares 2 2 3 4 2 3 2 2" xfId="11742" xr:uid="{424F4F8D-AD41-4CAD-ACDD-A76FFBECB106}"/>
    <cellStyle name="Separador de milhares 2 2 3 4 2 3 3" xfId="8574" xr:uid="{0D3B2FD0-3062-4F46-A9BA-18ED8BAF0F85}"/>
    <cellStyle name="Separador de milhares 2 2 3 4 2 4" xfId="3834" xr:uid="{BF4DB596-03E1-4818-9315-EA5962F5E7E1}"/>
    <cellStyle name="Separador de milhares 2 2 3 4 2 4 2" xfId="10173" xr:uid="{00DF5B3A-A78B-4706-88AA-38AAA7AB4198}"/>
    <cellStyle name="Separador de milhares 2 2 3 4 2 5" xfId="7005" xr:uid="{45E5D7E8-3A88-498E-AF87-33144BAA0C90}"/>
    <cellStyle name="Separador de milhares 2 2 3 4 3" xfId="1078" xr:uid="{ED202161-A986-44D8-A2C8-4BB09332DD15}"/>
    <cellStyle name="Separador de milhares 2 2 3 4 3 2" xfId="2649" xr:uid="{4F5948A6-6F39-48EF-9849-2781D34FFA3E}"/>
    <cellStyle name="Separador de milhares 2 2 3 4 3 2 2" xfId="5819" xr:uid="{8B189DDC-C715-4313-8D95-360CDEB18687}"/>
    <cellStyle name="Separador de milhares 2 2 3 4 3 2 2 2" xfId="12158" xr:uid="{B43C3CED-DCE3-4035-90A5-314C8C124783}"/>
    <cellStyle name="Separador de milhares 2 2 3 4 3 2 3" xfId="8990" xr:uid="{001BD15D-E14D-43F2-BAB9-62D43CD8500E}"/>
    <cellStyle name="Separador de milhares 2 2 3 4 3 3" xfId="4250" xr:uid="{269A20A2-C7C3-4B5E-BEDC-1A87EA7BE4C5}"/>
    <cellStyle name="Separador de milhares 2 2 3 4 3 3 2" xfId="10589" xr:uid="{4BF87E9D-02AF-4537-B156-EA059FDB4BDA}"/>
    <cellStyle name="Separador de milhares 2 2 3 4 3 4" xfId="7421" xr:uid="{9BD95E56-7024-4934-A1B3-754197360B02}"/>
    <cellStyle name="Separador de milhares 2 2 3 4 4" xfId="1852" xr:uid="{79A9D2DF-696A-4C33-885E-EC30C4B8FA96}"/>
    <cellStyle name="Separador de milhares 2 2 3 4 4 2" xfId="5022" xr:uid="{321882FE-E981-403B-9753-524BCF806EC5}"/>
    <cellStyle name="Separador de milhares 2 2 3 4 4 2 2" xfId="11361" xr:uid="{4C3A549F-D94A-4F2D-A815-D5A77BFDA0EB}"/>
    <cellStyle name="Separador de milhares 2 2 3 4 4 3" xfId="8193" xr:uid="{5F71CC47-C4B6-4F30-9A68-2D3A7C63A3C9}"/>
    <cellStyle name="Separador de milhares 2 2 3 4 5" xfId="3453" xr:uid="{F2987318-8EED-420E-A080-4E8B9DA110F7}"/>
    <cellStyle name="Separador de milhares 2 2 3 4 5 2" xfId="9792" xr:uid="{35DB3AFB-A7C5-4A99-B8A8-57FC398EFA8B}"/>
    <cellStyle name="Separador de milhares 2 2 3 4 6" xfId="6624" xr:uid="{89388CFD-12F0-45BD-BD08-FD441EE81732}"/>
    <cellStyle name="Separador de milhares 2 2 3 5" xfId="478" xr:uid="{A0B96304-A205-4B61-9DC4-F7BD67F04902}"/>
    <cellStyle name="Separador de milhares 2 2 3 5 2" xfId="1277" xr:uid="{AC37BC75-D324-4779-BB33-D41CBEE35312}"/>
    <cellStyle name="Separador de milhares 2 2 3 5 2 2" xfId="2848" xr:uid="{F242EF45-84C6-4D11-8E9C-AD18C2557B87}"/>
    <cellStyle name="Separador de milhares 2 2 3 5 2 2 2" xfId="6018" xr:uid="{3CB855D2-F86A-438B-86E0-CDCF7C8F2AFE}"/>
    <cellStyle name="Separador de milhares 2 2 3 5 2 2 2 2" xfId="12357" xr:uid="{8AB17D58-4574-47EF-81AA-ADDFF6BA0F9D}"/>
    <cellStyle name="Separador de milhares 2 2 3 5 2 2 3" xfId="9189" xr:uid="{D229B999-C7BB-4E1E-BE5C-90EA12896F32}"/>
    <cellStyle name="Separador de milhares 2 2 3 5 2 3" xfId="4449" xr:uid="{7D43FF58-778D-4C48-92C3-8539AB61418A}"/>
    <cellStyle name="Separador de milhares 2 2 3 5 2 3 2" xfId="10788" xr:uid="{79A3FEAA-6E18-4DCD-93F4-493B3D81B6A4}"/>
    <cellStyle name="Separador de milhares 2 2 3 5 2 4" xfId="7620" xr:uid="{061733A8-DBB0-4230-84DD-5CE48C3EF709}"/>
    <cellStyle name="Separador de milhares 2 2 3 5 3" xfId="2051" xr:uid="{A0D3ACD1-15D7-467C-8BFE-9141F7C71FFD}"/>
    <cellStyle name="Separador de milhares 2 2 3 5 3 2" xfId="5221" xr:uid="{04509AF8-DF8E-44C7-A1E1-0DAE144B0775}"/>
    <cellStyle name="Separador de milhares 2 2 3 5 3 2 2" xfId="11560" xr:uid="{0EEE19D4-F077-48F1-A436-F965025E1903}"/>
    <cellStyle name="Separador de milhares 2 2 3 5 3 3" xfId="8392" xr:uid="{79485583-B72E-499E-A084-92D91A133F68}"/>
    <cellStyle name="Separador de milhares 2 2 3 5 4" xfId="3652" xr:uid="{877D45AC-623A-4464-BFA9-94C9CA735BD7}"/>
    <cellStyle name="Separador de milhares 2 2 3 5 4 2" xfId="9991" xr:uid="{B7D6D771-4C05-4F5D-B87B-2E3BCC3C3117}"/>
    <cellStyle name="Separador de milhares 2 2 3 5 5" xfId="6823" xr:uid="{73888945-9CE1-471F-9325-A735C6EA653C}"/>
    <cellStyle name="Separador de milhares 2 2 3 6" xfId="875" xr:uid="{00C69BCC-8C33-4EB2-8AEB-AF154C5CE59C}"/>
    <cellStyle name="Separador de milhares 2 2 3 6 2" xfId="2446" xr:uid="{15469B2C-1330-4435-BE5E-4BCADEC3DE7C}"/>
    <cellStyle name="Separador de milhares 2 2 3 6 2 2" xfId="5616" xr:uid="{4547A456-59B0-48DC-A635-5CC2FBD1907E}"/>
    <cellStyle name="Separador de milhares 2 2 3 6 2 2 2" xfId="11955" xr:uid="{9164AB37-B78C-4342-9DCD-88BA25A960C2}"/>
    <cellStyle name="Separador de milhares 2 2 3 6 2 3" xfId="8787" xr:uid="{2FF88EA5-FAA4-4F4E-B683-90E440FF1C1F}"/>
    <cellStyle name="Separador de milhares 2 2 3 6 3" xfId="4047" xr:uid="{BB588A2A-7D11-4A10-8628-BB08AD3F7371}"/>
    <cellStyle name="Separador de milhares 2 2 3 6 3 2" xfId="10386" xr:uid="{92E1B676-9ABA-4CBD-8FBD-D2E9BC17D8BA}"/>
    <cellStyle name="Separador de milhares 2 2 3 6 4" xfId="7218" xr:uid="{E7C93008-5DE9-4E03-B13F-7013B11B7E69}"/>
    <cellStyle name="Separador de milhares 2 2 3 7" xfId="1673" xr:uid="{40324828-5953-4AA6-915E-EDD9B27131AA}"/>
    <cellStyle name="Separador de milhares 2 2 3 7 2" xfId="4843" xr:uid="{3E7CBAA3-40A3-48EC-AE03-1604D8EAD37F}"/>
    <cellStyle name="Separador de milhares 2 2 3 7 2 2" xfId="11182" xr:uid="{292E784F-2401-42AE-B39E-D829EAD85BB5}"/>
    <cellStyle name="Separador de milhares 2 2 3 7 3" xfId="8014" xr:uid="{F087837C-6FB9-4B43-B2C1-D9344E71E12D}"/>
    <cellStyle name="Separador de milhares 2 2 3 8" xfId="3250" xr:uid="{F158B070-B1F8-4A59-90AC-49FF7C177301}"/>
    <cellStyle name="Separador de milhares 2 2 3 8 2" xfId="9589" xr:uid="{5373FFFA-A206-4629-928B-575B18342974}"/>
    <cellStyle name="Separador de milhares 2 2 3 9" xfId="6421" xr:uid="{55DAD8C0-844A-4437-9E1E-968E392A7E87}"/>
    <cellStyle name="Separador de milhares 2 2 4" xfId="122" xr:uid="{5B936AB2-FB9B-44FC-BBAA-10E655BAF5D8}"/>
    <cellStyle name="Separador de milhares 2 2 4 2" xfId="204" xr:uid="{AD9776EB-E8B7-4EA9-AB63-E8A5014E3EF3}"/>
    <cellStyle name="Separador de milhares 2 2 4 2 2" xfId="421" xr:uid="{2998F1B2-828E-40F8-B4D4-7A1115EDE6AC}"/>
    <cellStyle name="Separador de milhares 2 2 4 2 2 2" xfId="802" xr:uid="{0E5E4A54-3E9D-4A9F-993F-210619B87DDC}"/>
    <cellStyle name="Separador de milhares 2 2 4 2 2 2 2" xfId="1601" xr:uid="{35847CDD-1ABA-4B9A-B6F0-28CAA9F2DA94}"/>
    <cellStyle name="Separador de milhares 2 2 4 2 2 2 2 2" xfId="3172" xr:uid="{5DCE4CCB-A5A7-454D-BFD2-519D82254E2E}"/>
    <cellStyle name="Separador de milhares 2 2 4 2 2 2 2 2 2" xfId="6342" xr:uid="{35A08AC7-C8BA-4D65-AE12-03C70088615A}"/>
    <cellStyle name="Separador de milhares 2 2 4 2 2 2 2 2 2 2" xfId="12681" xr:uid="{721E9FB7-BC5F-45F4-B280-F53F7CEE680B}"/>
    <cellStyle name="Separador de milhares 2 2 4 2 2 2 2 2 3" xfId="9513" xr:uid="{9050D4C2-A714-4474-A8AE-3376D99C2F8C}"/>
    <cellStyle name="Separador de milhares 2 2 4 2 2 2 2 3" xfId="4773" xr:uid="{7CA10D88-093D-4CD7-A047-5916DFEEAD18}"/>
    <cellStyle name="Separador de milhares 2 2 4 2 2 2 2 3 2" xfId="11112" xr:uid="{62D9D349-D5B3-4425-92E8-114D27328696}"/>
    <cellStyle name="Separador de milhares 2 2 4 2 2 2 2 4" xfId="7944" xr:uid="{6BA7E126-93DD-45A5-B64F-5AE2C73AA01F}"/>
    <cellStyle name="Separador de milhares 2 2 4 2 2 2 3" xfId="2375" xr:uid="{B795D997-22E6-48DD-86EE-44D64CA30924}"/>
    <cellStyle name="Separador de milhares 2 2 4 2 2 2 3 2" xfId="5545" xr:uid="{D9BAD5D4-1E23-418D-B73D-8E29017003AE}"/>
    <cellStyle name="Separador de milhares 2 2 4 2 2 2 3 2 2" xfId="11884" xr:uid="{57096D7A-0FF2-4135-A82C-8DDF7354F8C8}"/>
    <cellStyle name="Separador de milhares 2 2 4 2 2 2 3 3" xfId="8716" xr:uid="{5BF8699C-6322-4A7A-8CD9-DA5971756F85}"/>
    <cellStyle name="Separador de milhares 2 2 4 2 2 2 4" xfId="3976" xr:uid="{3BD5ACEC-2102-4511-9FD5-58042782231A}"/>
    <cellStyle name="Separador de milhares 2 2 4 2 2 2 4 2" xfId="10315" xr:uid="{4132752E-7FE9-4744-9B95-3270C4E657C7}"/>
    <cellStyle name="Separador de milhares 2 2 4 2 2 2 5" xfId="7147" xr:uid="{C516B28F-9D39-4789-9A55-85376C90DACE}"/>
    <cellStyle name="Separador de milhares 2 2 4 2 2 3" xfId="1220" xr:uid="{5865C908-A1DB-42D3-9C53-A87D43D41335}"/>
    <cellStyle name="Separador de milhares 2 2 4 2 2 3 2" xfId="2791" xr:uid="{27A44B43-A357-490C-B60A-D639EBC39223}"/>
    <cellStyle name="Separador de milhares 2 2 4 2 2 3 2 2" xfId="5961" xr:uid="{6A2C154A-EC37-4FAA-B729-3EAEE86A3967}"/>
    <cellStyle name="Separador de milhares 2 2 4 2 2 3 2 2 2" xfId="12300" xr:uid="{DFA6C272-AD21-4258-A7D1-4E02130F6BDA}"/>
    <cellStyle name="Separador de milhares 2 2 4 2 2 3 2 3" xfId="9132" xr:uid="{9154D060-E90C-407E-8BD9-97D842CD8870}"/>
    <cellStyle name="Separador de milhares 2 2 4 2 2 3 3" xfId="4392" xr:uid="{705E5637-4FED-45FC-A7B2-A4D1EE5AC497}"/>
    <cellStyle name="Separador de milhares 2 2 4 2 2 3 3 2" xfId="10731" xr:uid="{597B0451-E79A-4199-B03F-67302256FAB3}"/>
    <cellStyle name="Separador de milhares 2 2 4 2 2 3 4" xfId="7563" xr:uid="{02A65627-E1FA-40A0-9C3C-D4C760A0A304}"/>
    <cellStyle name="Separador de milhares 2 2 4 2 2 4" xfId="1994" xr:uid="{A7A0E7B1-8162-4B32-8D56-7C716A519BF1}"/>
    <cellStyle name="Separador de milhares 2 2 4 2 2 4 2" xfId="5164" xr:uid="{47C5FA34-6324-4165-B3E0-8572A7643A57}"/>
    <cellStyle name="Separador de milhares 2 2 4 2 2 4 2 2" xfId="11503" xr:uid="{C6D93FA7-F977-4224-BDA3-34E872544A44}"/>
    <cellStyle name="Separador de milhares 2 2 4 2 2 4 3" xfId="8335" xr:uid="{194313BF-611F-4D15-A4E3-308BB26699C0}"/>
    <cellStyle name="Separador de milhares 2 2 4 2 2 5" xfId="3595" xr:uid="{EEE5B495-F62F-48EE-BBD8-F760D3C88D9D}"/>
    <cellStyle name="Separador de milhares 2 2 4 2 2 5 2" xfId="9934" xr:uid="{4B86B8D4-7165-4ACB-9DB9-DAA23312D9CA}"/>
    <cellStyle name="Separador de milhares 2 2 4 2 2 6" xfId="6766" xr:uid="{6436DA48-D4E7-459E-BC51-35B172913189}"/>
    <cellStyle name="Separador de milhares 2 2 4 2 3" xfId="599" xr:uid="{EFED4DE7-D1F9-4284-B541-1540364673CB}"/>
    <cellStyle name="Separador de milhares 2 2 4 2 3 2" xfId="1398" xr:uid="{1BBB8C5F-410D-49E0-8856-EA629DBBD4FF}"/>
    <cellStyle name="Separador de milhares 2 2 4 2 3 2 2" xfId="2969" xr:uid="{FE666FE2-9F86-471D-B3B0-F1AE50733AD4}"/>
    <cellStyle name="Separador de milhares 2 2 4 2 3 2 2 2" xfId="6139" xr:uid="{67341478-CF1E-4989-B76A-2756571D49F6}"/>
    <cellStyle name="Separador de milhares 2 2 4 2 3 2 2 2 2" xfId="12478" xr:uid="{82A1DC7E-791A-4411-ABA4-2839A6884FCB}"/>
    <cellStyle name="Separador de milhares 2 2 4 2 3 2 2 3" xfId="9310" xr:uid="{235C1580-1D57-409F-8512-E9CCF6FC8B64}"/>
    <cellStyle name="Separador de milhares 2 2 4 2 3 2 3" xfId="4570" xr:uid="{20B28B62-C216-476A-BA95-A7682CBDC9FD}"/>
    <cellStyle name="Separador de milhares 2 2 4 2 3 2 3 2" xfId="10909" xr:uid="{10C20927-D7FD-4FF9-9EC4-07C29A8746E4}"/>
    <cellStyle name="Separador de milhares 2 2 4 2 3 2 4" xfId="7741" xr:uid="{28C805DC-AD02-481B-BB21-E134C49E7784}"/>
    <cellStyle name="Separador de milhares 2 2 4 2 3 3" xfId="2172" xr:uid="{AD139B21-CE12-4265-B40D-61020E55EA72}"/>
    <cellStyle name="Separador de milhares 2 2 4 2 3 3 2" xfId="5342" xr:uid="{6617F710-CEFE-4022-90A0-D3DE22D63E48}"/>
    <cellStyle name="Separador de milhares 2 2 4 2 3 3 2 2" xfId="11681" xr:uid="{96A32081-F613-4D37-93B3-685425194E82}"/>
    <cellStyle name="Separador de milhares 2 2 4 2 3 3 3" xfId="8513" xr:uid="{EEA8FD33-4229-46F4-9751-B0EFF8007081}"/>
    <cellStyle name="Separador de milhares 2 2 4 2 3 4" xfId="3773" xr:uid="{D231279C-E395-42AF-838B-82618C5BFEBF}"/>
    <cellStyle name="Separador de milhares 2 2 4 2 3 4 2" xfId="10112" xr:uid="{B14156D8-48CF-4B3F-AAA5-546294FBF596}"/>
    <cellStyle name="Separador de milhares 2 2 4 2 3 5" xfId="6944" xr:uid="{A2E472D1-94A7-4E57-8DFE-06C315DD1923}"/>
    <cellStyle name="Separador de milhares 2 2 4 2 4" xfId="1017" xr:uid="{253B530E-C7DD-475E-9968-DB5A7F3A94F8}"/>
    <cellStyle name="Separador de milhares 2 2 4 2 4 2" xfId="2588" xr:uid="{2284677C-100C-4998-AB00-D654C404804E}"/>
    <cellStyle name="Separador de milhares 2 2 4 2 4 2 2" xfId="5758" xr:uid="{8C6804C4-6A74-4640-8F93-836E480029FC}"/>
    <cellStyle name="Separador de milhares 2 2 4 2 4 2 2 2" xfId="12097" xr:uid="{40B799C5-AA4A-4483-839F-0686951F8052}"/>
    <cellStyle name="Separador de milhares 2 2 4 2 4 2 3" xfId="8929" xr:uid="{45D5C3C7-A5AB-4A0E-847B-A9C0AA3C13A2}"/>
    <cellStyle name="Separador de milhares 2 2 4 2 4 3" xfId="4189" xr:uid="{034DB572-5FB4-48CA-8358-81C88BF1348A}"/>
    <cellStyle name="Separador de milhares 2 2 4 2 4 3 2" xfId="10528" xr:uid="{E34D7293-52A3-4B53-B1AF-EA5954DA21E5}"/>
    <cellStyle name="Separador de milhares 2 2 4 2 4 4" xfId="7360" xr:uid="{27D1EE40-4939-4769-8748-2977BA7146B5}"/>
    <cellStyle name="Separador de milhares 2 2 4 2 5" xfId="1791" xr:uid="{55EBE2E9-BE0A-489A-B15A-96A103F9BEB3}"/>
    <cellStyle name="Separador de milhares 2 2 4 2 5 2" xfId="4961" xr:uid="{CA684E5D-46CF-4DA7-AB9A-2E640F29E361}"/>
    <cellStyle name="Separador de milhares 2 2 4 2 5 2 2" xfId="11300" xr:uid="{FB06A605-0C10-4B14-87D5-AFA1BA312562}"/>
    <cellStyle name="Separador de milhares 2 2 4 2 5 3" xfId="8132" xr:uid="{302D7552-22C2-483E-9C60-6DEBE91DC0C9}"/>
    <cellStyle name="Separador de milhares 2 2 4 2 6" xfId="3392" xr:uid="{AB7E78F3-6E5E-49C4-B7A1-87750869D4B1}"/>
    <cellStyle name="Separador de milhares 2 2 4 2 6 2" xfId="9731" xr:uid="{2308FFF3-C98D-4961-8E46-D1BA37A9136E}"/>
    <cellStyle name="Separador de milhares 2 2 4 2 7" xfId="6563" xr:uid="{FED1809A-CC01-427C-B507-573CFBE23C05}"/>
    <cellStyle name="Separador de milhares 2 2 4 3" xfId="339" xr:uid="{5DEFE3FB-F222-480B-BBA5-218217487B64}"/>
    <cellStyle name="Separador de milhares 2 2 4 3 2" xfId="720" xr:uid="{07CDA294-1285-41BE-AD31-CCDA26E37178}"/>
    <cellStyle name="Separador de milhares 2 2 4 3 2 2" xfId="1519" xr:uid="{8D3ABC5D-F51D-4D07-93C4-55DD86E9D07B}"/>
    <cellStyle name="Separador de milhares 2 2 4 3 2 2 2" xfId="3090" xr:uid="{C469BE1C-5992-4A99-8AA9-5C623C71A475}"/>
    <cellStyle name="Separador de milhares 2 2 4 3 2 2 2 2" xfId="6260" xr:uid="{86B94610-F92E-446B-93B9-17FEDB5F7F6D}"/>
    <cellStyle name="Separador de milhares 2 2 4 3 2 2 2 2 2" xfId="12599" xr:uid="{AE2B469E-1729-475F-BDAA-7B38DDB03C1E}"/>
    <cellStyle name="Separador de milhares 2 2 4 3 2 2 2 3" xfId="9431" xr:uid="{E0C38789-8EBB-4EE8-B8E9-67D19C9F9B14}"/>
    <cellStyle name="Separador de milhares 2 2 4 3 2 2 3" xfId="4691" xr:uid="{EA3F991B-9841-4011-8C46-8BBF1E0162F2}"/>
    <cellStyle name="Separador de milhares 2 2 4 3 2 2 3 2" xfId="11030" xr:uid="{21D7BE04-F7FF-420E-8925-39EFF6D0C595}"/>
    <cellStyle name="Separador de milhares 2 2 4 3 2 2 4" xfId="7862" xr:uid="{6AB48172-01F7-498F-83D1-CE4805B186BA}"/>
    <cellStyle name="Separador de milhares 2 2 4 3 2 3" xfId="2293" xr:uid="{DD6043FD-C9C9-4D56-983C-0E0D29859019}"/>
    <cellStyle name="Separador de milhares 2 2 4 3 2 3 2" xfId="5463" xr:uid="{0F99DAD2-8ABB-417C-9CF4-298731690DE4}"/>
    <cellStyle name="Separador de milhares 2 2 4 3 2 3 2 2" xfId="11802" xr:uid="{D3DAD6C3-E5E1-4D8C-B8A3-CBD665960FB9}"/>
    <cellStyle name="Separador de milhares 2 2 4 3 2 3 3" xfId="8634" xr:uid="{5BF2A151-A0E7-4ED2-95B3-26F1C5B1583B}"/>
    <cellStyle name="Separador de milhares 2 2 4 3 2 4" xfId="3894" xr:uid="{EBD7BD8E-38EC-4D5D-BD05-2ABDCE1A9ED9}"/>
    <cellStyle name="Separador de milhares 2 2 4 3 2 4 2" xfId="10233" xr:uid="{EA4F6AFF-C9E5-401A-BCC3-1083AF4E3EBD}"/>
    <cellStyle name="Separador de milhares 2 2 4 3 2 5" xfId="7065" xr:uid="{E843E803-7C84-414D-817E-1E7DFE0539AD}"/>
    <cellStyle name="Separador de milhares 2 2 4 3 3" xfId="1138" xr:uid="{92DD8078-7260-4AB0-B615-417868C36FB8}"/>
    <cellStyle name="Separador de milhares 2 2 4 3 3 2" xfId="2709" xr:uid="{2257CE70-C085-4024-A0D2-04496B400DEF}"/>
    <cellStyle name="Separador de milhares 2 2 4 3 3 2 2" xfId="5879" xr:uid="{AEE87910-58F9-43F7-8C9D-6EBF4DAA13A0}"/>
    <cellStyle name="Separador de milhares 2 2 4 3 3 2 2 2" xfId="12218" xr:uid="{B0772A5F-6ADC-435B-A6C6-E044CCC03CE2}"/>
    <cellStyle name="Separador de milhares 2 2 4 3 3 2 3" xfId="9050" xr:uid="{CB316AFA-2FA0-4D11-BE79-E3CB3FDB8C4F}"/>
    <cellStyle name="Separador de milhares 2 2 4 3 3 3" xfId="4310" xr:uid="{E723CC8F-730B-44DD-8A05-42594DF424A3}"/>
    <cellStyle name="Separador de milhares 2 2 4 3 3 3 2" xfId="10649" xr:uid="{AF1FC8BD-49CE-4D10-A157-C4CB266401CE}"/>
    <cellStyle name="Separador de milhares 2 2 4 3 3 4" xfId="7481" xr:uid="{FCCE3F51-43AE-41A5-A76E-82984A442B66}"/>
    <cellStyle name="Separador de milhares 2 2 4 3 4" xfId="1912" xr:uid="{E193A926-AF31-4CAE-861D-93DC6C0810A3}"/>
    <cellStyle name="Separador de milhares 2 2 4 3 4 2" xfId="5082" xr:uid="{ECC31BA5-254D-4E4E-98FA-90AF572B9F37}"/>
    <cellStyle name="Separador de milhares 2 2 4 3 4 2 2" xfId="11421" xr:uid="{5B59833B-B9C3-4588-AFC4-DCA472371236}"/>
    <cellStyle name="Separador de milhares 2 2 4 3 4 3" xfId="8253" xr:uid="{636EE30C-B120-4055-9103-F91C36B21AFC}"/>
    <cellStyle name="Separador de milhares 2 2 4 3 5" xfId="3513" xr:uid="{2B8A8B87-ACE7-4614-B513-E6B63815EB74}"/>
    <cellStyle name="Separador de milhares 2 2 4 3 5 2" xfId="9852" xr:uid="{303D48D3-D228-4648-BEAD-CFBA659B44B1}"/>
    <cellStyle name="Separador de milhares 2 2 4 3 6" xfId="6684" xr:uid="{A5B9D65E-CA2C-4307-A1E1-D87C85AA530F}"/>
    <cellStyle name="Separador de milhares 2 2 4 4" xfId="527" xr:uid="{1A96F64F-38AA-4CF6-A84B-7502CE0AAB90}"/>
    <cellStyle name="Separador de milhares 2 2 4 4 2" xfId="1326" xr:uid="{74EA0164-467B-4FB4-8061-E9CF17A8E598}"/>
    <cellStyle name="Separador de milhares 2 2 4 4 2 2" xfId="2897" xr:uid="{915F3E7E-AE03-43E8-ACFE-5B075193B9C6}"/>
    <cellStyle name="Separador de milhares 2 2 4 4 2 2 2" xfId="6067" xr:uid="{320027E1-5A0B-4748-8BA7-21216AD4DB80}"/>
    <cellStyle name="Separador de milhares 2 2 4 4 2 2 2 2" xfId="12406" xr:uid="{9AA6A391-BC03-4CAC-A15A-E820BF1A7BD4}"/>
    <cellStyle name="Separador de milhares 2 2 4 4 2 2 3" xfId="9238" xr:uid="{02BDDB96-92B1-4C79-A674-C5697BC6012D}"/>
    <cellStyle name="Separador de milhares 2 2 4 4 2 3" xfId="4498" xr:uid="{1416F7D5-3222-49C6-825C-52CFBD28A800}"/>
    <cellStyle name="Separador de milhares 2 2 4 4 2 3 2" xfId="10837" xr:uid="{F5EA778C-C48A-4171-BE1F-5E63FB77F167}"/>
    <cellStyle name="Separador de milhares 2 2 4 4 2 4" xfId="7669" xr:uid="{A9635854-6CA2-484A-B758-993AB08C0424}"/>
    <cellStyle name="Separador de milhares 2 2 4 4 3" xfId="2100" xr:uid="{36F33F73-DDED-42D5-ABA1-14492D84C10B}"/>
    <cellStyle name="Separador de milhares 2 2 4 4 3 2" xfId="5270" xr:uid="{5AF8E988-A2AE-43F0-973D-371C1CB20191}"/>
    <cellStyle name="Separador de milhares 2 2 4 4 3 2 2" xfId="11609" xr:uid="{C7B736EC-17D5-4373-BB0A-FCAC7CC385BE}"/>
    <cellStyle name="Separador de milhares 2 2 4 4 3 3" xfId="8441" xr:uid="{95CF824A-D977-4254-8010-4FC39355AD11}"/>
    <cellStyle name="Separador de milhares 2 2 4 4 4" xfId="3701" xr:uid="{A075A178-BF04-409E-9D17-ECCE3E0EB73E}"/>
    <cellStyle name="Separador de milhares 2 2 4 4 4 2" xfId="10040" xr:uid="{4C3EE376-0EC0-4570-BBE9-72C636A7DC95}"/>
    <cellStyle name="Separador de milhares 2 2 4 4 5" xfId="6872" xr:uid="{00301EEC-B892-4FC9-82AC-DC713929EAFB}"/>
    <cellStyle name="Separador de milhares 2 2 4 5" xfId="935" xr:uid="{2759D731-FC4F-4CA3-BEF0-5A2550DBF427}"/>
    <cellStyle name="Separador de milhares 2 2 4 5 2" xfId="2506" xr:uid="{C459E9C8-684F-4ECC-B6C8-E7402B74377C}"/>
    <cellStyle name="Separador de milhares 2 2 4 5 2 2" xfId="5676" xr:uid="{48524092-3B01-4914-8E1E-4368E38C3DD2}"/>
    <cellStyle name="Separador de milhares 2 2 4 5 2 2 2" xfId="12015" xr:uid="{A1018FA3-E086-4F95-95E9-9680B934DF92}"/>
    <cellStyle name="Separador de milhares 2 2 4 5 2 3" xfId="8847" xr:uid="{BF597A53-A281-44A8-840F-21508B3ADE37}"/>
    <cellStyle name="Separador de milhares 2 2 4 5 3" xfId="4107" xr:uid="{AFB9E0EA-11A5-4147-A653-5222EB0761B0}"/>
    <cellStyle name="Separador de milhares 2 2 4 5 3 2" xfId="10446" xr:uid="{49D0687C-EDDA-4DA6-B7D6-DD1D9689C6A2}"/>
    <cellStyle name="Separador de milhares 2 2 4 5 4" xfId="7278" xr:uid="{2C20DFA5-8B62-4ED1-BE70-30651A99333E}"/>
    <cellStyle name="Separador de milhares 2 2 4 6" xfId="1719" xr:uid="{21A6731F-EC57-44FD-A5AB-AE3A451E4EB7}"/>
    <cellStyle name="Separador de milhares 2 2 4 6 2" xfId="4889" xr:uid="{039C47F2-6A65-45B0-822A-3D48C45195EA}"/>
    <cellStyle name="Separador de milhares 2 2 4 6 2 2" xfId="11228" xr:uid="{C7AC36C6-4ED8-4C4F-B17B-6ADD3A013E08}"/>
    <cellStyle name="Separador de milhares 2 2 4 6 3" xfId="8060" xr:uid="{0CA625DC-6491-4872-9AF5-7CFF1788433D}"/>
    <cellStyle name="Separador de milhares 2 2 4 7" xfId="3310" xr:uid="{56FC0B8A-8062-4F40-973B-F067F5E57782}"/>
    <cellStyle name="Separador de milhares 2 2 4 7 2" xfId="9649" xr:uid="{87B86253-57DE-4793-9FED-16C7AEEC55CE}"/>
    <cellStyle name="Separador de milhares 2 2 4 8" xfId="6481" xr:uid="{25483E57-30D7-41EC-8207-91BBCC9C4F45}"/>
    <cellStyle name="Separador de milhares 2 2 5" xfId="128" xr:uid="{2A2127AB-259D-409C-B191-88A7D1912BB8}"/>
    <cellStyle name="Separador de milhares 2 2 5 2" xfId="209" xr:uid="{B9C897B4-4054-412B-8D62-9924A4ECA44D}"/>
    <cellStyle name="Separador de milhares 2 2 5 2 2" xfId="426" xr:uid="{4130940E-7CBE-4CD2-BA48-E17C345BF22E}"/>
    <cellStyle name="Separador de milhares 2 2 5 2 2 2" xfId="807" xr:uid="{B144DF8A-2BD2-416E-A0CB-88068EB165DD}"/>
    <cellStyle name="Separador de milhares 2 2 5 2 2 2 2" xfId="1606" xr:uid="{C97B219F-F6C2-4D13-ACE9-84591D6E4C11}"/>
    <cellStyle name="Separador de milhares 2 2 5 2 2 2 2 2" xfId="3177" xr:uid="{00728922-D5B1-4A8C-842F-5EDF15AE5B34}"/>
    <cellStyle name="Separador de milhares 2 2 5 2 2 2 2 2 2" xfId="6347" xr:uid="{645B9085-05E9-4CFC-BDF4-60B22205BF8A}"/>
    <cellStyle name="Separador de milhares 2 2 5 2 2 2 2 2 2 2" xfId="12686" xr:uid="{B71CF896-ECB3-4D0D-83E3-A502A074683D}"/>
    <cellStyle name="Separador de milhares 2 2 5 2 2 2 2 2 3" xfId="9518" xr:uid="{6F1383C2-E335-4F6D-BC24-116945A3ECAD}"/>
    <cellStyle name="Separador de milhares 2 2 5 2 2 2 2 3" xfId="4778" xr:uid="{DB61F6EE-C02B-4FCD-9886-FD26E46A81B9}"/>
    <cellStyle name="Separador de milhares 2 2 5 2 2 2 2 3 2" xfId="11117" xr:uid="{42FDB19D-DB68-4D02-96B4-58189DF60F53}"/>
    <cellStyle name="Separador de milhares 2 2 5 2 2 2 2 4" xfId="7949" xr:uid="{FD2E0F9F-D0EB-45D3-A9E7-2327FDF23451}"/>
    <cellStyle name="Separador de milhares 2 2 5 2 2 2 3" xfId="2380" xr:uid="{853CE27C-66F3-4FE2-94F1-9F66F6BAC3D3}"/>
    <cellStyle name="Separador de milhares 2 2 5 2 2 2 3 2" xfId="5550" xr:uid="{EFF97FA8-FA8C-4E83-8ACE-EE09916051F0}"/>
    <cellStyle name="Separador de milhares 2 2 5 2 2 2 3 2 2" xfId="11889" xr:uid="{D2603E57-34D8-4413-97AD-CF39846547B2}"/>
    <cellStyle name="Separador de milhares 2 2 5 2 2 2 3 3" xfId="8721" xr:uid="{D3F0C1D2-E1FC-4C5B-9CFD-D8A545964EFD}"/>
    <cellStyle name="Separador de milhares 2 2 5 2 2 2 4" xfId="3981" xr:uid="{6E1D340D-B831-4725-A5EB-7DD4744FA47F}"/>
    <cellStyle name="Separador de milhares 2 2 5 2 2 2 4 2" xfId="10320" xr:uid="{1A3E710F-CF70-4316-A9EA-F79F9166F266}"/>
    <cellStyle name="Separador de milhares 2 2 5 2 2 2 5" xfId="7152" xr:uid="{AC331C7C-1EC5-45AF-93FF-3925EFDFEA46}"/>
    <cellStyle name="Separador de milhares 2 2 5 2 2 3" xfId="1225" xr:uid="{E0BF77A8-2BAA-4480-8622-7BA5D397A797}"/>
    <cellStyle name="Separador de milhares 2 2 5 2 2 3 2" xfId="2796" xr:uid="{A6B7A425-2B53-4821-A99F-C8AF91D51FE6}"/>
    <cellStyle name="Separador de milhares 2 2 5 2 2 3 2 2" xfId="5966" xr:uid="{9EF84DB4-01CF-4022-A9BD-9F1A3EEEDC64}"/>
    <cellStyle name="Separador de milhares 2 2 5 2 2 3 2 2 2" xfId="12305" xr:uid="{A3DCD4EC-2227-4E0F-88F7-BD41B6C63158}"/>
    <cellStyle name="Separador de milhares 2 2 5 2 2 3 2 3" xfId="9137" xr:uid="{F9028B0E-09D1-44D2-B127-AB107F4D51DD}"/>
    <cellStyle name="Separador de milhares 2 2 5 2 2 3 3" xfId="4397" xr:uid="{BAB6DDD4-8BC8-42A9-B7FB-FB78CF929162}"/>
    <cellStyle name="Separador de milhares 2 2 5 2 2 3 3 2" xfId="10736" xr:uid="{C0BFD677-DD5C-4867-A6E2-59E194FD1D92}"/>
    <cellStyle name="Separador de milhares 2 2 5 2 2 3 4" xfId="7568" xr:uid="{F456EE75-7674-4A27-9622-93943659A9E3}"/>
    <cellStyle name="Separador de milhares 2 2 5 2 2 4" xfId="1999" xr:uid="{969F7E80-C712-4C38-87A0-3F7B53E4D663}"/>
    <cellStyle name="Separador de milhares 2 2 5 2 2 4 2" xfId="5169" xr:uid="{D9975D86-9EEC-4B38-A19A-830D3AB4B0E4}"/>
    <cellStyle name="Separador de milhares 2 2 5 2 2 4 2 2" xfId="11508" xr:uid="{4DC65069-7102-4DAA-BC75-864F9D78570E}"/>
    <cellStyle name="Separador de milhares 2 2 5 2 2 4 3" xfId="8340" xr:uid="{044B058E-14A5-43D1-B2F9-736088CE496A}"/>
    <cellStyle name="Separador de milhares 2 2 5 2 2 5" xfId="3600" xr:uid="{C4A9F2B0-85FF-4CD1-933D-64AF044AC147}"/>
    <cellStyle name="Separador de milhares 2 2 5 2 2 5 2" xfId="9939" xr:uid="{8599A6AD-A99D-48B3-8C41-5BF64CC2B238}"/>
    <cellStyle name="Separador de milhares 2 2 5 2 2 6" xfId="6771" xr:uid="{4FFA52BD-5ED3-4E8F-AF29-5D8C0C0FFA93}"/>
    <cellStyle name="Separador de milhares 2 2 5 2 3" xfId="604" xr:uid="{7B0188F8-4EEE-4FEC-9089-FB375AE42BA6}"/>
    <cellStyle name="Separador de milhares 2 2 5 2 3 2" xfId="1403" xr:uid="{6FE38416-316D-4D0D-BD32-756768CC0A8E}"/>
    <cellStyle name="Separador de milhares 2 2 5 2 3 2 2" xfId="2974" xr:uid="{2917DC8F-75E5-4D4D-A3C9-661B03ACD17B}"/>
    <cellStyle name="Separador de milhares 2 2 5 2 3 2 2 2" xfId="6144" xr:uid="{5C037F08-9E15-4B41-985A-CA26DB363A28}"/>
    <cellStyle name="Separador de milhares 2 2 5 2 3 2 2 2 2" xfId="12483" xr:uid="{30B0CB1A-F482-4913-8F9F-4A799910E313}"/>
    <cellStyle name="Separador de milhares 2 2 5 2 3 2 2 3" xfId="9315" xr:uid="{673E5147-6609-4C82-8CCB-1D73232800DF}"/>
    <cellStyle name="Separador de milhares 2 2 5 2 3 2 3" xfId="4575" xr:uid="{5EF0538C-160D-47A5-8CFF-B6BCBC4AD8F6}"/>
    <cellStyle name="Separador de milhares 2 2 5 2 3 2 3 2" xfId="10914" xr:uid="{05882DF0-F28D-46FB-80E6-3B3217DED466}"/>
    <cellStyle name="Separador de milhares 2 2 5 2 3 2 4" xfId="7746" xr:uid="{29C90EC2-0F5B-46AF-8E3E-60CED274DC88}"/>
    <cellStyle name="Separador de milhares 2 2 5 2 3 3" xfId="2177" xr:uid="{CE98CF93-156C-48D6-B34D-4B9C35EC91FC}"/>
    <cellStyle name="Separador de milhares 2 2 5 2 3 3 2" xfId="5347" xr:uid="{84609283-8AB6-4C45-AE41-B07C2644271B}"/>
    <cellStyle name="Separador de milhares 2 2 5 2 3 3 2 2" xfId="11686" xr:uid="{BE08CF66-61FB-416B-9540-DD950A21C7E2}"/>
    <cellStyle name="Separador de milhares 2 2 5 2 3 3 3" xfId="8518" xr:uid="{221E9C48-DE39-47CB-A0C3-87CBA8C1F76B}"/>
    <cellStyle name="Separador de milhares 2 2 5 2 3 4" xfId="3778" xr:uid="{6D14FAD5-DA47-405E-8365-2EE0F4EE4D4C}"/>
    <cellStyle name="Separador de milhares 2 2 5 2 3 4 2" xfId="10117" xr:uid="{742CF62B-D609-44F2-AF75-8A86F0B5A59E}"/>
    <cellStyle name="Separador de milhares 2 2 5 2 3 5" xfId="6949" xr:uid="{A6D8D362-8C5D-4593-ACEF-DF6E2C2835C8}"/>
    <cellStyle name="Separador de milhares 2 2 5 2 4" xfId="1022" xr:uid="{313D1D53-326E-4E34-96E4-6496FE0DF17B}"/>
    <cellStyle name="Separador de milhares 2 2 5 2 4 2" xfId="2593" xr:uid="{3E5EE78A-CC58-46DE-9FC5-1EDF0DCCCB97}"/>
    <cellStyle name="Separador de milhares 2 2 5 2 4 2 2" xfId="5763" xr:uid="{76297E52-42C1-418F-A60D-BF07EEAB7761}"/>
    <cellStyle name="Separador de milhares 2 2 5 2 4 2 2 2" xfId="12102" xr:uid="{143F8DFC-07C4-4112-AF09-6292923A8A73}"/>
    <cellStyle name="Separador de milhares 2 2 5 2 4 2 3" xfId="8934" xr:uid="{BCBF1E21-EF1E-4CD9-89A3-ACC4E1A05CCA}"/>
    <cellStyle name="Separador de milhares 2 2 5 2 4 3" xfId="4194" xr:uid="{24A6C14A-5806-4D1D-94D9-C830E63F69AD}"/>
    <cellStyle name="Separador de milhares 2 2 5 2 4 3 2" xfId="10533" xr:uid="{12A76D28-B3CF-4E45-9162-7DFB83948BB3}"/>
    <cellStyle name="Separador de milhares 2 2 5 2 4 4" xfId="7365" xr:uid="{4928BCB0-C051-45D6-9775-C898DE5DD648}"/>
    <cellStyle name="Separador de milhares 2 2 5 2 5" xfId="1796" xr:uid="{1E4C477C-7D87-48EA-83FA-59C40320EAB5}"/>
    <cellStyle name="Separador de milhares 2 2 5 2 5 2" xfId="4966" xr:uid="{9E279971-F860-47FD-951D-E61E601772E4}"/>
    <cellStyle name="Separador de milhares 2 2 5 2 5 2 2" xfId="11305" xr:uid="{C154CC68-22FD-4862-B5B4-85A4E3C5DC9C}"/>
    <cellStyle name="Separador de milhares 2 2 5 2 5 3" xfId="8137" xr:uid="{20D980D2-B190-43FF-B6F8-71C9CE3D754B}"/>
    <cellStyle name="Separador de milhares 2 2 5 2 6" xfId="3397" xr:uid="{87D4C98A-169D-4114-B287-A104A321EBC5}"/>
    <cellStyle name="Separador de milhares 2 2 5 2 6 2" xfId="9736" xr:uid="{461B8514-8396-404B-9BDD-5C17A9AC5757}"/>
    <cellStyle name="Separador de milhares 2 2 5 2 7" xfId="6568" xr:uid="{C4B613CC-48E5-4282-9CBE-2B5D64A05532}"/>
    <cellStyle name="Separador de milhares 2 2 5 3" xfId="345" xr:uid="{F3A46E6D-9190-46A8-AE71-27D8CB3D1048}"/>
    <cellStyle name="Separador de milhares 2 2 5 3 2" xfId="726" xr:uid="{9BB79E81-FEF0-41DD-9C65-2F9E2E258C2E}"/>
    <cellStyle name="Separador de milhares 2 2 5 3 2 2" xfId="1525" xr:uid="{E47A7CA6-650B-4525-90B3-FFDD1D0B6366}"/>
    <cellStyle name="Separador de milhares 2 2 5 3 2 2 2" xfId="3096" xr:uid="{7346753B-04E4-4895-89F9-F05C66A29761}"/>
    <cellStyle name="Separador de milhares 2 2 5 3 2 2 2 2" xfId="6266" xr:uid="{45B1DBAF-5BBA-4965-BDC7-A38BF40E8FE9}"/>
    <cellStyle name="Separador de milhares 2 2 5 3 2 2 2 2 2" xfId="12605" xr:uid="{D24BE7AB-4853-4FBC-89BB-F5C2266FCA3F}"/>
    <cellStyle name="Separador de milhares 2 2 5 3 2 2 2 3" xfId="9437" xr:uid="{FD9CB2E5-F9C2-44E6-9E0C-C05E345C8BDC}"/>
    <cellStyle name="Separador de milhares 2 2 5 3 2 2 3" xfId="4697" xr:uid="{94CEBC66-13ED-4EB6-8168-3BCCF0108B37}"/>
    <cellStyle name="Separador de milhares 2 2 5 3 2 2 3 2" xfId="11036" xr:uid="{0C5F6DBB-5856-4A50-B4D9-5B1A0DB66CD6}"/>
    <cellStyle name="Separador de milhares 2 2 5 3 2 2 4" xfId="7868" xr:uid="{CABDEC6B-C67B-4289-AC90-6D7ACEFB93C2}"/>
    <cellStyle name="Separador de milhares 2 2 5 3 2 3" xfId="2299" xr:uid="{2EB39417-7D89-4082-908D-4BC4390304A4}"/>
    <cellStyle name="Separador de milhares 2 2 5 3 2 3 2" xfId="5469" xr:uid="{A1467CFE-1DF7-4E00-BD76-946AFD2DBC9C}"/>
    <cellStyle name="Separador de milhares 2 2 5 3 2 3 2 2" xfId="11808" xr:uid="{A2BCF413-09CF-4520-91C5-E495898B6A90}"/>
    <cellStyle name="Separador de milhares 2 2 5 3 2 3 3" xfId="8640" xr:uid="{9DD74B2A-BB7E-4385-BA61-33786B7D415B}"/>
    <cellStyle name="Separador de milhares 2 2 5 3 2 4" xfId="3900" xr:uid="{15960AFF-E788-4EEF-A0FF-BFC41A4DCDF4}"/>
    <cellStyle name="Separador de milhares 2 2 5 3 2 4 2" xfId="10239" xr:uid="{D1F98E60-87EF-4AB8-959B-EAB354F20021}"/>
    <cellStyle name="Separador de milhares 2 2 5 3 2 5" xfId="7071" xr:uid="{9EFB34B1-D776-4EA2-854E-E0524236013D}"/>
    <cellStyle name="Separador de milhares 2 2 5 3 3" xfId="1144" xr:uid="{A1F8E46E-6CD1-46AC-A88F-F96768FFE73C}"/>
    <cellStyle name="Separador de milhares 2 2 5 3 3 2" xfId="2715" xr:uid="{53C5A6EC-B9B2-4C35-A000-CE6ED2934F2F}"/>
    <cellStyle name="Separador de milhares 2 2 5 3 3 2 2" xfId="5885" xr:uid="{B3FF0D8B-C919-4467-AEF2-CFBAC52B2400}"/>
    <cellStyle name="Separador de milhares 2 2 5 3 3 2 2 2" xfId="12224" xr:uid="{DBA3D02D-9FF0-490A-A95A-D6EDFFD254CB}"/>
    <cellStyle name="Separador de milhares 2 2 5 3 3 2 3" xfId="9056" xr:uid="{26BB8157-4ABD-4EC7-8C5B-4C3B8FE03DE9}"/>
    <cellStyle name="Separador de milhares 2 2 5 3 3 3" xfId="4316" xr:uid="{98EE7543-4190-4943-9E7D-0D64BF28FC3B}"/>
    <cellStyle name="Separador de milhares 2 2 5 3 3 3 2" xfId="10655" xr:uid="{28079AF5-7368-4BD9-A552-1EC6C6C3A2B9}"/>
    <cellStyle name="Separador de milhares 2 2 5 3 3 4" xfId="7487" xr:uid="{B7E7863A-6D27-4B3B-966B-EAE6EC551E31}"/>
    <cellStyle name="Separador de milhares 2 2 5 3 4" xfId="1918" xr:uid="{48F75CFC-6D64-495C-816B-F43B38EC4A83}"/>
    <cellStyle name="Separador de milhares 2 2 5 3 4 2" xfId="5088" xr:uid="{E6E40540-9A40-4DEA-9883-9E706002AAB3}"/>
    <cellStyle name="Separador de milhares 2 2 5 3 4 2 2" xfId="11427" xr:uid="{36412761-C986-4FD4-BC10-2138ACF73285}"/>
    <cellStyle name="Separador de milhares 2 2 5 3 4 3" xfId="8259" xr:uid="{8A5706A5-3537-4916-9739-7A56FEB09714}"/>
    <cellStyle name="Separador de milhares 2 2 5 3 5" xfId="3519" xr:uid="{678992E2-B877-4520-AFF3-832A292D434E}"/>
    <cellStyle name="Separador de milhares 2 2 5 3 5 2" xfId="9858" xr:uid="{EC8BC9F2-4A0E-4DB1-A7FF-00D14B91EA93}"/>
    <cellStyle name="Separador de milhares 2 2 5 3 6" xfId="6690" xr:uid="{2EB7B1E5-EF58-43A1-9C99-E11B44B98A70}"/>
    <cellStyle name="Separador de milhares 2 2 5 4" xfId="530" xr:uid="{75B17731-FAC4-4729-8A7A-6C97092D06A7}"/>
    <cellStyle name="Separador de milhares 2 2 5 4 2" xfId="1329" xr:uid="{484DA4F7-E25E-46C1-AD9D-33D4F717272E}"/>
    <cellStyle name="Separador de milhares 2 2 5 4 2 2" xfId="2900" xr:uid="{DB293E30-B647-4995-8D88-081A66A1C453}"/>
    <cellStyle name="Separador de milhares 2 2 5 4 2 2 2" xfId="6070" xr:uid="{1F0B480F-D91F-4FEF-A477-41E25649D997}"/>
    <cellStyle name="Separador de milhares 2 2 5 4 2 2 2 2" xfId="12409" xr:uid="{131A1142-2B5B-4A3C-B9A5-585AED6E91FC}"/>
    <cellStyle name="Separador de milhares 2 2 5 4 2 2 3" xfId="9241" xr:uid="{318208D7-F1EC-4D4C-9E95-1C48A6651794}"/>
    <cellStyle name="Separador de milhares 2 2 5 4 2 3" xfId="4501" xr:uid="{905F9715-97E4-4E1C-931E-837FBE54C656}"/>
    <cellStyle name="Separador de milhares 2 2 5 4 2 3 2" xfId="10840" xr:uid="{410BA6D1-DFED-4AC5-9559-88982E123385}"/>
    <cellStyle name="Separador de milhares 2 2 5 4 2 4" xfId="7672" xr:uid="{8024ECD0-AB3E-4DAE-8D5D-0CAE8511B43D}"/>
    <cellStyle name="Separador de milhares 2 2 5 4 3" xfId="2103" xr:uid="{18BECDE9-CF77-488C-A827-DCDA1EC3EF05}"/>
    <cellStyle name="Separador de milhares 2 2 5 4 3 2" xfId="5273" xr:uid="{443952FF-DFC0-4428-A458-8A53426BABFA}"/>
    <cellStyle name="Separador de milhares 2 2 5 4 3 2 2" xfId="11612" xr:uid="{65AFCD99-EAD9-415D-B4E9-368EBA444784}"/>
    <cellStyle name="Separador de milhares 2 2 5 4 3 3" xfId="8444" xr:uid="{371737BE-F8DE-4006-8EB3-DC6B388B1C9C}"/>
    <cellStyle name="Separador de milhares 2 2 5 4 4" xfId="3704" xr:uid="{A5E27A5A-1467-422B-8EA1-5BA0BCCBDDB6}"/>
    <cellStyle name="Separador de milhares 2 2 5 4 4 2" xfId="10043" xr:uid="{AC9C42C2-8D6C-4C2D-A708-A9E5177DB312}"/>
    <cellStyle name="Separador de milhares 2 2 5 4 5" xfId="6875" xr:uid="{C23792FA-D30B-49C3-B703-0F43DB1874F4}"/>
    <cellStyle name="Separador de milhares 2 2 5 5" xfId="941" xr:uid="{8460E43B-A800-4646-8F84-4A2B757E3D1D}"/>
    <cellStyle name="Separador de milhares 2 2 5 5 2" xfId="2512" xr:uid="{21876431-62FB-4E38-B09B-16E666A8A4D7}"/>
    <cellStyle name="Separador de milhares 2 2 5 5 2 2" xfId="5682" xr:uid="{E4EDD074-BCFE-44B8-936A-31DF7AA49619}"/>
    <cellStyle name="Separador de milhares 2 2 5 5 2 2 2" xfId="12021" xr:uid="{2B5796F5-B244-4C56-9B6A-C66A76710B65}"/>
    <cellStyle name="Separador de milhares 2 2 5 5 2 3" xfId="8853" xr:uid="{A02C4287-F631-4D11-9C97-F418DAC87FF5}"/>
    <cellStyle name="Separador de milhares 2 2 5 5 3" xfId="4113" xr:uid="{0072A156-4218-4551-8C57-25A476280C41}"/>
    <cellStyle name="Separador de milhares 2 2 5 5 3 2" xfId="10452" xr:uid="{A162FB0F-17CA-4BBF-A837-061A46263537}"/>
    <cellStyle name="Separador de milhares 2 2 5 5 4" xfId="7284" xr:uid="{C5E0D612-5727-4F72-AA20-5189A1D18C96}"/>
    <cellStyle name="Separador de milhares 2 2 5 6" xfId="1722" xr:uid="{684931FD-B9CF-4325-B89D-94228F0E32A4}"/>
    <cellStyle name="Separador de milhares 2 2 5 6 2" xfId="4892" xr:uid="{F7072A56-2E83-4CD0-8F99-9B7226DC12F0}"/>
    <cellStyle name="Separador de milhares 2 2 5 6 2 2" xfId="11231" xr:uid="{91745121-2841-44C8-8E5D-90AA06BAF7E9}"/>
    <cellStyle name="Separador de milhares 2 2 5 6 3" xfId="8063" xr:uid="{7390D957-D2B1-4CE4-AEE7-F9E98AB1DF42}"/>
    <cellStyle name="Separador de milhares 2 2 5 7" xfId="3316" xr:uid="{920AD36D-8A47-4F8B-923E-308F520DD876}"/>
    <cellStyle name="Separador de milhares 2 2 5 7 2" xfId="9655" xr:uid="{754C96BC-F8BF-4E65-A5B8-82BE0626229C}"/>
    <cellStyle name="Separador de milhares 2 2 5 8" xfId="6487" xr:uid="{DAA61472-8A1D-4CCF-B698-1C156AF2D6A2}"/>
    <cellStyle name="Separador de milhares 2 2 6" xfId="133" xr:uid="{3E272177-EFE1-4674-BD63-506A35B06741}"/>
    <cellStyle name="Separador de milhares 2 2 6 2" xfId="214" xr:uid="{86907AD8-89A7-4332-B458-02EC530AC71A}"/>
    <cellStyle name="Separador de milhares 2 2 6 2 2" xfId="431" xr:uid="{3661409F-4A38-4E0D-9406-1716B9EA3FF2}"/>
    <cellStyle name="Separador de milhares 2 2 6 2 2 2" xfId="812" xr:uid="{36DA1AF3-E33C-4E5E-94B2-55E15D33E00F}"/>
    <cellStyle name="Separador de milhares 2 2 6 2 2 2 2" xfId="1611" xr:uid="{F9B9E84C-A1A7-4456-969B-0D109CE48C96}"/>
    <cellStyle name="Separador de milhares 2 2 6 2 2 2 2 2" xfId="3182" xr:uid="{0F3C6DB2-E69C-47C3-A287-8D4585A0B4AB}"/>
    <cellStyle name="Separador de milhares 2 2 6 2 2 2 2 2 2" xfId="6352" xr:uid="{F2B75A0B-9D9F-4043-82FB-089C7C95F283}"/>
    <cellStyle name="Separador de milhares 2 2 6 2 2 2 2 2 2 2" xfId="12691" xr:uid="{2DB106C9-4554-4AB4-BDD4-9D1323963A99}"/>
    <cellStyle name="Separador de milhares 2 2 6 2 2 2 2 2 3" xfId="9523" xr:uid="{71F4B96A-6A11-4A85-A3E4-B8B811F5791A}"/>
    <cellStyle name="Separador de milhares 2 2 6 2 2 2 2 3" xfId="4783" xr:uid="{84BC7571-2D24-4701-9AC0-5680EECD20D4}"/>
    <cellStyle name="Separador de milhares 2 2 6 2 2 2 2 3 2" xfId="11122" xr:uid="{B17D8ED2-41FC-44DB-91E0-8E3DDD73B5F5}"/>
    <cellStyle name="Separador de milhares 2 2 6 2 2 2 2 4" xfId="7954" xr:uid="{02439774-C587-406A-84F9-0A829E2287E6}"/>
    <cellStyle name="Separador de milhares 2 2 6 2 2 2 3" xfId="2385" xr:uid="{D1ACFAEE-E317-4332-B92C-E110A34DB8B8}"/>
    <cellStyle name="Separador de milhares 2 2 6 2 2 2 3 2" xfId="5555" xr:uid="{DE7D8E64-A1AD-40C9-B091-11C1F33D2E33}"/>
    <cellStyle name="Separador de milhares 2 2 6 2 2 2 3 2 2" xfId="11894" xr:uid="{1DD02966-4875-496D-80AF-641C4926A529}"/>
    <cellStyle name="Separador de milhares 2 2 6 2 2 2 3 3" xfId="8726" xr:uid="{FE30E2C8-203F-421D-BF8C-44FF067E405A}"/>
    <cellStyle name="Separador de milhares 2 2 6 2 2 2 4" xfId="3986" xr:uid="{AA8793F5-50DC-40B4-8F6D-E14A0B344E57}"/>
    <cellStyle name="Separador de milhares 2 2 6 2 2 2 4 2" xfId="10325" xr:uid="{552079F0-A6DF-4BBA-B98C-DD5BF4B35CAA}"/>
    <cellStyle name="Separador de milhares 2 2 6 2 2 2 5" xfId="7157" xr:uid="{24905ADA-4CD4-4107-92CF-4263E185D9D1}"/>
    <cellStyle name="Separador de milhares 2 2 6 2 2 3" xfId="1230" xr:uid="{24CAF127-E75D-4DCB-8839-B8F655936479}"/>
    <cellStyle name="Separador de milhares 2 2 6 2 2 3 2" xfId="2801" xr:uid="{C9B1DC18-D859-420F-B095-A7A05D62F7EB}"/>
    <cellStyle name="Separador de milhares 2 2 6 2 2 3 2 2" xfId="5971" xr:uid="{623470EB-9679-4A84-9C30-EC04E1A66FAB}"/>
    <cellStyle name="Separador de milhares 2 2 6 2 2 3 2 2 2" xfId="12310" xr:uid="{91397431-6892-4EAB-B414-0E6A5E4343B2}"/>
    <cellStyle name="Separador de milhares 2 2 6 2 2 3 2 3" xfId="9142" xr:uid="{FCF68AC6-8C0B-4AD3-8B9E-730C7843BEAE}"/>
    <cellStyle name="Separador de milhares 2 2 6 2 2 3 3" xfId="4402" xr:uid="{CF8AF137-F72E-45AA-8A35-6D65678077AF}"/>
    <cellStyle name="Separador de milhares 2 2 6 2 2 3 3 2" xfId="10741" xr:uid="{B55243F7-D2E9-4309-853F-F933ADE3A5F2}"/>
    <cellStyle name="Separador de milhares 2 2 6 2 2 3 4" xfId="7573" xr:uid="{4441BAF8-A26A-46F3-81EA-51BB51060363}"/>
    <cellStyle name="Separador de milhares 2 2 6 2 2 4" xfId="2004" xr:uid="{4E2EBAA9-9EC8-48A5-8C06-BDEE1415E465}"/>
    <cellStyle name="Separador de milhares 2 2 6 2 2 4 2" xfId="5174" xr:uid="{8C402CB0-7D30-4E43-8FE1-876A79C2CD5F}"/>
    <cellStyle name="Separador de milhares 2 2 6 2 2 4 2 2" xfId="11513" xr:uid="{5B905C67-8402-48B0-957C-C767B08CDF8D}"/>
    <cellStyle name="Separador de milhares 2 2 6 2 2 4 3" xfId="8345" xr:uid="{1DF1CCD6-CB84-46B8-8D91-187C50633B39}"/>
    <cellStyle name="Separador de milhares 2 2 6 2 2 5" xfId="3605" xr:uid="{37EB90BB-881A-475F-AFAB-33FA12238128}"/>
    <cellStyle name="Separador de milhares 2 2 6 2 2 5 2" xfId="9944" xr:uid="{D7F62D99-3157-4A02-ACBA-E081789FFACD}"/>
    <cellStyle name="Separador de milhares 2 2 6 2 2 6" xfId="6776" xr:uid="{DBCAA117-977D-43C5-A8CB-9F76A48005C8}"/>
    <cellStyle name="Separador de milhares 2 2 6 2 3" xfId="609" xr:uid="{08850294-9A0E-43BC-B213-DF4D1FCB2B76}"/>
    <cellStyle name="Separador de milhares 2 2 6 2 3 2" xfId="1408" xr:uid="{1E5168F0-D856-4C60-954F-23ED11BC6F41}"/>
    <cellStyle name="Separador de milhares 2 2 6 2 3 2 2" xfId="2979" xr:uid="{5BB097F1-9DC2-49C8-804D-45D744E0550D}"/>
    <cellStyle name="Separador de milhares 2 2 6 2 3 2 2 2" xfId="6149" xr:uid="{A355C52E-D29F-49D3-9055-1C41FF499288}"/>
    <cellStyle name="Separador de milhares 2 2 6 2 3 2 2 2 2" xfId="12488" xr:uid="{1BB21D1B-766F-488D-A995-2C864E96CA8F}"/>
    <cellStyle name="Separador de milhares 2 2 6 2 3 2 2 3" xfId="9320" xr:uid="{D70FAB8C-4F36-4772-9FEB-CB3187C49926}"/>
    <cellStyle name="Separador de milhares 2 2 6 2 3 2 3" xfId="4580" xr:uid="{3748246B-136D-49F9-ACC6-F520F65BB7B5}"/>
    <cellStyle name="Separador de milhares 2 2 6 2 3 2 3 2" xfId="10919" xr:uid="{0844070E-4D36-48CC-BB67-6F4D304EDA36}"/>
    <cellStyle name="Separador de milhares 2 2 6 2 3 2 4" xfId="7751" xr:uid="{4DDD4F8E-C00F-44F5-BD40-582EBF9FCB63}"/>
    <cellStyle name="Separador de milhares 2 2 6 2 3 3" xfId="2182" xr:uid="{F2677B7D-9080-41C5-911F-D7C44716431D}"/>
    <cellStyle name="Separador de milhares 2 2 6 2 3 3 2" xfId="5352" xr:uid="{1408F91F-AC59-446C-9D2B-FBFF42B6DB4B}"/>
    <cellStyle name="Separador de milhares 2 2 6 2 3 3 2 2" xfId="11691" xr:uid="{63ED9EFB-D905-46F5-A256-6930F47E7A42}"/>
    <cellStyle name="Separador de milhares 2 2 6 2 3 3 3" xfId="8523" xr:uid="{044CF14F-E2F6-4050-BAD0-E60ECC8045BC}"/>
    <cellStyle name="Separador de milhares 2 2 6 2 3 4" xfId="3783" xr:uid="{577329AC-F819-4267-B681-9318472DD112}"/>
    <cellStyle name="Separador de milhares 2 2 6 2 3 4 2" xfId="10122" xr:uid="{0FB3C371-5AC4-459C-9033-AEB7CC6E57A9}"/>
    <cellStyle name="Separador de milhares 2 2 6 2 3 5" xfId="6954" xr:uid="{C25B7CB0-1E77-4626-BDAE-A9E14A1AE932}"/>
    <cellStyle name="Separador de milhares 2 2 6 2 4" xfId="1027" xr:uid="{6AA18958-79DA-463A-B3D2-A9C8987BE377}"/>
    <cellStyle name="Separador de milhares 2 2 6 2 4 2" xfId="2598" xr:uid="{04F607A4-BCC1-4D1E-A3BE-345295174F91}"/>
    <cellStyle name="Separador de milhares 2 2 6 2 4 2 2" xfId="5768" xr:uid="{9B09D793-67C5-4D93-916B-7FD063317E76}"/>
    <cellStyle name="Separador de milhares 2 2 6 2 4 2 2 2" xfId="12107" xr:uid="{6B37BB5A-48D2-4643-B45A-31ADD35D0953}"/>
    <cellStyle name="Separador de milhares 2 2 6 2 4 2 3" xfId="8939" xr:uid="{3E2CC499-48DC-48AB-A014-17CD65F3DF34}"/>
    <cellStyle name="Separador de milhares 2 2 6 2 4 3" xfId="4199" xr:uid="{881F1385-4574-4652-BF12-3A68999AFFE4}"/>
    <cellStyle name="Separador de milhares 2 2 6 2 4 3 2" xfId="10538" xr:uid="{D1A8F0A6-1BB5-442F-913A-9621650D9FF9}"/>
    <cellStyle name="Separador de milhares 2 2 6 2 4 4" xfId="7370" xr:uid="{2C73C4F1-9F25-4F83-A41A-BF53BFB61BDB}"/>
    <cellStyle name="Separador de milhares 2 2 6 2 5" xfId="1801" xr:uid="{41862B8C-F405-4B70-B4B6-5C18DD25A933}"/>
    <cellStyle name="Separador de milhares 2 2 6 2 5 2" xfId="4971" xr:uid="{176D85E1-593E-4B4B-9A43-F1B0C2479C91}"/>
    <cellStyle name="Separador de milhares 2 2 6 2 5 2 2" xfId="11310" xr:uid="{5633C76C-F0F0-40AC-A4F1-4EEC77F33DEB}"/>
    <cellStyle name="Separador de milhares 2 2 6 2 5 3" xfId="8142" xr:uid="{FAF0F4E3-323A-4D08-81C0-335334B08AD0}"/>
    <cellStyle name="Separador de milhares 2 2 6 2 6" xfId="3402" xr:uid="{FC41121E-804B-4BB0-947B-ACA4B3BAC0CB}"/>
    <cellStyle name="Separador de milhares 2 2 6 2 6 2" xfId="9741" xr:uid="{A9A05D84-65EE-433B-BC35-0EA1C2029D8C}"/>
    <cellStyle name="Separador de milhares 2 2 6 2 7" xfId="6573" xr:uid="{89C51630-7061-40BA-A8F9-83415F6E9139}"/>
    <cellStyle name="Separador de milhares 2 2 6 3" xfId="350" xr:uid="{E81D9938-310F-43B0-BAA6-ED6FCFDF131E}"/>
    <cellStyle name="Separador de milhares 2 2 6 3 2" xfId="731" xr:uid="{30522158-10D0-458E-8A3C-0273009AC31A}"/>
    <cellStyle name="Separador de milhares 2 2 6 3 2 2" xfId="1530" xr:uid="{75385292-C287-40B5-9898-F9D15E7205D9}"/>
    <cellStyle name="Separador de milhares 2 2 6 3 2 2 2" xfId="3101" xr:uid="{E4EE9D50-BA8F-4833-A090-9DC065AC5732}"/>
    <cellStyle name="Separador de milhares 2 2 6 3 2 2 2 2" xfId="6271" xr:uid="{5F78FC60-CAB2-4278-8028-EB355BE6FB90}"/>
    <cellStyle name="Separador de milhares 2 2 6 3 2 2 2 2 2" xfId="12610" xr:uid="{8B673DCE-91E9-4BD9-8E07-4B4FCD694D23}"/>
    <cellStyle name="Separador de milhares 2 2 6 3 2 2 2 3" xfId="9442" xr:uid="{3169C0AF-78F8-4BA4-91A4-FFF56B9686DF}"/>
    <cellStyle name="Separador de milhares 2 2 6 3 2 2 3" xfId="4702" xr:uid="{16CD47AB-3144-4352-9C11-79F392607AD4}"/>
    <cellStyle name="Separador de milhares 2 2 6 3 2 2 3 2" xfId="11041" xr:uid="{B04E8871-F432-4A29-8A9C-B9FA46E8C47E}"/>
    <cellStyle name="Separador de milhares 2 2 6 3 2 2 4" xfId="7873" xr:uid="{FD0FA7BF-31BE-4046-8BE9-4248FCD85C76}"/>
    <cellStyle name="Separador de milhares 2 2 6 3 2 3" xfId="2304" xr:uid="{9BBF1F84-80A2-42DB-843A-0D865FB779FA}"/>
    <cellStyle name="Separador de milhares 2 2 6 3 2 3 2" xfId="5474" xr:uid="{4B9FDE8D-5715-4EB9-86CD-D76D4E6B3705}"/>
    <cellStyle name="Separador de milhares 2 2 6 3 2 3 2 2" xfId="11813" xr:uid="{D14CEC99-88BD-4106-83B4-6B323BB566B3}"/>
    <cellStyle name="Separador de milhares 2 2 6 3 2 3 3" xfId="8645" xr:uid="{907FD76B-98D2-4FF7-9C82-F24D4F420A1F}"/>
    <cellStyle name="Separador de milhares 2 2 6 3 2 4" xfId="3905" xr:uid="{758A4047-13A4-4646-9018-ED889350E6AB}"/>
    <cellStyle name="Separador de milhares 2 2 6 3 2 4 2" xfId="10244" xr:uid="{B19B856B-CF75-4DFE-B3C6-357EB73A336D}"/>
    <cellStyle name="Separador de milhares 2 2 6 3 2 5" xfId="7076" xr:uid="{A95E23A6-4FEC-433A-87CB-668254D42303}"/>
    <cellStyle name="Separador de milhares 2 2 6 3 3" xfId="1149" xr:uid="{CC04BE8D-5027-4734-8471-AAF8BBC01F0F}"/>
    <cellStyle name="Separador de milhares 2 2 6 3 3 2" xfId="2720" xr:uid="{16629B0A-8C1D-4C96-A857-3A5B124704DE}"/>
    <cellStyle name="Separador de milhares 2 2 6 3 3 2 2" xfId="5890" xr:uid="{77466006-A1D8-43C9-9DFB-98C19BDE5BEF}"/>
    <cellStyle name="Separador de milhares 2 2 6 3 3 2 2 2" xfId="12229" xr:uid="{290EB9B7-FD46-455E-BA83-25617FF8737B}"/>
    <cellStyle name="Separador de milhares 2 2 6 3 3 2 3" xfId="9061" xr:uid="{1B47AB78-4915-4CA6-B98B-93FDB37D24BA}"/>
    <cellStyle name="Separador de milhares 2 2 6 3 3 3" xfId="4321" xr:uid="{2C560AF0-28B5-41F4-9B7F-30DD4DD6F912}"/>
    <cellStyle name="Separador de milhares 2 2 6 3 3 3 2" xfId="10660" xr:uid="{7EDAE17E-0AAE-46A7-B6C7-2918E297C44F}"/>
    <cellStyle name="Separador de milhares 2 2 6 3 3 4" xfId="7492" xr:uid="{C39ADE87-2CD9-4B14-8CC3-482CB99F04D2}"/>
    <cellStyle name="Separador de milhares 2 2 6 3 4" xfId="1923" xr:uid="{6027017E-895B-4CF5-A45F-D57F619E4350}"/>
    <cellStyle name="Separador de milhares 2 2 6 3 4 2" xfId="5093" xr:uid="{4BCA8182-9227-403F-BB3E-6BB3D2BE076D}"/>
    <cellStyle name="Separador de milhares 2 2 6 3 4 2 2" xfId="11432" xr:uid="{B1A9D0EA-34FA-4354-B1BB-F6A8EA121B03}"/>
    <cellStyle name="Separador de milhares 2 2 6 3 4 3" xfId="8264" xr:uid="{CF1147B4-17AA-4B96-865F-EE9C69149F79}"/>
    <cellStyle name="Separador de milhares 2 2 6 3 5" xfId="3524" xr:uid="{88225F2B-8112-43D7-8E06-16D2DBE4CF9C}"/>
    <cellStyle name="Separador de milhares 2 2 6 3 5 2" xfId="9863" xr:uid="{7DDC5583-1368-47BA-8627-16F73428EA6B}"/>
    <cellStyle name="Separador de milhares 2 2 6 3 6" xfId="6695" xr:uid="{7820C04F-60D0-47D8-BBBD-6D5B3767A678}"/>
    <cellStyle name="Separador de milhares 2 2 6 4" xfId="532" xr:uid="{D0F8D0F9-B96A-499D-BAC1-5410480AAD43}"/>
    <cellStyle name="Separador de milhares 2 2 6 4 2" xfId="1331" xr:uid="{1536DA6E-40A6-43C5-A9E6-AA41B14FB3D6}"/>
    <cellStyle name="Separador de milhares 2 2 6 4 2 2" xfId="2902" xr:uid="{1C97CFC1-3B4D-4092-9866-E32C4D947B7A}"/>
    <cellStyle name="Separador de milhares 2 2 6 4 2 2 2" xfId="6072" xr:uid="{77BDA152-9B65-423C-B1C0-B1ED2AEDADF6}"/>
    <cellStyle name="Separador de milhares 2 2 6 4 2 2 2 2" xfId="12411" xr:uid="{CF35467D-45BB-4562-AD9C-E191959AB7B2}"/>
    <cellStyle name="Separador de milhares 2 2 6 4 2 2 3" xfId="9243" xr:uid="{302A5CDA-B821-492D-8C1D-5BFABDA59C19}"/>
    <cellStyle name="Separador de milhares 2 2 6 4 2 3" xfId="4503" xr:uid="{4FE93E99-2E3C-4329-B6A9-E2AD4B6FBB49}"/>
    <cellStyle name="Separador de milhares 2 2 6 4 2 3 2" xfId="10842" xr:uid="{FF42BAC1-EFF9-4AE6-BA5A-08C8FFA8FC76}"/>
    <cellStyle name="Separador de milhares 2 2 6 4 2 4" xfId="7674" xr:uid="{C9834082-7892-4B81-B918-FA2DB012574A}"/>
    <cellStyle name="Separador de milhares 2 2 6 4 3" xfId="2105" xr:uid="{D6AF1A2A-B700-4AC3-B3A9-9EE8F9AB5D15}"/>
    <cellStyle name="Separador de milhares 2 2 6 4 3 2" xfId="5275" xr:uid="{25E9EB7C-11FB-4AE3-B2F3-E9A710105489}"/>
    <cellStyle name="Separador de milhares 2 2 6 4 3 2 2" xfId="11614" xr:uid="{A795A6BF-F555-4D6A-B989-1DDA58516249}"/>
    <cellStyle name="Separador de milhares 2 2 6 4 3 3" xfId="8446" xr:uid="{0A764BB9-0E22-4392-BE84-CD3FE83F3B7A}"/>
    <cellStyle name="Separador de milhares 2 2 6 4 4" xfId="3706" xr:uid="{FAC2BDB2-FECE-447A-8530-F30F7323B0BE}"/>
    <cellStyle name="Separador de milhares 2 2 6 4 4 2" xfId="10045" xr:uid="{01036F1A-783A-431D-8106-E55650336C6C}"/>
    <cellStyle name="Separador de milhares 2 2 6 4 5" xfId="6877" xr:uid="{E1D1F926-8D33-4855-AD11-17CD5910D78E}"/>
    <cellStyle name="Separador de milhares 2 2 6 5" xfId="946" xr:uid="{0EB77E39-2EDF-4310-A6CE-492878EC5765}"/>
    <cellStyle name="Separador de milhares 2 2 6 5 2" xfId="2517" xr:uid="{30F44D60-1369-4C32-A5CB-3CC7D0220CE4}"/>
    <cellStyle name="Separador de milhares 2 2 6 5 2 2" xfId="5687" xr:uid="{390F11D0-8E76-42FD-9C57-67326D93F85A}"/>
    <cellStyle name="Separador de milhares 2 2 6 5 2 2 2" xfId="12026" xr:uid="{F7E46724-0BF1-470C-827A-36171E064E94}"/>
    <cellStyle name="Separador de milhares 2 2 6 5 2 3" xfId="8858" xr:uid="{09035560-E29A-4D54-9869-2F9AFB4E4127}"/>
    <cellStyle name="Separador de milhares 2 2 6 5 3" xfId="4118" xr:uid="{8BB21CA8-8423-49EE-A10B-D5D241B9387A}"/>
    <cellStyle name="Separador de milhares 2 2 6 5 3 2" xfId="10457" xr:uid="{59E7CB86-F29F-4579-A0B6-D08275109807}"/>
    <cellStyle name="Separador de milhares 2 2 6 5 4" xfId="7289" xr:uid="{8D807037-87E4-4C33-94BA-9A5ED1A272C0}"/>
    <cellStyle name="Separador de milhares 2 2 6 6" xfId="1724" xr:uid="{15800A8D-DC78-4B88-B2EA-AC9612B6BB5F}"/>
    <cellStyle name="Separador de milhares 2 2 6 6 2" xfId="4894" xr:uid="{1A8D2728-8C15-4EDE-939C-2A1673EA4872}"/>
    <cellStyle name="Separador de milhares 2 2 6 6 2 2" xfId="11233" xr:uid="{D3AB9DEA-F27C-4005-8B15-6A009DFC1036}"/>
    <cellStyle name="Separador de milhares 2 2 6 6 3" xfId="8065" xr:uid="{12B11575-FE61-48DF-BB3C-06C381C00A49}"/>
    <cellStyle name="Separador de milhares 2 2 6 7" xfId="3321" xr:uid="{E00CB670-F6C4-487C-A6A5-9C3D9876ACCD}"/>
    <cellStyle name="Separador de milhares 2 2 6 7 2" xfId="9660" xr:uid="{B507B0E5-3E54-4BF0-B9D2-727EECD8FBA3}"/>
    <cellStyle name="Separador de milhares 2 2 6 8" xfId="6492" xr:uid="{274AF8C3-990D-4F9A-A1DF-626A3F2A1433}"/>
    <cellStyle name="Separador de milhares 2 2 7" xfId="139" xr:uid="{90ACB619-3A0A-45AE-9680-A5D05DF20051}"/>
    <cellStyle name="Separador de milhares 2 2 7 2" xfId="220" xr:uid="{368AE034-DC7A-4FB6-ADDF-30348E0B3B47}"/>
    <cellStyle name="Separador de milhares 2 2 7 2 2" xfId="437" xr:uid="{8DC6901E-ED14-4300-9369-9702B15BDF00}"/>
    <cellStyle name="Separador de milhares 2 2 7 2 2 2" xfId="818" xr:uid="{9284D153-8343-4FD4-A1C6-45871D3DB5B7}"/>
    <cellStyle name="Separador de milhares 2 2 7 2 2 2 2" xfId="1617" xr:uid="{83744E1F-6343-4F34-8FBC-29095ADC52BA}"/>
    <cellStyle name="Separador de milhares 2 2 7 2 2 2 2 2" xfId="3188" xr:uid="{55BC95FD-2AC9-47A2-910E-BD1C17FB076D}"/>
    <cellStyle name="Separador de milhares 2 2 7 2 2 2 2 2 2" xfId="6358" xr:uid="{BA7A566E-7D31-4D8E-A267-0D4D87FA1022}"/>
    <cellStyle name="Separador de milhares 2 2 7 2 2 2 2 2 2 2" xfId="12697" xr:uid="{6FBFEE63-3032-4DA4-B369-59D273F48745}"/>
    <cellStyle name="Separador de milhares 2 2 7 2 2 2 2 2 3" xfId="9529" xr:uid="{961A0300-2DEB-4D6D-B819-04A5F85BB290}"/>
    <cellStyle name="Separador de milhares 2 2 7 2 2 2 2 3" xfId="4789" xr:uid="{6A79E72A-211F-4677-BF07-D9EED9413D5F}"/>
    <cellStyle name="Separador de milhares 2 2 7 2 2 2 2 3 2" xfId="11128" xr:uid="{DD3E59F1-A3FA-4EFC-BDD3-50C072E46285}"/>
    <cellStyle name="Separador de milhares 2 2 7 2 2 2 2 4" xfId="7960" xr:uid="{D02A8D25-8A8A-43A0-B116-5BBD6CA4C7D1}"/>
    <cellStyle name="Separador de milhares 2 2 7 2 2 2 3" xfId="2391" xr:uid="{E064DC9F-0124-460A-AC88-B239E6BE8332}"/>
    <cellStyle name="Separador de milhares 2 2 7 2 2 2 3 2" xfId="5561" xr:uid="{B748C46A-23AA-4FD2-A64D-EA0F8EB38523}"/>
    <cellStyle name="Separador de milhares 2 2 7 2 2 2 3 2 2" xfId="11900" xr:uid="{0DE15317-32A6-4BC4-A216-F81966B20C5B}"/>
    <cellStyle name="Separador de milhares 2 2 7 2 2 2 3 3" xfId="8732" xr:uid="{6F3BCE0A-1B30-4BE8-9272-E3E34B97D74B}"/>
    <cellStyle name="Separador de milhares 2 2 7 2 2 2 4" xfId="3992" xr:uid="{FC7FF0A5-93E3-411E-86C5-E53674E4A9A2}"/>
    <cellStyle name="Separador de milhares 2 2 7 2 2 2 4 2" xfId="10331" xr:uid="{4CA86BE1-3015-4708-BE78-2E3C158D98F4}"/>
    <cellStyle name="Separador de milhares 2 2 7 2 2 2 5" xfId="7163" xr:uid="{22C83E6A-8F52-48E8-B5F4-7E12A70ECC07}"/>
    <cellStyle name="Separador de milhares 2 2 7 2 2 3" xfId="1236" xr:uid="{30E7ECA7-5663-4108-9657-274203D41E9E}"/>
    <cellStyle name="Separador de milhares 2 2 7 2 2 3 2" xfId="2807" xr:uid="{CBE55036-1690-4F0D-B093-8CAE70064218}"/>
    <cellStyle name="Separador de milhares 2 2 7 2 2 3 2 2" xfId="5977" xr:uid="{C88922EF-9728-4C33-B631-DE5570B8A33F}"/>
    <cellStyle name="Separador de milhares 2 2 7 2 2 3 2 2 2" xfId="12316" xr:uid="{ACE1486E-91CB-4588-979F-A86A95F7DBDB}"/>
    <cellStyle name="Separador de milhares 2 2 7 2 2 3 2 3" xfId="9148" xr:uid="{FB96EBC0-908B-47A6-AF85-99D2586DFEBE}"/>
    <cellStyle name="Separador de milhares 2 2 7 2 2 3 3" xfId="4408" xr:uid="{8AD22623-3A76-46B7-AF18-8641D6839F87}"/>
    <cellStyle name="Separador de milhares 2 2 7 2 2 3 3 2" xfId="10747" xr:uid="{DCFAC081-9ACB-4BE8-8AF0-C0049820864B}"/>
    <cellStyle name="Separador de milhares 2 2 7 2 2 3 4" xfId="7579" xr:uid="{F25407ED-42CA-47EF-BB6A-32BE761854D3}"/>
    <cellStyle name="Separador de milhares 2 2 7 2 2 4" xfId="2010" xr:uid="{3A320F50-D4D3-42D1-A6A2-92FF2C3FC362}"/>
    <cellStyle name="Separador de milhares 2 2 7 2 2 4 2" xfId="5180" xr:uid="{2579CA91-C345-4C66-A977-68782D709D9D}"/>
    <cellStyle name="Separador de milhares 2 2 7 2 2 4 2 2" xfId="11519" xr:uid="{020E8F5E-5374-4EB1-8D76-2E69E75DA515}"/>
    <cellStyle name="Separador de milhares 2 2 7 2 2 4 3" xfId="8351" xr:uid="{5EF80263-4F6C-43A9-B0AE-DDAE3EDB6EB1}"/>
    <cellStyle name="Separador de milhares 2 2 7 2 2 5" xfId="3611" xr:uid="{C181CD23-AC1D-428D-9C3D-1F1494894C23}"/>
    <cellStyle name="Separador de milhares 2 2 7 2 2 5 2" xfId="9950" xr:uid="{C1F16FE6-9417-446D-A91F-BF9B39B07DDC}"/>
    <cellStyle name="Separador de milhares 2 2 7 2 2 6" xfId="6782" xr:uid="{A1B4AC3B-9074-4712-9E43-AC2CED6AA644}"/>
    <cellStyle name="Separador de milhares 2 2 7 2 3" xfId="615" xr:uid="{82A55359-6E80-4130-BF43-EE26C6E3FEF5}"/>
    <cellStyle name="Separador de milhares 2 2 7 2 3 2" xfId="1414" xr:uid="{36235B49-E802-4C1E-A883-945350D721D9}"/>
    <cellStyle name="Separador de milhares 2 2 7 2 3 2 2" xfId="2985" xr:uid="{965B0D43-25DC-40BA-90F9-20987C538458}"/>
    <cellStyle name="Separador de milhares 2 2 7 2 3 2 2 2" xfId="6155" xr:uid="{5D2E29D3-F2FD-4CA2-B70E-99A1CB92DEC6}"/>
    <cellStyle name="Separador de milhares 2 2 7 2 3 2 2 2 2" xfId="12494" xr:uid="{A39253A3-3A23-4CAA-B2BA-F433D507E881}"/>
    <cellStyle name="Separador de milhares 2 2 7 2 3 2 2 3" xfId="9326" xr:uid="{18735CD3-8FEB-4901-952C-FAD3EC2771A4}"/>
    <cellStyle name="Separador de milhares 2 2 7 2 3 2 3" xfId="4586" xr:uid="{7A79CA94-6596-4989-A67C-9D1D0B3BC39A}"/>
    <cellStyle name="Separador de milhares 2 2 7 2 3 2 3 2" xfId="10925" xr:uid="{6041BCB7-3BF0-4ACB-B74F-0D47A0FB124E}"/>
    <cellStyle name="Separador de milhares 2 2 7 2 3 2 4" xfId="7757" xr:uid="{13925434-6360-4C6E-99AA-C5B949379D79}"/>
    <cellStyle name="Separador de milhares 2 2 7 2 3 3" xfId="2188" xr:uid="{DF182C2A-72EF-41E0-AB88-3B6692260D8C}"/>
    <cellStyle name="Separador de milhares 2 2 7 2 3 3 2" xfId="5358" xr:uid="{BB0FF992-3C86-4261-A435-2559B77A387D}"/>
    <cellStyle name="Separador de milhares 2 2 7 2 3 3 2 2" xfId="11697" xr:uid="{DDCA8A02-DF7F-4844-ABEE-F507E66AB2DD}"/>
    <cellStyle name="Separador de milhares 2 2 7 2 3 3 3" xfId="8529" xr:uid="{6671D07F-8CD8-425E-9FAB-22B83E01E567}"/>
    <cellStyle name="Separador de milhares 2 2 7 2 3 4" xfId="3789" xr:uid="{FCC1BE26-7FEE-4FC0-9965-7E5A55E9CDF1}"/>
    <cellStyle name="Separador de milhares 2 2 7 2 3 4 2" xfId="10128" xr:uid="{249918DE-BC48-4134-88EA-4AC79730CB89}"/>
    <cellStyle name="Separador de milhares 2 2 7 2 3 5" xfId="6960" xr:uid="{DBD93ED0-4F64-4688-98E5-867CE74BC251}"/>
    <cellStyle name="Separador de milhares 2 2 7 2 4" xfId="1033" xr:uid="{DA2734F5-1015-4CC3-BDC0-EE65F5E4D1D0}"/>
    <cellStyle name="Separador de milhares 2 2 7 2 4 2" xfId="2604" xr:uid="{6B326F8C-426D-42A6-9E64-D6EAB41D004C}"/>
    <cellStyle name="Separador de milhares 2 2 7 2 4 2 2" xfId="5774" xr:uid="{6B92E63B-9C8B-4515-B20B-4BBFEB162156}"/>
    <cellStyle name="Separador de milhares 2 2 7 2 4 2 2 2" xfId="12113" xr:uid="{985D3057-123C-4C4E-86CE-D242C617FC21}"/>
    <cellStyle name="Separador de milhares 2 2 7 2 4 2 3" xfId="8945" xr:uid="{4DF43761-B158-4A4C-ADA1-9F08FCC587C1}"/>
    <cellStyle name="Separador de milhares 2 2 7 2 4 3" xfId="4205" xr:uid="{21516498-1C0F-40AF-B75D-AD6F3C69BA74}"/>
    <cellStyle name="Separador de milhares 2 2 7 2 4 3 2" xfId="10544" xr:uid="{53F17347-D1F6-4AA7-B5B1-2C082A857A43}"/>
    <cellStyle name="Separador de milhares 2 2 7 2 4 4" xfId="7376" xr:uid="{61729349-0C15-47F4-879D-A9A1282FBA5A}"/>
    <cellStyle name="Separador de milhares 2 2 7 2 5" xfId="1807" xr:uid="{8CABB528-4D32-4FB5-81BB-4CB189E13E35}"/>
    <cellStyle name="Separador de milhares 2 2 7 2 5 2" xfId="4977" xr:uid="{35479E8F-9E1F-4041-8115-394E5BAB3E19}"/>
    <cellStyle name="Separador de milhares 2 2 7 2 5 2 2" xfId="11316" xr:uid="{F5E8E2FC-0616-4792-A353-8DE78B8E8630}"/>
    <cellStyle name="Separador de milhares 2 2 7 2 5 3" xfId="8148" xr:uid="{76353CAA-E871-4A7D-A3B1-E1C723C64132}"/>
    <cellStyle name="Separador de milhares 2 2 7 2 6" xfId="3408" xr:uid="{2B711FC8-D19E-47E7-9E83-1283D05B123C}"/>
    <cellStyle name="Separador de milhares 2 2 7 2 6 2" xfId="9747" xr:uid="{D071B9AE-CF30-424A-9638-9CD8E33E3D15}"/>
    <cellStyle name="Separador de milhares 2 2 7 2 7" xfId="6579" xr:uid="{FB008CA2-59F3-45F6-A6F7-CD0BF59CFCB5}"/>
    <cellStyle name="Separador de milhares 2 2 7 3" xfId="356" xr:uid="{68951839-595C-495C-B8CC-AA4716B12C4D}"/>
    <cellStyle name="Separador de milhares 2 2 7 3 2" xfId="737" xr:uid="{A567A25C-2656-4F44-8D85-723AD302F9B7}"/>
    <cellStyle name="Separador de milhares 2 2 7 3 2 2" xfId="1536" xr:uid="{E7AF08F8-AFE7-405A-A2C1-E0CB959D26DC}"/>
    <cellStyle name="Separador de milhares 2 2 7 3 2 2 2" xfId="3107" xr:uid="{49729431-2C10-449B-B619-000D9B26E12B}"/>
    <cellStyle name="Separador de milhares 2 2 7 3 2 2 2 2" xfId="6277" xr:uid="{977D98DD-FE4C-4739-9E83-B9B74308C2D3}"/>
    <cellStyle name="Separador de milhares 2 2 7 3 2 2 2 2 2" xfId="12616" xr:uid="{7A8451C4-A627-4AB9-969D-FB11440C2EF8}"/>
    <cellStyle name="Separador de milhares 2 2 7 3 2 2 2 3" xfId="9448" xr:uid="{D496DCF1-7D97-4D37-89B9-828A35F7FDFC}"/>
    <cellStyle name="Separador de milhares 2 2 7 3 2 2 3" xfId="4708" xr:uid="{BCC8ED76-B693-46A9-B6CB-92B4304C420B}"/>
    <cellStyle name="Separador de milhares 2 2 7 3 2 2 3 2" xfId="11047" xr:uid="{A750F44E-053D-426A-9070-58F2BE4CD831}"/>
    <cellStyle name="Separador de milhares 2 2 7 3 2 2 4" xfId="7879" xr:uid="{627DD70D-596A-4326-B644-5696EFD96D4A}"/>
    <cellStyle name="Separador de milhares 2 2 7 3 2 3" xfId="2310" xr:uid="{AC226D32-B82B-4D18-857C-7159E19261CA}"/>
    <cellStyle name="Separador de milhares 2 2 7 3 2 3 2" xfId="5480" xr:uid="{6BE45CFE-3071-4FA6-8DA3-01833FCE8C8D}"/>
    <cellStyle name="Separador de milhares 2 2 7 3 2 3 2 2" xfId="11819" xr:uid="{82137470-921E-41FE-A6B5-F499C8658512}"/>
    <cellStyle name="Separador de milhares 2 2 7 3 2 3 3" xfId="8651" xr:uid="{758C05AB-8EAA-4C9E-8A8C-53FF7BA28C6C}"/>
    <cellStyle name="Separador de milhares 2 2 7 3 2 4" xfId="3911" xr:uid="{85B11AC6-9CEC-4D1F-AFC9-C16009A3A477}"/>
    <cellStyle name="Separador de milhares 2 2 7 3 2 4 2" xfId="10250" xr:uid="{3B8EC910-13B2-4675-9730-6F5AC47968D3}"/>
    <cellStyle name="Separador de milhares 2 2 7 3 2 5" xfId="7082" xr:uid="{F3E73B1D-D8E1-4923-B36B-2C759625D402}"/>
    <cellStyle name="Separador de milhares 2 2 7 3 3" xfId="1155" xr:uid="{0142BD2A-211D-44CD-BE7E-AFC14EF24B68}"/>
    <cellStyle name="Separador de milhares 2 2 7 3 3 2" xfId="2726" xr:uid="{DEDBBFFA-E7DC-472F-89F5-AA98DC08AE6F}"/>
    <cellStyle name="Separador de milhares 2 2 7 3 3 2 2" xfId="5896" xr:uid="{E3D5A4B1-5BA2-4C57-B632-BC3708E04831}"/>
    <cellStyle name="Separador de milhares 2 2 7 3 3 2 2 2" xfId="12235" xr:uid="{15E58925-2411-4A20-B4F6-1116BB7D573A}"/>
    <cellStyle name="Separador de milhares 2 2 7 3 3 2 3" xfId="9067" xr:uid="{788468F3-10CF-4053-AF07-3B38C1587772}"/>
    <cellStyle name="Separador de milhares 2 2 7 3 3 3" xfId="4327" xr:uid="{479ACFCF-1EB8-4D64-9B5A-C1DC6716D9F9}"/>
    <cellStyle name="Separador de milhares 2 2 7 3 3 3 2" xfId="10666" xr:uid="{2FC2DAC1-37E2-44B6-A76A-5CAF2B6CCD27}"/>
    <cellStyle name="Separador de milhares 2 2 7 3 3 4" xfId="7498" xr:uid="{270FE695-2E1D-489A-8538-6C9204415E95}"/>
    <cellStyle name="Separador de milhares 2 2 7 3 4" xfId="1929" xr:uid="{F4015F92-2B2F-452B-A806-9EB184E7F07A}"/>
    <cellStyle name="Separador de milhares 2 2 7 3 4 2" xfId="5099" xr:uid="{1A623C30-108C-4688-B89B-20900366A2C7}"/>
    <cellStyle name="Separador de milhares 2 2 7 3 4 2 2" xfId="11438" xr:uid="{A268EE5C-810A-46E1-BE4D-346D6008F228}"/>
    <cellStyle name="Separador de milhares 2 2 7 3 4 3" xfId="8270" xr:uid="{31BE4D51-6E16-47E4-B885-0031FE1C909C}"/>
    <cellStyle name="Separador de milhares 2 2 7 3 5" xfId="3530" xr:uid="{2E178B45-A0E9-47EC-8B69-8CB3DAF7D349}"/>
    <cellStyle name="Separador de milhares 2 2 7 3 5 2" xfId="9869" xr:uid="{D23D88CD-0556-48F3-B898-EDA66B834556}"/>
    <cellStyle name="Separador de milhares 2 2 7 3 6" xfId="6701" xr:uid="{DEE91CA9-14BC-45CE-ABD8-7DA6D15D3483}"/>
    <cellStyle name="Separador de milhares 2 2 7 4" xfId="535" xr:uid="{69657486-1BD9-4718-BD1C-DB3A25C56387}"/>
    <cellStyle name="Separador de milhares 2 2 7 4 2" xfId="1334" xr:uid="{57477DC1-A25B-4552-B3E0-86E6493D6387}"/>
    <cellStyle name="Separador de milhares 2 2 7 4 2 2" xfId="2905" xr:uid="{ACA22378-197A-4846-9308-488A2C6DD1E6}"/>
    <cellStyle name="Separador de milhares 2 2 7 4 2 2 2" xfId="6075" xr:uid="{EAA141E9-3211-4FB9-9E5E-1BE9024794E8}"/>
    <cellStyle name="Separador de milhares 2 2 7 4 2 2 2 2" xfId="12414" xr:uid="{44603449-3736-430A-A93C-E60298B18794}"/>
    <cellStyle name="Separador de milhares 2 2 7 4 2 2 3" xfId="9246" xr:uid="{A58557CE-3625-40CF-BF1E-9C85EC4A010D}"/>
    <cellStyle name="Separador de milhares 2 2 7 4 2 3" xfId="4506" xr:uid="{E3D18144-5650-417E-BB78-C5A5EE1C6E36}"/>
    <cellStyle name="Separador de milhares 2 2 7 4 2 3 2" xfId="10845" xr:uid="{3B74F22C-42DA-4094-9083-ACE3B4A35177}"/>
    <cellStyle name="Separador de milhares 2 2 7 4 2 4" xfId="7677" xr:uid="{99775B63-F88C-4E25-BE8A-0BBD18DE9BFA}"/>
    <cellStyle name="Separador de milhares 2 2 7 4 3" xfId="2108" xr:uid="{9E84AE49-F665-4518-848A-EAD8D88A8CB5}"/>
    <cellStyle name="Separador de milhares 2 2 7 4 3 2" xfId="5278" xr:uid="{389D1ADA-5CED-4870-A677-31D09BB2906C}"/>
    <cellStyle name="Separador de milhares 2 2 7 4 3 2 2" xfId="11617" xr:uid="{54A8E6B8-946A-4543-BCDB-A7CE1B2002A4}"/>
    <cellStyle name="Separador de milhares 2 2 7 4 3 3" xfId="8449" xr:uid="{178FF390-E766-40A7-87D9-7D79097ED0A2}"/>
    <cellStyle name="Separador de milhares 2 2 7 4 4" xfId="3709" xr:uid="{0CB6C2B9-0F61-4050-AA28-E04FF1CA8192}"/>
    <cellStyle name="Separador de milhares 2 2 7 4 4 2" xfId="10048" xr:uid="{2325947C-7379-4C72-85B9-45BFAB8D674F}"/>
    <cellStyle name="Separador de milhares 2 2 7 4 5" xfId="6880" xr:uid="{6C39C32E-C52C-4EA6-BF42-1938A46421D6}"/>
    <cellStyle name="Separador de milhares 2 2 7 5" xfId="952" xr:uid="{927380A6-163E-408A-89DA-B5B62F041C66}"/>
    <cellStyle name="Separador de milhares 2 2 7 5 2" xfId="2523" xr:uid="{0B8ABB94-066B-43FB-8E9B-675AD3FD0976}"/>
    <cellStyle name="Separador de milhares 2 2 7 5 2 2" xfId="5693" xr:uid="{C3E7018F-B84D-4D0D-8AB2-6FE9E50DA3B5}"/>
    <cellStyle name="Separador de milhares 2 2 7 5 2 2 2" xfId="12032" xr:uid="{2C908084-3FA7-4BDD-BD4F-A00FE354B745}"/>
    <cellStyle name="Separador de milhares 2 2 7 5 2 3" xfId="8864" xr:uid="{45326051-2422-4EDB-8C62-6E96BCFF90DE}"/>
    <cellStyle name="Separador de milhares 2 2 7 5 3" xfId="4124" xr:uid="{74903779-ED0B-459D-AA48-918A6E236C75}"/>
    <cellStyle name="Separador de milhares 2 2 7 5 3 2" xfId="10463" xr:uid="{526FD60D-EA63-4A98-8B65-9E934FE3182A}"/>
    <cellStyle name="Separador de milhares 2 2 7 5 4" xfId="7295" xr:uid="{24DBBA67-C67C-4547-A170-86D5015ADE1A}"/>
    <cellStyle name="Separador de milhares 2 2 7 6" xfId="1727" xr:uid="{2DC98EE9-92D8-4C93-849C-8A0488F7CF58}"/>
    <cellStyle name="Separador de milhares 2 2 7 6 2" xfId="4897" xr:uid="{B9B9CFA7-10C1-4F1E-A67E-29FB0461EB1A}"/>
    <cellStyle name="Separador de milhares 2 2 7 6 2 2" xfId="11236" xr:uid="{33515D5B-51F5-40F2-A76C-D137F3FBE318}"/>
    <cellStyle name="Separador de milhares 2 2 7 6 3" xfId="8068" xr:uid="{BD3CABAA-333A-4C3F-889B-C139FF4BFAD2}"/>
    <cellStyle name="Separador de milhares 2 2 7 7" xfId="3327" xr:uid="{C52D235D-A08A-4507-90E7-B69CCBE5F10D}"/>
    <cellStyle name="Separador de milhares 2 2 7 7 2" xfId="9666" xr:uid="{38807299-9045-405F-8A3F-562E22697215}"/>
    <cellStyle name="Separador de milhares 2 2 7 8" xfId="6498" xr:uid="{1E4B6978-FED7-426C-9CB1-ADBCEA2CCDA1}"/>
    <cellStyle name="Separador de milhares 2 2 8" xfId="85" xr:uid="{4F971BAD-2FA3-4709-947B-80CC1DD16617}"/>
    <cellStyle name="Separador de milhares 2 2 8 2" xfId="225" xr:uid="{1A568572-100C-47AD-9D26-7955125A5629}"/>
    <cellStyle name="Separador de milhares 2 2 8 2 2" xfId="442" xr:uid="{DFC9132C-1675-4242-801A-FC857D2932A8}"/>
    <cellStyle name="Separador de milhares 2 2 8 2 2 2" xfId="823" xr:uid="{A580707D-5BCE-4C74-A724-CA001FBE2DFB}"/>
    <cellStyle name="Separador de milhares 2 2 8 2 2 2 2" xfId="1622" xr:uid="{7A82E6CA-6508-444D-A4BB-333BF8C6DE0D}"/>
    <cellStyle name="Separador de milhares 2 2 8 2 2 2 2 2" xfId="3193" xr:uid="{74F87745-F762-4049-9763-6C0AA9C8595D}"/>
    <cellStyle name="Separador de milhares 2 2 8 2 2 2 2 2 2" xfId="6363" xr:uid="{A0910460-A516-4476-A7C2-703737C2564F}"/>
    <cellStyle name="Separador de milhares 2 2 8 2 2 2 2 2 2 2" xfId="12702" xr:uid="{B09E82FD-9575-4888-BEF1-AE6F03363834}"/>
    <cellStyle name="Separador de milhares 2 2 8 2 2 2 2 2 3" xfId="9534" xr:uid="{3FB6F165-2F02-4D0C-A721-4AAF456FA526}"/>
    <cellStyle name="Separador de milhares 2 2 8 2 2 2 2 3" xfId="4794" xr:uid="{D568A1CC-23A5-4610-A37C-3DBF9A4DF9F8}"/>
    <cellStyle name="Separador de milhares 2 2 8 2 2 2 2 3 2" xfId="11133" xr:uid="{FD239154-0EB8-455E-AEF8-2340E39C64B8}"/>
    <cellStyle name="Separador de milhares 2 2 8 2 2 2 2 4" xfId="7965" xr:uid="{D85C77BB-A31F-4DAB-885D-1BC4633C617A}"/>
    <cellStyle name="Separador de milhares 2 2 8 2 2 2 3" xfId="2396" xr:uid="{C6B7F3D8-90CB-4992-B2BA-17947DF49A7E}"/>
    <cellStyle name="Separador de milhares 2 2 8 2 2 2 3 2" xfId="5566" xr:uid="{9E43FE91-3D09-4DB9-B46B-2E6DBA9C09AA}"/>
    <cellStyle name="Separador de milhares 2 2 8 2 2 2 3 2 2" xfId="11905" xr:uid="{CBD6B8FB-4C7F-4550-9DD3-5A7960C8B887}"/>
    <cellStyle name="Separador de milhares 2 2 8 2 2 2 3 3" xfId="8737" xr:uid="{F5320734-B9A9-4453-BD72-9BC2418267C5}"/>
    <cellStyle name="Separador de milhares 2 2 8 2 2 2 4" xfId="3997" xr:uid="{4354F56C-EDFC-46B0-8436-73CF97750489}"/>
    <cellStyle name="Separador de milhares 2 2 8 2 2 2 4 2" xfId="10336" xr:uid="{C776A4F0-CC27-4B40-A33B-5AD7C5989FE2}"/>
    <cellStyle name="Separador de milhares 2 2 8 2 2 2 5" xfId="7168" xr:uid="{CDCD4ADE-7120-4E03-8440-C3B07E5AEE71}"/>
    <cellStyle name="Separador de milhares 2 2 8 2 2 3" xfId="1241" xr:uid="{E3498E27-C879-4003-B421-46B1B837BF35}"/>
    <cellStyle name="Separador de milhares 2 2 8 2 2 3 2" xfId="2812" xr:uid="{06C3D18B-B0C9-4876-9DDB-26D0A8F1FF4D}"/>
    <cellStyle name="Separador de milhares 2 2 8 2 2 3 2 2" xfId="5982" xr:uid="{98FC093C-EA24-42C5-A6D7-F7ED0DD85210}"/>
    <cellStyle name="Separador de milhares 2 2 8 2 2 3 2 2 2" xfId="12321" xr:uid="{6CEC2200-F739-4D5C-87E4-BCC623A0A989}"/>
    <cellStyle name="Separador de milhares 2 2 8 2 2 3 2 3" xfId="9153" xr:uid="{621AD404-49C0-424A-ACE5-93900CA1BEBD}"/>
    <cellStyle name="Separador de milhares 2 2 8 2 2 3 3" xfId="4413" xr:uid="{583CF3B5-18F6-4842-BB10-AFD48AF1A183}"/>
    <cellStyle name="Separador de milhares 2 2 8 2 2 3 3 2" xfId="10752" xr:uid="{09960B55-4C23-4DE4-B0A6-702850726032}"/>
    <cellStyle name="Separador de milhares 2 2 8 2 2 3 4" xfId="7584" xr:uid="{79E47750-B626-4140-9198-171069E9B60E}"/>
    <cellStyle name="Separador de milhares 2 2 8 2 2 4" xfId="2015" xr:uid="{290269D0-ECF9-4A68-BFE3-A20F4EF29FDF}"/>
    <cellStyle name="Separador de milhares 2 2 8 2 2 4 2" xfId="5185" xr:uid="{38159EFB-2A91-461B-B128-3F4EA80A27DC}"/>
    <cellStyle name="Separador de milhares 2 2 8 2 2 4 2 2" xfId="11524" xr:uid="{4E2FDA96-EC8A-4C46-8093-0B59C24A26F0}"/>
    <cellStyle name="Separador de milhares 2 2 8 2 2 4 3" xfId="8356" xr:uid="{0D1C7539-9E6C-4D36-BAF3-95ACA629B213}"/>
    <cellStyle name="Separador de milhares 2 2 8 2 2 5" xfId="3616" xr:uid="{6BF296C4-2ED7-471E-A582-6EF5F3487E65}"/>
    <cellStyle name="Separador de milhares 2 2 8 2 2 5 2" xfId="9955" xr:uid="{42159D2C-DF31-42A4-9F59-345089E43114}"/>
    <cellStyle name="Separador de milhares 2 2 8 2 2 6" xfId="6787" xr:uid="{E6463AB5-E2D9-4DC4-A4DD-6B5444482101}"/>
    <cellStyle name="Separador de milhares 2 2 8 2 3" xfId="620" xr:uid="{AE2D9416-A8CE-4243-B57B-45FBAB825239}"/>
    <cellStyle name="Separador de milhares 2 2 8 2 3 2" xfId="1419" xr:uid="{2F7BE6D4-CDA6-4A05-980F-C21012E22FC0}"/>
    <cellStyle name="Separador de milhares 2 2 8 2 3 2 2" xfId="2990" xr:uid="{89E6F824-1624-47AB-8422-79619C574D7C}"/>
    <cellStyle name="Separador de milhares 2 2 8 2 3 2 2 2" xfId="6160" xr:uid="{5DE2369E-7622-46E3-A6B5-54682FCDE2F9}"/>
    <cellStyle name="Separador de milhares 2 2 8 2 3 2 2 2 2" xfId="12499" xr:uid="{F8967D68-027E-4A00-B26A-03FAB74DB4C4}"/>
    <cellStyle name="Separador de milhares 2 2 8 2 3 2 2 3" xfId="9331" xr:uid="{58CE30BE-4B4E-4AFF-93DB-B26D10A6E4A4}"/>
    <cellStyle name="Separador de milhares 2 2 8 2 3 2 3" xfId="4591" xr:uid="{C69F371F-9DD7-4377-9C4F-7C9EC4235F83}"/>
    <cellStyle name="Separador de milhares 2 2 8 2 3 2 3 2" xfId="10930" xr:uid="{01ECA073-FF34-438E-A067-CD7676619398}"/>
    <cellStyle name="Separador de milhares 2 2 8 2 3 2 4" xfId="7762" xr:uid="{F63436DB-A219-4FD5-87E1-E957DAAB8250}"/>
    <cellStyle name="Separador de milhares 2 2 8 2 3 3" xfId="2193" xr:uid="{4BF20715-503A-41E4-8175-A21DA6A0BA18}"/>
    <cellStyle name="Separador de milhares 2 2 8 2 3 3 2" xfId="5363" xr:uid="{A8FD04D7-1F08-457F-A13E-285AB054E79B}"/>
    <cellStyle name="Separador de milhares 2 2 8 2 3 3 2 2" xfId="11702" xr:uid="{96B43744-A65B-474B-89A7-A03B5870902C}"/>
    <cellStyle name="Separador de milhares 2 2 8 2 3 3 3" xfId="8534" xr:uid="{13EED0D9-45BC-430F-BA4B-AB8F91EF6125}"/>
    <cellStyle name="Separador de milhares 2 2 8 2 3 4" xfId="3794" xr:uid="{424E8399-8487-482A-B536-F84D7444A3AB}"/>
    <cellStyle name="Separador de milhares 2 2 8 2 3 4 2" xfId="10133" xr:uid="{FD53A6A1-82FD-42D8-85EF-159162E9E40D}"/>
    <cellStyle name="Separador de milhares 2 2 8 2 3 5" xfId="6965" xr:uid="{610E7DF8-D06F-4344-B89C-AF2079D56C11}"/>
    <cellStyle name="Separador de milhares 2 2 8 2 4" xfId="1038" xr:uid="{673B799D-9969-4503-85C5-8ECB360CA4DD}"/>
    <cellStyle name="Separador de milhares 2 2 8 2 4 2" xfId="2609" xr:uid="{2BE09426-B7EA-4884-9295-E1DF06DA6464}"/>
    <cellStyle name="Separador de milhares 2 2 8 2 4 2 2" xfId="5779" xr:uid="{3F6A0288-28A6-4167-89B2-781D6C85D497}"/>
    <cellStyle name="Separador de milhares 2 2 8 2 4 2 2 2" xfId="12118" xr:uid="{CF92C70F-30E9-4508-A384-82C5EF60C098}"/>
    <cellStyle name="Separador de milhares 2 2 8 2 4 2 3" xfId="8950" xr:uid="{E75B4939-B9D6-4711-9958-0C64537E0279}"/>
    <cellStyle name="Separador de milhares 2 2 8 2 4 3" xfId="4210" xr:uid="{3EF4722B-9F47-4AE0-A2AC-02CAFD562FE7}"/>
    <cellStyle name="Separador de milhares 2 2 8 2 4 3 2" xfId="10549" xr:uid="{85D14959-3DC1-4B2F-A87E-136F4E9A884A}"/>
    <cellStyle name="Separador de milhares 2 2 8 2 4 4" xfId="7381" xr:uid="{CB580599-6BEE-4E60-B971-A5EB25EEBB76}"/>
    <cellStyle name="Separador de milhares 2 2 8 2 5" xfId="1812" xr:uid="{580B5481-95E1-4772-98A1-171D1A1976C9}"/>
    <cellStyle name="Separador de milhares 2 2 8 2 5 2" xfId="4982" xr:uid="{BF6618DC-C03A-46E7-8002-5B188EED620F}"/>
    <cellStyle name="Separador de milhares 2 2 8 2 5 2 2" xfId="11321" xr:uid="{282CFD63-88C6-42A3-BE5E-6449BB667720}"/>
    <cellStyle name="Separador de milhares 2 2 8 2 5 3" xfId="8153" xr:uid="{1C381368-B370-40CC-B9A3-3AD9A03CDAD2}"/>
    <cellStyle name="Separador de milhares 2 2 8 2 6" xfId="3413" xr:uid="{2608086A-A992-48F0-9B63-36A0BD8BCCAE}"/>
    <cellStyle name="Separador de milhares 2 2 8 2 6 2" xfId="9752" xr:uid="{39533546-B36D-43E9-A252-7BD6C8BE3F9F}"/>
    <cellStyle name="Separador de milhares 2 2 8 2 7" xfId="6584" xr:uid="{9685D5E0-E6E9-46D6-9908-FE1FD6FB2F9B}"/>
    <cellStyle name="Separador de milhares 2 2 8 3" xfId="306" xr:uid="{F8921E10-1A7E-4F5C-9399-886E5C1219DA}"/>
    <cellStyle name="Separador de milhares 2 2 8 3 2" xfId="694" xr:uid="{B18B4E33-1357-4586-AC03-CA8672ABFC1C}"/>
    <cellStyle name="Separador de milhares 2 2 8 3 2 2" xfId="1493" xr:uid="{9EE4A66A-8A02-4A59-98AE-416E9A629B5F}"/>
    <cellStyle name="Separador de milhares 2 2 8 3 2 2 2" xfId="3064" xr:uid="{7675BAAD-0F2C-4B5F-9A3D-31806F7022B5}"/>
    <cellStyle name="Separador de milhares 2 2 8 3 2 2 2 2" xfId="6234" xr:uid="{459A9E88-BCC8-411D-8B0A-72DF19B4497D}"/>
    <cellStyle name="Separador de milhares 2 2 8 3 2 2 2 2 2" xfId="12573" xr:uid="{1CBEB80C-900D-4CCE-BC2E-2F9889FF39DF}"/>
    <cellStyle name="Separador de milhares 2 2 8 3 2 2 2 3" xfId="9405" xr:uid="{212B286C-AAFB-4FFB-9767-BCFCF263B5AA}"/>
    <cellStyle name="Separador de milhares 2 2 8 3 2 2 3" xfId="4665" xr:uid="{264B6B9C-1203-4878-B968-C204CD97C34C}"/>
    <cellStyle name="Separador de milhares 2 2 8 3 2 2 3 2" xfId="11004" xr:uid="{500014CC-9A18-4F25-A490-A5E7F96CD5C3}"/>
    <cellStyle name="Separador de milhares 2 2 8 3 2 2 4" xfId="7836" xr:uid="{5739973F-A160-45C8-A5EF-063CE882D588}"/>
    <cellStyle name="Separador de milhares 2 2 8 3 2 3" xfId="2267" xr:uid="{37115E28-73C3-46DB-B9AA-DE8860832EC0}"/>
    <cellStyle name="Separador de milhares 2 2 8 3 2 3 2" xfId="5437" xr:uid="{242EB939-D028-46D1-B656-E637C37AA593}"/>
    <cellStyle name="Separador de milhares 2 2 8 3 2 3 2 2" xfId="11776" xr:uid="{2D025ADF-7C9F-4098-B6C7-98487F07EDD1}"/>
    <cellStyle name="Separador de milhares 2 2 8 3 2 3 3" xfId="8608" xr:uid="{F275FF0A-C361-430E-8405-08C758B532F8}"/>
    <cellStyle name="Separador de milhares 2 2 8 3 2 4" xfId="3868" xr:uid="{374AFA93-6F3B-4E33-912E-9280825D8FF9}"/>
    <cellStyle name="Separador de milhares 2 2 8 3 2 4 2" xfId="10207" xr:uid="{8E602A29-8D1A-40BB-9EB6-E21F7D4FE7FE}"/>
    <cellStyle name="Separador de milhares 2 2 8 3 2 5" xfId="7039" xr:uid="{7F3D95BA-467A-4418-AB25-952F5F1EA1D1}"/>
    <cellStyle name="Separador de milhares 2 2 8 3 3" xfId="1112" xr:uid="{740584E6-18C3-4F88-B129-FE0BE8A2FAF3}"/>
    <cellStyle name="Separador de milhares 2 2 8 3 3 2" xfId="2683" xr:uid="{622AC7EA-A442-4AC6-A1AF-7F182E9B0489}"/>
    <cellStyle name="Separador de milhares 2 2 8 3 3 2 2" xfId="5853" xr:uid="{61F66FEB-C73B-489D-9143-EA2384B52AA9}"/>
    <cellStyle name="Separador de milhares 2 2 8 3 3 2 2 2" xfId="12192" xr:uid="{626D082C-7397-41EE-B314-B534A57B3F4C}"/>
    <cellStyle name="Separador de milhares 2 2 8 3 3 2 3" xfId="9024" xr:uid="{334505CC-990E-4E3F-BEE7-0E01AD301C12}"/>
    <cellStyle name="Separador de milhares 2 2 8 3 3 3" xfId="4284" xr:uid="{BE3341E5-ED46-4831-86C6-73BE93C8BD5F}"/>
    <cellStyle name="Separador de milhares 2 2 8 3 3 3 2" xfId="10623" xr:uid="{942DFA82-D8FB-47B8-B055-79E4D66E6C49}"/>
    <cellStyle name="Separador de milhares 2 2 8 3 3 4" xfId="7455" xr:uid="{BFFA9F9A-2D49-4DB9-9BCF-640A62F819AF}"/>
    <cellStyle name="Separador de milhares 2 2 8 3 4" xfId="1886" xr:uid="{A2514894-E51E-426F-89B6-B63731FA0BD1}"/>
    <cellStyle name="Separador de milhares 2 2 8 3 4 2" xfId="5056" xr:uid="{06B427EC-C456-4ED7-82F8-9A0367CFEE8D}"/>
    <cellStyle name="Separador de milhares 2 2 8 3 4 2 2" xfId="11395" xr:uid="{5BFC673D-C369-4DB1-A96F-0381EECAF6F9}"/>
    <cellStyle name="Separador de milhares 2 2 8 3 4 3" xfId="8227" xr:uid="{F074CDDD-5D01-46D7-AA48-FFCF6B50C0DE}"/>
    <cellStyle name="Separador de milhares 2 2 8 3 5" xfId="3487" xr:uid="{93326EE4-EE79-4552-A7BA-7C235C1B2FC9}"/>
    <cellStyle name="Separador de milhares 2 2 8 3 5 2" xfId="9826" xr:uid="{BC69D24F-113D-4FA7-A832-124568BF9F9C}"/>
    <cellStyle name="Separador de milhares 2 2 8 3 6" xfId="6658" xr:uid="{7D48836B-8B62-4C1E-8D1D-6C4557E24250}"/>
    <cellStyle name="Separador de milhares 2 2 8 4" xfId="511" xr:uid="{240A1504-3FE0-4637-BDBB-81247DBD324F}"/>
    <cellStyle name="Separador de milhares 2 2 8 4 2" xfId="1310" xr:uid="{B8DAFEC6-C306-4987-9F6E-32E381B6AC35}"/>
    <cellStyle name="Separador de milhares 2 2 8 4 2 2" xfId="2881" xr:uid="{C3008845-EDDB-422D-BDBA-87C1541DD543}"/>
    <cellStyle name="Separador de milhares 2 2 8 4 2 2 2" xfId="6051" xr:uid="{532AAB92-0EC6-487C-A1F4-4004691DDCA7}"/>
    <cellStyle name="Separador de milhares 2 2 8 4 2 2 2 2" xfId="12390" xr:uid="{EDA89D45-65D1-44A0-8A0C-FD6260E02565}"/>
    <cellStyle name="Separador de milhares 2 2 8 4 2 2 3" xfId="9222" xr:uid="{2C0837FA-60A0-4A28-82C5-DD87FAC1526B}"/>
    <cellStyle name="Separador de milhares 2 2 8 4 2 3" xfId="4482" xr:uid="{8A6B7F2F-FF61-4154-9D78-70D8706C3B3F}"/>
    <cellStyle name="Separador de milhares 2 2 8 4 2 3 2" xfId="10821" xr:uid="{14B25C66-2086-437F-97A0-F1A2C20E7270}"/>
    <cellStyle name="Separador de milhares 2 2 8 4 2 4" xfId="7653" xr:uid="{5AB4C57F-9519-4C5B-A9B3-3D65C5B83A06}"/>
    <cellStyle name="Separador de milhares 2 2 8 4 3" xfId="2084" xr:uid="{E0101A9F-20E4-41D9-845B-D70FB18A85ED}"/>
    <cellStyle name="Separador de milhares 2 2 8 4 3 2" xfId="5254" xr:uid="{90FCBEE8-0B27-4404-9484-F6ABAB2CC641}"/>
    <cellStyle name="Separador de milhares 2 2 8 4 3 2 2" xfId="11593" xr:uid="{E63B14F3-AC51-4871-BB22-211E38FB686C}"/>
    <cellStyle name="Separador de milhares 2 2 8 4 3 3" xfId="8425" xr:uid="{83ADD7E4-34CD-4683-9E32-E9D746CD0142}"/>
    <cellStyle name="Separador de milhares 2 2 8 4 4" xfId="3685" xr:uid="{B8B84531-86A6-446A-A65F-079C79E61019}"/>
    <cellStyle name="Separador de milhares 2 2 8 4 4 2" xfId="10024" xr:uid="{8277A88A-9904-406A-9AAB-B06CA187B049}"/>
    <cellStyle name="Separador de milhares 2 2 8 4 5" xfId="6856" xr:uid="{CE6B55CE-5B3B-483E-A720-BF08A6CDD159}"/>
    <cellStyle name="Separador de milhares 2 2 8 5" xfId="909" xr:uid="{6D452618-BEF2-450D-9EEA-E132B8460F26}"/>
    <cellStyle name="Separador de milhares 2 2 8 5 2" xfId="2480" xr:uid="{DCB3B1D0-8FBF-4C51-AD64-CFDD621E62A8}"/>
    <cellStyle name="Separador de milhares 2 2 8 5 2 2" xfId="5650" xr:uid="{47A60435-306F-49AD-9C7B-2A0FC5554D42}"/>
    <cellStyle name="Separador de milhares 2 2 8 5 2 2 2" xfId="11989" xr:uid="{0C909EA3-BA9E-4C98-8715-CC7A892F4234}"/>
    <cellStyle name="Separador de milhares 2 2 8 5 2 3" xfId="8821" xr:uid="{F11C6BA1-2B9C-4434-9869-A39A1A3A85E9}"/>
    <cellStyle name="Separador de milhares 2 2 8 5 3" xfId="4081" xr:uid="{D752C203-3A2B-41C0-9B75-453C5731923F}"/>
    <cellStyle name="Separador de milhares 2 2 8 5 3 2" xfId="10420" xr:uid="{FD1D0082-B9E6-4776-BC84-862C8D096421}"/>
    <cellStyle name="Separador de milhares 2 2 8 5 4" xfId="7252" xr:uid="{2D459BD8-B8D2-4A95-BB4D-5EDC86A5852F}"/>
    <cellStyle name="Separador de milhares 2 2 8 6" xfId="1704" xr:uid="{92442D97-0FC2-4C10-AB46-77FC869861E7}"/>
    <cellStyle name="Separador de milhares 2 2 8 6 2" xfId="4874" xr:uid="{4DD58FD2-B025-4E6C-871D-1162A880BC5A}"/>
    <cellStyle name="Separador de milhares 2 2 8 6 2 2" xfId="11213" xr:uid="{A1744709-C20F-4DAC-8866-F3EE1D8B4D61}"/>
    <cellStyle name="Separador de milhares 2 2 8 6 3" xfId="8045" xr:uid="{62BC4400-24C8-4F2C-A0F3-7426F847673A}"/>
    <cellStyle name="Separador de milhares 2 2 8 7" xfId="3284" xr:uid="{0AD3B89F-7584-464C-8CF7-C9F34F6EB613}"/>
    <cellStyle name="Separador de milhares 2 2 8 7 2" xfId="9623" xr:uid="{11886CA0-7650-4E37-9CE1-D2DC32351459}"/>
    <cellStyle name="Separador de milhares 2 2 8 8" xfId="6455" xr:uid="{C65F08CC-6479-4E03-8B7D-CC65969139DE}"/>
    <cellStyle name="Separador de milhares 2 2 9" xfId="171" xr:uid="{7AFF9BDD-3BFC-4322-A3DF-78E1B943F993}"/>
    <cellStyle name="Separador de milhares 2 2 9 2" xfId="388" xr:uid="{515DA1E3-E295-47D4-BD43-355183788C69}"/>
    <cellStyle name="Separador de milhares 2 2 9 2 2" xfId="769" xr:uid="{868D4EE6-7077-47DF-8BB4-9E536FC77CA9}"/>
    <cellStyle name="Separador de milhares 2 2 9 2 2 2" xfId="1568" xr:uid="{64AB25BA-979F-4071-A776-E4A58AEE9B33}"/>
    <cellStyle name="Separador de milhares 2 2 9 2 2 2 2" xfId="3139" xr:uid="{ECC95B38-6DFC-40CF-A85F-F4FB4750F344}"/>
    <cellStyle name="Separador de milhares 2 2 9 2 2 2 2 2" xfId="6309" xr:uid="{F3AEF615-4AF8-43A0-8ED7-0EF70552940D}"/>
    <cellStyle name="Separador de milhares 2 2 9 2 2 2 2 2 2" xfId="12648" xr:uid="{74E2DA04-70E2-43D9-B774-046E52DC46C2}"/>
    <cellStyle name="Separador de milhares 2 2 9 2 2 2 2 3" xfId="9480" xr:uid="{6B477BAF-104F-4DE5-A76B-786B1C47359B}"/>
    <cellStyle name="Separador de milhares 2 2 9 2 2 2 3" xfId="4740" xr:uid="{E6148A19-24B3-4D1E-8219-822D6842F663}"/>
    <cellStyle name="Separador de milhares 2 2 9 2 2 2 3 2" xfId="11079" xr:uid="{58398F7D-8BC1-4B9A-8CE9-8994E54A57A6}"/>
    <cellStyle name="Separador de milhares 2 2 9 2 2 2 4" xfId="7911" xr:uid="{ADDCB76A-D8F0-41B7-9EED-841D47BFDB93}"/>
    <cellStyle name="Separador de milhares 2 2 9 2 2 3" xfId="2342" xr:uid="{E01933E6-8CBB-414F-BBC1-17D65BD55079}"/>
    <cellStyle name="Separador de milhares 2 2 9 2 2 3 2" xfId="5512" xr:uid="{29901A51-85B5-4835-9F50-90D0B5D577B3}"/>
    <cellStyle name="Separador de milhares 2 2 9 2 2 3 2 2" xfId="11851" xr:uid="{0508F901-D4C1-4BBE-8C82-437D02062F3B}"/>
    <cellStyle name="Separador de milhares 2 2 9 2 2 3 3" xfId="8683" xr:uid="{A07A9E4E-15FC-4624-9D56-C247B20B567B}"/>
    <cellStyle name="Separador de milhares 2 2 9 2 2 4" xfId="3943" xr:uid="{27E3B694-F713-4472-A593-A5C03614C659}"/>
    <cellStyle name="Separador de milhares 2 2 9 2 2 4 2" xfId="10282" xr:uid="{D77D4E34-35F6-45D1-A7BE-44C2F84D266D}"/>
    <cellStyle name="Separador de milhares 2 2 9 2 2 5" xfId="7114" xr:uid="{B6394340-57F8-4256-9C65-D30FD79D7BF1}"/>
    <cellStyle name="Separador de milhares 2 2 9 2 3" xfId="1187" xr:uid="{1DAFCCE3-DB74-4D4C-8D6E-EF9DE8B1895D}"/>
    <cellStyle name="Separador de milhares 2 2 9 2 3 2" xfId="2758" xr:uid="{23E3241A-FCA7-412D-B5C0-5CD805445D36}"/>
    <cellStyle name="Separador de milhares 2 2 9 2 3 2 2" xfId="5928" xr:uid="{EC945D3C-C29A-4D2B-BD6E-8D7AEF855A2A}"/>
    <cellStyle name="Separador de milhares 2 2 9 2 3 2 2 2" xfId="12267" xr:uid="{00A94218-4CDD-4EF3-B2F9-CCAACEAA6A14}"/>
    <cellStyle name="Separador de milhares 2 2 9 2 3 2 3" xfId="9099" xr:uid="{0741A152-F518-4AA1-B145-976EA2894F9D}"/>
    <cellStyle name="Separador de milhares 2 2 9 2 3 3" xfId="4359" xr:uid="{DEB68008-3892-49C4-B118-7DFFADE13ADE}"/>
    <cellStyle name="Separador de milhares 2 2 9 2 3 3 2" xfId="10698" xr:uid="{3A152E9E-597B-4B2E-B1A0-A79526EBCB0A}"/>
    <cellStyle name="Separador de milhares 2 2 9 2 3 4" xfId="7530" xr:uid="{BCEA2871-DEC7-4B55-9D8C-B15B7A886B7E}"/>
    <cellStyle name="Separador de milhares 2 2 9 2 4" xfId="1961" xr:uid="{6857F5E1-EC02-4435-94EF-9C0058113C28}"/>
    <cellStyle name="Separador de milhares 2 2 9 2 4 2" xfId="5131" xr:uid="{51AC2312-711E-4444-9059-CF18FD9D898A}"/>
    <cellStyle name="Separador de milhares 2 2 9 2 4 2 2" xfId="11470" xr:uid="{9ADBF121-31DA-4709-8779-87C4E33ACC89}"/>
    <cellStyle name="Separador de milhares 2 2 9 2 4 3" xfId="8302" xr:uid="{52F4D04E-5A37-4DDD-BF06-EF9643E076CB}"/>
    <cellStyle name="Separador de milhares 2 2 9 2 5" xfId="3562" xr:uid="{AC947712-F0AD-4EDE-AFCA-D3787D1E836A}"/>
    <cellStyle name="Separador de milhares 2 2 9 2 5 2" xfId="9901" xr:uid="{8ABEBCC3-592C-4DCD-9B83-E6065D7504FE}"/>
    <cellStyle name="Separador de milhares 2 2 9 2 6" xfId="6733" xr:uid="{EE05132C-D538-4E83-96C7-208B9A604966}"/>
    <cellStyle name="Separador de milhares 2 2 9 3" xfId="566" xr:uid="{B82955E5-97FF-42A4-8F8D-B576E80B93F6}"/>
    <cellStyle name="Separador de milhares 2 2 9 3 2" xfId="1365" xr:uid="{01D10F8B-F598-4F79-860C-8C776F3EA82B}"/>
    <cellStyle name="Separador de milhares 2 2 9 3 2 2" xfId="2936" xr:uid="{6F6B09E6-8D09-452C-86B8-50525A6473B0}"/>
    <cellStyle name="Separador de milhares 2 2 9 3 2 2 2" xfId="6106" xr:uid="{FAEAE7C7-0CC8-4DBD-BECB-2F096A48AE6B}"/>
    <cellStyle name="Separador de milhares 2 2 9 3 2 2 2 2" xfId="12445" xr:uid="{A251ABFA-0039-4C9A-A195-D4F455F9327A}"/>
    <cellStyle name="Separador de milhares 2 2 9 3 2 2 3" xfId="9277" xr:uid="{C3AF897B-C42D-4969-A537-FC6CF6BDD8EE}"/>
    <cellStyle name="Separador de milhares 2 2 9 3 2 3" xfId="4537" xr:uid="{F351BED6-06A0-4786-B70A-D70F71434801}"/>
    <cellStyle name="Separador de milhares 2 2 9 3 2 3 2" xfId="10876" xr:uid="{F0953A6D-9E2D-4EBA-8EC5-3670E4BB57A6}"/>
    <cellStyle name="Separador de milhares 2 2 9 3 2 4" xfId="7708" xr:uid="{D4D680A9-A2F2-4C97-B0BD-B2AEE3F998C5}"/>
    <cellStyle name="Separador de milhares 2 2 9 3 3" xfId="2139" xr:uid="{EB3B73B6-DF95-41A5-9281-536BC496B0A2}"/>
    <cellStyle name="Separador de milhares 2 2 9 3 3 2" xfId="5309" xr:uid="{E69594E8-05FA-450A-96BC-D070B7065B1E}"/>
    <cellStyle name="Separador de milhares 2 2 9 3 3 2 2" xfId="11648" xr:uid="{16D556C9-02F7-4BE7-9631-A9A04C05FF53}"/>
    <cellStyle name="Separador de milhares 2 2 9 3 3 3" xfId="8480" xr:uid="{71A5B479-0273-4A67-A799-D6EBA8D7F7C7}"/>
    <cellStyle name="Separador de milhares 2 2 9 3 4" xfId="3740" xr:uid="{66DC9BE1-9620-446A-A5DE-33083CE9A84A}"/>
    <cellStyle name="Separador de milhares 2 2 9 3 4 2" xfId="10079" xr:uid="{BE553068-913E-454D-825D-D9BE2E55EC0E}"/>
    <cellStyle name="Separador de milhares 2 2 9 3 5" xfId="6911" xr:uid="{644652DB-8771-4170-8460-284A76EE264E}"/>
    <cellStyle name="Separador de milhares 2 2 9 4" xfId="984" xr:uid="{E1899362-36FF-45EA-AF0B-21855393227B}"/>
    <cellStyle name="Separador de milhares 2 2 9 4 2" xfId="2555" xr:uid="{7570A78E-94AE-4FAD-B6E4-026F6E1C302B}"/>
    <cellStyle name="Separador de milhares 2 2 9 4 2 2" xfId="5725" xr:uid="{5AA051FD-101E-4B3C-BB67-5ADC8019AA77}"/>
    <cellStyle name="Separador de milhares 2 2 9 4 2 2 2" xfId="12064" xr:uid="{08DEADA6-1F08-469C-A06A-0808394ABB5F}"/>
    <cellStyle name="Separador de milhares 2 2 9 4 2 3" xfId="8896" xr:uid="{721E5A24-2609-437C-8C7D-660E24B71EE8}"/>
    <cellStyle name="Separador de milhares 2 2 9 4 3" xfId="4156" xr:uid="{414B6685-A7C1-4595-AA06-124519EBF6DA}"/>
    <cellStyle name="Separador de milhares 2 2 9 4 3 2" xfId="10495" xr:uid="{64151392-F3B6-4462-883C-306638589F1E}"/>
    <cellStyle name="Separador de milhares 2 2 9 4 4" xfId="7327" xr:uid="{53E98063-9F47-47F4-B863-28047C899E8F}"/>
    <cellStyle name="Separador de milhares 2 2 9 5" xfId="1758" xr:uid="{F223E643-B6EA-4E82-B68B-9F219D079A22}"/>
    <cellStyle name="Separador de milhares 2 2 9 5 2" xfId="4928" xr:uid="{983BE7EC-625D-48AF-B652-B0412FEDBD10}"/>
    <cellStyle name="Separador de milhares 2 2 9 5 2 2" xfId="11267" xr:uid="{474C5C05-394D-4DE2-983E-93505AA61B3D}"/>
    <cellStyle name="Separador de milhares 2 2 9 5 3" xfId="8099" xr:uid="{0F6C6DDF-9CF0-42E0-AEBD-6179A96B6022}"/>
    <cellStyle name="Separador de milhares 2 2 9 6" xfId="3359" xr:uid="{9155607C-9D04-4D2E-B3B6-E5F6C62CB599}"/>
    <cellStyle name="Separador de milhares 2 2 9 6 2" xfId="9698" xr:uid="{595BB42E-F043-441E-B1AC-B5AE1CBB99E6}"/>
    <cellStyle name="Separador de milhares 2 2 9 7" xfId="6530" xr:uid="{E0C88C7E-C28A-4A3A-91C0-878D47D7B9ED}"/>
    <cellStyle name="Separador de milhares 2 3" xfId="34" xr:uid="{08EB17A4-ED3B-4616-AE5F-16FDE6732F4E}"/>
    <cellStyle name="Separador de milhares 2 3 2" xfId="91" xr:uid="{B6084B22-1383-4084-B688-D5A57283607F}"/>
    <cellStyle name="Separador de milhares 2 3 2 2" xfId="312" xr:uid="{961CD5F4-8594-4DB3-8F62-33927E2FAA0E}"/>
    <cellStyle name="Separador de milhares 2 3 2 2 2" xfId="699" xr:uid="{73D95C71-2BFF-460E-9385-1224ED9957C8}"/>
    <cellStyle name="Separador de milhares 2 3 2 2 2 2" xfId="1498" xr:uid="{37B5BFC2-5EB1-4857-B804-4A92CD6EE322}"/>
    <cellStyle name="Separador de milhares 2 3 2 2 2 2 2" xfId="3069" xr:uid="{E886D6F1-DF22-4714-AD48-1BE68D5FE660}"/>
    <cellStyle name="Separador de milhares 2 3 2 2 2 2 2 2" xfId="6239" xr:uid="{410F25C7-7B4D-4D32-B62E-F35C01EEC900}"/>
    <cellStyle name="Separador de milhares 2 3 2 2 2 2 2 2 2" xfId="12578" xr:uid="{58373082-A524-41BF-B651-FBF2114B0457}"/>
    <cellStyle name="Separador de milhares 2 3 2 2 2 2 2 3" xfId="9410" xr:uid="{676969B2-EACB-4FFC-96F8-1B4EA73D2F37}"/>
    <cellStyle name="Separador de milhares 2 3 2 2 2 2 3" xfId="4670" xr:uid="{1B8B3FB5-3C7C-4E91-BAB5-78856C374AB4}"/>
    <cellStyle name="Separador de milhares 2 3 2 2 2 2 3 2" xfId="11009" xr:uid="{CF63A826-1BA5-4F4F-9E34-9BFBAF4987C2}"/>
    <cellStyle name="Separador de milhares 2 3 2 2 2 2 4" xfId="7841" xr:uid="{9501D64E-2587-4825-9E61-38A70AB03D62}"/>
    <cellStyle name="Separador de milhares 2 3 2 2 2 3" xfId="2272" xr:uid="{FB8069DD-DBF6-4485-BCA3-4CB23E77B28D}"/>
    <cellStyle name="Separador de milhares 2 3 2 2 2 3 2" xfId="5442" xr:uid="{7467D7EF-F720-4656-A263-A19371C6031A}"/>
    <cellStyle name="Separador de milhares 2 3 2 2 2 3 2 2" xfId="11781" xr:uid="{DD166DFD-3B35-41AD-9215-41A3DBE1424F}"/>
    <cellStyle name="Separador de milhares 2 3 2 2 2 3 3" xfId="8613" xr:uid="{6BA3EE88-4AFC-4774-BE4E-C33D7648DA5B}"/>
    <cellStyle name="Separador de milhares 2 3 2 2 2 4" xfId="3873" xr:uid="{CE3512EC-A8B4-480E-84D9-F20D8E542A26}"/>
    <cellStyle name="Separador de milhares 2 3 2 2 2 4 2" xfId="10212" xr:uid="{A6DA18D5-4076-42A4-A4B1-0C7A376D03E0}"/>
    <cellStyle name="Separador de milhares 2 3 2 2 2 5" xfId="7044" xr:uid="{E719AAF2-6FB6-45DE-870B-DF599845B28A}"/>
    <cellStyle name="Separador de milhares 2 3 2 2 3" xfId="1117" xr:uid="{CE7CD98C-0C5E-44BA-92BF-98CA110C947D}"/>
    <cellStyle name="Separador de milhares 2 3 2 2 3 2" xfId="2688" xr:uid="{E5AA3687-7431-4AEA-86B0-7E81A6CB1A3D}"/>
    <cellStyle name="Separador de milhares 2 3 2 2 3 2 2" xfId="5858" xr:uid="{005C1E5E-FD7F-4651-91B1-7FFA2F0E667D}"/>
    <cellStyle name="Separador de milhares 2 3 2 2 3 2 2 2" xfId="12197" xr:uid="{5AF794B6-A011-4AD0-8F90-52D6BEA4E28D}"/>
    <cellStyle name="Separador de milhares 2 3 2 2 3 2 3" xfId="9029" xr:uid="{9064379E-33B9-448F-BA33-4AD2BF86F4A1}"/>
    <cellStyle name="Separador de milhares 2 3 2 2 3 3" xfId="4289" xr:uid="{2C119BB8-86E7-4435-A02B-FECFBDAF6D5D}"/>
    <cellStyle name="Separador de milhares 2 3 2 2 3 3 2" xfId="10628" xr:uid="{3069A76F-ADE7-4D63-A0E9-1617F963ECFF}"/>
    <cellStyle name="Separador de milhares 2 3 2 2 3 4" xfId="7460" xr:uid="{448CCF6B-362A-447F-86AE-648F92A80495}"/>
    <cellStyle name="Separador de milhares 2 3 2 2 4" xfId="1891" xr:uid="{59FA83DA-F522-4BDF-8C5B-BCAF7C536E26}"/>
    <cellStyle name="Separador de milhares 2 3 2 2 4 2" xfId="5061" xr:uid="{B1A7ACA1-7297-4974-9892-4F4453CE54F5}"/>
    <cellStyle name="Separador de milhares 2 3 2 2 4 2 2" xfId="11400" xr:uid="{6EABDCDE-497B-4DF2-9E8E-0D0B833A39AD}"/>
    <cellStyle name="Separador de milhares 2 3 2 2 4 3" xfId="8232" xr:uid="{9DDC7CD6-2C12-4427-9B9A-DF179D073AA1}"/>
    <cellStyle name="Separador de milhares 2 3 2 2 5" xfId="3492" xr:uid="{51585CAA-72A5-4AD2-8071-6D69DCDD33AE}"/>
    <cellStyle name="Separador de milhares 2 3 2 2 5 2" xfId="9831" xr:uid="{D1CB7D43-D188-48FD-85F5-B2FF44CB0FB1}"/>
    <cellStyle name="Separador de milhares 2 3 2 2 6" xfId="6663" xr:uid="{6E82DDA1-3D21-4D40-B3A2-CAE1E992CCE3}"/>
    <cellStyle name="Separador de milhares 2 3 2 3" xfId="515" xr:uid="{51700C51-834C-4613-8936-3261BF038506}"/>
    <cellStyle name="Separador de milhares 2 3 2 3 2" xfId="1314" xr:uid="{EDBEB9A6-ACD7-47E3-B109-6DC20DA44FDE}"/>
    <cellStyle name="Separador de milhares 2 3 2 3 2 2" xfId="2885" xr:uid="{4410BE59-E101-4783-9357-F7284A6CCD86}"/>
    <cellStyle name="Separador de milhares 2 3 2 3 2 2 2" xfId="6055" xr:uid="{441C2738-7365-4CBF-9350-BA893F8B10F8}"/>
    <cellStyle name="Separador de milhares 2 3 2 3 2 2 2 2" xfId="12394" xr:uid="{6004817B-5445-41AB-B396-08D2B0C88F58}"/>
    <cellStyle name="Separador de milhares 2 3 2 3 2 2 3" xfId="9226" xr:uid="{0412669C-217E-4C59-886A-AA4A0624203C}"/>
    <cellStyle name="Separador de milhares 2 3 2 3 2 3" xfId="4486" xr:uid="{57D335DA-B7CD-4743-BF19-7953D7579DA0}"/>
    <cellStyle name="Separador de milhares 2 3 2 3 2 3 2" xfId="10825" xr:uid="{41937EC3-7472-4BE7-88C8-A96FC2BEC645}"/>
    <cellStyle name="Separador de milhares 2 3 2 3 2 4" xfId="7657" xr:uid="{79C35AE0-8EE4-46A7-AF18-D24A2E0FDCE8}"/>
    <cellStyle name="Separador de milhares 2 3 2 3 3" xfId="2088" xr:uid="{2A8597EC-9C8B-41E0-9088-25CE0444723B}"/>
    <cellStyle name="Separador de milhares 2 3 2 3 3 2" xfId="5258" xr:uid="{5FE8C393-5B14-4E8B-8D6D-28A8168B0DCB}"/>
    <cellStyle name="Separador de milhares 2 3 2 3 3 2 2" xfId="11597" xr:uid="{76262C03-7C59-42A1-864D-32042F3F69A5}"/>
    <cellStyle name="Separador de milhares 2 3 2 3 3 3" xfId="8429" xr:uid="{5B150662-3F07-4DD4-9F79-A266C261074F}"/>
    <cellStyle name="Separador de milhares 2 3 2 3 4" xfId="3689" xr:uid="{CB858482-F1EA-49B3-B640-FF8F04E6363F}"/>
    <cellStyle name="Separador de milhares 2 3 2 3 4 2" xfId="10028" xr:uid="{A7BA6535-76FE-4DD8-BF07-8C76E5792601}"/>
    <cellStyle name="Separador de milhares 2 3 2 3 5" xfId="6860" xr:uid="{D847C0B9-9F13-4CAF-94CF-2AAF96F2FB82}"/>
    <cellStyle name="Separador de milhares 2 3 2 4" xfId="914" xr:uid="{5E48F276-513D-4DE8-806C-0E52E8B0A2B5}"/>
    <cellStyle name="Separador de milhares 2 3 2 4 2" xfId="2485" xr:uid="{D62FD671-5E11-4AD9-B92E-EF30100D25DE}"/>
    <cellStyle name="Separador de milhares 2 3 2 4 2 2" xfId="5655" xr:uid="{CBEB0B3D-582C-444B-B167-1172E8C42960}"/>
    <cellStyle name="Separador de milhares 2 3 2 4 2 2 2" xfId="11994" xr:uid="{78F62EED-44A3-4693-AA50-0693995898BD}"/>
    <cellStyle name="Separador de milhares 2 3 2 4 2 3" xfId="8826" xr:uid="{2A9B1E60-0A89-4903-849D-933A363F4611}"/>
    <cellStyle name="Separador de milhares 2 3 2 4 3" xfId="4086" xr:uid="{28475EA9-9276-4FF8-9FCD-AABCCEDAAFD0}"/>
    <cellStyle name="Separador de milhares 2 3 2 4 3 2" xfId="10425" xr:uid="{DD3F13E7-1FD0-42D5-85E3-2210F1B1745F}"/>
    <cellStyle name="Separador de milhares 2 3 2 4 4" xfId="7257" xr:uid="{D3DACF85-2271-402E-B058-354EBC38877A}"/>
    <cellStyle name="Separador de milhares 2 3 2 5" xfId="1708" xr:uid="{F76610FC-5509-4C86-B1CB-3CA8EB3F8E1A}"/>
    <cellStyle name="Separador de milhares 2 3 2 5 2" xfId="4878" xr:uid="{CD0F7604-E2B7-4608-9A4F-A21E6E34E6B4}"/>
    <cellStyle name="Separador de milhares 2 3 2 5 2 2" xfId="11217" xr:uid="{E02FBB77-D6F5-441D-845E-C0668674C5E2}"/>
    <cellStyle name="Separador de milhares 2 3 2 5 3" xfId="8049" xr:uid="{1F0F32B3-9E40-4F64-8605-3C6E0836240A}"/>
    <cellStyle name="Separador de milhares 2 3 2 6" xfId="3289" xr:uid="{E1892F7C-D9F0-411C-A88A-FC6F0D58BF0C}"/>
    <cellStyle name="Separador de milhares 2 3 2 6 2" xfId="9628" xr:uid="{3E9F02CB-F909-4D68-B4B7-5C639D887D9F}"/>
    <cellStyle name="Separador de milhares 2 3 2 7" xfId="6460" xr:uid="{AE925DC6-F4B9-4A49-8AB9-A1BE5D31D28F}"/>
    <cellStyle name="Separador de milhares 2 3 3" xfId="177" xr:uid="{798B72E3-DE37-4504-9790-06BF3D835A68}"/>
    <cellStyle name="Separador de milhares 2 3 3 2" xfId="394" xr:uid="{FCF666FB-1F85-453C-86DE-49BA3F645D97}"/>
    <cellStyle name="Separador de milhares 2 3 3 2 2" xfId="775" xr:uid="{1B4A394A-3CA9-493A-8EFB-CD06A0202772}"/>
    <cellStyle name="Separador de milhares 2 3 3 2 2 2" xfId="1574" xr:uid="{9B4A58E5-AD95-46AA-9408-E8F5C616A9CE}"/>
    <cellStyle name="Separador de milhares 2 3 3 2 2 2 2" xfId="3145" xr:uid="{5C993CD4-5E6D-4B33-8F35-55F97F2D9015}"/>
    <cellStyle name="Separador de milhares 2 3 3 2 2 2 2 2" xfId="6315" xr:uid="{57EEA2C6-A887-45EC-9837-BECDC6A6D882}"/>
    <cellStyle name="Separador de milhares 2 3 3 2 2 2 2 2 2" xfId="12654" xr:uid="{FBBDF3EF-B4A1-4ECB-9003-53DBE74661AE}"/>
    <cellStyle name="Separador de milhares 2 3 3 2 2 2 2 3" xfId="9486" xr:uid="{4193E7B3-4711-446D-B0DE-28A6515E1574}"/>
    <cellStyle name="Separador de milhares 2 3 3 2 2 2 3" xfId="4746" xr:uid="{B4A4AB1F-BD72-46F1-819D-A7BD26138B5F}"/>
    <cellStyle name="Separador de milhares 2 3 3 2 2 2 3 2" xfId="11085" xr:uid="{6C376F9B-D722-46B0-8DD0-A3D404CAF048}"/>
    <cellStyle name="Separador de milhares 2 3 3 2 2 2 4" xfId="7917" xr:uid="{D82CCA2B-91DA-4E2B-9E01-630D9B045EB8}"/>
    <cellStyle name="Separador de milhares 2 3 3 2 2 3" xfId="2348" xr:uid="{65443493-8050-4E81-8051-8D9F77101859}"/>
    <cellStyle name="Separador de milhares 2 3 3 2 2 3 2" xfId="5518" xr:uid="{6E195097-DAD2-4A25-B03A-442AA20D2187}"/>
    <cellStyle name="Separador de milhares 2 3 3 2 2 3 2 2" xfId="11857" xr:uid="{85FDAB3B-76D8-494C-824D-07A936C1A28B}"/>
    <cellStyle name="Separador de milhares 2 3 3 2 2 3 3" xfId="8689" xr:uid="{527E0939-FB7D-4149-95C3-6965384CC9F6}"/>
    <cellStyle name="Separador de milhares 2 3 3 2 2 4" xfId="3949" xr:uid="{0F42312A-73E7-4A45-A43A-2B3C50722A09}"/>
    <cellStyle name="Separador de milhares 2 3 3 2 2 4 2" xfId="10288" xr:uid="{9C32C835-34EB-4DEF-96F8-6FCAE57DF3C6}"/>
    <cellStyle name="Separador de milhares 2 3 3 2 2 5" xfId="7120" xr:uid="{62C3D509-1C55-4582-AC38-B8FD8AFC20E5}"/>
    <cellStyle name="Separador de milhares 2 3 3 2 3" xfId="1193" xr:uid="{828EE308-A697-4907-8F6B-14DB90A3AF5A}"/>
    <cellStyle name="Separador de milhares 2 3 3 2 3 2" xfId="2764" xr:uid="{5EABB3BF-9EDB-422F-9EA3-DCB66A7B2C7B}"/>
    <cellStyle name="Separador de milhares 2 3 3 2 3 2 2" xfId="5934" xr:uid="{BF54D688-D291-4B76-AE3E-3A5D78F337E6}"/>
    <cellStyle name="Separador de milhares 2 3 3 2 3 2 2 2" xfId="12273" xr:uid="{353F92CD-3A78-4087-9AAC-E948E4C60CEE}"/>
    <cellStyle name="Separador de milhares 2 3 3 2 3 2 3" xfId="9105" xr:uid="{C7ABD2BF-C0C7-412E-9708-07585EEBA296}"/>
    <cellStyle name="Separador de milhares 2 3 3 2 3 3" xfId="4365" xr:uid="{D3013A26-4E1E-4DE3-A110-33A276A9402B}"/>
    <cellStyle name="Separador de milhares 2 3 3 2 3 3 2" xfId="10704" xr:uid="{C79E319C-16A2-4EB4-9F99-021B7BFAE17F}"/>
    <cellStyle name="Separador de milhares 2 3 3 2 3 4" xfId="7536" xr:uid="{5DB7B87C-C753-4CD0-81CB-A540723C641C}"/>
    <cellStyle name="Separador de milhares 2 3 3 2 4" xfId="1967" xr:uid="{41CA1CD4-6BF6-4663-8AC7-EB04F35E8A77}"/>
    <cellStyle name="Separador de milhares 2 3 3 2 4 2" xfId="5137" xr:uid="{C9D1BDFC-DA0D-437F-A07A-9CD576DB4149}"/>
    <cellStyle name="Separador de milhares 2 3 3 2 4 2 2" xfId="11476" xr:uid="{F4796286-B1FB-4A57-85B3-9B0E0F17BDB8}"/>
    <cellStyle name="Separador de milhares 2 3 3 2 4 3" xfId="8308" xr:uid="{97CF1ECB-D0CE-431E-B301-CE85D02F7B44}"/>
    <cellStyle name="Separador de milhares 2 3 3 2 5" xfId="3568" xr:uid="{AD874192-1FC7-4AB0-B752-0AC921131981}"/>
    <cellStyle name="Separador de milhares 2 3 3 2 5 2" xfId="9907" xr:uid="{71F20ADD-8000-407B-AA9A-5E0E4D38AF92}"/>
    <cellStyle name="Separador de milhares 2 3 3 2 6" xfId="6739" xr:uid="{E9C21D1A-2CF8-4D20-A758-51C22FE799A2}"/>
    <cellStyle name="Separador de milhares 2 3 3 3" xfId="572" xr:uid="{AED22A38-F9E9-4A33-9A9B-552DDA847847}"/>
    <cellStyle name="Separador de milhares 2 3 3 3 2" xfId="1371" xr:uid="{01FE1E02-D9D1-4421-9DBE-BB08D2D06985}"/>
    <cellStyle name="Separador de milhares 2 3 3 3 2 2" xfId="2942" xr:uid="{A97BDBE8-8256-47A2-89A7-771F3E11BC8C}"/>
    <cellStyle name="Separador de milhares 2 3 3 3 2 2 2" xfId="6112" xr:uid="{C7D4CAF1-62AC-453A-B403-B2BAAF37A4FF}"/>
    <cellStyle name="Separador de milhares 2 3 3 3 2 2 2 2" xfId="12451" xr:uid="{CB159CE5-25E3-48F6-B188-D6AA9D409EAE}"/>
    <cellStyle name="Separador de milhares 2 3 3 3 2 2 3" xfId="9283" xr:uid="{0968E7B0-B4F5-498C-BF79-2E447B10DA52}"/>
    <cellStyle name="Separador de milhares 2 3 3 3 2 3" xfId="4543" xr:uid="{EB3344FA-FAA7-4395-A015-3B77DDC1C36D}"/>
    <cellStyle name="Separador de milhares 2 3 3 3 2 3 2" xfId="10882" xr:uid="{17485D73-3D02-4900-8437-1AB137115143}"/>
    <cellStyle name="Separador de milhares 2 3 3 3 2 4" xfId="7714" xr:uid="{C8F10D8C-0C04-4DD3-9F54-CC7558BDF26D}"/>
    <cellStyle name="Separador de milhares 2 3 3 3 3" xfId="2145" xr:uid="{72248507-105C-45B3-9626-19FD579E17F3}"/>
    <cellStyle name="Separador de milhares 2 3 3 3 3 2" xfId="5315" xr:uid="{90D7642B-09A1-4D92-9357-4FFF05783D63}"/>
    <cellStyle name="Separador de milhares 2 3 3 3 3 2 2" xfId="11654" xr:uid="{55840395-A784-4362-9D3C-E875A70EB253}"/>
    <cellStyle name="Separador de milhares 2 3 3 3 3 3" xfId="8486" xr:uid="{BFAAA941-C238-4490-AA7B-86D9676E8709}"/>
    <cellStyle name="Separador de milhares 2 3 3 3 4" xfId="3746" xr:uid="{7BF4D1DF-B3F8-4F0A-A770-5F16263FB3E3}"/>
    <cellStyle name="Separador de milhares 2 3 3 3 4 2" xfId="10085" xr:uid="{930C8BC5-F36F-4A6A-B235-BAD5CC81F238}"/>
    <cellStyle name="Separador de milhares 2 3 3 3 5" xfId="6917" xr:uid="{3F071453-8DB2-45BF-9593-C5AF2F3B3E98}"/>
    <cellStyle name="Separador de milhares 2 3 3 4" xfId="990" xr:uid="{B9EF15E8-B096-4C11-B30A-3B4853117E25}"/>
    <cellStyle name="Separador de milhares 2 3 3 4 2" xfId="2561" xr:uid="{C908B011-AEF3-4EB6-9466-02BFE9BE76DD}"/>
    <cellStyle name="Separador de milhares 2 3 3 4 2 2" xfId="5731" xr:uid="{F44471B6-B018-4D7E-B1F0-7F990BEECF2F}"/>
    <cellStyle name="Separador de milhares 2 3 3 4 2 2 2" xfId="12070" xr:uid="{7E4E6B3A-0265-40EA-AEF9-6C0E6863E085}"/>
    <cellStyle name="Separador de milhares 2 3 3 4 2 3" xfId="8902" xr:uid="{C875A6BB-73F2-426C-A2A9-612BFB9C5164}"/>
    <cellStyle name="Separador de milhares 2 3 3 4 3" xfId="4162" xr:uid="{7BBDEDC3-CE23-4091-A77C-E61AA27FB3F7}"/>
    <cellStyle name="Separador de milhares 2 3 3 4 3 2" xfId="10501" xr:uid="{203D1A4A-00E9-4FC8-8A57-A80E144A0F40}"/>
    <cellStyle name="Separador de milhares 2 3 3 4 4" xfId="7333" xr:uid="{7EEEE05E-A771-403A-87C2-31DCDDC9202D}"/>
    <cellStyle name="Separador de milhares 2 3 3 5" xfId="1764" xr:uid="{963865D5-F346-4E48-AA3D-93625D76AA9E}"/>
    <cellStyle name="Separador de milhares 2 3 3 5 2" xfId="4934" xr:uid="{849D863E-D38F-4D28-9D7E-F0D815D3B42A}"/>
    <cellStyle name="Separador de milhares 2 3 3 5 2 2" xfId="11273" xr:uid="{36D9283E-359E-4E59-BD20-58606022BDA4}"/>
    <cellStyle name="Separador de milhares 2 3 3 5 3" xfId="8105" xr:uid="{651161FF-3B86-4891-8697-70CD0AB6DA5F}"/>
    <cellStyle name="Separador de milhares 2 3 3 6" xfId="3365" xr:uid="{014BBB0E-FA59-4163-A3DE-7AFE9C4C2F16}"/>
    <cellStyle name="Separador de milhares 2 3 3 6 2" xfId="9704" xr:uid="{50765A26-CBA4-41F7-9598-F9CD484B8F9A}"/>
    <cellStyle name="Separador de milhares 2 3 3 7" xfId="6536" xr:uid="{8F7358C8-692A-405B-BB79-425B89387E27}"/>
    <cellStyle name="Separador de milhares 2 3 4" xfId="258" xr:uid="{E3F17878-EF96-43F3-85B1-E586B73B3415}"/>
    <cellStyle name="Separador de milhares 2 3 4 2" xfId="648" xr:uid="{B3DB3AF5-527C-43F6-BC29-1926B20B0C72}"/>
    <cellStyle name="Separador de milhares 2 3 4 2 2" xfId="1447" xr:uid="{F037153B-E249-4A2D-BE45-AC45D437FE59}"/>
    <cellStyle name="Separador de milhares 2 3 4 2 2 2" xfId="3018" xr:uid="{3D6E9E80-C373-4FDE-A3C6-548C51A45427}"/>
    <cellStyle name="Separador de milhares 2 3 4 2 2 2 2" xfId="6188" xr:uid="{CDD2E0E7-928A-4745-98CB-E2123F56C041}"/>
    <cellStyle name="Separador de milhares 2 3 4 2 2 2 2 2" xfId="12527" xr:uid="{C1C1C95E-9631-47F4-AE77-2AFC545840AF}"/>
    <cellStyle name="Separador de milhares 2 3 4 2 2 2 3" xfId="9359" xr:uid="{B92FD887-73CD-4C40-AE9C-170116E68AEE}"/>
    <cellStyle name="Separador de milhares 2 3 4 2 2 3" xfId="4619" xr:uid="{DD58E92E-C9BE-41F1-B2E9-A983B96B2C3B}"/>
    <cellStyle name="Separador de milhares 2 3 4 2 2 3 2" xfId="10958" xr:uid="{6CBADE07-3721-487C-A66D-FE4C69212E66}"/>
    <cellStyle name="Separador de milhares 2 3 4 2 2 4" xfId="7790" xr:uid="{A7B9E0E3-681D-4D94-9C2F-769609C1690B}"/>
    <cellStyle name="Separador de milhares 2 3 4 2 3" xfId="2221" xr:uid="{28D9EF71-A2EA-49A9-A800-F5759E7CA2AB}"/>
    <cellStyle name="Separador de milhares 2 3 4 2 3 2" xfId="5391" xr:uid="{9CCACE44-5512-47AB-80DA-3DD8A1AB7E8C}"/>
    <cellStyle name="Separador de milhares 2 3 4 2 3 2 2" xfId="11730" xr:uid="{944027B5-9D42-430C-AB5E-E72FAA0B9948}"/>
    <cellStyle name="Separador de milhares 2 3 4 2 3 3" xfId="8562" xr:uid="{1D5C767A-F60B-4055-AC69-E9CE4C382F04}"/>
    <cellStyle name="Separador de milhares 2 3 4 2 4" xfId="3822" xr:uid="{5E4CC91A-1A13-4EC6-9086-72E1C231E816}"/>
    <cellStyle name="Separador de milhares 2 3 4 2 4 2" xfId="10161" xr:uid="{BB2E66C1-0056-4C7E-AED2-87ADFED25838}"/>
    <cellStyle name="Separador de milhares 2 3 4 2 5" xfId="6993" xr:uid="{888240DF-31B0-451A-A17F-DAA33DA4023B}"/>
    <cellStyle name="Separador de milhares 2 3 4 3" xfId="1066" xr:uid="{44C08265-C783-4FB3-B19F-44D667E95C91}"/>
    <cellStyle name="Separador de milhares 2 3 4 3 2" xfId="2637" xr:uid="{305FED71-E14A-48AD-B147-D932338A1E2B}"/>
    <cellStyle name="Separador de milhares 2 3 4 3 2 2" xfId="5807" xr:uid="{FB425189-BE00-4812-9879-66E22982E4CA}"/>
    <cellStyle name="Separador de milhares 2 3 4 3 2 2 2" xfId="12146" xr:uid="{FE67F088-95F9-47DB-ABB3-9CD1BF0BB27F}"/>
    <cellStyle name="Separador de milhares 2 3 4 3 2 3" xfId="8978" xr:uid="{44691502-4528-4520-93A5-A55272E10A40}"/>
    <cellStyle name="Separador de milhares 2 3 4 3 3" xfId="4238" xr:uid="{CD83C037-FF34-4DA2-AB57-7BB601CCA86D}"/>
    <cellStyle name="Separador de milhares 2 3 4 3 3 2" xfId="10577" xr:uid="{000F691D-46C6-4A86-AC54-68EFD93773D2}"/>
    <cellStyle name="Separador de milhares 2 3 4 3 4" xfId="7409" xr:uid="{FF6FBBE8-13B4-40B8-9DB5-14E08A7AE3D7}"/>
    <cellStyle name="Separador de milhares 2 3 4 4" xfId="1840" xr:uid="{FE3000AE-DA87-45F1-8844-C97A292290E1}"/>
    <cellStyle name="Separador de milhares 2 3 4 4 2" xfId="5010" xr:uid="{5F3C282E-B42E-4247-A4A8-7C7B1C95BBE2}"/>
    <cellStyle name="Separador de milhares 2 3 4 4 2 2" xfId="11349" xr:uid="{15FDB4EE-72BA-49CD-B99C-ED600942ABBC}"/>
    <cellStyle name="Separador de milhares 2 3 4 4 3" xfId="8181" xr:uid="{DCB2E271-BC7C-479E-B5C1-C4198A18C92E}"/>
    <cellStyle name="Separador de milhares 2 3 4 5" xfId="3441" xr:uid="{23F5AE60-740B-455E-94D1-976B32490A18}"/>
    <cellStyle name="Separador de milhares 2 3 4 5 2" xfId="9780" xr:uid="{FAAB4F5A-B75B-4C97-9349-07194C095A3B}"/>
    <cellStyle name="Separador de milhares 2 3 4 6" xfId="6612" xr:uid="{A16A2E66-964C-443C-89D9-FA35EAD29179}"/>
    <cellStyle name="Separador de milhares 2 3 5" xfId="469" xr:uid="{F0103FDC-43F2-4C35-B1A6-B52614F52C1C}"/>
    <cellStyle name="Separador de milhares 2 3 5 2" xfId="1268" xr:uid="{6842FCEF-CA92-4C62-8F87-61CC22D8D36D}"/>
    <cellStyle name="Separador de milhares 2 3 5 2 2" xfId="2839" xr:uid="{D8B05A35-88F9-4FAF-A760-25601A4F0E52}"/>
    <cellStyle name="Separador de milhares 2 3 5 2 2 2" xfId="6009" xr:uid="{7AA07A44-C6AE-4E94-9B27-54B47402B2CF}"/>
    <cellStyle name="Separador de milhares 2 3 5 2 2 2 2" xfId="12348" xr:uid="{DBE5A1FF-0191-40FD-A617-39B4EB871A9F}"/>
    <cellStyle name="Separador de milhares 2 3 5 2 2 3" xfId="9180" xr:uid="{3FFFAA08-7539-4FC6-94C9-76175365D64F}"/>
    <cellStyle name="Separador de milhares 2 3 5 2 3" xfId="4440" xr:uid="{4C7DDBB0-AAB8-4734-B103-3E004D95305B}"/>
    <cellStyle name="Separador de milhares 2 3 5 2 3 2" xfId="10779" xr:uid="{7434383C-7364-4F43-B054-3C523B595AE3}"/>
    <cellStyle name="Separador de milhares 2 3 5 2 4" xfId="7611" xr:uid="{D67AA719-9E44-4F3F-BCCB-67C09490313E}"/>
    <cellStyle name="Separador de milhares 2 3 5 3" xfId="2042" xr:uid="{647AE2D3-CDCB-4E57-B65E-FB1D8FD0837D}"/>
    <cellStyle name="Separador de milhares 2 3 5 3 2" xfId="5212" xr:uid="{2E7E7929-88B3-4EAB-8BCC-4A0528342958}"/>
    <cellStyle name="Separador de milhares 2 3 5 3 2 2" xfId="11551" xr:uid="{9415A43C-53F7-4459-BD24-767CE0960E77}"/>
    <cellStyle name="Separador de milhares 2 3 5 3 3" xfId="8383" xr:uid="{0B351CBB-1F44-4EFB-92FB-878F46F3BB28}"/>
    <cellStyle name="Separador de milhares 2 3 5 4" xfId="3643" xr:uid="{E89AF126-08D3-4339-841A-505E9DD6465B}"/>
    <cellStyle name="Separador de milhares 2 3 5 4 2" xfId="9982" xr:uid="{73F92F7A-493C-4952-A346-FD3423EAD943}"/>
    <cellStyle name="Separador de milhares 2 3 5 5" xfId="6814" xr:uid="{FC8CA868-BA92-4AC4-83AC-B3A0CF518789}"/>
    <cellStyle name="Separador de milhares 2 3 6" xfId="863" xr:uid="{5B96C706-3C6C-4717-B87B-E5B29B64F897}"/>
    <cellStyle name="Separador de milhares 2 3 6 2" xfId="2434" xr:uid="{F64E9FFD-8289-4F5D-A8D5-EF8D95046471}"/>
    <cellStyle name="Separador de milhares 2 3 6 2 2" xfId="5604" xr:uid="{291D474A-26E4-4F16-AE68-31EF470E1309}"/>
    <cellStyle name="Separador de milhares 2 3 6 2 2 2" xfId="11943" xr:uid="{38B4499F-E051-48AF-81E0-D3816B53AAFA}"/>
    <cellStyle name="Separador de milhares 2 3 6 2 3" xfId="8775" xr:uid="{4E62D055-B1EC-4A2C-A0D6-B83197ABE20F}"/>
    <cellStyle name="Separador de milhares 2 3 6 3" xfId="4035" xr:uid="{80DFF24C-9ED9-476F-AF0F-86CC404CF5A8}"/>
    <cellStyle name="Separador de milhares 2 3 6 3 2" xfId="10374" xr:uid="{9DE74AB1-FF6F-4825-805E-68B9E9449219}"/>
    <cellStyle name="Separador de milhares 2 3 6 4" xfId="7206" xr:uid="{1433C78F-791C-41FD-91A3-AFD7165485F8}"/>
    <cellStyle name="Separador de milhares 2 3 7" xfId="1664" xr:uid="{5C583AA8-8D45-4529-9BBA-38D0F635310E}"/>
    <cellStyle name="Separador de milhares 2 3 7 2" xfId="4834" xr:uid="{CED3F78A-3807-4A3F-8724-199604D652ED}"/>
    <cellStyle name="Separador de milhares 2 3 7 2 2" xfId="11173" xr:uid="{90EDF124-9DBA-4D17-87A1-F7FF9033402D}"/>
    <cellStyle name="Separador de milhares 2 3 7 3" xfId="8005" xr:uid="{BE0524C7-2A31-4CD7-9992-807EABDD382F}"/>
    <cellStyle name="Separador de milhares 2 3 8" xfId="3238" xr:uid="{02637447-52BA-42A1-8C9B-E9413E648F3A}"/>
    <cellStyle name="Separador de milhares 2 3 8 2" xfId="9577" xr:uid="{6CB9CB47-E9EC-449F-B7BB-0E588A0E07AC}"/>
    <cellStyle name="Separador de milhares 2 3 9" xfId="6409" xr:uid="{26F5535D-8AC8-476A-A2F7-9806EF8F1CD5}"/>
    <cellStyle name="Separador de milhares 2 4" xfId="42" xr:uid="{17FEF3EB-80CC-47B9-A814-D13844A1A443}"/>
    <cellStyle name="Separador de milhares 2 4 2" xfId="103" xr:uid="{2570BF60-EBEA-4D69-A722-B0AC337AB344}"/>
    <cellStyle name="Separador de milhares 2 4 2 2" xfId="320" xr:uid="{CE287B79-B9A2-42A4-9BAA-B635592F9333}"/>
    <cellStyle name="Separador de milhares 2 4 2 2 2" xfId="706" xr:uid="{B2AA4975-7231-45EF-959A-A09E0BDA6FFA}"/>
    <cellStyle name="Separador de milhares 2 4 2 2 2 2" xfId="1505" xr:uid="{D1EC8849-FC20-4478-8B21-EA2BE02B3E45}"/>
    <cellStyle name="Separador de milhares 2 4 2 2 2 2 2" xfId="3076" xr:uid="{1F34A515-E87F-4CDE-A4C1-506B7B18FF14}"/>
    <cellStyle name="Separador de milhares 2 4 2 2 2 2 2 2" xfId="6246" xr:uid="{94F8AE5D-A3C2-441F-8500-D72CB9EF855D}"/>
    <cellStyle name="Separador de milhares 2 4 2 2 2 2 2 2 2" xfId="12585" xr:uid="{087D09C2-5800-4DC0-BF1A-377CBFB1644A}"/>
    <cellStyle name="Separador de milhares 2 4 2 2 2 2 2 3" xfId="9417" xr:uid="{C546C1F0-C169-4B68-B927-C7115CBE1630}"/>
    <cellStyle name="Separador de milhares 2 4 2 2 2 2 3" xfId="4677" xr:uid="{FC6DB5DA-1F0C-4B83-B55E-A173E1C0AD0D}"/>
    <cellStyle name="Separador de milhares 2 4 2 2 2 2 3 2" xfId="11016" xr:uid="{CB6A2D04-838D-4C81-B222-148C1CAD9786}"/>
    <cellStyle name="Separador de milhares 2 4 2 2 2 2 4" xfId="7848" xr:uid="{8A381F31-90D7-496D-94A2-9A635892416D}"/>
    <cellStyle name="Separador de milhares 2 4 2 2 2 3" xfId="2279" xr:uid="{7ECC9D40-360B-4357-B24C-2DED465FB8F9}"/>
    <cellStyle name="Separador de milhares 2 4 2 2 2 3 2" xfId="5449" xr:uid="{B5AC32EA-7148-45B5-939D-3740F0F215FE}"/>
    <cellStyle name="Separador de milhares 2 4 2 2 2 3 2 2" xfId="11788" xr:uid="{978E81DE-1BE7-4AD3-9337-9A658B3BCD2A}"/>
    <cellStyle name="Separador de milhares 2 4 2 2 2 3 3" xfId="8620" xr:uid="{13DF78BF-F308-4EE6-98D2-71698CBEB4A4}"/>
    <cellStyle name="Separador de milhares 2 4 2 2 2 4" xfId="3880" xr:uid="{1753B947-EB9C-4EBA-BC42-9BBE837B2779}"/>
    <cellStyle name="Separador de milhares 2 4 2 2 2 4 2" xfId="10219" xr:uid="{5984ABC1-E1D6-4FFC-B8CA-3429B49A0D88}"/>
    <cellStyle name="Separador de milhares 2 4 2 2 2 5" xfId="7051" xr:uid="{49A33B1D-0BA1-4AD0-B8F6-B49E3BA3811C}"/>
    <cellStyle name="Separador de milhares 2 4 2 2 3" xfId="1124" xr:uid="{BA43B3CF-E7D5-4349-AE0F-519D0AE41079}"/>
    <cellStyle name="Separador de milhares 2 4 2 2 3 2" xfId="2695" xr:uid="{899088D2-4630-4AE7-ACEF-B454CC1C2F2D}"/>
    <cellStyle name="Separador de milhares 2 4 2 2 3 2 2" xfId="5865" xr:uid="{CD453A1C-FC37-4A00-8C75-5A10D56ED535}"/>
    <cellStyle name="Separador de milhares 2 4 2 2 3 2 2 2" xfId="12204" xr:uid="{AA424846-EEFA-484E-8ACE-6D383F7D567D}"/>
    <cellStyle name="Separador de milhares 2 4 2 2 3 2 3" xfId="9036" xr:uid="{7791F1D5-3A42-418F-953C-D20D1D48DB67}"/>
    <cellStyle name="Separador de milhares 2 4 2 2 3 3" xfId="4296" xr:uid="{82259961-6E48-4851-9E4E-717D37549270}"/>
    <cellStyle name="Separador de milhares 2 4 2 2 3 3 2" xfId="10635" xr:uid="{041D099F-DC8A-4983-8682-18108B1B20D2}"/>
    <cellStyle name="Separador de milhares 2 4 2 2 3 4" xfId="7467" xr:uid="{2C05B339-2795-47FF-8729-9DF18D75FA7E}"/>
    <cellStyle name="Separador de milhares 2 4 2 2 4" xfId="1898" xr:uid="{54D0FDFC-EF48-4332-8BEA-DCC7ABCA2363}"/>
    <cellStyle name="Separador de milhares 2 4 2 2 4 2" xfId="5068" xr:uid="{F421D7F5-C2DA-4F67-9977-0125DE5278CC}"/>
    <cellStyle name="Separador de milhares 2 4 2 2 4 2 2" xfId="11407" xr:uid="{CAD041B7-FB17-496F-B1ED-ABA37AB22F4B}"/>
    <cellStyle name="Separador de milhares 2 4 2 2 4 3" xfId="8239" xr:uid="{05991323-D6FE-487E-9E04-649F93E1D827}"/>
    <cellStyle name="Separador de milhares 2 4 2 2 5" xfId="3499" xr:uid="{B8EBB7E2-1D6E-46FD-BA3C-9D805D8882CA}"/>
    <cellStyle name="Separador de milhares 2 4 2 2 5 2" xfId="9838" xr:uid="{54F466FD-3305-4A55-B4E1-625F62922DAB}"/>
    <cellStyle name="Separador de milhares 2 4 2 2 6" xfId="6670" xr:uid="{F92E9345-5C38-406B-9C30-C681727D8B31}"/>
    <cellStyle name="Separador de milhares 2 4 2 3" xfId="521" xr:uid="{63BC802C-3149-4AA7-B14B-DD05ABC75967}"/>
    <cellStyle name="Separador de milhares 2 4 2 3 2" xfId="1320" xr:uid="{1A21E44B-BF2A-4DF4-AA02-5A29F952C0FA}"/>
    <cellStyle name="Separador de milhares 2 4 2 3 2 2" xfId="2891" xr:uid="{613D3548-4DA7-44D9-9173-BAB4DFB49625}"/>
    <cellStyle name="Separador de milhares 2 4 2 3 2 2 2" xfId="6061" xr:uid="{047ECD87-038B-4D2B-9055-9FD2CE4D423E}"/>
    <cellStyle name="Separador de milhares 2 4 2 3 2 2 2 2" xfId="12400" xr:uid="{0857A36D-0E13-4142-BE9C-852088BB3878}"/>
    <cellStyle name="Separador de milhares 2 4 2 3 2 2 3" xfId="9232" xr:uid="{9DE83B9B-B39A-454D-B143-84BF69B96DC3}"/>
    <cellStyle name="Separador de milhares 2 4 2 3 2 3" xfId="4492" xr:uid="{15610B71-3B4A-4873-A8E9-0FDEC8B46D30}"/>
    <cellStyle name="Separador de milhares 2 4 2 3 2 3 2" xfId="10831" xr:uid="{09D118E5-A33C-4337-A909-A9A5061AD8C9}"/>
    <cellStyle name="Separador de milhares 2 4 2 3 2 4" xfId="7663" xr:uid="{4630166F-322B-4903-82C5-641CE8C596BD}"/>
    <cellStyle name="Separador de milhares 2 4 2 3 3" xfId="2094" xr:uid="{26E48A77-46C8-4904-BD90-D18D91C57195}"/>
    <cellStyle name="Separador de milhares 2 4 2 3 3 2" xfId="5264" xr:uid="{BE45BA43-BD4D-4FD2-8BD2-ECDF24576236}"/>
    <cellStyle name="Separador de milhares 2 4 2 3 3 2 2" xfId="11603" xr:uid="{09D35755-7FF0-4D6E-9998-523A353F6899}"/>
    <cellStyle name="Separador de milhares 2 4 2 3 3 3" xfId="8435" xr:uid="{42A242DD-8008-4DD7-8DF8-901EC98EFA34}"/>
    <cellStyle name="Separador de milhares 2 4 2 3 4" xfId="3695" xr:uid="{6C7FC157-77C4-4EEE-A9F6-AC6E7CC6BD80}"/>
    <cellStyle name="Separador de milhares 2 4 2 3 4 2" xfId="10034" xr:uid="{3AD73BAE-C4CF-4905-8F32-5FB57C2041BF}"/>
    <cellStyle name="Separador de milhares 2 4 2 3 5" xfId="6866" xr:uid="{DF234615-0651-4EED-BC8E-EDDBCBD03714}"/>
    <cellStyle name="Separador de milhares 2 4 2 4" xfId="921" xr:uid="{5D300DAC-B205-4294-9364-C96A5C924BBF}"/>
    <cellStyle name="Separador de milhares 2 4 2 4 2" xfId="2492" xr:uid="{ADD43CC7-0E40-4FD3-852D-EAD03BBB0FEF}"/>
    <cellStyle name="Separador de milhares 2 4 2 4 2 2" xfId="5662" xr:uid="{BCFFB05F-8151-4106-94CD-22354B751D00}"/>
    <cellStyle name="Separador de milhares 2 4 2 4 2 2 2" xfId="12001" xr:uid="{998D83E8-5765-4D18-93F0-3F08E02490E8}"/>
    <cellStyle name="Separador de milhares 2 4 2 4 2 3" xfId="8833" xr:uid="{BA16E9D8-C302-4078-B735-1A39DFE24AEF}"/>
    <cellStyle name="Separador de milhares 2 4 2 4 3" xfId="4093" xr:uid="{FBD6C52D-7F00-4DE2-92DA-1B2A5C1F34B2}"/>
    <cellStyle name="Separador de milhares 2 4 2 4 3 2" xfId="10432" xr:uid="{0C9CF128-509E-479C-91C5-5A45E18AF890}"/>
    <cellStyle name="Separador de milhares 2 4 2 4 4" xfId="7264" xr:uid="{8E2C16CF-B676-47E3-8E81-616555B8CF33}"/>
    <cellStyle name="Separador de milhares 2 4 2 5" xfId="1713" xr:uid="{612B0012-30E5-48CF-A07D-5297F0A2608E}"/>
    <cellStyle name="Separador de milhares 2 4 2 5 2" xfId="4883" xr:uid="{87429F30-C8CE-447F-B674-47F9CAF65973}"/>
    <cellStyle name="Separador de milhares 2 4 2 5 2 2" xfId="11222" xr:uid="{3EF2F825-7D22-4997-8638-577885E54428}"/>
    <cellStyle name="Separador de milhares 2 4 2 5 3" xfId="8054" xr:uid="{E3472095-C814-4F5E-B089-77C66DFBFB5A}"/>
    <cellStyle name="Separador de milhares 2 4 2 6" xfId="3296" xr:uid="{EB1F2D90-F6AA-4376-9134-639A34F6B26F}"/>
    <cellStyle name="Separador de milhares 2 4 2 6 2" xfId="9635" xr:uid="{431C5B86-7023-4646-A796-CAB226ACC537}"/>
    <cellStyle name="Separador de milhares 2 4 2 7" xfId="6467" xr:uid="{BDE5C57A-9918-4102-B061-00827F069568}"/>
    <cellStyle name="Separador de milhares 2 4 3" xfId="185" xr:uid="{7CB42022-A6B4-4036-8EAD-369A8E9B81F2}"/>
    <cellStyle name="Separador de milhares 2 4 3 2" xfId="402" xr:uid="{DE118A42-229C-4B64-9DE3-C8A8BE1E2A19}"/>
    <cellStyle name="Separador de milhares 2 4 3 2 2" xfId="783" xr:uid="{9BBA7992-D5B9-4517-9BDF-75E9FAEAA25A}"/>
    <cellStyle name="Separador de milhares 2 4 3 2 2 2" xfId="1582" xr:uid="{648D0E8C-CC41-42ED-909A-9B733851F27B}"/>
    <cellStyle name="Separador de milhares 2 4 3 2 2 2 2" xfId="3153" xr:uid="{58DD68B7-9000-4727-8A37-692C2F1FC29D}"/>
    <cellStyle name="Separador de milhares 2 4 3 2 2 2 2 2" xfId="6323" xr:uid="{6578D368-411B-4CFD-92B9-0CFBC7EB845F}"/>
    <cellStyle name="Separador de milhares 2 4 3 2 2 2 2 2 2" xfId="12662" xr:uid="{FDFA1E26-52E8-41DF-B330-4687ED87A8F1}"/>
    <cellStyle name="Separador de milhares 2 4 3 2 2 2 2 3" xfId="9494" xr:uid="{82A5FF2D-E0F5-4150-97A0-B71AA840407F}"/>
    <cellStyle name="Separador de milhares 2 4 3 2 2 2 3" xfId="4754" xr:uid="{E68C9F5F-090A-404A-8D86-1933F68CFA21}"/>
    <cellStyle name="Separador de milhares 2 4 3 2 2 2 3 2" xfId="11093" xr:uid="{31375A95-00F4-4663-8AC3-E871DE127643}"/>
    <cellStyle name="Separador de milhares 2 4 3 2 2 2 4" xfId="7925" xr:uid="{02CE7CE2-50B6-4578-BDA4-2E2311F10985}"/>
    <cellStyle name="Separador de milhares 2 4 3 2 2 3" xfId="2356" xr:uid="{9D22BB58-1C3D-404E-8E36-94FF29BF6BD8}"/>
    <cellStyle name="Separador de milhares 2 4 3 2 2 3 2" xfId="5526" xr:uid="{C41D7560-0741-412C-B1D0-A4546D2F85A2}"/>
    <cellStyle name="Separador de milhares 2 4 3 2 2 3 2 2" xfId="11865" xr:uid="{971BF66F-D169-4C90-A3F0-47BEB2458630}"/>
    <cellStyle name="Separador de milhares 2 4 3 2 2 3 3" xfId="8697" xr:uid="{FBDDE35B-9C87-42DF-9334-6CE1D39089A1}"/>
    <cellStyle name="Separador de milhares 2 4 3 2 2 4" xfId="3957" xr:uid="{8EF651B8-7694-49F4-BBB0-AA9E0DB6297F}"/>
    <cellStyle name="Separador de milhares 2 4 3 2 2 4 2" xfId="10296" xr:uid="{26FA1ECB-BC88-4B9A-9C3E-988645D8C335}"/>
    <cellStyle name="Separador de milhares 2 4 3 2 2 5" xfId="7128" xr:uid="{338B3C3F-DB5F-47F4-80A2-BA35000A2D69}"/>
    <cellStyle name="Separador de milhares 2 4 3 2 3" xfId="1201" xr:uid="{8EFC09AF-1C0A-4037-82F5-EC05A22C025D}"/>
    <cellStyle name="Separador de milhares 2 4 3 2 3 2" xfId="2772" xr:uid="{3402DAF8-6BB8-4C68-9D40-7E513B52D93B}"/>
    <cellStyle name="Separador de milhares 2 4 3 2 3 2 2" xfId="5942" xr:uid="{76DFD3AC-EB24-488D-940D-AAD203ABB0A3}"/>
    <cellStyle name="Separador de milhares 2 4 3 2 3 2 2 2" xfId="12281" xr:uid="{09AFF247-E84A-4671-BD5B-D54BFEDD0ED5}"/>
    <cellStyle name="Separador de milhares 2 4 3 2 3 2 3" xfId="9113" xr:uid="{888E692F-7AD3-44BC-8075-90F46412482E}"/>
    <cellStyle name="Separador de milhares 2 4 3 2 3 3" xfId="4373" xr:uid="{376513A5-26ED-4AFD-A2DC-178CEE7702A7}"/>
    <cellStyle name="Separador de milhares 2 4 3 2 3 3 2" xfId="10712" xr:uid="{F1939881-3962-4A2A-AE00-1EABFB057A11}"/>
    <cellStyle name="Separador de milhares 2 4 3 2 3 4" xfId="7544" xr:uid="{822F11FF-107C-490C-9A9F-198DDCE3E108}"/>
    <cellStyle name="Separador de milhares 2 4 3 2 4" xfId="1975" xr:uid="{019D5BDD-1391-45D4-A7FB-B2923F211D07}"/>
    <cellStyle name="Separador de milhares 2 4 3 2 4 2" xfId="5145" xr:uid="{AA92DF5C-FBA0-47A9-A938-8484AD3B0AB2}"/>
    <cellStyle name="Separador de milhares 2 4 3 2 4 2 2" xfId="11484" xr:uid="{507476A6-A44F-40F9-8ECD-CD2EB290645C}"/>
    <cellStyle name="Separador de milhares 2 4 3 2 4 3" xfId="8316" xr:uid="{AA7E0B7F-344C-4AFF-B088-2499A25B6FA1}"/>
    <cellStyle name="Separador de milhares 2 4 3 2 5" xfId="3576" xr:uid="{E52468B0-9FFC-4418-B2E1-1C10B9016B68}"/>
    <cellStyle name="Separador de milhares 2 4 3 2 5 2" xfId="9915" xr:uid="{FC574F50-46DB-4CC9-ACC9-300420E5B4F9}"/>
    <cellStyle name="Separador de milhares 2 4 3 2 6" xfId="6747" xr:uid="{B60B9665-B2A4-4D5B-B1C1-7AEF7458F260}"/>
    <cellStyle name="Separador de milhares 2 4 3 3" xfId="580" xr:uid="{110E5FEF-9D56-4F5F-B999-270728BB6192}"/>
    <cellStyle name="Separador de milhares 2 4 3 3 2" xfId="1379" xr:uid="{558C8DF6-7BEB-4E15-A09B-A4847EFFCC77}"/>
    <cellStyle name="Separador de milhares 2 4 3 3 2 2" xfId="2950" xr:uid="{FC2EEE96-8B66-42FE-A767-B589B19F2AA5}"/>
    <cellStyle name="Separador de milhares 2 4 3 3 2 2 2" xfId="6120" xr:uid="{B268A8D0-0277-4567-82B0-7DB80667AEAC}"/>
    <cellStyle name="Separador de milhares 2 4 3 3 2 2 2 2" xfId="12459" xr:uid="{70F8C7E9-464F-4B1F-A2BB-165079995E12}"/>
    <cellStyle name="Separador de milhares 2 4 3 3 2 2 3" xfId="9291" xr:uid="{9867007F-05CA-4266-9F76-BE81650D1640}"/>
    <cellStyle name="Separador de milhares 2 4 3 3 2 3" xfId="4551" xr:uid="{3C0C668E-4342-4F87-B7FE-FF82522F7CD3}"/>
    <cellStyle name="Separador de milhares 2 4 3 3 2 3 2" xfId="10890" xr:uid="{EAC340BF-CEA8-4D68-A4CC-B248C955720F}"/>
    <cellStyle name="Separador de milhares 2 4 3 3 2 4" xfId="7722" xr:uid="{760A1D1A-E7D3-466F-963A-20D36841F743}"/>
    <cellStyle name="Separador de milhares 2 4 3 3 3" xfId="2153" xr:uid="{1E317F2D-7CEB-4FC0-A4AC-72E71322BC71}"/>
    <cellStyle name="Separador de milhares 2 4 3 3 3 2" xfId="5323" xr:uid="{F15E2493-2052-40C9-AB65-D3598BA7F9D8}"/>
    <cellStyle name="Separador de milhares 2 4 3 3 3 2 2" xfId="11662" xr:uid="{FD99739C-8E6E-44E8-AD4F-01E5336D9CB5}"/>
    <cellStyle name="Separador de milhares 2 4 3 3 3 3" xfId="8494" xr:uid="{BE856455-3795-4BC3-9E64-7F4279585314}"/>
    <cellStyle name="Separador de milhares 2 4 3 3 4" xfId="3754" xr:uid="{46FD52D9-88F0-48E1-89F0-4AFCAA718191}"/>
    <cellStyle name="Separador de milhares 2 4 3 3 4 2" xfId="10093" xr:uid="{F8CC9892-F8D7-4EF1-9DD9-C15DE0F1108F}"/>
    <cellStyle name="Separador de milhares 2 4 3 3 5" xfId="6925" xr:uid="{A673467E-D4C6-406E-BC6E-366E6E24E033}"/>
    <cellStyle name="Separador de milhares 2 4 3 4" xfId="998" xr:uid="{C24BA654-9915-4A58-AA68-CA351F1441DB}"/>
    <cellStyle name="Separador de milhares 2 4 3 4 2" xfId="2569" xr:uid="{A593DF49-6150-4682-B3C0-6ECEDF7697E3}"/>
    <cellStyle name="Separador de milhares 2 4 3 4 2 2" xfId="5739" xr:uid="{0542D604-1942-4693-8032-8A993AF6C890}"/>
    <cellStyle name="Separador de milhares 2 4 3 4 2 2 2" xfId="12078" xr:uid="{9E04D6EF-1EF2-4D15-9485-1DE40A6045CE}"/>
    <cellStyle name="Separador de milhares 2 4 3 4 2 3" xfId="8910" xr:uid="{C5364B66-1372-4441-9A23-AB3D0FB085CA}"/>
    <cellStyle name="Separador de milhares 2 4 3 4 3" xfId="4170" xr:uid="{D038F514-A657-456F-A00F-126284D309B0}"/>
    <cellStyle name="Separador de milhares 2 4 3 4 3 2" xfId="10509" xr:uid="{719FE0E5-E56D-48C5-81A2-E9E954D51142}"/>
    <cellStyle name="Separador de milhares 2 4 3 4 4" xfId="7341" xr:uid="{70D26029-43EE-430D-9E4F-0E7A6550DA32}"/>
    <cellStyle name="Separador de milhares 2 4 3 5" xfId="1772" xr:uid="{50842D2F-CA19-4F9F-B895-DE4350D6340B}"/>
    <cellStyle name="Separador de milhares 2 4 3 5 2" xfId="4942" xr:uid="{2FD77A3E-D957-4D4D-A9FD-2F0929E5A8B5}"/>
    <cellStyle name="Separador de milhares 2 4 3 5 2 2" xfId="11281" xr:uid="{445563E0-5BC2-4CFC-A6A6-E6A15D66DBB4}"/>
    <cellStyle name="Separador de milhares 2 4 3 5 3" xfId="8113" xr:uid="{07A2BDB6-602A-46F3-869B-AF8184367814}"/>
    <cellStyle name="Separador de milhares 2 4 3 6" xfId="3373" xr:uid="{26FAD3D5-1749-4FAE-BF40-315ED33FF21B}"/>
    <cellStyle name="Separador de milhares 2 4 3 6 2" xfId="9712" xr:uid="{BEB64574-082E-408F-8E80-7614AEEAE6DA}"/>
    <cellStyle name="Separador de milhares 2 4 3 7" xfId="6544" xr:uid="{D7CC75F6-FF8E-448E-98AF-EB14C6E5E58B}"/>
    <cellStyle name="Separador de milhares 2 4 4" xfId="266" xr:uid="{F74776C3-447E-479F-9D8A-8A8B48E7007D}"/>
    <cellStyle name="Separador de milhares 2 4 4 2" xfId="656" xr:uid="{BD267EA7-EBF2-4505-9307-D0FEF6105825}"/>
    <cellStyle name="Separador de milhares 2 4 4 2 2" xfId="1455" xr:uid="{CF776F0E-B22C-4F4C-AE66-D2B25C69281A}"/>
    <cellStyle name="Separador de milhares 2 4 4 2 2 2" xfId="3026" xr:uid="{463CAD52-5651-4DE1-89DF-81C593E3B596}"/>
    <cellStyle name="Separador de milhares 2 4 4 2 2 2 2" xfId="6196" xr:uid="{03D6A25C-5F49-4AF1-8FA5-F8D47D919CE7}"/>
    <cellStyle name="Separador de milhares 2 4 4 2 2 2 2 2" xfId="12535" xr:uid="{29B1EFD8-BDD6-425C-8186-E064775A823F}"/>
    <cellStyle name="Separador de milhares 2 4 4 2 2 2 3" xfId="9367" xr:uid="{C155F79C-6CB0-4130-B147-590D7D2FAFC3}"/>
    <cellStyle name="Separador de milhares 2 4 4 2 2 3" xfId="4627" xr:uid="{268C95DB-B032-4F52-8F9A-FFAE9E1A4766}"/>
    <cellStyle name="Separador de milhares 2 4 4 2 2 3 2" xfId="10966" xr:uid="{9F02908B-DE8E-42FF-ABED-B49BAB612580}"/>
    <cellStyle name="Separador de milhares 2 4 4 2 2 4" xfId="7798" xr:uid="{98E5677F-247D-4F5B-B7F1-3A42340BE191}"/>
    <cellStyle name="Separador de milhares 2 4 4 2 3" xfId="2229" xr:uid="{EACD57B1-B160-4A1E-955B-514B1E7E884C}"/>
    <cellStyle name="Separador de milhares 2 4 4 2 3 2" xfId="5399" xr:uid="{FC66AFD7-BB38-43B0-9018-63328C54E264}"/>
    <cellStyle name="Separador de milhares 2 4 4 2 3 2 2" xfId="11738" xr:uid="{B85139F8-CAD6-4635-8871-9684959803F9}"/>
    <cellStyle name="Separador de milhares 2 4 4 2 3 3" xfId="8570" xr:uid="{AF2595F0-CD0C-415A-98F0-F9F477581D5C}"/>
    <cellStyle name="Separador de milhares 2 4 4 2 4" xfId="3830" xr:uid="{C3DA5E2C-D309-49ED-8979-F8A60C5C6B79}"/>
    <cellStyle name="Separador de milhares 2 4 4 2 4 2" xfId="10169" xr:uid="{B49FCBC8-848C-4AFF-A52F-0B84F8F48DD5}"/>
    <cellStyle name="Separador de milhares 2 4 4 2 5" xfId="7001" xr:uid="{F1A63597-2982-4072-AB17-27F7D0367FA9}"/>
    <cellStyle name="Separador de milhares 2 4 4 3" xfId="1074" xr:uid="{BDB2EEA6-4F47-48C2-BBAA-B43C01006195}"/>
    <cellStyle name="Separador de milhares 2 4 4 3 2" xfId="2645" xr:uid="{41A0F6F9-5C9B-430B-A2CE-1CA7C2B3E517}"/>
    <cellStyle name="Separador de milhares 2 4 4 3 2 2" xfId="5815" xr:uid="{02F0C80C-97FE-4E79-A10B-E24B83614756}"/>
    <cellStyle name="Separador de milhares 2 4 4 3 2 2 2" xfId="12154" xr:uid="{5BD18A5D-36D1-470E-85FD-8A936D1644E2}"/>
    <cellStyle name="Separador de milhares 2 4 4 3 2 3" xfId="8986" xr:uid="{2C9FCC4D-55F3-44DE-B25D-D55E104D45F0}"/>
    <cellStyle name="Separador de milhares 2 4 4 3 3" xfId="4246" xr:uid="{1C1AD98A-50EC-4D0D-A4F1-8FCA0672FB60}"/>
    <cellStyle name="Separador de milhares 2 4 4 3 3 2" xfId="10585" xr:uid="{4257CFFD-A1B2-42EC-8E20-8F3A7F10CD56}"/>
    <cellStyle name="Separador de milhares 2 4 4 3 4" xfId="7417" xr:uid="{6D3BCDFB-BB77-432C-BC0F-680E03281598}"/>
    <cellStyle name="Separador de milhares 2 4 4 4" xfId="1848" xr:uid="{7FEBA97F-081F-413F-B121-F5FBCB415FFD}"/>
    <cellStyle name="Separador de milhares 2 4 4 4 2" xfId="5018" xr:uid="{82E82760-83D6-45D5-844F-D21F1F5A2DAA}"/>
    <cellStyle name="Separador de milhares 2 4 4 4 2 2" xfId="11357" xr:uid="{27571579-8BAC-47B8-959D-A4E1C49A53CA}"/>
    <cellStyle name="Separador de milhares 2 4 4 4 3" xfId="8189" xr:uid="{938073D5-65AB-41F8-980D-51B357172AF8}"/>
    <cellStyle name="Separador de milhares 2 4 4 5" xfId="3449" xr:uid="{3E383BCD-0E49-45CF-97F0-F44CED05D120}"/>
    <cellStyle name="Separador de milhares 2 4 4 5 2" xfId="9788" xr:uid="{ACC14A22-42DC-460E-9679-EF7DA09900CD}"/>
    <cellStyle name="Separador de milhares 2 4 4 6" xfId="6620" xr:uid="{E53ABD90-99E2-413F-8E02-5B4EDF280EA3}"/>
    <cellStyle name="Separador de milhares 2 4 5" xfId="475" xr:uid="{7D5D9CD0-2183-4B6F-B6A4-B3FA7F762ED3}"/>
    <cellStyle name="Separador de milhares 2 4 5 2" xfId="1274" xr:uid="{2348DE13-6200-47C9-A1D2-E0114402D670}"/>
    <cellStyle name="Separador de milhares 2 4 5 2 2" xfId="2845" xr:uid="{62E6CE80-0E4A-407A-8ABE-4E4E8D5F1795}"/>
    <cellStyle name="Separador de milhares 2 4 5 2 2 2" xfId="6015" xr:uid="{1F66E53F-9AB9-478D-8A54-D24C2F3B5E70}"/>
    <cellStyle name="Separador de milhares 2 4 5 2 2 2 2" xfId="12354" xr:uid="{AD272DEA-9209-4D7E-8F73-A59B2DEB8599}"/>
    <cellStyle name="Separador de milhares 2 4 5 2 2 3" xfId="9186" xr:uid="{09CFC1C5-FCF9-4AF8-A065-315F44D852A8}"/>
    <cellStyle name="Separador de milhares 2 4 5 2 3" xfId="4446" xr:uid="{83FCFB0F-687B-496C-9C27-285A400EECC2}"/>
    <cellStyle name="Separador de milhares 2 4 5 2 3 2" xfId="10785" xr:uid="{0F4295EB-A71C-46A8-A13C-056481A86831}"/>
    <cellStyle name="Separador de milhares 2 4 5 2 4" xfId="7617" xr:uid="{E0904CE9-DB9E-444B-994E-99E7C10B4635}"/>
    <cellStyle name="Separador de milhares 2 4 5 3" xfId="2048" xr:uid="{92C51939-A7FB-495D-B2C9-EA80B8171F54}"/>
    <cellStyle name="Separador de milhares 2 4 5 3 2" xfId="5218" xr:uid="{ED72CC2D-0EF1-44D0-A807-06E68738EB0F}"/>
    <cellStyle name="Separador de milhares 2 4 5 3 2 2" xfId="11557" xr:uid="{36A1FEE6-B34B-412B-9CCF-E38D725034F3}"/>
    <cellStyle name="Separador de milhares 2 4 5 3 3" xfId="8389" xr:uid="{089B5A0C-07E7-4EF5-AD4E-057412D78D97}"/>
    <cellStyle name="Separador de milhares 2 4 5 4" xfId="3649" xr:uid="{9134CC71-05C7-4A85-A328-E09C0A84540B}"/>
    <cellStyle name="Separador de milhares 2 4 5 4 2" xfId="9988" xr:uid="{5B5CAAAB-07F0-4F10-B5AE-B05A93545675}"/>
    <cellStyle name="Separador de milhares 2 4 5 5" xfId="6820" xr:uid="{34782C42-0DAA-40C8-917D-E3192DE15E5F}"/>
    <cellStyle name="Separador de milhares 2 4 6" xfId="871" xr:uid="{DFF8BB79-5903-4843-BB59-E18465EAEA8E}"/>
    <cellStyle name="Separador de milhares 2 4 6 2" xfId="2442" xr:uid="{B61ECB07-C307-42C7-8961-7884C35515DF}"/>
    <cellStyle name="Separador de milhares 2 4 6 2 2" xfId="5612" xr:uid="{8FDBD134-3AAA-49AE-9963-90E46B92A540}"/>
    <cellStyle name="Separador de milhares 2 4 6 2 2 2" xfId="11951" xr:uid="{574EBAD7-E23F-4C56-BF2F-D8E7FA9844EF}"/>
    <cellStyle name="Separador de milhares 2 4 6 2 3" xfId="8783" xr:uid="{6CC6E83F-1B0D-4162-936F-183D50F7B436}"/>
    <cellStyle name="Separador de milhares 2 4 6 3" xfId="4043" xr:uid="{9D0FBDDF-8FD7-4E20-8AEF-20D20AEC0437}"/>
    <cellStyle name="Separador de milhares 2 4 6 3 2" xfId="10382" xr:uid="{CD8DF19D-BEB4-413F-B7BF-AB6E1C6B2904}"/>
    <cellStyle name="Separador de milhares 2 4 6 4" xfId="7214" xr:uid="{3C1110EA-7890-441A-97D3-B75435942AFE}"/>
    <cellStyle name="Separador de milhares 2 4 7" xfId="1670" xr:uid="{A7C0BC52-6838-47B3-AA99-AB37D0D123B2}"/>
    <cellStyle name="Separador de milhares 2 4 7 2" xfId="4840" xr:uid="{75F70145-C071-4F79-9E03-F9CAD24E7473}"/>
    <cellStyle name="Separador de milhares 2 4 7 2 2" xfId="11179" xr:uid="{A4813B0F-48EA-44AB-85D2-887AAA4C62C1}"/>
    <cellStyle name="Separador de milhares 2 4 7 3" xfId="8011" xr:uid="{F0D769B5-450E-4412-BF09-4F5D9CF08186}"/>
    <cellStyle name="Separador de milhares 2 4 8" xfId="3246" xr:uid="{DCA11699-9F89-40FB-86B9-CDEABFB117B2}"/>
    <cellStyle name="Separador de milhares 2 4 8 2" xfId="9585" xr:uid="{691B693B-53C1-43EA-996C-BE2290EDA571}"/>
    <cellStyle name="Separador de milhares 2 4 9" xfId="6417" xr:uid="{7EA35932-CEE0-4B56-A69F-94BFE3FFEF99}"/>
    <cellStyle name="Separador de milhares 2 5" xfId="111" xr:uid="{B5711140-592A-45DB-8DB2-8E27B06FA5CD}"/>
    <cellStyle name="Separador de milhares 2 5 2" xfId="193" xr:uid="{108D0665-794C-4F4F-98BC-16BEB8BC86D7}"/>
    <cellStyle name="Separador de milhares 2 5 2 2" xfId="410" xr:uid="{BD15B4EA-539C-459C-BFDB-F7D073371D66}"/>
    <cellStyle name="Separador de milhares 2 5 2 2 2" xfId="791" xr:uid="{542D81DC-C78D-4D28-A51D-2FF7487F5145}"/>
    <cellStyle name="Separador de milhares 2 5 2 2 2 2" xfId="1590" xr:uid="{16B58C3C-88DD-4BB3-A08F-ABABC8344F71}"/>
    <cellStyle name="Separador de milhares 2 5 2 2 2 2 2" xfId="3161" xr:uid="{74927EAB-4EA8-4F1E-8347-463DD64FDCB5}"/>
    <cellStyle name="Separador de milhares 2 5 2 2 2 2 2 2" xfId="6331" xr:uid="{CE4C8724-0A9E-4B6A-AB3A-29A553C01EA7}"/>
    <cellStyle name="Separador de milhares 2 5 2 2 2 2 2 2 2" xfId="12670" xr:uid="{C0A37978-E5FB-419F-84FA-75AB86E029DB}"/>
    <cellStyle name="Separador de milhares 2 5 2 2 2 2 2 3" xfId="9502" xr:uid="{8AC9283D-287C-4EA6-8D66-8009746BDC40}"/>
    <cellStyle name="Separador de milhares 2 5 2 2 2 2 3" xfId="4762" xr:uid="{B6F33E4E-7D82-431C-AA98-9D529482B40A}"/>
    <cellStyle name="Separador de milhares 2 5 2 2 2 2 3 2" xfId="11101" xr:uid="{71275C32-A76F-4605-B4AD-1B7766A6E8E3}"/>
    <cellStyle name="Separador de milhares 2 5 2 2 2 2 4" xfId="7933" xr:uid="{ED65F3BE-A379-417C-A468-AF693CF36541}"/>
    <cellStyle name="Separador de milhares 2 5 2 2 2 3" xfId="2364" xr:uid="{82014D70-65D6-4A49-A915-58DFBB432ABD}"/>
    <cellStyle name="Separador de milhares 2 5 2 2 2 3 2" xfId="5534" xr:uid="{958D4498-A73C-4114-9832-5A6B187289EF}"/>
    <cellStyle name="Separador de milhares 2 5 2 2 2 3 2 2" xfId="11873" xr:uid="{B8F07E63-4AE4-4848-9523-7B1F8DE0A647}"/>
    <cellStyle name="Separador de milhares 2 5 2 2 2 3 3" xfId="8705" xr:uid="{EDB74296-CB21-4B85-9E29-3B430F201B71}"/>
    <cellStyle name="Separador de milhares 2 5 2 2 2 4" xfId="3965" xr:uid="{68EB7424-32B2-4453-8FF6-66072F3F2C82}"/>
    <cellStyle name="Separador de milhares 2 5 2 2 2 4 2" xfId="10304" xr:uid="{9D96FE24-0BA3-4F94-8773-D88925A690FB}"/>
    <cellStyle name="Separador de milhares 2 5 2 2 2 5" xfId="7136" xr:uid="{94727DCD-EEC0-4DF9-B308-3BCC37A3EFC9}"/>
    <cellStyle name="Separador de milhares 2 5 2 2 3" xfId="1209" xr:uid="{0ED9B4E2-03E5-49BB-9C5F-B7FDF4E62931}"/>
    <cellStyle name="Separador de milhares 2 5 2 2 3 2" xfId="2780" xr:uid="{A147FA35-9787-4CAB-926B-15BD6805276B}"/>
    <cellStyle name="Separador de milhares 2 5 2 2 3 2 2" xfId="5950" xr:uid="{663FD82A-44A3-4D7F-BA65-8D43FCF02E27}"/>
    <cellStyle name="Separador de milhares 2 5 2 2 3 2 2 2" xfId="12289" xr:uid="{BE7D5283-77A9-45EC-8A70-8F057027A1FD}"/>
    <cellStyle name="Separador de milhares 2 5 2 2 3 2 3" xfId="9121" xr:uid="{6D2F77BF-22E0-4DCB-B073-7F8616C4E890}"/>
    <cellStyle name="Separador de milhares 2 5 2 2 3 3" xfId="4381" xr:uid="{F8AFC160-E57F-4976-A5EC-59F09259FFD5}"/>
    <cellStyle name="Separador de milhares 2 5 2 2 3 3 2" xfId="10720" xr:uid="{21D1BEA9-373D-4C62-B3A1-00837862476A}"/>
    <cellStyle name="Separador de milhares 2 5 2 2 3 4" xfId="7552" xr:uid="{B3202600-E470-4108-B91B-B1148E2D4C40}"/>
    <cellStyle name="Separador de milhares 2 5 2 2 4" xfId="1983" xr:uid="{5BA78AA0-E682-44CA-B311-9BFFA970DF45}"/>
    <cellStyle name="Separador de milhares 2 5 2 2 4 2" xfId="5153" xr:uid="{AF57F516-E29E-48AB-8B60-658CBD5E1712}"/>
    <cellStyle name="Separador de milhares 2 5 2 2 4 2 2" xfId="11492" xr:uid="{BBF8C6A2-7D02-4C6B-9F4D-4B6B3DF0FD16}"/>
    <cellStyle name="Separador de milhares 2 5 2 2 4 3" xfId="8324" xr:uid="{6C990CD9-412E-4D5C-8132-027A53B8CAFB}"/>
    <cellStyle name="Separador de milhares 2 5 2 2 5" xfId="3584" xr:uid="{BF18538D-842D-4545-A48D-FA77F2B2024A}"/>
    <cellStyle name="Separador de milhares 2 5 2 2 5 2" xfId="9923" xr:uid="{BDC3FE09-C8CB-4393-BF64-2A434CA4A7B9}"/>
    <cellStyle name="Separador de milhares 2 5 2 2 6" xfId="6755" xr:uid="{D1504088-1B0E-4698-B9FD-1E51675116C6}"/>
    <cellStyle name="Separador de milhares 2 5 2 3" xfId="588" xr:uid="{4ABD056B-0B30-4F1E-873D-E739F74F8AF7}"/>
    <cellStyle name="Separador de milhares 2 5 2 3 2" xfId="1387" xr:uid="{0A973CF7-C4D0-4E05-B666-0A8A5D4005CD}"/>
    <cellStyle name="Separador de milhares 2 5 2 3 2 2" xfId="2958" xr:uid="{C1F8B2A0-D310-44AE-83D1-347959B51495}"/>
    <cellStyle name="Separador de milhares 2 5 2 3 2 2 2" xfId="6128" xr:uid="{07259DED-AC53-4034-8E29-BAC0DE40F373}"/>
    <cellStyle name="Separador de milhares 2 5 2 3 2 2 2 2" xfId="12467" xr:uid="{7AECF4C2-5376-436D-B06C-C58BDB8B25EB}"/>
    <cellStyle name="Separador de milhares 2 5 2 3 2 2 3" xfId="9299" xr:uid="{A031A990-2E72-44BE-AA1F-424512C8A125}"/>
    <cellStyle name="Separador de milhares 2 5 2 3 2 3" xfId="4559" xr:uid="{8794960E-8B45-4F2A-BB92-CD74ABE876B2}"/>
    <cellStyle name="Separador de milhares 2 5 2 3 2 3 2" xfId="10898" xr:uid="{319E3592-A8E4-411E-AD5C-AAA3BAA30DD7}"/>
    <cellStyle name="Separador de milhares 2 5 2 3 2 4" xfId="7730" xr:uid="{93F69391-8ECA-4782-8ED6-1A16C2C6FFA6}"/>
    <cellStyle name="Separador de milhares 2 5 2 3 3" xfId="2161" xr:uid="{9D082D61-1329-40EA-89E1-96E44804E90E}"/>
    <cellStyle name="Separador de milhares 2 5 2 3 3 2" xfId="5331" xr:uid="{2169976D-807C-4682-9E6E-B3158A1FCBF7}"/>
    <cellStyle name="Separador de milhares 2 5 2 3 3 2 2" xfId="11670" xr:uid="{F4B52D4B-1563-4ECC-9AB9-E9515B423C5D}"/>
    <cellStyle name="Separador de milhares 2 5 2 3 3 3" xfId="8502" xr:uid="{A36333A3-4D3A-47C3-9F76-EF74E80B18CD}"/>
    <cellStyle name="Separador de milhares 2 5 2 3 4" xfId="3762" xr:uid="{59C3CE42-4424-4959-A762-F44866AE72B3}"/>
    <cellStyle name="Separador de milhares 2 5 2 3 4 2" xfId="10101" xr:uid="{FA0A5279-218D-4D6C-84D7-F754B19E0B67}"/>
    <cellStyle name="Separador de milhares 2 5 2 3 5" xfId="6933" xr:uid="{16DF5E9B-1498-423D-BE67-CD4FE7E3BF70}"/>
    <cellStyle name="Separador de milhares 2 5 2 4" xfId="1006" xr:uid="{2C1C74BD-2A20-408C-B984-11DD850FB4BA}"/>
    <cellStyle name="Separador de milhares 2 5 2 4 2" xfId="2577" xr:uid="{0BF22B29-18A3-424A-947B-B5F6C5BAA5AE}"/>
    <cellStyle name="Separador de milhares 2 5 2 4 2 2" xfId="5747" xr:uid="{AC5162D4-C9D9-4C6E-9464-8E02B949FCDF}"/>
    <cellStyle name="Separador de milhares 2 5 2 4 2 2 2" xfId="12086" xr:uid="{4649C28F-2BB8-4C62-BD8D-A6BBCD4FE17F}"/>
    <cellStyle name="Separador de milhares 2 5 2 4 2 3" xfId="8918" xr:uid="{17753E48-A2AC-4C0E-824B-BA7635F453CD}"/>
    <cellStyle name="Separador de milhares 2 5 2 4 3" xfId="4178" xr:uid="{B35D48C7-546C-4A13-9493-6F014A696E31}"/>
    <cellStyle name="Separador de milhares 2 5 2 4 3 2" xfId="10517" xr:uid="{A1FECCA3-267B-4737-9BFD-39534FBD0790}"/>
    <cellStyle name="Separador de milhares 2 5 2 4 4" xfId="7349" xr:uid="{BC94B770-2433-4854-BADF-A3E28379FDFB}"/>
    <cellStyle name="Separador de milhares 2 5 2 5" xfId="1780" xr:uid="{C70AB0F9-69BC-4985-91B4-E856A3D9D331}"/>
    <cellStyle name="Separador de milhares 2 5 2 5 2" xfId="4950" xr:uid="{BB4D3ABB-3665-43F3-AB03-81DD600C621E}"/>
    <cellStyle name="Separador de milhares 2 5 2 5 2 2" xfId="11289" xr:uid="{BB0BE186-13F2-42A5-9F90-329B41B7AA29}"/>
    <cellStyle name="Separador de milhares 2 5 2 5 3" xfId="8121" xr:uid="{A1E2C32D-DECB-446D-9A83-73523B988C48}"/>
    <cellStyle name="Separador de milhares 2 5 2 6" xfId="3381" xr:uid="{D0830F21-2636-4A9D-ACFB-05494078E3A1}"/>
    <cellStyle name="Separador de milhares 2 5 2 6 2" xfId="9720" xr:uid="{4EBAFBC2-529E-4B5F-B040-B66708390668}"/>
    <cellStyle name="Separador de milhares 2 5 2 7" xfId="6552" xr:uid="{9A5A7C94-F679-4E02-B63F-52D20A5ED5D6}"/>
    <cellStyle name="Separador de milhares 2 5 3" xfId="328" xr:uid="{EB58C271-5E8D-4D30-BBDD-CDC47049F626}"/>
    <cellStyle name="Separador de milhares 2 5 3 2" xfId="712" xr:uid="{8D5B26CF-68B2-4459-AB2B-3EE8F6D460B2}"/>
    <cellStyle name="Separador de milhares 2 5 3 2 2" xfId="1511" xr:uid="{CD07405E-AF62-48FF-A8D0-F98860E0501E}"/>
    <cellStyle name="Separador de milhares 2 5 3 2 2 2" xfId="3082" xr:uid="{51C0DC4B-F39C-4CC7-864F-4346DBD61EF9}"/>
    <cellStyle name="Separador de milhares 2 5 3 2 2 2 2" xfId="6252" xr:uid="{59BCF9E5-10A7-4896-89E1-373CF7983A54}"/>
    <cellStyle name="Separador de milhares 2 5 3 2 2 2 2 2" xfId="12591" xr:uid="{0523BDAD-4941-4964-AB4B-4E39E5366D02}"/>
    <cellStyle name="Separador de milhares 2 5 3 2 2 2 3" xfId="9423" xr:uid="{B21BCC77-94D6-4998-9288-A6100F9A1FD9}"/>
    <cellStyle name="Separador de milhares 2 5 3 2 2 3" xfId="4683" xr:uid="{965AC3A6-098F-473C-9B18-B62A347DE96C}"/>
    <cellStyle name="Separador de milhares 2 5 3 2 2 3 2" xfId="11022" xr:uid="{1F0A3F17-0B73-4BB5-882E-CD0CB05D2239}"/>
    <cellStyle name="Separador de milhares 2 5 3 2 2 4" xfId="7854" xr:uid="{448ADA64-5C7A-4A42-9E27-386AC38AE7EB}"/>
    <cellStyle name="Separador de milhares 2 5 3 2 3" xfId="2285" xr:uid="{DD0F3C7E-5BC0-45F2-85A3-38E70A6FA4A4}"/>
    <cellStyle name="Separador de milhares 2 5 3 2 3 2" xfId="5455" xr:uid="{446F79AC-8EFD-448F-9580-C830207D3ED5}"/>
    <cellStyle name="Separador de milhares 2 5 3 2 3 2 2" xfId="11794" xr:uid="{69A690FC-6ADF-4231-9DD4-E78AD355E4FF}"/>
    <cellStyle name="Separador de milhares 2 5 3 2 3 3" xfId="8626" xr:uid="{69FC3035-D9E2-40D9-8A81-223FE399B164}"/>
    <cellStyle name="Separador de milhares 2 5 3 2 4" xfId="3886" xr:uid="{8455731F-1DB0-48A2-BE47-04E04D1E3659}"/>
    <cellStyle name="Separador de milhares 2 5 3 2 4 2" xfId="10225" xr:uid="{03CEDA23-177D-4A17-9DD7-3F567628368B}"/>
    <cellStyle name="Separador de milhares 2 5 3 2 5" xfId="7057" xr:uid="{E86E8DD1-2B72-4B2A-97A0-52F1C8051324}"/>
    <cellStyle name="Separador de milhares 2 5 3 3" xfId="1130" xr:uid="{A495891A-B6C4-49F1-B667-6B45DAC5800E}"/>
    <cellStyle name="Separador de milhares 2 5 3 3 2" xfId="2701" xr:uid="{24812842-64C8-4109-B360-B2D72CEB5F6A}"/>
    <cellStyle name="Separador de milhares 2 5 3 3 2 2" xfId="5871" xr:uid="{CF9F6952-1264-4EB6-994F-DE19B054F36F}"/>
    <cellStyle name="Separador de milhares 2 5 3 3 2 2 2" xfId="12210" xr:uid="{26C7D810-B104-4A39-86C7-E7A788E721B0}"/>
    <cellStyle name="Separador de milhares 2 5 3 3 2 3" xfId="9042" xr:uid="{2E4B6828-B5BE-44F6-BBBE-F55AB9DCD96B}"/>
    <cellStyle name="Separador de milhares 2 5 3 3 3" xfId="4302" xr:uid="{75AFF07A-3D71-4B99-A168-0AC13B8AC821}"/>
    <cellStyle name="Separador de milhares 2 5 3 3 3 2" xfId="10641" xr:uid="{67C2F4E3-0D5D-45F2-BB16-7DC56BC22615}"/>
    <cellStyle name="Separador de milhares 2 5 3 3 4" xfId="7473" xr:uid="{1903E4B6-6FD9-453E-B527-9A963934D60B}"/>
    <cellStyle name="Separador de milhares 2 5 3 4" xfId="1904" xr:uid="{2095C713-7044-46EE-9447-E96467EE3FC7}"/>
    <cellStyle name="Separador de milhares 2 5 3 4 2" xfId="5074" xr:uid="{AE4A877C-8B14-44CC-8EF7-A03D64A07367}"/>
    <cellStyle name="Separador de milhares 2 5 3 4 2 2" xfId="11413" xr:uid="{9E6B0E3D-E151-41E3-93A5-112E119A3BD6}"/>
    <cellStyle name="Separador de milhares 2 5 3 4 3" xfId="8245" xr:uid="{397EBCFB-0121-4410-9CFC-74EA67D87016}"/>
    <cellStyle name="Separador de milhares 2 5 3 5" xfId="3505" xr:uid="{B68DDF18-6386-4FAF-88A4-73B88295220E}"/>
    <cellStyle name="Separador de milhares 2 5 3 5 2" xfId="9844" xr:uid="{F0CC603F-7FEC-4BEC-9AFC-26E8CE23E656}"/>
    <cellStyle name="Separador de milhares 2 5 3 6" xfId="6676" xr:uid="{6C15D8B0-E6F9-4D94-99A0-97E46A645DF2}"/>
    <cellStyle name="Separador de milhares 2 5 4" xfId="524" xr:uid="{4F3A1C0E-42DC-474B-BE0C-3A7B77F667BE}"/>
    <cellStyle name="Separador de milhares 2 5 4 2" xfId="1323" xr:uid="{0475A1D2-B350-4506-AD6E-139AEAFF503C}"/>
    <cellStyle name="Separador de milhares 2 5 4 2 2" xfId="2894" xr:uid="{104729E4-11DB-4329-A504-99F96366F285}"/>
    <cellStyle name="Separador de milhares 2 5 4 2 2 2" xfId="6064" xr:uid="{D009CC94-A80B-41E9-944D-FC3D266C5361}"/>
    <cellStyle name="Separador de milhares 2 5 4 2 2 2 2" xfId="12403" xr:uid="{3019C8D4-4CFA-4508-A797-DEF8DF06D501}"/>
    <cellStyle name="Separador de milhares 2 5 4 2 2 3" xfId="9235" xr:uid="{1D35ED60-FBD3-4A48-B8A3-FF1ED4D7335A}"/>
    <cellStyle name="Separador de milhares 2 5 4 2 3" xfId="4495" xr:uid="{5AEC2727-1617-4F8B-89FB-ECD12D551477}"/>
    <cellStyle name="Separador de milhares 2 5 4 2 3 2" xfId="10834" xr:uid="{43F7D413-8742-4B13-91B6-B1C53FC37A03}"/>
    <cellStyle name="Separador de milhares 2 5 4 2 4" xfId="7666" xr:uid="{3C670A2F-2D52-4336-A5DC-8787BE92645D}"/>
    <cellStyle name="Separador de milhares 2 5 4 3" xfId="2097" xr:uid="{F8A9D7F0-6994-46A9-9972-996EF36B4FC4}"/>
    <cellStyle name="Separador de milhares 2 5 4 3 2" xfId="5267" xr:uid="{EC5AC30F-6F77-46EC-836C-B58AFD3DB647}"/>
    <cellStyle name="Separador de milhares 2 5 4 3 2 2" xfId="11606" xr:uid="{AEC3763A-78D7-46DB-BBFF-EE4936ED7772}"/>
    <cellStyle name="Separador de milhares 2 5 4 3 3" xfId="8438" xr:uid="{518E5674-6E3D-498B-99F4-CF484719599D}"/>
    <cellStyle name="Separador de milhares 2 5 4 4" xfId="3698" xr:uid="{B0042B39-47EA-4ED3-B6A3-C52FE11DAD7B}"/>
    <cellStyle name="Separador de milhares 2 5 4 4 2" xfId="10037" xr:uid="{216EEA6A-5D18-4C12-82E6-FB47C02E74D0}"/>
    <cellStyle name="Separador de milhares 2 5 4 5" xfId="6869" xr:uid="{B1EC5FD3-4404-46DB-AD13-3CDD98009994}"/>
    <cellStyle name="Separador de milhares 2 5 5" xfId="927" xr:uid="{E718A10D-3C70-4627-A95D-E987354352D9}"/>
    <cellStyle name="Separador de milhares 2 5 5 2" xfId="2498" xr:uid="{BF60C126-FCB3-427D-9856-207FE11E9CA1}"/>
    <cellStyle name="Separador de milhares 2 5 5 2 2" xfId="5668" xr:uid="{43095F2C-8C9E-45E6-93E3-C17C2200AB53}"/>
    <cellStyle name="Separador de milhares 2 5 5 2 2 2" xfId="12007" xr:uid="{D460E027-40D7-4C47-82DF-4D9B35F5F782}"/>
    <cellStyle name="Separador de milhares 2 5 5 2 3" xfId="8839" xr:uid="{6A1B7A62-66E4-4A3A-80F2-E4C4B4749866}"/>
    <cellStyle name="Separador de milhares 2 5 5 3" xfId="4099" xr:uid="{93784C6A-3464-45F3-AF9B-3DF7C76D8318}"/>
    <cellStyle name="Separador de milhares 2 5 5 3 2" xfId="10438" xr:uid="{0066E3EE-6F77-40EC-BB82-7F919E25D6FB}"/>
    <cellStyle name="Separador de milhares 2 5 5 4" xfId="7270" xr:uid="{C97CDB0B-5DDC-4730-A43D-E5F966031537}"/>
    <cellStyle name="Separador de milhares 2 5 6" xfId="1716" xr:uid="{9AF5C717-8B90-4810-B4F9-CCB0F0CC6DF1}"/>
    <cellStyle name="Separador de milhares 2 5 6 2" xfId="4886" xr:uid="{8883AFA9-A5C4-481A-9182-26925269F438}"/>
    <cellStyle name="Separador de milhares 2 5 6 2 2" xfId="11225" xr:uid="{A3983067-6519-46B0-B478-231C0BB4EA90}"/>
    <cellStyle name="Separador de milhares 2 5 6 3" xfId="8057" xr:uid="{E6C52725-1A0B-40D5-9ACF-3B7646221568}"/>
    <cellStyle name="Separador de milhares 2 5 7" xfId="3302" xr:uid="{E16D531B-7580-43B8-BF84-561676385066}"/>
    <cellStyle name="Separador de milhares 2 5 7 2" xfId="9641" xr:uid="{5BCB58EC-7E27-46D2-BF45-52617E322DE3}"/>
    <cellStyle name="Separador de milhares 2 5 8" xfId="6473" xr:uid="{F5A6585C-B3E2-4E61-BBF5-17ECB226129B}"/>
    <cellStyle name="Separador de milhares 2 6" xfId="119" xr:uid="{17AD3F02-0D76-447C-8961-FE84F6633081}"/>
    <cellStyle name="Separador de milhares 2 6 2" xfId="201" xr:uid="{A0F0ABAD-4AAA-4A40-8FD1-0BFE8AD77D95}"/>
    <cellStyle name="Separador de milhares 2 6 2 2" xfId="418" xr:uid="{0A14F57F-8AA9-4219-AC5B-A77604EFC2F9}"/>
    <cellStyle name="Separador de milhares 2 6 2 2 2" xfId="799" xr:uid="{C35B9759-F6A8-4E98-B6FB-2ACAFCAD7D6F}"/>
    <cellStyle name="Separador de milhares 2 6 2 2 2 2" xfId="1598" xr:uid="{C1FB16D1-F2AB-45EA-9DEB-A8A0460A4CB5}"/>
    <cellStyle name="Separador de milhares 2 6 2 2 2 2 2" xfId="3169" xr:uid="{EEF2A18A-30C0-4781-A6EE-31C4863FA8A8}"/>
    <cellStyle name="Separador de milhares 2 6 2 2 2 2 2 2" xfId="6339" xr:uid="{C6EA3FC9-4395-4ED0-9097-8AD562A70D88}"/>
    <cellStyle name="Separador de milhares 2 6 2 2 2 2 2 2 2" xfId="12678" xr:uid="{61BEBB32-1B78-4359-A699-EE76D3174D3F}"/>
    <cellStyle name="Separador de milhares 2 6 2 2 2 2 2 3" xfId="9510" xr:uid="{8CE3A38D-8645-4ACF-BCFF-1DF645D5DC4C}"/>
    <cellStyle name="Separador de milhares 2 6 2 2 2 2 3" xfId="4770" xr:uid="{EBA5F281-AC54-45E6-A743-5B5DB6510D00}"/>
    <cellStyle name="Separador de milhares 2 6 2 2 2 2 3 2" xfId="11109" xr:uid="{62EDFDA3-3B2F-4D61-B245-5674C73A30A0}"/>
    <cellStyle name="Separador de milhares 2 6 2 2 2 2 4" xfId="7941" xr:uid="{22C12F39-08B7-4973-834C-7E6D34F7806F}"/>
    <cellStyle name="Separador de milhares 2 6 2 2 2 3" xfId="2372" xr:uid="{2C1AE70C-6267-40EC-B3CE-2B16B9C45809}"/>
    <cellStyle name="Separador de milhares 2 6 2 2 2 3 2" xfId="5542" xr:uid="{77166BA1-42D4-408C-A7D3-902122E91895}"/>
    <cellStyle name="Separador de milhares 2 6 2 2 2 3 2 2" xfId="11881" xr:uid="{5E2E975E-B5B6-4DC4-BFA9-990A7E13984E}"/>
    <cellStyle name="Separador de milhares 2 6 2 2 2 3 3" xfId="8713" xr:uid="{D034C025-E1F3-4855-9F10-7A0B7246EADC}"/>
    <cellStyle name="Separador de milhares 2 6 2 2 2 4" xfId="3973" xr:uid="{95E199BB-0EA8-4FE4-9C2F-34D7BE384AA5}"/>
    <cellStyle name="Separador de milhares 2 6 2 2 2 4 2" xfId="10312" xr:uid="{38238C00-5B80-42B7-809B-20BFDA043F7C}"/>
    <cellStyle name="Separador de milhares 2 6 2 2 2 5" xfId="7144" xr:uid="{1CD96D64-69AD-4C43-8FFA-1B0DF435F559}"/>
    <cellStyle name="Separador de milhares 2 6 2 2 3" xfId="1217" xr:uid="{59ECF0E6-FA58-4128-B681-331F4C74C801}"/>
    <cellStyle name="Separador de milhares 2 6 2 2 3 2" xfId="2788" xr:uid="{B9D01E97-1754-401E-A9CB-20B19DF0ECC8}"/>
    <cellStyle name="Separador de milhares 2 6 2 2 3 2 2" xfId="5958" xr:uid="{C22DC2BA-A2C4-4986-9958-224592928FEC}"/>
    <cellStyle name="Separador de milhares 2 6 2 2 3 2 2 2" xfId="12297" xr:uid="{92D21E31-EBB1-440A-A3A1-67D10AE4F245}"/>
    <cellStyle name="Separador de milhares 2 6 2 2 3 2 3" xfId="9129" xr:uid="{09626C7E-93AA-4577-B7F2-ED5C0649F65B}"/>
    <cellStyle name="Separador de milhares 2 6 2 2 3 3" xfId="4389" xr:uid="{6E4C0F10-BA0F-4225-9A9B-B2EBF4935310}"/>
    <cellStyle name="Separador de milhares 2 6 2 2 3 3 2" xfId="10728" xr:uid="{874947F4-06DC-4761-83E6-413A65F9217B}"/>
    <cellStyle name="Separador de milhares 2 6 2 2 3 4" xfId="7560" xr:uid="{7364AC73-3F40-43D3-B621-E2FC2FA8B224}"/>
    <cellStyle name="Separador de milhares 2 6 2 2 4" xfId="1991" xr:uid="{10A02D07-438F-4D2C-81C4-E36492BDA139}"/>
    <cellStyle name="Separador de milhares 2 6 2 2 4 2" xfId="5161" xr:uid="{9FADCB38-7EA9-4F79-A717-01A8C411B2E7}"/>
    <cellStyle name="Separador de milhares 2 6 2 2 4 2 2" xfId="11500" xr:uid="{8596F72A-A5C1-458F-B910-69DD002C7BEE}"/>
    <cellStyle name="Separador de milhares 2 6 2 2 4 3" xfId="8332" xr:uid="{36CBA5B5-1B3C-44C1-99D5-C271D84C11E6}"/>
    <cellStyle name="Separador de milhares 2 6 2 2 5" xfId="3592" xr:uid="{8DD4D531-86CF-4162-87F7-06904F17ABF9}"/>
    <cellStyle name="Separador de milhares 2 6 2 2 5 2" xfId="9931" xr:uid="{87937A91-D666-4D2C-A62F-BBCCEBC52984}"/>
    <cellStyle name="Separador de milhares 2 6 2 2 6" xfId="6763" xr:uid="{A71DCABE-11C5-44C8-802B-9307289424BF}"/>
    <cellStyle name="Separador de milhares 2 6 2 3" xfId="596" xr:uid="{9A44EAF9-03E8-4EB3-AA6C-F647E502A033}"/>
    <cellStyle name="Separador de milhares 2 6 2 3 2" xfId="1395" xr:uid="{9586FC30-0F65-42FF-A310-1664209915DB}"/>
    <cellStyle name="Separador de milhares 2 6 2 3 2 2" xfId="2966" xr:uid="{840F05D6-67CC-4342-9E4E-DE79CC346516}"/>
    <cellStyle name="Separador de milhares 2 6 2 3 2 2 2" xfId="6136" xr:uid="{62564B93-C5D2-4D1C-970F-12FF80885943}"/>
    <cellStyle name="Separador de milhares 2 6 2 3 2 2 2 2" xfId="12475" xr:uid="{A47E6315-7BED-4AAD-AEF4-2E4A88E623AA}"/>
    <cellStyle name="Separador de milhares 2 6 2 3 2 2 3" xfId="9307" xr:uid="{16EAABF4-0000-4883-9D06-7C25CD0643FC}"/>
    <cellStyle name="Separador de milhares 2 6 2 3 2 3" xfId="4567" xr:uid="{77B41667-649C-4159-A7D3-562CD4143782}"/>
    <cellStyle name="Separador de milhares 2 6 2 3 2 3 2" xfId="10906" xr:uid="{1C91F5ED-7D1D-483F-9CB5-3156E131A49D}"/>
    <cellStyle name="Separador de milhares 2 6 2 3 2 4" xfId="7738" xr:uid="{8E131BE2-9AB6-4E79-B732-94BCF3EEFF19}"/>
    <cellStyle name="Separador de milhares 2 6 2 3 3" xfId="2169" xr:uid="{91A408E5-F23E-482C-8341-DBB5ACA4139C}"/>
    <cellStyle name="Separador de milhares 2 6 2 3 3 2" xfId="5339" xr:uid="{2A450D7B-F0A5-45C7-97D8-07428D2DAFBD}"/>
    <cellStyle name="Separador de milhares 2 6 2 3 3 2 2" xfId="11678" xr:uid="{55065C4D-C6D5-41F9-98CE-00B274AD0767}"/>
    <cellStyle name="Separador de milhares 2 6 2 3 3 3" xfId="8510" xr:uid="{C635E10E-4E9F-45B6-BAF4-6273816A9405}"/>
    <cellStyle name="Separador de milhares 2 6 2 3 4" xfId="3770" xr:uid="{02EBA80F-A8CB-4120-9846-7763CD9AA9BD}"/>
    <cellStyle name="Separador de milhares 2 6 2 3 4 2" xfId="10109" xr:uid="{05EFDAAB-55DF-4692-8607-A0E8FC9BFA85}"/>
    <cellStyle name="Separador de milhares 2 6 2 3 5" xfId="6941" xr:uid="{9B34E56B-3EA5-4FC0-9E68-E36A6FB65093}"/>
    <cellStyle name="Separador de milhares 2 6 2 4" xfId="1014" xr:uid="{BACE8338-DC1B-49DB-8C25-429FFB720C5A}"/>
    <cellStyle name="Separador de milhares 2 6 2 4 2" xfId="2585" xr:uid="{1BE9FA44-1C3B-465D-933D-1F4222566292}"/>
    <cellStyle name="Separador de milhares 2 6 2 4 2 2" xfId="5755" xr:uid="{46951F3C-8497-4093-A60D-C34B12D85367}"/>
    <cellStyle name="Separador de milhares 2 6 2 4 2 2 2" xfId="12094" xr:uid="{6214DC27-5CD1-4506-BF82-25CB18756215}"/>
    <cellStyle name="Separador de milhares 2 6 2 4 2 3" xfId="8926" xr:uid="{858A16C4-BAA1-49C6-BCC0-54BF443EF7CA}"/>
    <cellStyle name="Separador de milhares 2 6 2 4 3" xfId="4186" xr:uid="{B74B8C3B-AF6C-4917-A62A-26E0249FE35B}"/>
    <cellStyle name="Separador de milhares 2 6 2 4 3 2" xfId="10525" xr:uid="{ABA00E01-5824-4732-B75A-3BC182BF84CA}"/>
    <cellStyle name="Separador de milhares 2 6 2 4 4" xfId="7357" xr:uid="{BF4D2952-D02D-4B8F-BD28-40B5B071B2A8}"/>
    <cellStyle name="Separador de milhares 2 6 2 5" xfId="1788" xr:uid="{32FDB605-7265-44CB-8874-2C0909FFE19D}"/>
    <cellStyle name="Separador de milhares 2 6 2 5 2" xfId="4958" xr:uid="{249D9BA2-5A0D-479C-B7C5-95EC6CB941E8}"/>
    <cellStyle name="Separador de milhares 2 6 2 5 2 2" xfId="11297" xr:uid="{D1D70C8C-D077-400D-81B8-086089ED593D}"/>
    <cellStyle name="Separador de milhares 2 6 2 5 3" xfId="8129" xr:uid="{E67B1FFA-3CC5-47ED-8F07-A33C46D1810F}"/>
    <cellStyle name="Separador de milhares 2 6 2 6" xfId="3389" xr:uid="{3386C401-5E45-43CB-8C13-251ECCBF0239}"/>
    <cellStyle name="Separador de milhares 2 6 2 6 2" xfId="9728" xr:uid="{50F7A5C8-D627-4B2F-864B-8A79235D2A9E}"/>
    <cellStyle name="Separador de milhares 2 6 2 7" xfId="6560" xr:uid="{9F0ABC0F-40C3-4A58-9A45-ED8F82C3FCF3}"/>
    <cellStyle name="Separador de milhares 2 6 3" xfId="336" xr:uid="{28E0565E-4BDC-4ADC-BF22-54FEA20D1A0D}"/>
    <cellStyle name="Separador de milhares 2 6 3 2" xfId="718" xr:uid="{B8B3EA9A-39A7-4D8D-9E8C-916DE0DF8B37}"/>
    <cellStyle name="Separador de milhares 2 6 3 2 2" xfId="1517" xr:uid="{E803D991-3166-408C-B81C-83375773B7EF}"/>
    <cellStyle name="Separador de milhares 2 6 3 2 2 2" xfId="3088" xr:uid="{0C5479D4-A8B9-438B-9B1B-A3ED17E166EC}"/>
    <cellStyle name="Separador de milhares 2 6 3 2 2 2 2" xfId="6258" xr:uid="{BC427D2A-69EE-4870-AC7B-E58F1349DF87}"/>
    <cellStyle name="Separador de milhares 2 6 3 2 2 2 2 2" xfId="12597" xr:uid="{298B7242-C820-4A9B-9B81-86F86938B8D1}"/>
    <cellStyle name="Separador de milhares 2 6 3 2 2 2 3" xfId="9429" xr:uid="{700DEC8C-B9C4-43CE-8B29-B1C6241BB56E}"/>
    <cellStyle name="Separador de milhares 2 6 3 2 2 3" xfId="4689" xr:uid="{97BDBCD3-FF3A-4F9E-BFF8-19DC3D4BE6CD}"/>
    <cellStyle name="Separador de milhares 2 6 3 2 2 3 2" xfId="11028" xr:uid="{8627AB74-43C5-44BC-856F-381B6FD18B3F}"/>
    <cellStyle name="Separador de milhares 2 6 3 2 2 4" xfId="7860" xr:uid="{70234FD3-7F4C-4C78-9408-FE019D82BB36}"/>
    <cellStyle name="Separador de milhares 2 6 3 2 3" xfId="2291" xr:uid="{C715417B-1DEA-46CD-982C-B7377E1305E6}"/>
    <cellStyle name="Separador de milhares 2 6 3 2 3 2" xfId="5461" xr:uid="{33639D61-1DD3-4881-B6B8-949D495AF563}"/>
    <cellStyle name="Separador de milhares 2 6 3 2 3 2 2" xfId="11800" xr:uid="{6037BA52-9AEE-4C44-AD96-9A39E95C8EDB}"/>
    <cellStyle name="Separador de milhares 2 6 3 2 3 3" xfId="8632" xr:uid="{E8B036E5-4442-48F9-8B4B-763418208423}"/>
    <cellStyle name="Separador de milhares 2 6 3 2 4" xfId="3892" xr:uid="{1615947D-0C95-4371-8A11-A07002C1A9E9}"/>
    <cellStyle name="Separador de milhares 2 6 3 2 4 2" xfId="10231" xr:uid="{A5106D91-39C0-42AB-A537-8CBA895B19AA}"/>
    <cellStyle name="Separador de milhares 2 6 3 2 5" xfId="7063" xr:uid="{AC429EA2-8E03-4F49-908F-B814C0ADC48E}"/>
    <cellStyle name="Separador de milhares 2 6 3 3" xfId="1136" xr:uid="{09AF4158-2548-44B8-9BA8-5752B5D09A1A}"/>
    <cellStyle name="Separador de milhares 2 6 3 3 2" xfId="2707" xr:uid="{284B874B-3C53-4F7B-BE28-5370F59CC22D}"/>
    <cellStyle name="Separador de milhares 2 6 3 3 2 2" xfId="5877" xr:uid="{3D759386-F36F-40D2-A01F-84686E9DE586}"/>
    <cellStyle name="Separador de milhares 2 6 3 3 2 2 2" xfId="12216" xr:uid="{39A861EB-920D-4310-A202-2C9A49126903}"/>
    <cellStyle name="Separador de milhares 2 6 3 3 2 3" xfId="9048" xr:uid="{6D292F4A-8A58-45AC-B82B-2122BBCF8DEE}"/>
    <cellStyle name="Separador de milhares 2 6 3 3 3" xfId="4308" xr:uid="{84571CCE-9750-4833-9DF7-BB73BEE8887E}"/>
    <cellStyle name="Separador de milhares 2 6 3 3 3 2" xfId="10647" xr:uid="{3892F15A-AE56-4804-966D-FC5E4C151396}"/>
    <cellStyle name="Separador de milhares 2 6 3 3 4" xfId="7479" xr:uid="{1FA096E4-8E31-4206-96DD-42E8E29D7664}"/>
    <cellStyle name="Separador de milhares 2 6 3 4" xfId="1910" xr:uid="{CC4DB606-E46C-43AF-B8DE-9DDA60D3CE0D}"/>
    <cellStyle name="Separador de milhares 2 6 3 4 2" xfId="5080" xr:uid="{89B90954-6CCC-4B0F-A33D-D377E553F9DA}"/>
    <cellStyle name="Separador de milhares 2 6 3 4 2 2" xfId="11419" xr:uid="{F5CA7E61-DBFA-4506-BA53-173E3F178C40}"/>
    <cellStyle name="Separador de milhares 2 6 3 4 3" xfId="8251" xr:uid="{015D427A-3F0F-4140-8D79-F7A8D0AE6456}"/>
    <cellStyle name="Separador de milhares 2 6 3 5" xfId="3511" xr:uid="{B0F3AE18-F37D-4F59-87A1-36E9CCDAD917}"/>
    <cellStyle name="Separador de milhares 2 6 3 5 2" xfId="9850" xr:uid="{D8D41429-2031-43D2-8F56-B88995F3A2B9}"/>
    <cellStyle name="Separador de milhares 2 6 3 6" xfId="6682" xr:uid="{FC362741-8230-4F3D-8520-97B5EBABA845}"/>
    <cellStyle name="Separador de milhares 2 6 4" xfId="526" xr:uid="{ADEF00C8-396F-42F1-BDA0-B6F25AD9B43B}"/>
    <cellStyle name="Separador de milhares 2 6 4 2" xfId="1325" xr:uid="{BA5C03A8-08AA-4BDF-9AD3-6237D7202B14}"/>
    <cellStyle name="Separador de milhares 2 6 4 2 2" xfId="2896" xr:uid="{938DFC8D-A093-42B9-B449-6B6087A65E95}"/>
    <cellStyle name="Separador de milhares 2 6 4 2 2 2" xfId="6066" xr:uid="{4FE2523A-36AF-4559-81BC-F49A1784BFFD}"/>
    <cellStyle name="Separador de milhares 2 6 4 2 2 2 2" xfId="12405" xr:uid="{B023A986-0341-4B33-B8F4-63A3321E5B3A}"/>
    <cellStyle name="Separador de milhares 2 6 4 2 2 3" xfId="9237" xr:uid="{4D621FED-93D1-4286-9403-4FAB8B7591D6}"/>
    <cellStyle name="Separador de milhares 2 6 4 2 3" xfId="4497" xr:uid="{200A07A6-5E73-461D-A5D2-34037096B2A7}"/>
    <cellStyle name="Separador de milhares 2 6 4 2 3 2" xfId="10836" xr:uid="{BDCF2D3A-6C84-4699-9002-C4031A4ED566}"/>
    <cellStyle name="Separador de milhares 2 6 4 2 4" xfId="7668" xr:uid="{A8A8E67A-D85C-425F-8D72-296A99F7F12F}"/>
    <cellStyle name="Separador de milhares 2 6 4 3" xfId="2099" xr:uid="{3963410C-0CED-446C-B0A8-97BA85318708}"/>
    <cellStyle name="Separador de milhares 2 6 4 3 2" xfId="5269" xr:uid="{55267F9D-65DD-4B9C-9182-4908A7926C61}"/>
    <cellStyle name="Separador de milhares 2 6 4 3 2 2" xfId="11608" xr:uid="{0F4EEF34-003E-4EC3-B3F9-A7701513B100}"/>
    <cellStyle name="Separador de milhares 2 6 4 3 3" xfId="8440" xr:uid="{AFACA724-1AEE-4142-A7C9-B4F9595CEABB}"/>
    <cellStyle name="Separador de milhares 2 6 4 4" xfId="3700" xr:uid="{69152B56-6940-4306-8B69-32D6357308CC}"/>
    <cellStyle name="Separador de milhares 2 6 4 4 2" xfId="10039" xr:uid="{6713647E-2467-444F-9487-59F077900949}"/>
    <cellStyle name="Separador de milhares 2 6 4 5" xfId="6871" xr:uid="{76E38F51-D08E-42E1-BBAA-91A66FC56F76}"/>
    <cellStyle name="Separador de milhares 2 6 5" xfId="933" xr:uid="{27EF8671-2C80-459D-A3F1-D9B2AE78800A}"/>
    <cellStyle name="Separador de milhares 2 6 5 2" xfId="2504" xr:uid="{7F8A3790-9BFA-4E05-8457-D5F496C4FDDA}"/>
    <cellStyle name="Separador de milhares 2 6 5 2 2" xfId="5674" xr:uid="{147255D8-FD49-49AC-AAA4-FAF98DA9B6E7}"/>
    <cellStyle name="Separador de milhares 2 6 5 2 2 2" xfId="12013" xr:uid="{A63E7632-1CC7-461D-944A-13902E5CF432}"/>
    <cellStyle name="Separador de milhares 2 6 5 2 3" xfId="8845" xr:uid="{580DED2B-4B8B-4E19-9387-1F5767D6FD8B}"/>
    <cellStyle name="Separador de milhares 2 6 5 3" xfId="4105" xr:uid="{B374927B-3AB5-454A-9408-C31D2BD613C5}"/>
    <cellStyle name="Separador de milhares 2 6 5 3 2" xfId="10444" xr:uid="{21FA23FA-E5B6-4535-A1F4-F77D4E794E6A}"/>
    <cellStyle name="Separador de milhares 2 6 5 4" xfId="7276" xr:uid="{02570829-DEB0-496B-983E-ABBF95A82569}"/>
    <cellStyle name="Separador de milhares 2 6 6" xfId="1718" xr:uid="{A10EAC67-6618-432D-972C-C3C463819C1A}"/>
    <cellStyle name="Separador de milhares 2 6 6 2" xfId="4888" xr:uid="{028BD354-63BA-4B7E-B392-5E5584B86E73}"/>
    <cellStyle name="Separador de milhares 2 6 6 2 2" xfId="11227" xr:uid="{92A25770-892E-4B85-9A6F-18653D63786E}"/>
    <cellStyle name="Separador de milhares 2 6 6 3" xfId="8059" xr:uid="{771D5B69-C21B-4D09-8725-279DA7CEB563}"/>
    <cellStyle name="Separador de milhares 2 6 7" xfId="3308" xr:uid="{50D3D4E0-783D-476E-AFB0-16F721C68294}"/>
    <cellStyle name="Separador de milhares 2 6 7 2" xfId="9647" xr:uid="{A918F98F-5F67-440F-BC14-D18A06469DA7}"/>
    <cellStyle name="Separador de milhares 2 6 8" xfId="6479" xr:uid="{2ED0A835-E22A-4617-90A3-7D845FD966E7}"/>
    <cellStyle name="Separador de milhares 2 7" xfId="126" xr:uid="{10375192-0F51-4836-B951-D8996A9156F9}"/>
    <cellStyle name="Separador de milhares 2 7 2" xfId="207" xr:uid="{324C9391-1CAF-4B34-A23D-1B185BFFE03B}"/>
    <cellStyle name="Separador de milhares 2 7 2 2" xfId="424" xr:uid="{CD82ADEB-1E08-4B91-9280-2C1E2FB59D7B}"/>
    <cellStyle name="Separador de milhares 2 7 2 2 2" xfId="805" xr:uid="{0F23EB6E-7373-4457-9C66-F435810B69BC}"/>
    <cellStyle name="Separador de milhares 2 7 2 2 2 2" xfId="1604" xr:uid="{E4D970A6-4F4A-47B4-BFF9-93C385050FC1}"/>
    <cellStyle name="Separador de milhares 2 7 2 2 2 2 2" xfId="3175" xr:uid="{15A80DCD-7CEC-4956-A5F8-4904A5C9B827}"/>
    <cellStyle name="Separador de milhares 2 7 2 2 2 2 2 2" xfId="6345" xr:uid="{18049F2E-F294-4717-B452-89D73AEF907C}"/>
    <cellStyle name="Separador de milhares 2 7 2 2 2 2 2 2 2" xfId="12684" xr:uid="{D188F35D-2789-43CF-8008-314F3B0CDA5A}"/>
    <cellStyle name="Separador de milhares 2 7 2 2 2 2 2 3" xfId="9516" xr:uid="{6335EFBC-382C-46A4-A6EC-575146843F62}"/>
    <cellStyle name="Separador de milhares 2 7 2 2 2 2 3" xfId="4776" xr:uid="{0C5A56B3-4DD1-4BE7-95E4-3324367E5438}"/>
    <cellStyle name="Separador de milhares 2 7 2 2 2 2 3 2" xfId="11115" xr:uid="{E1315F95-387A-4305-AA2F-D0706A1C41D3}"/>
    <cellStyle name="Separador de milhares 2 7 2 2 2 2 4" xfId="7947" xr:uid="{DF6CE200-66C6-45DA-B04E-D946655FA908}"/>
    <cellStyle name="Separador de milhares 2 7 2 2 2 3" xfId="2378" xr:uid="{17045DB0-D918-442E-9936-287E3334F439}"/>
    <cellStyle name="Separador de milhares 2 7 2 2 2 3 2" xfId="5548" xr:uid="{856CC0CC-C18D-4B1B-8E9C-CB19D9D2AB4B}"/>
    <cellStyle name="Separador de milhares 2 7 2 2 2 3 2 2" xfId="11887" xr:uid="{A3874F58-C857-4C10-B994-99579F937648}"/>
    <cellStyle name="Separador de milhares 2 7 2 2 2 3 3" xfId="8719" xr:uid="{4FDF38C0-C649-4913-B5AE-5C13A1273845}"/>
    <cellStyle name="Separador de milhares 2 7 2 2 2 4" xfId="3979" xr:uid="{F1F05DA9-77C5-4320-B509-49E623580C8B}"/>
    <cellStyle name="Separador de milhares 2 7 2 2 2 4 2" xfId="10318" xr:uid="{5F2DD664-723C-411E-AE7E-8419E409E5DA}"/>
    <cellStyle name="Separador de milhares 2 7 2 2 2 5" xfId="7150" xr:uid="{90C5479B-9CB8-4828-A974-1BD7CA96DB34}"/>
    <cellStyle name="Separador de milhares 2 7 2 2 3" xfId="1223" xr:uid="{C729A607-D28C-44CA-B549-C4CBAC694E5B}"/>
    <cellStyle name="Separador de milhares 2 7 2 2 3 2" xfId="2794" xr:uid="{A098887A-FC0A-41F4-BBA3-815DD6622C29}"/>
    <cellStyle name="Separador de milhares 2 7 2 2 3 2 2" xfId="5964" xr:uid="{CE157BF5-FDA9-43C4-A7F6-AD6D10AC649D}"/>
    <cellStyle name="Separador de milhares 2 7 2 2 3 2 2 2" xfId="12303" xr:uid="{F6F4EE40-1E59-4B63-8072-693F6CDF2AFA}"/>
    <cellStyle name="Separador de milhares 2 7 2 2 3 2 3" xfId="9135" xr:uid="{B40EB195-6604-4120-8D4C-EDFB76E9D536}"/>
    <cellStyle name="Separador de milhares 2 7 2 2 3 3" xfId="4395" xr:uid="{50FE112A-51CA-4B96-BB8D-0B31FD0B07E9}"/>
    <cellStyle name="Separador de milhares 2 7 2 2 3 3 2" xfId="10734" xr:uid="{24C0E7F2-700C-43E7-AD0C-409D1C95C7C8}"/>
    <cellStyle name="Separador de milhares 2 7 2 2 3 4" xfId="7566" xr:uid="{BB4765D4-C1E5-48A3-ACF6-E50B9C61837E}"/>
    <cellStyle name="Separador de milhares 2 7 2 2 4" xfId="1997" xr:uid="{6C0DE793-9B3F-4CE6-AB85-80223273E3ED}"/>
    <cellStyle name="Separador de milhares 2 7 2 2 4 2" xfId="5167" xr:uid="{271B1028-1D92-4239-83FA-0CF348EEF96A}"/>
    <cellStyle name="Separador de milhares 2 7 2 2 4 2 2" xfId="11506" xr:uid="{D1B42DFF-A0A1-49A5-9B1D-62BA6D4C4A0B}"/>
    <cellStyle name="Separador de milhares 2 7 2 2 4 3" xfId="8338" xr:uid="{507BE893-921A-4732-A428-D727B4C64846}"/>
    <cellStyle name="Separador de milhares 2 7 2 2 5" xfId="3598" xr:uid="{C355F762-5E3C-4D34-B672-5EA9F6DE814B}"/>
    <cellStyle name="Separador de milhares 2 7 2 2 5 2" xfId="9937" xr:uid="{7780950B-B86F-4C36-9086-7292907A1B7C}"/>
    <cellStyle name="Separador de milhares 2 7 2 2 6" xfId="6769" xr:uid="{CAF4F0B2-9D8F-4CA4-835D-CF5B8630426C}"/>
    <cellStyle name="Separador de milhares 2 7 2 3" xfId="602" xr:uid="{3291FAC2-ED7A-4C5C-8DDB-7EA4F64786D7}"/>
    <cellStyle name="Separador de milhares 2 7 2 3 2" xfId="1401" xr:uid="{1EC0E0DA-B21C-4E80-90BA-4FF4A47D80DA}"/>
    <cellStyle name="Separador de milhares 2 7 2 3 2 2" xfId="2972" xr:uid="{BC1BF4E9-B6D6-40EF-8D0C-64657A2FA7B8}"/>
    <cellStyle name="Separador de milhares 2 7 2 3 2 2 2" xfId="6142" xr:uid="{AA293F57-2A2A-4B24-AA28-DDE6580BF64C}"/>
    <cellStyle name="Separador de milhares 2 7 2 3 2 2 2 2" xfId="12481" xr:uid="{7370B660-1E85-4F31-8D99-6BD21203E3A5}"/>
    <cellStyle name="Separador de milhares 2 7 2 3 2 2 3" xfId="9313" xr:uid="{42994D70-F89F-4B9C-A5C0-F69F8CA6025B}"/>
    <cellStyle name="Separador de milhares 2 7 2 3 2 3" xfId="4573" xr:uid="{066D16EC-9218-4684-8487-24948BCCE247}"/>
    <cellStyle name="Separador de milhares 2 7 2 3 2 3 2" xfId="10912" xr:uid="{FCAA793A-7607-47FE-A625-23978F6224C8}"/>
    <cellStyle name="Separador de milhares 2 7 2 3 2 4" xfId="7744" xr:uid="{86B597D2-3EAC-4DE8-8730-AED0ACD592A6}"/>
    <cellStyle name="Separador de milhares 2 7 2 3 3" xfId="2175" xr:uid="{1DDC1D0A-D993-4D82-A832-744973506B42}"/>
    <cellStyle name="Separador de milhares 2 7 2 3 3 2" xfId="5345" xr:uid="{5B85188C-E971-4E6D-8E44-47697A1B45D2}"/>
    <cellStyle name="Separador de milhares 2 7 2 3 3 2 2" xfId="11684" xr:uid="{EEA6760C-BA2F-4171-ADC4-53DF9C4EFB00}"/>
    <cellStyle name="Separador de milhares 2 7 2 3 3 3" xfId="8516" xr:uid="{22B201CD-CD05-421D-82E5-F16DC41A5F09}"/>
    <cellStyle name="Separador de milhares 2 7 2 3 4" xfId="3776" xr:uid="{1497032F-7041-414C-AF3C-5F46F9B973A5}"/>
    <cellStyle name="Separador de milhares 2 7 2 3 4 2" xfId="10115" xr:uid="{F9A7F5CE-12D8-4402-BB39-64183FB69029}"/>
    <cellStyle name="Separador de milhares 2 7 2 3 5" xfId="6947" xr:uid="{7C8B15C5-874F-4745-82E6-B81B088AEDCA}"/>
    <cellStyle name="Separador de milhares 2 7 2 4" xfId="1020" xr:uid="{F111E41E-7418-41DF-B224-73254D420197}"/>
    <cellStyle name="Separador de milhares 2 7 2 4 2" xfId="2591" xr:uid="{A3AC08F5-AD3C-4160-A1C6-22474D89D8EC}"/>
    <cellStyle name="Separador de milhares 2 7 2 4 2 2" xfId="5761" xr:uid="{05CE5C3F-55F7-4EB9-90B4-9B6A24622291}"/>
    <cellStyle name="Separador de milhares 2 7 2 4 2 2 2" xfId="12100" xr:uid="{B3638C13-5D47-4852-B10B-7C9E278ECEEB}"/>
    <cellStyle name="Separador de milhares 2 7 2 4 2 3" xfId="8932" xr:uid="{C92EAAD9-E7E7-446D-BB56-C814F4CBD2DB}"/>
    <cellStyle name="Separador de milhares 2 7 2 4 3" xfId="4192" xr:uid="{FA755A89-00FA-4E68-81C9-C501DE94C842}"/>
    <cellStyle name="Separador de milhares 2 7 2 4 3 2" xfId="10531" xr:uid="{BFD7B4F6-FA15-405B-BDDA-87351E225842}"/>
    <cellStyle name="Separador de milhares 2 7 2 4 4" xfId="7363" xr:uid="{04FA0674-2006-45DE-A92C-A6AA7EE60458}"/>
    <cellStyle name="Separador de milhares 2 7 2 5" xfId="1794" xr:uid="{893F8D02-7DF3-4B70-9555-7002D3F24520}"/>
    <cellStyle name="Separador de milhares 2 7 2 5 2" xfId="4964" xr:uid="{B2BDCE07-A6E5-45A9-A49A-1CFE9CC45624}"/>
    <cellStyle name="Separador de milhares 2 7 2 5 2 2" xfId="11303" xr:uid="{2AF47C67-44A6-44D9-9D03-5D448857D236}"/>
    <cellStyle name="Separador de milhares 2 7 2 5 3" xfId="8135" xr:uid="{4D54D0F5-0DD2-4239-AB97-C48DA6A75585}"/>
    <cellStyle name="Separador de milhares 2 7 2 6" xfId="3395" xr:uid="{9A5B6809-E9F2-4244-A895-3FDBA2AD7808}"/>
    <cellStyle name="Separador de milhares 2 7 2 6 2" xfId="9734" xr:uid="{01E26907-9B84-4BD9-A6DF-3DFC8559B461}"/>
    <cellStyle name="Separador de milhares 2 7 2 7" xfId="6566" xr:uid="{85782683-57D1-4F17-9940-0D3FA708F579}"/>
    <cellStyle name="Separador de milhares 2 7 3" xfId="343" xr:uid="{B454009A-332A-4503-8609-0C10D862E975}"/>
    <cellStyle name="Separador de milhares 2 7 3 2" xfId="724" xr:uid="{01BD3B65-AAC1-467D-9DD4-A6EC67711C94}"/>
    <cellStyle name="Separador de milhares 2 7 3 2 2" xfId="1523" xr:uid="{6EA991C7-4134-420C-833E-BAD14BB9A66F}"/>
    <cellStyle name="Separador de milhares 2 7 3 2 2 2" xfId="3094" xr:uid="{FA9CEB29-1832-44E5-A251-DB771FCF052E}"/>
    <cellStyle name="Separador de milhares 2 7 3 2 2 2 2" xfId="6264" xr:uid="{740E3B1F-D89F-43DE-B844-308F55079A5D}"/>
    <cellStyle name="Separador de milhares 2 7 3 2 2 2 2 2" xfId="12603" xr:uid="{A7418B56-EF91-449F-A636-13A6B9F42632}"/>
    <cellStyle name="Separador de milhares 2 7 3 2 2 2 3" xfId="9435" xr:uid="{8D6676BD-DC62-4176-9782-CCC532F6ED11}"/>
    <cellStyle name="Separador de milhares 2 7 3 2 2 3" xfId="4695" xr:uid="{D4FC06FB-A9EF-4378-A2C6-9DD56216CEE1}"/>
    <cellStyle name="Separador de milhares 2 7 3 2 2 3 2" xfId="11034" xr:uid="{262D6725-E9C2-477A-A9BC-4099BD4D8A4F}"/>
    <cellStyle name="Separador de milhares 2 7 3 2 2 4" xfId="7866" xr:uid="{F9C4885F-F7F3-40D3-81B1-99D0B419B30C}"/>
    <cellStyle name="Separador de milhares 2 7 3 2 3" xfId="2297" xr:uid="{8156FBD3-2CBE-44CD-9767-EAB12334D9E1}"/>
    <cellStyle name="Separador de milhares 2 7 3 2 3 2" xfId="5467" xr:uid="{C0F42903-4EEF-4738-A456-1AEE31AD3B8F}"/>
    <cellStyle name="Separador de milhares 2 7 3 2 3 2 2" xfId="11806" xr:uid="{30FF7705-52FE-41C9-86E6-36514E941C55}"/>
    <cellStyle name="Separador de milhares 2 7 3 2 3 3" xfId="8638" xr:uid="{AB421668-193E-4675-A599-DF551025BFEA}"/>
    <cellStyle name="Separador de milhares 2 7 3 2 4" xfId="3898" xr:uid="{4ED36DB0-F25A-44DE-AF21-F502AE0E3382}"/>
    <cellStyle name="Separador de milhares 2 7 3 2 4 2" xfId="10237" xr:uid="{878F42CE-ED51-4EAC-8879-4471D408032A}"/>
    <cellStyle name="Separador de milhares 2 7 3 2 5" xfId="7069" xr:uid="{D6360B01-6B82-4F4C-BF18-99CCF073CAE1}"/>
    <cellStyle name="Separador de milhares 2 7 3 3" xfId="1142" xr:uid="{B9BCFE8E-69D5-4355-9484-ACABB404E3D0}"/>
    <cellStyle name="Separador de milhares 2 7 3 3 2" xfId="2713" xr:uid="{D0974CCF-25D4-43D0-BD50-A1D813B0DE60}"/>
    <cellStyle name="Separador de milhares 2 7 3 3 2 2" xfId="5883" xr:uid="{3D9F7E8E-23DC-454D-AE91-A2F2C0FACFAD}"/>
    <cellStyle name="Separador de milhares 2 7 3 3 2 2 2" xfId="12222" xr:uid="{56593BC8-5B2C-46B5-8CD4-981FA1DFB85F}"/>
    <cellStyle name="Separador de milhares 2 7 3 3 2 3" xfId="9054" xr:uid="{DE2C6604-BAAC-4F65-B955-0100430C2986}"/>
    <cellStyle name="Separador de milhares 2 7 3 3 3" xfId="4314" xr:uid="{4536386B-DDE8-4921-B2E1-629BC8C21A57}"/>
    <cellStyle name="Separador de milhares 2 7 3 3 3 2" xfId="10653" xr:uid="{C86C7610-F3D0-4FC7-9E18-1463772C2D90}"/>
    <cellStyle name="Separador de milhares 2 7 3 3 4" xfId="7485" xr:uid="{457B0AE2-F0CA-4154-86C7-FE25F87ED147}"/>
    <cellStyle name="Separador de milhares 2 7 3 4" xfId="1916" xr:uid="{8E96492F-A1CD-46F9-8A59-A318B7FFB420}"/>
    <cellStyle name="Separador de milhares 2 7 3 4 2" xfId="5086" xr:uid="{645D56D2-5106-4A2D-B8C0-EBAB10BA9210}"/>
    <cellStyle name="Separador de milhares 2 7 3 4 2 2" xfId="11425" xr:uid="{FB59913C-8766-4B13-96DD-D594B091BF33}"/>
    <cellStyle name="Separador de milhares 2 7 3 4 3" xfId="8257" xr:uid="{4E080563-E0AC-4515-AF11-E6AE4838694F}"/>
    <cellStyle name="Separador de milhares 2 7 3 5" xfId="3517" xr:uid="{56FAF242-5315-45EC-B9C5-D062A8762642}"/>
    <cellStyle name="Separador de milhares 2 7 3 5 2" xfId="9856" xr:uid="{51585AA2-763C-4865-B8FA-8A1681A759B6}"/>
    <cellStyle name="Separador de milhares 2 7 3 6" xfId="6688" xr:uid="{A744B88A-8BC6-4F6B-9BF3-1F6F170BB2A0}"/>
    <cellStyle name="Separador de milhares 2 7 4" xfId="529" xr:uid="{D1378770-288F-400C-ABE2-7D9B3D56A821}"/>
    <cellStyle name="Separador de milhares 2 7 4 2" xfId="1328" xr:uid="{EDBB0690-D607-42BE-A72B-AAFA900E4A00}"/>
    <cellStyle name="Separador de milhares 2 7 4 2 2" xfId="2899" xr:uid="{4CC8A464-68D0-4A29-A429-E590AA14E1B4}"/>
    <cellStyle name="Separador de milhares 2 7 4 2 2 2" xfId="6069" xr:uid="{2A1A6F1E-E867-4BB9-86D9-71734F5BCEE3}"/>
    <cellStyle name="Separador de milhares 2 7 4 2 2 2 2" xfId="12408" xr:uid="{6DC47D16-DE4D-48D3-8E83-2B8BCC905CA9}"/>
    <cellStyle name="Separador de milhares 2 7 4 2 2 3" xfId="9240" xr:uid="{2343ADA1-4833-4F16-AEFD-C5469905081B}"/>
    <cellStyle name="Separador de milhares 2 7 4 2 3" xfId="4500" xr:uid="{DCB6288C-506E-4053-8636-1567A9A9633C}"/>
    <cellStyle name="Separador de milhares 2 7 4 2 3 2" xfId="10839" xr:uid="{2E6DD459-4835-4652-A442-1D7107A735F3}"/>
    <cellStyle name="Separador de milhares 2 7 4 2 4" xfId="7671" xr:uid="{4DC778BD-66F0-4B30-85FB-70BCB79E80C1}"/>
    <cellStyle name="Separador de milhares 2 7 4 3" xfId="2102" xr:uid="{36E117F4-F5E2-4539-A5D9-597A8C0329B3}"/>
    <cellStyle name="Separador de milhares 2 7 4 3 2" xfId="5272" xr:uid="{7A5E3A52-F5C1-4C42-9C1E-D85DC5E88835}"/>
    <cellStyle name="Separador de milhares 2 7 4 3 2 2" xfId="11611" xr:uid="{CC108FEB-2831-44E1-B117-3131516A6896}"/>
    <cellStyle name="Separador de milhares 2 7 4 3 3" xfId="8443" xr:uid="{35542EEE-207D-49B3-9615-699033529E6B}"/>
    <cellStyle name="Separador de milhares 2 7 4 4" xfId="3703" xr:uid="{C8C17E55-E55B-4444-A232-DE2D413E0710}"/>
    <cellStyle name="Separador de milhares 2 7 4 4 2" xfId="10042" xr:uid="{D2F9F1BD-0DE0-4CA5-AD89-1EF6897DA189}"/>
    <cellStyle name="Separador de milhares 2 7 4 5" xfId="6874" xr:uid="{EE1BD60D-FBF2-4910-94E3-19A778096766}"/>
    <cellStyle name="Separador de milhares 2 7 5" xfId="939" xr:uid="{FF26EDD4-3C6C-4FC5-9EE8-956E57B5F537}"/>
    <cellStyle name="Separador de milhares 2 7 5 2" xfId="2510" xr:uid="{9E824133-1629-4052-B44A-8DB9B18A86A3}"/>
    <cellStyle name="Separador de milhares 2 7 5 2 2" xfId="5680" xr:uid="{ADCB7B23-985D-4703-8EE0-753F234CC3AD}"/>
    <cellStyle name="Separador de milhares 2 7 5 2 2 2" xfId="12019" xr:uid="{1753C871-B9C0-40F7-AEF1-A6F577E44F97}"/>
    <cellStyle name="Separador de milhares 2 7 5 2 3" xfId="8851" xr:uid="{9AD140E8-C253-416F-A1BE-7E3E01068C91}"/>
    <cellStyle name="Separador de milhares 2 7 5 3" xfId="4111" xr:uid="{F2B0E93D-8A7A-4C39-B2D0-1B80EB60D35E}"/>
    <cellStyle name="Separador de milhares 2 7 5 3 2" xfId="10450" xr:uid="{307319B1-BDB9-453D-A098-055FE3A1D98F}"/>
    <cellStyle name="Separador de milhares 2 7 5 4" xfId="7282" xr:uid="{823120D5-D54E-4042-990C-5954227154B0}"/>
    <cellStyle name="Separador de milhares 2 7 6" xfId="1721" xr:uid="{425DEC55-2F84-4B13-A6EB-9AA284D2094D}"/>
    <cellStyle name="Separador de milhares 2 7 6 2" xfId="4891" xr:uid="{0413AE19-BA3F-40DD-875D-3986E2D3A979}"/>
    <cellStyle name="Separador de milhares 2 7 6 2 2" xfId="11230" xr:uid="{FEE71C87-7F5C-49CD-8301-7E463DECBAD2}"/>
    <cellStyle name="Separador de milhares 2 7 6 3" xfId="8062" xr:uid="{816B12FD-578D-41B8-9B35-95BADA187360}"/>
    <cellStyle name="Separador de milhares 2 7 7" xfId="3314" xr:uid="{BC60E2DB-FE0D-404A-818F-32FFF48A7AB1}"/>
    <cellStyle name="Separador de milhares 2 7 7 2" xfId="9653" xr:uid="{A2A462F6-00DA-4CE5-8F2D-9FAC209D3831}"/>
    <cellStyle name="Separador de milhares 2 7 8" xfId="6485" xr:uid="{C9FD6789-5998-4AF4-8E39-C0E581F22BF0}"/>
    <cellStyle name="Separador de milhares 2 8" xfId="131" xr:uid="{789CC0D8-FB5C-4171-B892-AF40438D41AC}"/>
    <cellStyle name="Separador de milhares 2 8 2" xfId="212" xr:uid="{6F4D1E5F-950E-421E-ADC8-9160CABDF6A3}"/>
    <cellStyle name="Separador de milhares 2 8 2 2" xfId="429" xr:uid="{4367D874-D38A-4E7D-9BFB-0BC582F39527}"/>
    <cellStyle name="Separador de milhares 2 8 2 2 2" xfId="810" xr:uid="{AB6809E0-6E14-42F7-9BD8-C464DB60C0B9}"/>
    <cellStyle name="Separador de milhares 2 8 2 2 2 2" xfId="1609" xr:uid="{70AF79D1-8EB9-4386-A8E8-7B69F9CAB306}"/>
    <cellStyle name="Separador de milhares 2 8 2 2 2 2 2" xfId="3180" xr:uid="{2721F76E-4D0F-4466-BD72-CBE1314EC79F}"/>
    <cellStyle name="Separador de milhares 2 8 2 2 2 2 2 2" xfId="6350" xr:uid="{C8A556D0-D2DC-4661-8A5D-6098684BB454}"/>
    <cellStyle name="Separador de milhares 2 8 2 2 2 2 2 2 2" xfId="12689" xr:uid="{7E69DBC1-2678-41EA-A6E9-3E7E3CE8FEE0}"/>
    <cellStyle name="Separador de milhares 2 8 2 2 2 2 2 3" xfId="9521" xr:uid="{1E0F8977-0826-4955-8F1C-917D2A1B8DD1}"/>
    <cellStyle name="Separador de milhares 2 8 2 2 2 2 3" xfId="4781" xr:uid="{591E12EA-DEB0-4A9B-A767-9E068593C557}"/>
    <cellStyle name="Separador de milhares 2 8 2 2 2 2 3 2" xfId="11120" xr:uid="{2E0C5531-DA4F-47FD-B81C-41228B08253A}"/>
    <cellStyle name="Separador de milhares 2 8 2 2 2 2 4" xfId="7952" xr:uid="{AEB59792-C8F6-4703-9723-DAEBDE568AAA}"/>
    <cellStyle name="Separador de milhares 2 8 2 2 2 3" xfId="2383" xr:uid="{8666219F-5581-463E-8289-E7C77FDBB44E}"/>
    <cellStyle name="Separador de milhares 2 8 2 2 2 3 2" xfId="5553" xr:uid="{58B21F10-3D99-4137-9437-EAD5A73EB47F}"/>
    <cellStyle name="Separador de milhares 2 8 2 2 2 3 2 2" xfId="11892" xr:uid="{B0163D81-E70C-456C-B557-8A7B3F1F70E1}"/>
    <cellStyle name="Separador de milhares 2 8 2 2 2 3 3" xfId="8724" xr:uid="{076452CF-DA36-4979-9F7E-F7EB3A956165}"/>
    <cellStyle name="Separador de milhares 2 8 2 2 2 4" xfId="3984" xr:uid="{74D0FDC2-B211-47D9-9C1E-7E0A328EBD24}"/>
    <cellStyle name="Separador de milhares 2 8 2 2 2 4 2" xfId="10323" xr:uid="{C1CCA9B1-06A7-4411-8A54-7DB02EC3475F}"/>
    <cellStyle name="Separador de milhares 2 8 2 2 2 5" xfId="7155" xr:uid="{47500741-E879-4296-89F7-2681A223B3E8}"/>
    <cellStyle name="Separador de milhares 2 8 2 2 3" xfId="1228" xr:uid="{CA03A1E9-27E3-46C9-8FA2-D71400E630DF}"/>
    <cellStyle name="Separador de milhares 2 8 2 2 3 2" xfId="2799" xr:uid="{B810BAC0-1AA1-4E17-B4C8-733742C68C84}"/>
    <cellStyle name="Separador de milhares 2 8 2 2 3 2 2" xfId="5969" xr:uid="{B3F7112A-26B0-45D5-B327-579D7333C924}"/>
    <cellStyle name="Separador de milhares 2 8 2 2 3 2 2 2" xfId="12308" xr:uid="{53A5A1B7-02D7-469D-9174-FBD152D01130}"/>
    <cellStyle name="Separador de milhares 2 8 2 2 3 2 3" xfId="9140" xr:uid="{AFD5AC1C-056E-454D-A697-8C65093D2AEA}"/>
    <cellStyle name="Separador de milhares 2 8 2 2 3 3" xfId="4400" xr:uid="{335CD997-8E14-4C17-9FD3-B55E02F5C385}"/>
    <cellStyle name="Separador de milhares 2 8 2 2 3 3 2" xfId="10739" xr:uid="{08E1213D-64F5-484F-9CE7-838CB60D7364}"/>
    <cellStyle name="Separador de milhares 2 8 2 2 3 4" xfId="7571" xr:uid="{2C5E37AF-FE19-419B-95D4-3018D9273A93}"/>
    <cellStyle name="Separador de milhares 2 8 2 2 4" xfId="2002" xr:uid="{25FD7D04-A565-49B7-8589-A8F3502778BF}"/>
    <cellStyle name="Separador de milhares 2 8 2 2 4 2" xfId="5172" xr:uid="{0027116E-1C99-4BF4-A7CA-21872A9393C9}"/>
    <cellStyle name="Separador de milhares 2 8 2 2 4 2 2" xfId="11511" xr:uid="{6B601D2D-6045-4C3C-9773-CC2A793840AA}"/>
    <cellStyle name="Separador de milhares 2 8 2 2 4 3" xfId="8343" xr:uid="{44AA3966-B38C-4121-8A9F-ECC2606409B9}"/>
    <cellStyle name="Separador de milhares 2 8 2 2 5" xfId="3603" xr:uid="{722786F0-C595-4C5E-B292-40F2F103907F}"/>
    <cellStyle name="Separador de milhares 2 8 2 2 5 2" xfId="9942" xr:uid="{2112BCE2-4557-4EB0-B2D0-3959C868EFA0}"/>
    <cellStyle name="Separador de milhares 2 8 2 2 6" xfId="6774" xr:uid="{D59E70FC-4774-4503-8CF8-BABAA5A585CB}"/>
    <cellStyle name="Separador de milhares 2 8 2 3" xfId="607" xr:uid="{50545611-24EF-437C-B97B-23B7B014BB12}"/>
    <cellStyle name="Separador de milhares 2 8 2 3 2" xfId="1406" xr:uid="{954A2B43-8CC9-48B2-AE97-53FDA27785F0}"/>
    <cellStyle name="Separador de milhares 2 8 2 3 2 2" xfId="2977" xr:uid="{2F657B52-A545-42D2-9EA0-EA5F37A875C3}"/>
    <cellStyle name="Separador de milhares 2 8 2 3 2 2 2" xfId="6147" xr:uid="{1A000DE3-E061-4882-809B-ADED794C3C8F}"/>
    <cellStyle name="Separador de milhares 2 8 2 3 2 2 2 2" xfId="12486" xr:uid="{BA90653C-617B-4018-8A55-2F6B4F1897F2}"/>
    <cellStyle name="Separador de milhares 2 8 2 3 2 2 3" xfId="9318" xr:uid="{95B2A6DA-E5F9-43A7-91DA-182185CC299A}"/>
    <cellStyle name="Separador de milhares 2 8 2 3 2 3" xfId="4578" xr:uid="{EBA3BC85-37CA-4998-B97F-EFCE7EA93940}"/>
    <cellStyle name="Separador de milhares 2 8 2 3 2 3 2" xfId="10917" xr:uid="{0A692F5C-2DA1-4E3C-94D9-8170C14444D2}"/>
    <cellStyle name="Separador de milhares 2 8 2 3 2 4" xfId="7749" xr:uid="{5B7D9517-F4E4-44C1-9751-E24E181D9D08}"/>
    <cellStyle name="Separador de milhares 2 8 2 3 3" xfId="2180" xr:uid="{C8619AAE-BEA4-4DD0-B6A2-A2B77FD84CE0}"/>
    <cellStyle name="Separador de milhares 2 8 2 3 3 2" xfId="5350" xr:uid="{D9054A9B-6DD2-4A2C-B27A-C3D1FBC1E550}"/>
    <cellStyle name="Separador de milhares 2 8 2 3 3 2 2" xfId="11689" xr:uid="{516119F4-BB47-46F1-8335-AFAFCC243046}"/>
    <cellStyle name="Separador de milhares 2 8 2 3 3 3" xfId="8521" xr:uid="{05FFC043-1245-45C0-A38B-4252CBC86392}"/>
    <cellStyle name="Separador de milhares 2 8 2 3 4" xfId="3781" xr:uid="{116DDBD4-2DBD-4410-B232-1324B6CFE0AC}"/>
    <cellStyle name="Separador de milhares 2 8 2 3 4 2" xfId="10120" xr:uid="{A05E594D-940C-4D0A-BDB1-FC0428782F79}"/>
    <cellStyle name="Separador de milhares 2 8 2 3 5" xfId="6952" xr:uid="{B88CDAA4-2179-49FD-B910-052DD18C80AC}"/>
    <cellStyle name="Separador de milhares 2 8 2 4" xfId="1025" xr:uid="{8DBBFC98-E2F2-41E6-8038-293A0EEC6DFB}"/>
    <cellStyle name="Separador de milhares 2 8 2 4 2" xfId="2596" xr:uid="{36E14A64-54D1-4278-8F6F-C95843FD36EA}"/>
    <cellStyle name="Separador de milhares 2 8 2 4 2 2" xfId="5766" xr:uid="{B1AA0CB4-2415-4107-891E-F8D37DB8283C}"/>
    <cellStyle name="Separador de milhares 2 8 2 4 2 2 2" xfId="12105" xr:uid="{48F3865F-B282-4B44-B8FE-DA5A2B14F019}"/>
    <cellStyle name="Separador de milhares 2 8 2 4 2 3" xfId="8937" xr:uid="{F7744970-196D-4641-A179-CD75099A4FDA}"/>
    <cellStyle name="Separador de milhares 2 8 2 4 3" xfId="4197" xr:uid="{8DE54DA6-6369-4BFA-B32C-27DCD1AC1E04}"/>
    <cellStyle name="Separador de milhares 2 8 2 4 3 2" xfId="10536" xr:uid="{6FCCD73F-2DB1-465E-8B84-FC15FC36D847}"/>
    <cellStyle name="Separador de milhares 2 8 2 4 4" xfId="7368" xr:uid="{415DE451-6CF5-4EAD-B2EF-A27360B8B1BA}"/>
    <cellStyle name="Separador de milhares 2 8 2 5" xfId="1799" xr:uid="{2A431FB6-5A53-402E-B2BA-638F8D2D4DD0}"/>
    <cellStyle name="Separador de milhares 2 8 2 5 2" xfId="4969" xr:uid="{B016AE20-CD3B-4896-B0B4-0C5E3A69127D}"/>
    <cellStyle name="Separador de milhares 2 8 2 5 2 2" xfId="11308" xr:uid="{1CC5E521-7711-4A3F-AA15-9C0D2BF12A64}"/>
    <cellStyle name="Separador de milhares 2 8 2 5 3" xfId="8140" xr:uid="{14FAE272-C9EA-4A73-891D-2205F35FDB73}"/>
    <cellStyle name="Separador de milhares 2 8 2 6" xfId="3400" xr:uid="{71F49B00-93E5-403F-8634-737530C77D61}"/>
    <cellStyle name="Separador de milhares 2 8 2 6 2" xfId="9739" xr:uid="{C459627B-43E4-4980-A1B7-D66BB12EF09F}"/>
    <cellStyle name="Separador de milhares 2 8 2 7" xfId="6571" xr:uid="{A9185A85-A6FA-4DF6-9BF6-9DC652CB9328}"/>
    <cellStyle name="Separador de milhares 2 8 3" xfId="348" xr:uid="{AAC08DF9-10FA-4D25-AED7-8B6A9B8FE799}"/>
    <cellStyle name="Separador de milhares 2 8 3 2" xfId="729" xr:uid="{5357DA2C-9A60-4B69-B351-35FD6273B743}"/>
    <cellStyle name="Separador de milhares 2 8 3 2 2" xfId="1528" xr:uid="{21672495-C639-4A0C-A858-D961942DFC7B}"/>
    <cellStyle name="Separador de milhares 2 8 3 2 2 2" xfId="3099" xr:uid="{FB8EB501-D2A3-486C-B2B6-7F2F24D46090}"/>
    <cellStyle name="Separador de milhares 2 8 3 2 2 2 2" xfId="6269" xr:uid="{A55A92AE-E3DF-41A6-A9CB-1575BE4F0231}"/>
    <cellStyle name="Separador de milhares 2 8 3 2 2 2 2 2" xfId="12608" xr:uid="{B0571706-FC18-4E1D-A1F4-FA74CE060882}"/>
    <cellStyle name="Separador de milhares 2 8 3 2 2 2 3" xfId="9440" xr:uid="{0CF52627-92E7-44C4-BC25-13FA4369779E}"/>
    <cellStyle name="Separador de milhares 2 8 3 2 2 3" xfId="4700" xr:uid="{EF42D730-51C0-4928-9184-14BA46E3EE19}"/>
    <cellStyle name="Separador de milhares 2 8 3 2 2 3 2" xfId="11039" xr:uid="{BD68E2F5-73B8-4515-887A-C62307E562FA}"/>
    <cellStyle name="Separador de milhares 2 8 3 2 2 4" xfId="7871" xr:uid="{679BC164-4DBF-4678-BBF4-233892669123}"/>
    <cellStyle name="Separador de milhares 2 8 3 2 3" xfId="2302" xr:uid="{7C9E4BF9-C205-45C8-8F1E-A0BB4EA5E555}"/>
    <cellStyle name="Separador de milhares 2 8 3 2 3 2" xfId="5472" xr:uid="{02B4A2AC-88D6-4770-AD4D-53545B7B919C}"/>
    <cellStyle name="Separador de milhares 2 8 3 2 3 2 2" xfId="11811" xr:uid="{F3B841FE-808B-4C8E-AE21-C8104A4E1CF2}"/>
    <cellStyle name="Separador de milhares 2 8 3 2 3 3" xfId="8643" xr:uid="{C9AAC9E9-4ADB-4775-AD9A-54D9F6AB0008}"/>
    <cellStyle name="Separador de milhares 2 8 3 2 4" xfId="3903" xr:uid="{3CCE9A59-E264-46C2-822B-151C70A53B87}"/>
    <cellStyle name="Separador de milhares 2 8 3 2 4 2" xfId="10242" xr:uid="{E6E536FF-63C8-4348-9416-EF6B0C3FCFA9}"/>
    <cellStyle name="Separador de milhares 2 8 3 2 5" xfId="7074" xr:uid="{1B601BE0-D9F4-4B63-8B52-EAEB924E6D53}"/>
    <cellStyle name="Separador de milhares 2 8 3 3" xfId="1147" xr:uid="{A5E93A10-BDBB-4FA2-A150-AEF9E6C13669}"/>
    <cellStyle name="Separador de milhares 2 8 3 3 2" xfId="2718" xr:uid="{B9892710-A7AA-4FC6-80C4-0C8F6601CE11}"/>
    <cellStyle name="Separador de milhares 2 8 3 3 2 2" xfId="5888" xr:uid="{27732C6D-72A1-44BD-8A3A-65F8B7233EC2}"/>
    <cellStyle name="Separador de milhares 2 8 3 3 2 2 2" xfId="12227" xr:uid="{5D60201B-2B48-4693-93DD-EBD832F3EFE8}"/>
    <cellStyle name="Separador de milhares 2 8 3 3 2 3" xfId="9059" xr:uid="{CCBD8633-8295-4E8F-B53F-E5525BE1871E}"/>
    <cellStyle name="Separador de milhares 2 8 3 3 3" xfId="4319" xr:uid="{8A6E27FF-37BE-442F-B27A-47207688AB39}"/>
    <cellStyle name="Separador de milhares 2 8 3 3 3 2" xfId="10658" xr:uid="{D549805F-C4DE-42C7-A460-2B86A5C7888C}"/>
    <cellStyle name="Separador de milhares 2 8 3 3 4" xfId="7490" xr:uid="{4D234245-4C94-4C0C-8660-980DCBC7C254}"/>
    <cellStyle name="Separador de milhares 2 8 3 4" xfId="1921" xr:uid="{06A4BEC1-E23F-4DB0-859A-930ED986C76C}"/>
    <cellStyle name="Separador de milhares 2 8 3 4 2" xfId="5091" xr:uid="{86DAA032-1EF5-4905-9FE9-E8A2B7F6001C}"/>
    <cellStyle name="Separador de milhares 2 8 3 4 2 2" xfId="11430" xr:uid="{60634EAE-D7FB-4399-B1F0-BC702C544E0F}"/>
    <cellStyle name="Separador de milhares 2 8 3 4 3" xfId="8262" xr:uid="{2B5EC705-2916-4FAC-B248-992F62872166}"/>
    <cellStyle name="Separador de milhares 2 8 3 5" xfId="3522" xr:uid="{10763CA3-C177-4561-A964-AC6AEAFBA40E}"/>
    <cellStyle name="Separador de milhares 2 8 3 5 2" xfId="9861" xr:uid="{0CD61DAD-C035-4944-A948-A2A71B8DF3B3}"/>
    <cellStyle name="Separador de milhares 2 8 3 6" xfId="6693" xr:uid="{9DBA95DA-A56B-4B64-92D7-E25E633D2D8A}"/>
    <cellStyle name="Separador de milhares 2 8 4" xfId="531" xr:uid="{718F58CA-BDBD-4BE6-8CB4-4E1F92C63577}"/>
    <cellStyle name="Separador de milhares 2 8 4 2" xfId="1330" xr:uid="{81B24987-E7D8-47E4-BA59-6C93D5E82E1F}"/>
    <cellStyle name="Separador de milhares 2 8 4 2 2" xfId="2901" xr:uid="{3B0D77B8-74B0-4E78-A2E6-A4052BB05F84}"/>
    <cellStyle name="Separador de milhares 2 8 4 2 2 2" xfId="6071" xr:uid="{0DA55F69-D36F-425B-8BDF-C014D9FEB0F8}"/>
    <cellStyle name="Separador de milhares 2 8 4 2 2 2 2" xfId="12410" xr:uid="{FB3712A3-6BE2-44DC-9E7E-AE243FF6F915}"/>
    <cellStyle name="Separador de milhares 2 8 4 2 2 3" xfId="9242" xr:uid="{ECFC9E5E-AEFF-43B5-B15A-FEFBE804C92E}"/>
    <cellStyle name="Separador de milhares 2 8 4 2 3" xfId="4502" xr:uid="{5CD484EE-920B-48BB-AA25-95768881E8B5}"/>
    <cellStyle name="Separador de milhares 2 8 4 2 3 2" xfId="10841" xr:uid="{07C8E3C5-7500-421D-B7E0-536FE349783D}"/>
    <cellStyle name="Separador de milhares 2 8 4 2 4" xfId="7673" xr:uid="{C64212D7-C724-4C25-A16A-FF5F7FF66046}"/>
    <cellStyle name="Separador de milhares 2 8 4 3" xfId="2104" xr:uid="{CD031D25-0903-4A8E-9385-AEA46D606E74}"/>
    <cellStyle name="Separador de milhares 2 8 4 3 2" xfId="5274" xr:uid="{F5E479F7-E330-4609-9CEE-D409AE48C578}"/>
    <cellStyle name="Separador de milhares 2 8 4 3 2 2" xfId="11613" xr:uid="{99C5EA62-CF84-4A06-A934-0EF4373C8F70}"/>
    <cellStyle name="Separador de milhares 2 8 4 3 3" xfId="8445" xr:uid="{AA50DFDE-094A-4FA7-B116-D015BE79B541}"/>
    <cellStyle name="Separador de milhares 2 8 4 4" xfId="3705" xr:uid="{C3414133-1F59-478E-84F2-960DF88921CD}"/>
    <cellStyle name="Separador de milhares 2 8 4 4 2" xfId="10044" xr:uid="{8A265CA5-BA89-4940-BC75-6D4B3498C52D}"/>
    <cellStyle name="Separador de milhares 2 8 4 5" xfId="6876" xr:uid="{A58ED787-D21E-4F02-947E-6FF7F479B0CC}"/>
    <cellStyle name="Separador de milhares 2 8 5" xfId="944" xr:uid="{CA0498C9-E47B-4AE3-B49A-30B2F28D8A89}"/>
    <cellStyle name="Separador de milhares 2 8 5 2" xfId="2515" xr:uid="{A477317F-45E8-460F-9EE3-6C1C0E4ECD63}"/>
    <cellStyle name="Separador de milhares 2 8 5 2 2" xfId="5685" xr:uid="{2A80403E-BEF8-41EC-93CF-6B1FE29129FF}"/>
    <cellStyle name="Separador de milhares 2 8 5 2 2 2" xfId="12024" xr:uid="{7E16C9A0-7ECB-41CD-8434-9C498E6CFFFB}"/>
    <cellStyle name="Separador de milhares 2 8 5 2 3" xfId="8856" xr:uid="{C04C7476-544B-4439-881E-A196455613FD}"/>
    <cellStyle name="Separador de milhares 2 8 5 3" xfId="4116" xr:uid="{2D898413-FFC8-48B3-9905-A91C1E7D45B5}"/>
    <cellStyle name="Separador de milhares 2 8 5 3 2" xfId="10455" xr:uid="{EDA76604-5701-4FF9-BFE1-306E3A7E0DBF}"/>
    <cellStyle name="Separador de milhares 2 8 5 4" xfId="7287" xr:uid="{1021F3B2-9D26-4E69-8E44-969AEC057D00}"/>
    <cellStyle name="Separador de milhares 2 8 6" xfId="1723" xr:uid="{E1912EF0-A624-4E41-9B65-1ACEA2D906EA}"/>
    <cellStyle name="Separador de milhares 2 8 6 2" xfId="4893" xr:uid="{E25B26B5-98C3-4323-8564-2F420210E427}"/>
    <cellStyle name="Separador de milhares 2 8 6 2 2" xfId="11232" xr:uid="{B4DCF7BE-4E5C-4E6E-8E9F-759292D27F7F}"/>
    <cellStyle name="Separador de milhares 2 8 6 3" xfId="8064" xr:uid="{B5D95359-248C-41BF-921A-F5781166435C}"/>
    <cellStyle name="Separador de milhares 2 8 7" xfId="3319" xr:uid="{1E8A0E39-CCB3-47D1-B097-59B4E383C72E}"/>
    <cellStyle name="Separador de milhares 2 8 7 2" xfId="9658" xr:uid="{18E50CFC-C9B6-4B47-9C05-7350FA147CEF}"/>
    <cellStyle name="Separador de milhares 2 8 8" xfId="6490" xr:uid="{9E0D5AFB-28DB-4D51-BABD-CA3BDC9CBAD6}"/>
    <cellStyle name="Separador de milhares 2 9" xfId="137" xr:uid="{B34A72DE-EC06-45B9-A57C-9BA7D4E2F2AA}"/>
    <cellStyle name="Separador de milhares 2 9 2" xfId="218" xr:uid="{E0B5A6E5-2741-4B29-B483-59E4BB0755C2}"/>
    <cellStyle name="Separador de milhares 2 9 2 2" xfId="435" xr:uid="{55ABF99E-FC6C-4E5D-B0DA-314313667289}"/>
    <cellStyle name="Separador de milhares 2 9 2 2 2" xfId="816" xr:uid="{1045879E-B3E9-4CF6-81EA-1F8AE722415C}"/>
    <cellStyle name="Separador de milhares 2 9 2 2 2 2" xfId="1615" xr:uid="{91A110DD-91C8-4233-B51D-B8DD869A5009}"/>
    <cellStyle name="Separador de milhares 2 9 2 2 2 2 2" xfId="3186" xr:uid="{CA964D59-48CB-41F2-9CB8-9C207A6CB525}"/>
    <cellStyle name="Separador de milhares 2 9 2 2 2 2 2 2" xfId="6356" xr:uid="{6EA876C7-C358-4180-8927-7451819526AB}"/>
    <cellStyle name="Separador de milhares 2 9 2 2 2 2 2 2 2" xfId="12695" xr:uid="{66645006-9B99-484F-9A7D-3DC3D21C4EF1}"/>
    <cellStyle name="Separador de milhares 2 9 2 2 2 2 2 3" xfId="9527" xr:uid="{5D90C084-034F-432D-B63D-5385B867666D}"/>
    <cellStyle name="Separador de milhares 2 9 2 2 2 2 3" xfId="4787" xr:uid="{4DD999FD-D588-44F7-A360-C09C1F515D32}"/>
    <cellStyle name="Separador de milhares 2 9 2 2 2 2 3 2" xfId="11126" xr:uid="{663FC684-D399-443B-8B7B-8BB58F7A2359}"/>
    <cellStyle name="Separador de milhares 2 9 2 2 2 2 4" xfId="7958" xr:uid="{DB44DF83-DC3F-4AA3-AD88-318F41040269}"/>
    <cellStyle name="Separador de milhares 2 9 2 2 2 3" xfId="2389" xr:uid="{2A9FE9F6-E814-4147-A8EC-821D1624057B}"/>
    <cellStyle name="Separador de milhares 2 9 2 2 2 3 2" xfId="5559" xr:uid="{7A450854-D058-43A2-9415-BCB188E252AE}"/>
    <cellStyle name="Separador de milhares 2 9 2 2 2 3 2 2" xfId="11898" xr:uid="{3948D97F-0216-4C45-B095-45AEA711548A}"/>
    <cellStyle name="Separador de milhares 2 9 2 2 2 3 3" xfId="8730" xr:uid="{67197027-E244-40BE-8923-96C328B3944B}"/>
    <cellStyle name="Separador de milhares 2 9 2 2 2 4" xfId="3990" xr:uid="{AC1D51A8-6D32-453A-B878-769B71F9E36A}"/>
    <cellStyle name="Separador de milhares 2 9 2 2 2 4 2" xfId="10329" xr:uid="{77770CA8-C5FD-406D-BC64-2BBEA9900AD8}"/>
    <cellStyle name="Separador de milhares 2 9 2 2 2 5" xfId="7161" xr:uid="{0489A08D-564E-46D6-831E-0E88A5819421}"/>
    <cellStyle name="Separador de milhares 2 9 2 2 3" xfId="1234" xr:uid="{CF69A331-DD70-49E7-B7F3-6064CF47DB6B}"/>
    <cellStyle name="Separador de milhares 2 9 2 2 3 2" xfId="2805" xr:uid="{07FB4652-7263-44FD-92E3-951B36F975F7}"/>
    <cellStyle name="Separador de milhares 2 9 2 2 3 2 2" xfId="5975" xr:uid="{6FE78C44-114D-4AEA-985E-999989D1DDA2}"/>
    <cellStyle name="Separador de milhares 2 9 2 2 3 2 2 2" xfId="12314" xr:uid="{03685FC0-A155-46BA-A516-582E3783EBDD}"/>
    <cellStyle name="Separador de milhares 2 9 2 2 3 2 3" xfId="9146" xr:uid="{23A36558-613D-484C-B9BE-F15496C13790}"/>
    <cellStyle name="Separador de milhares 2 9 2 2 3 3" xfId="4406" xr:uid="{251D7EC6-8208-48CE-9C15-BA3CC51865B2}"/>
    <cellStyle name="Separador de milhares 2 9 2 2 3 3 2" xfId="10745" xr:uid="{876083C3-AFB4-4EA3-A0C3-ACAE603A183F}"/>
    <cellStyle name="Separador de milhares 2 9 2 2 3 4" xfId="7577" xr:uid="{D2A80CE3-83F2-4ABC-8A9C-8E87212D391B}"/>
    <cellStyle name="Separador de milhares 2 9 2 2 4" xfId="2008" xr:uid="{07363C09-FD08-455D-AAFE-B59422245A05}"/>
    <cellStyle name="Separador de milhares 2 9 2 2 4 2" xfId="5178" xr:uid="{23A61A3D-50ED-479C-82C0-FD5BF5EBFFF2}"/>
    <cellStyle name="Separador de milhares 2 9 2 2 4 2 2" xfId="11517" xr:uid="{C99017D9-4DAD-490C-80E7-4FFF67A22DD9}"/>
    <cellStyle name="Separador de milhares 2 9 2 2 4 3" xfId="8349" xr:uid="{8A571ADA-072E-4091-BA47-2E2C8F587EC0}"/>
    <cellStyle name="Separador de milhares 2 9 2 2 5" xfId="3609" xr:uid="{F1F6F644-E10D-420A-895D-8CAFA3DD49F9}"/>
    <cellStyle name="Separador de milhares 2 9 2 2 5 2" xfId="9948" xr:uid="{13110621-6289-4125-9789-04D5427CBC98}"/>
    <cellStyle name="Separador de milhares 2 9 2 2 6" xfId="6780" xr:uid="{A1568355-6393-4EEA-A417-51E340AC58DB}"/>
    <cellStyle name="Separador de milhares 2 9 2 3" xfId="613" xr:uid="{0BDB3E9B-2A04-42BD-8775-97098BCF1F3C}"/>
    <cellStyle name="Separador de milhares 2 9 2 3 2" xfId="1412" xr:uid="{CD912186-7AF2-4531-BFCE-937509627D11}"/>
    <cellStyle name="Separador de milhares 2 9 2 3 2 2" xfId="2983" xr:uid="{373FC076-9B22-4BD7-B8D1-501E08AA7497}"/>
    <cellStyle name="Separador de milhares 2 9 2 3 2 2 2" xfId="6153" xr:uid="{24FBB81B-40B6-4DDB-8D08-CB744B860AD3}"/>
    <cellStyle name="Separador de milhares 2 9 2 3 2 2 2 2" xfId="12492" xr:uid="{ED53FABA-ADBD-4EB3-8FA5-76C0D041BF94}"/>
    <cellStyle name="Separador de milhares 2 9 2 3 2 2 3" xfId="9324" xr:uid="{BD49EAB4-5319-431A-8F5F-4B8BF4C97D54}"/>
    <cellStyle name="Separador de milhares 2 9 2 3 2 3" xfId="4584" xr:uid="{C3053A8D-B632-40D5-924A-5A5406338003}"/>
    <cellStyle name="Separador de milhares 2 9 2 3 2 3 2" xfId="10923" xr:uid="{3C0DBD4E-AEE0-4036-82A9-668E00BEBDFF}"/>
    <cellStyle name="Separador de milhares 2 9 2 3 2 4" xfId="7755" xr:uid="{75613BD4-0496-4D51-9F00-45214ED9617C}"/>
    <cellStyle name="Separador de milhares 2 9 2 3 3" xfId="2186" xr:uid="{79AC0EFD-F2C0-4FC9-B982-8E09E358C80F}"/>
    <cellStyle name="Separador de milhares 2 9 2 3 3 2" xfId="5356" xr:uid="{EE2FE548-FF0F-4109-A6B1-A3305A010BE6}"/>
    <cellStyle name="Separador de milhares 2 9 2 3 3 2 2" xfId="11695" xr:uid="{8A2E118F-4752-46D5-B4AC-4A8537359105}"/>
    <cellStyle name="Separador de milhares 2 9 2 3 3 3" xfId="8527" xr:uid="{1AE429BA-863A-4065-A38D-E8C6693DAD43}"/>
    <cellStyle name="Separador de milhares 2 9 2 3 4" xfId="3787" xr:uid="{C6FB0928-DD3F-4167-8243-42BB294CED04}"/>
    <cellStyle name="Separador de milhares 2 9 2 3 4 2" xfId="10126" xr:uid="{F70EEDFF-1FE4-427C-9221-9CB6E5C44D16}"/>
    <cellStyle name="Separador de milhares 2 9 2 3 5" xfId="6958" xr:uid="{6E5FA0F1-64A7-4A6D-A8F4-887BE74BD6EF}"/>
    <cellStyle name="Separador de milhares 2 9 2 4" xfId="1031" xr:uid="{056378DC-CD8E-454D-AD17-2B144CD13EB4}"/>
    <cellStyle name="Separador de milhares 2 9 2 4 2" xfId="2602" xr:uid="{CF749A51-AE02-4FA0-9677-5E12E80BE478}"/>
    <cellStyle name="Separador de milhares 2 9 2 4 2 2" xfId="5772" xr:uid="{C1765231-A51D-4A1D-BBEA-6C9CE42FA31A}"/>
    <cellStyle name="Separador de milhares 2 9 2 4 2 2 2" xfId="12111" xr:uid="{08ED3C58-1D6B-4EC8-972E-00F970925BCD}"/>
    <cellStyle name="Separador de milhares 2 9 2 4 2 3" xfId="8943" xr:uid="{CB650E34-B3A4-44F9-86F3-E54F3F6089A3}"/>
    <cellStyle name="Separador de milhares 2 9 2 4 3" xfId="4203" xr:uid="{19E05459-D6B7-4BCA-8CC5-5FD7F06A67DF}"/>
    <cellStyle name="Separador de milhares 2 9 2 4 3 2" xfId="10542" xr:uid="{DC9BF002-F2E2-4D7C-A404-D29ED07996BA}"/>
    <cellStyle name="Separador de milhares 2 9 2 4 4" xfId="7374" xr:uid="{E725209F-F1D8-41A7-B1FD-4DCFE4D2D45F}"/>
    <cellStyle name="Separador de milhares 2 9 2 5" xfId="1805" xr:uid="{29F54D29-B4B0-415A-9741-F28DF561C3EB}"/>
    <cellStyle name="Separador de milhares 2 9 2 5 2" xfId="4975" xr:uid="{FD2DA45C-893C-40B0-87EE-6CE99E0AF0E6}"/>
    <cellStyle name="Separador de milhares 2 9 2 5 2 2" xfId="11314" xr:uid="{6D550FE4-E7C6-4968-B6DC-95146CE56312}"/>
    <cellStyle name="Separador de milhares 2 9 2 5 3" xfId="8146" xr:uid="{6FC31302-5A9D-4F20-B6DE-B6F18A1CD90F}"/>
    <cellStyle name="Separador de milhares 2 9 2 6" xfId="3406" xr:uid="{9CC093B7-BC16-4210-A8EA-DEA67178C7E7}"/>
    <cellStyle name="Separador de milhares 2 9 2 6 2" xfId="9745" xr:uid="{A307A86C-C5FD-4D0E-9B51-33AC1C4B13A6}"/>
    <cellStyle name="Separador de milhares 2 9 2 7" xfId="6577" xr:uid="{B996DEF9-EFFA-4273-8D12-183D9FA721A4}"/>
    <cellStyle name="Separador de milhares 2 9 3" xfId="354" xr:uid="{F29E45E3-4DF4-4085-A914-A0E196890510}"/>
    <cellStyle name="Separador de milhares 2 9 3 2" xfId="735" xr:uid="{829DC1AB-A27D-45F4-8143-A01BC87BED13}"/>
    <cellStyle name="Separador de milhares 2 9 3 2 2" xfId="1534" xr:uid="{44AE4622-F687-47FC-A2E5-436BB5A9F574}"/>
    <cellStyle name="Separador de milhares 2 9 3 2 2 2" xfId="3105" xr:uid="{1D35C526-E3C7-4BA6-BE92-9EE97330F1BD}"/>
    <cellStyle name="Separador de milhares 2 9 3 2 2 2 2" xfId="6275" xr:uid="{74049AE0-67DE-46B2-9E9F-120F8BD74B40}"/>
    <cellStyle name="Separador de milhares 2 9 3 2 2 2 2 2" xfId="12614" xr:uid="{56C8E9A6-B9C8-4E5A-BDA8-99306FE6F84A}"/>
    <cellStyle name="Separador de milhares 2 9 3 2 2 2 3" xfId="9446" xr:uid="{E39BB203-DAB9-4712-96B0-FDFA548070F9}"/>
    <cellStyle name="Separador de milhares 2 9 3 2 2 3" xfId="4706" xr:uid="{8E47A012-9686-4468-AD17-3813726B6ACF}"/>
    <cellStyle name="Separador de milhares 2 9 3 2 2 3 2" xfId="11045" xr:uid="{31B40895-FFE0-4910-859D-6204876C19D7}"/>
    <cellStyle name="Separador de milhares 2 9 3 2 2 4" xfId="7877" xr:uid="{C8BFA255-FCAD-465C-955C-7A2F410D77DC}"/>
    <cellStyle name="Separador de milhares 2 9 3 2 3" xfId="2308" xr:uid="{BED11F91-4708-423B-ABC6-52FB85C43876}"/>
    <cellStyle name="Separador de milhares 2 9 3 2 3 2" xfId="5478" xr:uid="{ABC127D3-FBC7-458F-8B4C-D2D5B2331931}"/>
    <cellStyle name="Separador de milhares 2 9 3 2 3 2 2" xfId="11817" xr:uid="{BF6E1EE1-FB56-4E8F-8123-9281E21624B9}"/>
    <cellStyle name="Separador de milhares 2 9 3 2 3 3" xfId="8649" xr:uid="{802F2390-FAD0-4D19-B9E3-0A0A7FFC1246}"/>
    <cellStyle name="Separador de milhares 2 9 3 2 4" xfId="3909" xr:uid="{6928E3CD-5AA9-4833-9569-ED679913EADC}"/>
    <cellStyle name="Separador de milhares 2 9 3 2 4 2" xfId="10248" xr:uid="{85F1A53E-63D8-4A60-A1EC-3DD67EBFBD2F}"/>
    <cellStyle name="Separador de milhares 2 9 3 2 5" xfId="7080" xr:uid="{644B0A01-23B5-4BEC-AFF2-9C6419DFE7B0}"/>
    <cellStyle name="Separador de milhares 2 9 3 3" xfId="1153" xr:uid="{DE4701BC-2D0C-471E-AA90-54652BE5E49B}"/>
    <cellStyle name="Separador de milhares 2 9 3 3 2" xfId="2724" xr:uid="{00145499-BDE5-424B-B8DC-713226BF9E4B}"/>
    <cellStyle name="Separador de milhares 2 9 3 3 2 2" xfId="5894" xr:uid="{FB7DDE55-9E77-4522-9A95-C720EF742CC5}"/>
    <cellStyle name="Separador de milhares 2 9 3 3 2 2 2" xfId="12233" xr:uid="{8B87F030-52CE-4C2B-9B64-1632FD214AF3}"/>
    <cellStyle name="Separador de milhares 2 9 3 3 2 3" xfId="9065" xr:uid="{4E180BD5-188E-4F3A-BA89-0E502C01D906}"/>
    <cellStyle name="Separador de milhares 2 9 3 3 3" xfId="4325" xr:uid="{A9B52F75-5926-4652-86BA-2EFAB2F7B27A}"/>
    <cellStyle name="Separador de milhares 2 9 3 3 3 2" xfId="10664" xr:uid="{C2CFB8A6-9E5D-4C30-8D85-D72C63657846}"/>
    <cellStyle name="Separador de milhares 2 9 3 3 4" xfId="7496" xr:uid="{42B5C106-1BE9-48F7-88BD-463E83B3E24F}"/>
    <cellStyle name="Separador de milhares 2 9 3 4" xfId="1927" xr:uid="{BDABFB1D-84F5-4C2F-B903-CAADE91A4898}"/>
    <cellStyle name="Separador de milhares 2 9 3 4 2" xfId="5097" xr:uid="{AC914C62-6184-4FFD-A156-C895D97A319E}"/>
    <cellStyle name="Separador de milhares 2 9 3 4 2 2" xfId="11436" xr:uid="{D02B4B81-6DCD-4E89-B243-0B2E14FC3CA0}"/>
    <cellStyle name="Separador de milhares 2 9 3 4 3" xfId="8268" xr:uid="{51946BBC-9623-48F2-B9D8-D0CD0E8A55D7}"/>
    <cellStyle name="Separador de milhares 2 9 3 5" xfId="3528" xr:uid="{1460D63F-A161-4960-9A13-DDBD791DC5CC}"/>
    <cellStyle name="Separador de milhares 2 9 3 5 2" xfId="9867" xr:uid="{1CADCF55-8A44-4479-90F3-32F1B3B09DDC}"/>
    <cellStyle name="Separador de milhares 2 9 3 6" xfId="6699" xr:uid="{BCDC15DB-F9E2-404D-A6DD-5AF2D5D6B7E1}"/>
    <cellStyle name="Separador de milhares 2 9 4" xfId="534" xr:uid="{430E3EDD-0A87-4D09-A796-0226932EBE16}"/>
    <cellStyle name="Separador de milhares 2 9 4 2" xfId="1333" xr:uid="{294D60DB-5E91-4618-AA7C-236157C83FD4}"/>
    <cellStyle name="Separador de milhares 2 9 4 2 2" xfId="2904" xr:uid="{2E60C532-C4AD-4760-A848-C40E2455064B}"/>
    <cellStyle name="Separador de milhares 2 9 4 2 2 2" xfId="6074" xr:uid="{5FD559B9-3557-4889-9793-7E512B68523E}"/>
    <cellStyle name="Separador de milhares 2 9 4 2 2 2 2" xfId="12413" xr:uid="{67CF1B4E-9FC9-4721-9C19-90AA17A3A8EF}"/>
    <cellStyle name="Separador de milhares 2 9 4 2 2 3" xfId="9245" xr:uid="{7F25AE0F-A79B-4A12-B06E-96B1CBE83550}"/>
    <cellStyle name="Separador de milhares 2 9 4 2 3" xfId="4505" xr:uid="{1D6FA08E-E027-436C-BAF1-3957C745CFA8}"/>
    <cellStyle name="Separador de milhares 2 9 4 2 3 2" xfId="10844" xr:uid="{27AB7473-66F2-47B2-A5D1-1593CB8F27A7}"/>
    <cellStyle name="Separador de milhares 2 9 4 2 4" xfId="7676" xr:uid="{A9BB3BC0-B407-4003-9A9E-41B83AEB5DFD}"/>
    <cellStyle name="Separador de milhares 2 9 4 3" xfId="2107" xr:uid="{7AC0289A-9539-464D-AD11-6570C07FEA10}"/>
    <cellStyle name="Separador de milhares 2 9 4 3 2" xfId="5277" xr:uid="{F38E36D2-C45C-4A74-8A25-9BD306924810}"/>
    <cellStyle name="Separador de milhares 2 9 4 3 2 2" xfId="11616" xr:uid="{7E6DB970-25CD-4E35-84AF-0131C8FD5146}"/>
    <cellStyle name="Separador de milhares 2 9 4 3 3" xfId="8448" xr:uid="{7710B3A6-F298-4F5A-957C-D49D5A35B5C8}"/>
    <cellStyle name="Separador de milhares 2 9 4 4" xfId="3708" xr:uid="{FEA37F25-6F92-4B87-99C3-A9CF6548225C}"/>
    <cellStyle name="Separador de milhares 2 9 4 4 2" xfId="10047" xr:uid="{569BA040-14DF-4225-8CDA-72C216C1392C}"/>
    <cellStyle name="Separador de milhares 2 9 4 5" xfId="6879" xr:uid="{C2D8D770-C9E1-4141-BC6A-88A311ADC0ED}"/>
    <cellStyle name="Separador de milhares 2 9 5" xfId="950" xr:uid="{83082038-8D42-40EE-9D61-037031EC866B}"/>
    <cellStyle name="Separador de milhares 2 9 5 2" xfId="2521" xr:uid="{06027D6A-D481-4E0D-A717-E869740ED47F}"/>
    <cellStyle name="Separador de milhares 2 9 5 2 2" xfId="5691" xr:uid="{A8F25C0A-6569-406A-A2CB-98AC637792DC}"/>
    <cellStyle name="Separador de milhares 2 9 5 2 2 2" xfId="12030" xr:uid="{3547A1D5-0DD1-4FEE-A495-1BD769DC5191}"/>
    <cellStyle name="Separador de milhares 2 9 5 2 3" xfId="8862" xr:uid="{EEC5E655-2BF3-4904-A461-647BAFA0176F}"/>
    <cellStyle name="Separador de milhares 2 9 5 3" xfId="4122" xr:uid="{EC7EE17C-929E-4700-BC9E-221CAAC1DCD6}"/>
    <cellStyle name="Separador de milhares 2 9 5 3 2" xfId="10461" xr:uid="{4538D4A8-07DC-400B-8247-D26B5EADFC97}"/>
    <cellStyle name="Separador de milhares 2 9 5 4" xfId="7293" xr:uid="{35DA9C4E-0C5F-4C04-A5CF-E87CA6AEEF8E}"/>
    <cellStyle name="Separador de milhares 2 9 6" xfId="1726" xr:uid="{D1227E29-0FD5-4073-8164-53138F3FFBCD}"/>
    <cellStyle name="Separador de milhares 2 9 6 2" xfId="4896" xr:uid="{CB9D5F09-1FBA-428E-801A-9FC3E29976FA}"/>
    <cellStyle name="Separador de milhares 2 9 6 2 2" xfId="11235" xr:uid="{6BB6CFFF-7ED2-46A7-9062-F6D5F59A2427}"/>
    <cellStyle name="Separador de milhares 2 9 6 3" xfId="8067" xr:uid="{F41D3707-8F1B-4ED7-98B0-CB292F75F0E0}"/>
    <cellStyle name="Separador de milhares 2 9 7" xfId="3325" xr:uid="{6B3D51AC-30CE-4082-B402-276E8562B8C3}"/>
    <cellStyle name="Separador de milhares 2 9 7 2" xfId="9664" xr:uid="{1E8C8896-75B9-4C65-BD5B-25EF5A8F0919}"/>
    <cellStyle name="Separador de milhares 2 9 8" xfId="6496" xr:uid="{175AB3A6-37DB-49F6-974D-C6AA348CF3FB}"/>
    <cellStyle name="Separador de milhares 3" xfId="227" xr:uid="{245AF44D-E87F-4A58-925A-193F1D6B74F2}"/>
    <cellStyle name="Separador de milhares 3 2" xfId="444" xr:uid="{E2B1E20B-1ECF-4FF4-84FB-C563014936EF}"/>
    <cellStyle name="Separador de milhares 3 2 2" xfId="825" xr:uid="{FFF457CF-775B-4159-B727-8ABC908232CB}"/>
    <cellStyle name="Separador de milhares 3 2 2 2" xfId="1624" xr:uid="{7F8C60B8-5658-4323-96FA-050156E819AA}"/>
    <cellStyle name="Separador de milhares 3 2 2 2 2" xfId="3195" xr:uid="{C250C996-552C-4BC8-9F10-16FD0C02241C}"/>
    <cellStyle name="Separador de milhares 3 2 2 2 2 2" xfId="6365" xr:uid="{827EAA07-9FB0-4874-8422-75438BB06E37}"/>
    <cellStyle name="Separador de milhares 3 2 2 2 2 2 2" xfId="12704" xr:uid="{D5E81C01-8D6B-4AE5-AF5F-07BC1C74B9C6}"/>
    <cellStyle name="Separador de milhares 3 2 2 2 2 3" xfId="9536" xr:uid="{3584E65E-6C7D-4ADF-9B0F-2ED79338007A}"/>
    <cellStyle name="Separador de milhares 3 2 2 2 3" xfId="4796" xr:uid="{2C4CCE66-D9FF-465D-AC2C-E0013E1B138D}"/>
    <cellStyle name="Separador de milhares 3 2 2 2 3 2" xfId="11135" xr:uid="{35B2882C-AFD0-45BC-9AA5-E26292BCCAFA}"/>
    <cellStyle name="Separador de milhares 3 2 2 2 4" xfId="7967" xr:uid="{E854345D-5302-4E63-8E6D-3889E04F2D97}"/>
    <cellStyle name="Separador de milhares 3 2 2 3" xfId="2398" xr:uid="{9C3B02D5-7ACE-4122-9F4C-C5822E345D94}"/>
    <cellStyle name="Separador de milhares 3 2 2 3 2" xfId="5568" xr:uid="{7EE95D20-96FB-4FB7-B3DE-34CAC0A83699}"/>
    <cellStyle name="Separador de milhares 3 2 2 3 2 2" xfId="11907" xr:uid="{1001DD19-E791-443B-AA3C-2614074221C6}"/>
    <cellStyle name="Separador de milhares 3 2 2 3 3" xfId="8739" xr:uid="{F0A22F91-77A7-4252-9A16-8A4FB3182225}"/>
    <cellStyle name="Separador de milhares 3 2 2 4" xfId="3999" xr:uid="{B681AE18-4D58-4DA7-905D-84354E60B19D}"/>
    <cellStyle name="Separador de milhares 3 2 2 4 2" xfId="10338" xr:uid="{321C6585-32CA-4451-A6FE-BE031FA4467D}"/>
    <cellStyle name="Separador de milhares 3 2 2 5" xfId="7170" xr:uid="{DEF512A6-B655-46C1-B3AB-CA14AE0E8E66}"/>
    <cellStyle name="Separador de milhares 3 2 3" xfId="1243" xr:uid="{48A7D523-38D6-44CA-BC0C-A9E8A6FFABE6}"/>
    <cellStyle name="Separador de milhares 3 2 3 2" xfId="2814" xr:uid="{6E9ACDDF-AD80-4FD5-96DC-DC08B6456E63}"/>
    <cellStyle name="Separador de milhares 3 2 3 2 2" xfId="5984" xr:uid="{D90DC6E4-1E12-4D84-B47D-0D83DA87360F}"/>
    <cellStyle name="Separador de milhares 3 2 3 2 2 2" xfId="12323" xr:uid="{79A444C9-81D3-4529-B8F4-99824D210479}"/>
    <cellStyle name="Separador de milhares 3 2 3 2 3" xfId="9155" xr:uid="{E50EB2E9-4DB6-4687-81A5-B42F8C63393E}"/>
    <cellStyle name="Separador de milhares 3 2 3 3" xfId="4415" xr:uid="{27C66B40-82D4-4CA2-A7FB-D31F716B2AF8}"/>
    <cellStyle name="Separador de milhares 3 2 3 3 2" xfId="10754" xr:uid="{C9B80032-B737-4718-BD76-AE9A1C8100C8}"/>
    <cellStyle name="Separador de milhares 3 2 3 4" xfId="7586" xr:uid="{0E1294C6-E107-44CA-A9AA-D8DB126C151F}"/>
    <cellStyle name="Separador de milhares 3 2 4" xfId="2017" xr:uid="{F1756FC6-3F4F-44EF-A0DA-99EF1173F17E}"/>
    <cellStyle name="Separador de milhares 3 2 4 2" xfId="5187" xr:uid="{06733EB1-3CB0-45D1-80FE-346EC0E1AFDB}"/>
    <cellStyle name="Separador de milhares 3 2 4 2 2" xfId="11526" xr:uid="{E06FFCC4-ED0F-44A3-934F-A3D12A6D3BFD}"/>
    <cellStyle name="Separador de milhares 3 2 4 3" xfId="8358" xr:uid="{F8196529-AFD1-410A-BD17-A66963D332D9}"/>
    <cellStyle name="Separador de milhares 3 2 5" xfId="3618" xr:uid="{C7773000-CCE3-461D-A627-92AA8EBDD1E2}"/>
    <cellStyle name="Separador de milhares 3 2 5 2" xfId="9957" xr:uid="{377CBC3F-E298-47DD-9880-8B8091913C50}"/>
    <cellStyle name="Separador de milhares 3 2 6" xfId="6789" xr:uid="{48AA8F45-3813-4C66-8978-19768DC10798}"/>
    <cellStyle name="Separador de milhares 3 3" xfId="622" xr:uid="{38E26407-0A86-4611-8993-306C1D3ADE35}"/>
    <cellStyle name="Separador de milhares 3 3 2" xfId="1421" xr:uid="{B3DEC884-9562-473F-9C8C-20840043509E}"/>
    <cellStyle name="Separador de milhares 3 3 2 2" xfId="2992" xr:uid="{1D9658A0-3CF5-4DC5-B124-97A3D89721F7}"/>
    <cellStyle name="Separador de milhares 3 3 2 2 2" xfId="6162" xr:uid="{7CC249C7-FF77-47DA-A141-B4C7F32A17A5}"/>
    <cellStyle name="Separador de milhares 3 3 2 2 2 2" xfId="12501" xr:uid="{4DCB9748-9695-4E14-9D7C-C93CDBEF70B2}"/>
    <cellStyle name="Separador de milhares 3 3 2 2 3" xfId="9333" xr:uid="{D2C2A5CC-19E2-499F-9B1E-D5DDCE86B7B5}"/>
    <cellStyle name="Separador de milhares 3 3 2 3" xfId="4593" xr:uid="{14B739CA-7C0B-4E20-B73F-AA9D756DBABF}"/>
    <cellStyle name="Separador de milhares 3 3 2 3 2" xfId="10932" xr:uid="{3BD79D06-7A81-4D76-BD71-E9884380E349}"/>
    <cellStyle name="Separador de milhares 3 3 2 4" xfId="7764" xr:uid="{A5CA9AE3-0AFF-4AFD-B03C-7AE04318C5F5}"/>
    <cellStyle name="Separador de milhares 3 3 3" xfId="2195" xr:uid="{C4FC1A16-91E9-44D0-BB59-80FF740C10B0}"/>
    <cellStyle name="Separador de milhares 3 3 3 2" xfId="5365" xr:uid="{5416741A-1546-4E21-8527-2097C02EC9CD}"/>
    <cellStyle name="Separador de milhares 3 3 3 2 2" xfId="11704" xr:uid="{46166316-428F-4324-AC27-7710048FE0EA}"/>
    <cellStyle name="Separador de milhares 3 3 3 3" xfId="8536" xr:uid="{E64F9A5F-6367-42B1-B2C9-E08084B4D647}"/>
    <cellStyle name="Separador de milhares 3 3 4" xfId="3796" xr:uid="{1A7B885D-8528-403B-A501-025C9C30F9C5}"/>
    <cellStyle name="Separador de milhares 3 3 4 2" xfId="10135" xr:uid="{DA3AD5FC-5B2E-47E7-9B43-791CBB71D8A1}"/>
    <cellStyle name="Separador de milhares 3 3 5" xfId="6967" xr:uid="{61BCF57E-B9D7-4BE9-A1C9-7C587D32554D}"/>
    <cellStyle name="Separador de milhares 3 4" xfId="1040" xr:uid="{DFCF195E-DC5E-44C2-8EC4-923D20595860}"/>
    <cellStyle name="Separador de milhares 3 4 2" xfId="2611" xr:uid="{502AD39F-B519-461D-A851-8662301FD10F}"/>
    <cellStyle name="Separador de milhares 3 4 2 2" xfId="5781" xr:uid="{73B01C2D-F36E-4764-8953-95AEAFC8FF8D}"/>
    <cellStyle name="Separador de milhares 3 4 2 2 2" xfId="12120" xr:uid="{BC5A4244-D851-482C-A4D2-01EC71DB55E6}"/>
    <cellStyle name="Separador de milhares 3 4 2 3" xfId="8952" xr:uid="{65327AE2-4C2E-48FC-9B15-61703D490E64}"/>
    <cellStyle name="Separador de milhares 3 4 3" xfId="4212" xr:uid="{E6DCB417-002B-425B-9322-D2033F7D8AE3}"/>
    <cellStyle name="Separador de milhares 3 4 3 2" xfId="10551" xr:uid="{DD0ACBF9-178C-4012-9564-49073A54866F}"/>
    <cellStyle name="Separador de milhares 3 4 4" xfId="7383" xr:uid="{B52C7C0B-D7A5-4023-A48C-180C4A7F4741}"/>
    <cellStyle name="Separador de milhares 3 5" xfId="1814" xr:uid="{4A4A3E4B-F0E2-4253-BDC2-2866DCAFC305}"/>
    <cellStyle name="Separador de milhares 3 5 2" xfId="4984" xr:uid="{20F04962-BD77-4E81-A14E-8022E2EFE1F8}"/>
    <cellStyle name="Separador de milhares 3 5 2 2" xfId="11323" xr:uid="{B5F55E03-8C9C-4A50-A995-2AFAE15DE898}"/>
    <cellStyle name="Separador de milhares 3 5 3" xfId="8155" xr:uid="{3584C560-309D-4356-A6ED-ED0E4DBFB369}"/>
    <cellStyle name="Separador de milhares 3 6" xfId="3415" xr:uid="{A66AD4A4-DD98-4861-8839-2F9DD1651055}"/>
    <cellStyle name="Separador de milhares 3 6 2" xfId="9754" xr:uid="{7963CF2D-2EC9-4AF9-A9EC-7CEAA77EDF5A}"/>
    <cellStyle name="Separador de milhares 3 7" xfId="6586" xr:uid="{8216C192-046A-4B02-99D4-58BFCDFF1CE6}"/>
    <cellStyle name="Separador de milhares 4" xfId="279" xr:uid="{639193CB-BFA8-4281-BC66-B8BA9891F67F}"/>
    <cellStyle name="Separador de milhares 4 2" xfId="669" xr:uid="{9E82754B-E332-422A-B228-7B622D4C5911}"/>
    <cellStyle name="Separador de milhares 4 2 2" xfId="1468" xr:uid="{59C8C97B-713B-4ADB-9112-CAA8F2514928}"/>
    <cellStyle name="Separador de milhares 4 2 2 2" xfId="3039" xr:uid="{AFCBDB0E-97B2-40A3-99BD-02AACC990D1A}"/>
    <cellStyle name="Separador de milhares 4 2 2 2 2" xfId="6209" xr:uid="{EC5A927D-BB81-4492-B1B0-8B3D7E81EF5F}"/>
    <cellStyle name="Separador de milhares 4 2 2 2 2 2" xfId="12548" xr:uid="{2F34837E-9AB3-4538-99A3-A635ED3605C6}"/>
    <cellStyle name="Separador de milhares 4 2 2 2 3" xfId="9380" xr:uid="{880EA6FE-DA00-4BC1-8CEB-919FE29C4EA2}"/>
    <cellStyle name="Separador de milhares 4 2 2 3" xfId="4640" xr:uid="{8B9DB505-D03B-4D25-9E7D-6728B77652E2}"/>
    <cellStyle name="Separador de milhares 4 2 2 3 2" xfId="10979" xr:uid="{C1397754-F288-460B-A2C2-F2E520873CBE}"/>
    <cellStyle name="Separador de milhares 4 2 2 4" xfId="7811" xr:uid="{EAA19E44-63BA-4B34-BDA7-51FB192E711A}"/>
    <cellStyle name="Separador de milhares 4 2 3" xfId="2242" xr:uid="{B1218137-B732-43BE-AD2D-10A9DA69FAB4}"/>
    <cellStyle name="Separador de milhares 4 2 3 2" xfId="5412" xr:uid="{D0F65204-98E0-408D-BD4B-7D002F6A73DB}"/>
    <cellStyle name="Separador de milhares 4 2 3 2 2" xfId="11751" xr:uid="{F7DB5948-6130-40E4-A88F-B4B133947F3B}"/>
    <cellStyle name="Separador de milhares 4 2 3 3" xfId="8583" xr:uid="{03C5E46B-D005-4AFD-A06C-31CC09E8661E}"/>
    <cellStyle name="Separador de milhares 4 2 4" xfId="3843" xr:uid="{F40FA946-741A-4A37-86EA-99FA4AF798B2}"/>
    <cellStyle name="Separador de milhares 4 2 4 2" xfId="10182" xr:uid="{E68B7538-D042-4D80-889F-FBFACBAC243C}"/>
    <cellStyle name="Separador de milhares 4 2 5" xfId="7014" xr:uid="{7673204F-E06E-4F7B-B991-262960BD763C}"/>
    <cellStyle name="Separador de milhares 4 3" xfId="1087" xr:uid="{2832960E-A693-437B-A8E1-6362E31598F3}"/>
    <cellStyle name="Separador de milhares 4 3 2" xfId="2658" xr:uid="{843221A7-B8E3-4033-868C-B13CF3E9DB1E}"/>
    <cellStyle name="Separador de milhares 4 3 2 2" xfId="5828" xr:uid="{1EF16BAC-E602-4BD3-B67F-EE7989599366}"/>
    <cellStyle name="Separador de milhares 4 3 2 2 2" xfId="12167" xr:uid="{81F5EB16-D705-42D4-A87A-F8035F7B848F}"/>
    <cellStyle name="Separador de milhares 4 3 2 3" xfId="8999" xr:uid="{57FCCC11-82D1-49E1-A459-981B1FDA1678}"/>
    <cellStyle name="Separador de milhares 4 3 3" xfId="4259" xr:uid="{9EC45A15-2379-4533-A2EF-01345DC8B6E3}"/>
    <cellStyle name="Separador de milhares 4 3 3 2" xfId="10598" xr:uid="{8D39E153-299A-4173-B5F7-A5CA457BEB3D}"/>
    <cellStyle name="Separador de milhares 4 3 4" xfId="7430" xr:uid="{9CDA26AA-B151-4A0C-A28C-31C6489A238E}"/>
    <cellStyle name="Separador de milhares 4 4" xfId="1861" xr:uid="{E37B990A-CB63-4E1A-ABB8-B45BB686EADB}"/>
    <cellStyle name="Separador de milhares 4 4 2" xfId="5031" xr:uid="{5A6550A6-CBC5-4209-A9A5-B99282C58B6A}"/>
    <cellStyle name="Separador de milhares 4 4 2 2" xfId="11370" xr:uid="{9569082D-D2C6-4E33-A154-7F3149D3AF3A}"/>
    <cellStyle name="Separador de milhares 4 4 3" xfId="8202" xr:uid="{2F7D9AAF-D485-44DD-8B57-F799FEE79985}"/>
    <cellStyle name="Separador de milhares 4 5" xfId="3462" xr:uid="{B2F6AF49-DC49-466F-B73B-7D214DB46B6F}"/>
    <cellStyle name="Separador de milhares 4 5 2" xfId="9801" xr:uid="{8953F474-16AD-4BA6-976F-E5C71EBB0C28}"/>
    <cellStyle name="Separador de milhares 4 6" xfId="6633" xr:uid="{E70AF312-83CD-4898-B6B2-B0AFEFF0245D}"/>
    <cellStyle name="Separador de milhares 5" xfId="486" xr:uid="{29A4DB75-3978-4252-80E1-359E766C2954}"/>
    <cellStyle name="Separador de milhares 5 2" xfId="1285" xr:uid="{F9F4A907-5A24-432F-A623-6A7A33BBAAEF}"/>
    <cellStyle name="Separador de milhares 5 2 2" xfId="2856" xr:uid="{38658BBC-542A-4BFF-BA53-9D207DEBB01E}"/>
    <cellStyle name="Separador de milhares 5 2 2 2" xfId="6026" xr:uid="{8804E8EE-7142-4734-9F60-98CD09D3D09C}"/>
    <cellStyle name="Separador de milhares 5 2 2 2 2" xfId="12365" xr:uid="{306FB4EB-AB1B-433B-BD3A-51B979348EDA}"/>
    <cellStyle name="Separador de milhares 5 2 2 3" xfId="9197" xr:uid="{F9F463A2-267A-4DC8-B77B-EEDB203FE130}"/>
    <cellStyle name="Separador de milhares 5 2 3" xfId="4457" xr:uid="{D43C69EE-C43F-4ACE-9E76-C6C9230A6E4E}"/>
    <cellStyle name="Separador de milhares 5 2 3 2" xfId="10796" xr:uid="{B3293B21-8D57-45B5-A6F5-C6AC6DD6C8DD}"/>
    <cellStyle name="Separador de milhares 5 2 4" xfId="7628" xr:uid="{4EECA036-9E1A-4A99-8EBA-852948F2DAED}"/>
    <cellStyle name="Separador de milhares 5 3" xfId="2059" xr:uid="{E565C65D-9CF9-4894-8099-D1C52797B4A4}"/>
    <cellStyle name="Separador de milhares 5 3 2" xfId="5229" xr:uid="{144F03BE-DF1F-462F-B01D-69484462052E}"/>
    <cellStyle name="Separador de milhares 5 3 2 2" xfId="11568" xr:uid="{062D48FC-38DE-463E-9B29-D7FA9A8197C1}"/>
    <cellStyle name="Separador de milhares 5 3 3" xfId="8400" xr:uid="{37ACD92B-FA45-4BD3-B72C-3749997C57D7}"/>
    <cellStyle name="Separador de milhares 5 4" xfId="3660" xr:uid="{67A285C9-B79D-4905-9E48-7BCB66D49CDA}"/>
    <cellStyle name="Separador de milhares 5 4 2" xfId="9999" xr:uid="{A2B1CE91-8B3B-4650-AD1D-1A2DBCDDDF17}"/>
    <cellStyle name="Separador de milhares 5 5" xfId="6831" xr:uid="{488AE348-8438-48B6-9E80-F828FBB18CF1}"/>
    <cellStyle name="Separador de milhares 6" xfId="884" xr:uid="{54F8D3EC-EB20-4C89-BC0A-E6B960420F87}"/>
    <cellStyle name="Separador de milhares 6 2" xfId="2455" xr:uid="{EFCB561B-4199-4E82-92B4-13D2CA12A75C}"/>
    <cellStyle name="Separador de milhares 6 2 2" xfId="5625" xr:uid="{C6C27548-B04F-4C17-9AF8-4FE2FF8F7225}"/>
    <cellStyle name="Separador de milhares 6 2 2 2" xfId="11964" xr:uid="{7CF934A5-8B1E-4CC5-AE1F-A33CEF736E96}"/>
    <cellStyle name="Separador de milhares 6 2 3" xfId="8796" xr:uid="{5EA3FA5D-EA06-4157-BA67-475D7C206512}"/>
    <cellStyle name="Separador de milhares 6 3" xfId="4056" xr:uid="{2F67603E-4EFD-4AFB-900F-A1F702D555F3}"/>
    <cellStyle name="Separador de milhares 6 3 2" xfId="10395" xr:uid="{6933FE72-C2B1-417E-BB4D-AA733F04384C}"/>
    <cellStyle name="Separador de milhares 6 4" xfId="7227" xr:uid="{BF0341B8-A950-45C5-A77D-093B51098529}"/>
    <cellStyle name="Separador de milhares 7" xfId="1681" xr:uid="{43E907A2-2F7C-4CD2-90D9-ACE72489BF7E}"/>
    <cellStyle name="Separador de milhares 7 2" xfId="4851" xr:uid="{2EFB2AB9-3C18-41B5-BF17-B24F1EE85760}"/>
    <cellStyle name="Separador de milhares 7 2 2" xfId="11190" xr:uid="{D9C73E04-81DC-4B72-9F4D-B843F96D4F8E}"/>
    <cellStyle name="Separador de milhares 7 3" xfId="8022" xr:uid="{56AC6F26-03BF-4198-8AA8-1770C1A6F954}"/>
    <cellStyle name="Separador de milhares 8" xfId="3259" xr:uid="{7CBC2E87-9DD0-4B39-802C-97FAD5A39E2A}"/>
    <cellStyle name="Separador de milhares 8 2" xfId="9598" xr:uid="{DC230DDF-B4DA-4C22-9A92-B2BAC3CFCACB}"/>
    <cellStyle name="Separador de milhares 9" xfId="6430" xr:uid="{7928F219-EBFB-4CEA-B7B4-66158F190FAD}"/>
    <cellStyle name="Vírgula" xfId="1" builtinId="3"/>
    <cellStyle name="Vírgula 10" xfId="143" xr:uid="{4DC97857-6B9F-4BA9-BB7D-FEDDAEF44995}"/>
    <cellStyle name="Vírgula 10 2" xfId="360" xr:uid="{35FFA431-4B1D-4284-B427-4FA2D4D1BC69}"/>
    <cellStyle name="Vírgula 10 2 2" xfId="741" xr:uid="{C132F679-251D-4B41-8BF4-A25FC26F2E15}"/>
    <cellStyle name="Vírgula 10 2 2 2" xfId="1540" xr:uid="{A0549F5A-F411-4FC7-9A6B-00A779871CC0}"/>
    <cellStyle name="Vírgula 10 2 2 2 2" xfId="3111" xr:uid="{0AA5DB74-42CE-4693-A42B-82B1E0B3FBF5}"/>
    <cellStyle name="Vírgula 10 2 2 2 2 2" xfId="6281" xr:uid="{BFBA5532-1018-48C5-8D4A-D0132C0B5910}"/>
    <cellStyle name="Vírgula 10 2 2 2 2 2 2" xfId="12620" xr:uid="{B1C5FD4E-C046-48F0-8F3F-126A56C8BB0A}"/>
    <cellStyle name="Vírgula 10 2 2 2 2 3" xfId="9452" xr:uid="{EC9FE704-41E0-4235-B136-573C7FCEF66D}"/>
    <cellStyle name="Vírgula 10 2 2 2 3" xfId="4712" xr:uid="{0DC069D7-B949-4399-9FD4-86F9AEC945BF}"/>
    <cellStyle name="Vírgula 10 2 2 2 3 2" xfId="11051" xr:uid="{B2927827-5036-4A4D-A991-DB7103093738}"/>
    <cellStyle name="Vírgula 10 2 2 2 4" xfId="7883" xr:uid="{E64D1089-A370-424C-AC81-58D1050A85B3}"/>
    <cellStyle name="Vírgula 10 2 2 3" xfId="2314" xr:uid="{66D568B0-B7A4-4252-8412-2E0CF13CF50A}"/>
    <cellStyle name="Vírgula 10 2 2 3 2" xfId="5484" xr:uid="{1CD38AEB-9B51-4B05-A0A9-373645DF071A}"/>
    <cellStyle name="Vírgula 10 2 2 3 2 2" xfId="11823" xr:uid="{6C0DAF87-5723-4558-B74E-FFDF021ED7C8}"/>
    <cellStyle name="Vírgula 10 2 2 3 3" xfId="8655" xr:uid="{4CE8C31C-BFCD-46E3-8912-8D7810EB6544}"/>
    <cellStyle name="Vírgula 10 2 2 4" xfId="3915" xr:uid="{709F0F80-5CF2-4ACD-84E0-FDB52F1DB4AD}"/>
    <cellStyle name="Vírgula 10 2 2 4 2" xfId="10254" xr:uid="{C113B67C-8638-4A0F-9101-3DA04C68BF03}"/>
    <cellStyle name="Vírgula 10 2 2 5" xfId="7086" xr:uid="{E71AA8D0-8D1C-4593-9E64-8C33CFB28FA9}"/>
    <cellStyle name="Vírgula 10 2 3" xfId="1159" xr:uid="{7DD688F7-ABA1-4AE2-8A45-CA31AD605172}"/>
    <cellStyle name="Vírgula 10 2 3 2" xfId="2730" xr:uid="{6252E70C-9696-413B-B606-21040E71A575}"/>
    <cellStyle name="Vírgula 10 2 3 2 2" xfId="5900" xr:uid="{678E5175-C751-4E2F-9CE5-E99BA8B57890}"/>
    <cellStyle name="Vírgula 10 2 3 2 2 2" xfId="12239" xr:uid="{04FAAD13-C618-4B05-B8D8-07DF8105F526}"/>
    <cellStyle name="Vírgula 10 2 3 2 3" xfId="9071" xr:uid="{CA696C43-B450-4C7F-9E6C-BE326D763C19}"/>
    <cellStyle name="Vírgula 10 2 3 3" xfId="4331" xr:uid="{E52A6283-A340-443C-917E-1F40D57B78EA}"/>
    <cellStyle name="Vírgula 10 2 3 3 2" xfId="10670" xr:uid="{BD9F4ECB-9164-421A-99E8-59255DDB22A2}"/>
    <cellStyle name="Vírgula 10 2 3 4" xfId="7502" xr:uid="{0731F9AC-3C95-4743-B95B-F1B04F1D709A}"/>
    <cellStyle name="Vírgula 10 2 4" xfId="1933" xr:uid="{9A557918-4DF2-4353-81CB-785F81CAE3FD}"/>
    <cellStyle name="Vírgula 10 2 4 2" xfId="5103" xr:uid="{3C498E4B-107D-43CD-A5F2-500BBB6479B4}"/>
    <cellStyle name="Vírgula 10 2 4 2 2" xfId="11442" xr:uid="{4C61C395-9D0D-4002-A217-F63EABC4B535}"/>
    <cellStyle name="Vírgula 10 2 4 3" xfId="8274" xr:uid="{445FE83E-DBA6-48B8-B9CD-76CDD15A513C}"/>
    <cellStyle name="Vírgula 10 2 5" xfId="3534" xr:uid="{4D255F46-040F-44AE-A494-44135052F13F}"/>
    <cellStyle name="Vírgula 10 2 5 2" xfId="9873" xr:uid="{D7226C9D-93BB-4865-86EF-3208D8B012C4}"/>
    <cellStyle name="Vírgula 10 2 6" xfId="6705" xr:uid="{F7CB4B03-A6F2-407B-8DD4-5D943E97F3F6}"/>
    <cellStyle name="Vírgula 10 3" xfId="538" xr:uid="{6415B8CF-5A6F-409A-A861-5459F8452755}"/>
    <cellStyle name="Vírgula 10 3 2" xfId="1337" xr:uid="{09003717-A1C1-46E1-96B6-F77C428A25FE}"/>
    <cellStyle name="Vírgula 10 3 2 2" xfId="2908" xr:uid="{759B661B-1344-4FAC-9170-316CDB23F872}"/>
    <cellStyle name="Vírgula 10 3 2 2 2" xfId="6078" xr:uid="{CF0FA316-50E4-4FAF-836D-6621F4547C82}"/>
    <cellStyle name="Vírgula 10 3 2 2 2 2" xfId="12417" xr:uid="{FAAA6F94-15BE-4F83-8C14-2F40F5A25775}"/>
    <cellStyle name="Vírgula 10 3 2 2 3" xfId="9249" xr:uid="{A592F653-8A87-4B90-A286-DFC50FF6F147}"/>
    <cellStyle name="Vírgula 10 3 2 3" xfId="4509" xr:uid="{53A9C564-9845-4414-9B47-62052834E245}"/>
    <cellStyle name="Vírgula 10 3 2 3 2" xfId="10848" xr:uid="{E81712A4-A07E-4695-B0E6-5D2132102687}"/>
    <cellStyle name="Vírgula 10 3 2 4" xfId="7680" xr:uid="{8E007532-1AE7-4A63-8257-7339229AF39F}"/>
    <cellStyle name="Vírgula 10 3 3" xfId="2111" xr:uid="{14BD9E0A-6F1F-43A8-AAFB-2C0C4F4BFB7E}"/>
    <cellStyle name="Vírgula 10 3 3 2" xfId="5281" xr:uid="{CE84D37F-315E-4CEB-A825-39C66FA3FE53}"/>
    <cellStyle name="Vírgula 10 3 3 2 2" xfId="11620" xr:uid="{E9CE5E5D-99F6-4FA5-BC7F-FB1838E3769F}"/>
    <cellStyle name="Vírgula 10 3 3 3" xfId="8452" xr:uid="{088AD674-0E9F-4D83-8862-A57B5294F3FE}"/>
    <cellStyle name="Vírgula 10 3 4" xfId="3712" xr:uid="{E0BEA5A4-5862-48A1-9808-D99D1FF7FC57}"/>
    <cellStyle name="Vírgula 10 3 4 2" xfId="10051" xr:uid="{5F3798C4-C793-4DC7-82A3-70B2A9207C77}"/>
    <cellStyle name="Vírgula 10 3 5" xfId="6883" xr:uid="{CA7982CA-22B8-4B1D-9801-D27483681298}"/>
    <cellStyle name="Vírgula 10 4" xfId="956" xr:uid="{AF8B13EF-30C1-4984-BD22-DB3F48A39D4B}"/>
    <cellStyle name="Vírgula 10 4 2" xfId="2527" xr:uid="{5C470D7E-3578-40F1-9027-18F71E9B2410}"/>
    <cellStyle name="Vírgula 10 4 2 2" xfId="5697" xr:uid="{DE48E4B9-C5BA-479B-A01B-7776C06EDFD7}"/>
    <cellStyle name="Vírgula 10 4 2 2 2" xfId="12036" xr:uid="{8CE43523-6D32-4A8C-B0A9-7E96FB7F4B2A}"/>
    <cellStyle name="Vírgula 10 4 2 3" xfId="8868" xr:uid="{AA1351B5-6188-4F23-9617-1EC06374EB72}"/>
    <cellStyle name="Vírgula 10 4 3" xfId="4128" xr:uid="{E22C3327-ECCF-435F-B713-EB73762A1608}"/>
    <cellStyle name="Vírgula 10 4 3 2" xfId="10467" xr:uid="{E384C559-47DA-49C0-AB6C-EAE13C042256}"/>
    <cellStyle name="Vírgula 10 4 4" xfId="7299" xr:uid="{FF2BC0BB-2EAC-40B3-8AC5-659740CFFE9D}"/>
    <cellStyle name="Vírgula 10 5" xfId="1730" xr:uid="{CCE38D29-C950-4932-86B3-EDD5BB6671BF}"/>
    <cellStyle name="Vírgula 10 5 2" xfId="4900" xr:uid="{3801F165-B9DD-48AE-BB72-31D086443DC5}"/>
    <cellStyle name="Vírgula 10 5 2 2" xfId="11239" xr:uid="{D3F52182-D2D5-46A5-885E-21D6ADC65BC1}"/>
    <cellStyle name="Vírgula 10 5 3" xfId="8071" xr:uid="{8DDFE70C-A548-47DA-8672-D23C88DEFBD8}"/>
    <cellStyle name="Vírgula 10 6" xfId="3331" xr:uid="{B219C7F2-E0D8-4A69-8988-B068342856FD}"/>
    <cellStyle name="Vírgula 10 6 2" xfId="9670" xr:uid="{03A961BF-13D5-4DD7-8F89-0B5129CEB566}"/>
    <cellStyle name="Vírgula 10 7" xfId="6502" xr:uid="{25AA7D4E-6C9E-4806-8735-C1145739D07D}"/>
    <cellStyle name="Vírgula 11" xfId="228" xr:uid="{A902F210-DE95-4882-8A63-A5DC4BCD16F7}"/>
    <cellStyle name="Vírgula 11 2" xfId="445" xr:uid="{AFE1EE5B-F5E2-4B49-B203-173967828C10}"/>
    <cellStyle name="Vírgula 11 2 2" xfId="826" xr:uid="{81E0DE65-9096-4ECD-BF77-54708D6731EA}"/>
    <cellStyle name="Vírgula 11 2 2 2" xfId="1625" xr:uid="{5E614CF9-B4D3-401C-AE02-6930BC8BA94E}"/>
    <cellStyle name="Vírgula 11 2 2 2 2" xfId="3196" xr:uid="{9DD2CD71-5E5F-4950-836A-6C7822ED0C62}"/>
    <cellStyle name="Vírgula 11 2 2 2 2 2" xfId="6366" xr:uid="{B002AE11-CC94-4208-B034-DB6524555014}"/>
    <cellStyle name="Vírgula 11 2 2 2 2 2 2" xfId="12705" xr:uid="{15753F9E-82FA-4E89-B08C-628D7F81927D}"/>
    <cellStyle name="Vírgula 11 2 2 2 2 3" xfId="9537" xr:uid="{33156F61-21E2-4804-AE97-61E230DC7C5B}"/>
    <cellStyle name="Vírgula 11 2 2 2 3" xfId="4797" xr:uid="{A4C37160-14E8-4A18-9D2F-15CC385C3077}"/>
    <cellStyle name="Vírgula 11 2 2 2 3 2" xfId="11136" xr:uid="{183211D4-E8B9-4FFC-B649-9EBA1B379F02}"/>
    <cellStyle name="Vírgula 11 2 2 2 4" xfId="7968" xr:uid="{658800DA-02CC-4CEA-BF9A-C1A32703BB07}"/>
    <cellStyle name="Vírgula 11 2 2 3" xfId="2399" xr:uid="{0C16BE47-44E9-476B-B6B2-095C310A9981}"/>
    <cellStyle name="Vírgula 11 2 2 3 2" xfId="5569" xr:uid="{C0BCF18F-6542-4D5E-B28B-BA8E7E519198}"/>
    <cellStyle name="Vírgula 11 2 2 3 2 2" xfId="11908" xr:uid="{6550B941-A55F-4A34-96AE-220B4F87A372}"/>
    <cellStyle name="Vírgula 11 2 2 3 3" xfId="8740" xr:uid="{463DA7BB-17E5-4471-9E6D-0038FD56A6B5}"/>
    <cellStyle name="Vírgula 11 2 2 4" xfId="4000" xr:uid="{9929168F-A1FE-47DB-8E9A-36C4F41233DD}"/>
    <cellStyle name="Vírgula 11 2 2 4 2" xfId="10339" xr:uid="{FD9B661F-9371-4974-AD91-5A966C97C660}"/>
    <cellStyle name="Vírgula 11 2 2 5" xfId="7171" xr:uid="{EA9EE5E9-B30B-462A-81E9-00D12A15B69F}"/>
    <cellStyle name="Vírgula 11 2 3" xfId="1244" xr:uid="{F9946416-8799-43D0-8BDA-685CEC8858F1}"/>
    <cellStyle name="Vírgula 11 2 3 2" xfId="2815" xr:uid="{9EAE25BB-B667-4B42-9067-1FC7229A9A50}"/>
    <cellStyle name="Vírgula 11 2 3 2 2" xfId="5985" xr:uid="{7B5B64FD-3E70-4575-AAE7-EA6F43D9C92E}"/>
    <cellStyle name="Vírgula 11 2 3 2 2 2" xfId="12324" xr:uid="{71626CB8-BB42-4C8A-B083-69B6CCA61010}"/>
    <cellStyle name="Vírgula 11 2 3 2 3" xfId="9156" xr:uid="{FD8FE08C-CB59-46C5-9B9D-CC57224EF3C3}"/>
    <cellStyle name="Vírgula 11 2 3 3" xfId="4416" xr:uid="{C9A2FDB3-66F8-49BF-BF1D-A6F6440A4E85}"/>
    <cellStyle name="Vírgula 11 2 3 3 2" xfId="10755" xr:uid="{8545B8EC-FF1B-4785-8DEB-7E7831060C38}"/>
    <cellStyle name="Vírgula 11 2 3 4" xfId="7587" xr:uid="{C5915CD1-0553-4EEB-AD8B-3D5B1DA3BABA}"/>
    <cellStyle name="Vírgula 11 2 4" xfId="2018" xr:uid="{7DF719B3-22E9-40EC-BB3F-2262C24ADD76}"/>
    <cellStyle name="Vírgula 11 2 4 2" xfId="5188" xr:uid="{9CAE79AD-1DDD-49F9-928A-A8C79393EF15}"/>
    <cellStyle name="Vírgula 11 2 4 2 2" xfId="11527" xr:uid="{BFFFD3D9-87C2-48B1-81FF-283EACBE4B7E}"/>
    <cellStyle name="Vírgula 11 2 4 3" xfId="8359" xr:uid="{00825E29-80E0-4E86-B889-4B6DF0EE9614}"/>
    <cellStyle name="Vírgula 11 2 5" xfId="3619" xr:uid="{AE283C9E-82E2-4D52-9D90-8E66D957A6BC}"/>
    <cellStyle name="Vírgula 11 2 5 2" xfId="9958" xr:uid="{17F33E9B-7149-4CFD-9232-34AF9A61919F}"/>
    <cellStyle name="Vírgula 11 2 6" xfId="6790" xr:uid="{60DAA15A-D102-4355-AE4E-CE07366524BE}"/>
    <cellStyle name="Vírgula 11 3" xfId="623" xr:uid="{1E634F7C-2082-4503-8615-4CD020717C22}"/>
    <cellStyle name="Vírgula 11 3 2" xfId="1422" xr:uid="{5A202C6E-40C0-446E-98F3-F308BCBAC537}"/>
    <cellStyle name="Vírgula 11 3 2 2" xfId="2993" xr:uid="{84E74298-2748-43AF-ABEA-AA44A7191096}"/>
    <cellStyle name="Vírgula 11 3 2 2 2" xfId="6163" xr:uid="{D77E4AE6-AA31-43D8-9EC7-C73D84FBD1FD}"/>
    <cellStyle name="Vírgula 11 3 2 2 2 2" xfId="12502" xr:uid="{4C7F599F-2128-494B-8FE6-9431F54DC5C2}"/>
    <cellStyle name="Vírgula 11 3 2 2 3" xfId="9334" xr:uid="{8C28989B-A1D6-4F53-85DD-C0E128D85A56}"/>
    <cellStyle name="Vírgula 11 3 2 3" xfId="4594" xr:uid="{C034FD35-EF96-476F-9C99-6271C840100D}"/>
    <cellStyle name="Vírgula 11 3 2 3 2" xfId="10933" xr:uid="{D30890D3-9635-41AF-A32F-F96AF697C1BF}"/>
    <cellStyle name="Vírgula 11 3 2 4" xfId="7765" xr:uid="{1E70DE77-318F-4E5C-BB27-BD2ABB9AE227}"/>
    <cellStyle name="Vírgula 11 3 3" xfId="2196" xr:uid="{EFD105B2-5B1D-416F-95BE-66A962B2A978}"/>
    <cellStyle name="Vírgula 11 3 3 2" xfId="5366" xr:uid="{C930BCC5-AD9A-4E32-8684-770BD9A1A7A0}"/>
    <cellStyle name="Vírgula 11 3 3 2 2" xfId="11705" xr:uid="{D789C660-7650-4DCA-A14E-2C3B7394E086}"/>
    <cellStyle name="Vírgula 11 3 3 3" xfId="8537" xr:uid="{9077FF56-143E-402A-8D00-9022182E0D83}"/>
    <cellStyle name="Vírgula 11 3 4" xfId="3797" xr:uid="{B069A419-F3CE-44D7-8D2D-5F2DCF1BE502}"/>
    <cellStyle name="Vírgula 11 3 4 2" xfId="10136" xr:uid="{1AA1F0C6-67EE-46B1-AA36-04DB45788FEB}"/>
    <cellStyle name="Vírgula 11 3 5" xfId="6968" xr:uid="{B4B956AD-AAA2-4E8C-9B01-D30BED01BC0B}"/>
    <cellStyle name="Vírgula 11 4" xfId="1041" xr:uid="{78137146-5E41-467F-950B-EB03C8B260E0}"/>
    <cellStyle name="Vírgula 11 4 2" xfId="2612" xr:uid="{79151E43-3B3D-46C8-9C2D-0F3A13D8F930}"/>
    <cellStyle name="Vírgula 11 4 2 2" xfId="5782" xr:uid="{BFAC4245-0B75-4C66-9B26-AE808C2CF20C}"/>
    <cellStyle name="Vírgula 11 4 2 2 2" xfId="12121" xr:uid="{70E7FF23-96F3-4C4E-90AA-7D7A939E05BA}"/>
    <cellStyle name="Vírgula 11 4 2 3" xfId="8953" xr:uid="{D3967E32-A06D-42EC-B101-91FD834BCB8D}"/>
    <cellStyle name="Vírgula 11 4 3" xfId="4213" xr:uid="{F308800C-69C5-44A4-BB5B-011EDF32E492}"/>
    <cellStyle name="Vírgula 11 4 3 2" xfId="10552" xr:uid="{CF28A8A0-40F1-418E-B2B8-1B0C7ACE88CF}"/>
    <cellStyle name="Vírgula 11 4 4" xfId="7384" xr:uid="{886BA8A3-4FC6-415D-8363-E17573137176}"/>
    <cellStyle name="Vírgula 11 5" xfId="1815" xr:uid="{F44A0F2B-774D-48D7-B0FA-3FECA01723B7}"/>
    <cellStyle name="Vírgula 11 5 2" xfId="4985" xr:uid="{780C2D21-9D76-4B90-B794-BAC8D574E6F6}"/>
    <cellStyle name="Vírgula 11 5 2 2" xfId="11324" xr:uid="{0BB7298E-9CB6-45CD-9C6E-203533268948}"/>
    <cellStyle name="Vírgula 11 5 3" xfId="8156" xr:uid="{E7F654A5-5645-4E1C-9E73-E3A7632E0751}"/>
    <cellStyle name="Vírgula 11 6" xfId="3416" xr:uid="{564BDDF7-E3FB-4F27-B989-641253533136}"/>
    <cellStyle name="Vírgula 11 6 2" xfId="9755" xr:uid="{4E992C49-0C29-4AF9-A796-B2410423205C}"/>
    <cellStyle name="Vírgula 11 7" xfId="6587" xr:uid="{5D0A6771-C610-41FE-8751-C35282A7C205}"/>
    <cellStyle name="Vírgula 12" xfId="231" xr:uid="{2D93097D-E50F-4970-B79E-0FDD82D8521B}"/>
    <cellStyle name="Vírgula 12 2" xfId="446" xr:uid="{6223376A-5A83-4D93-8DDA-2470EF59854D}"/>
    <cellStyle name="Vírgula 12 2 2" xfId="827" xr:uid="{F5BED557-1BD6-49B3-8DEB-5924EB353321}"/>
    <cellStyle name="Vírgula 12 2 2 2" xfId="1626" xr:uid="{4520F9CD-BE17-4D40-8BD6-101775B13329}"/>
    <cellStyle name="Vírgula 12 2 2 2 2" xfId="3197" xr:uid="{EA05F4AE-E155-4DDB-A7DC-D076EC0FFE50}"/>
    <cellStyle name="Vírgula 12 2 2 2 2 2" xfId="6367" xr:uid="{098C9830-6AEB-4EFA-9C7C-8848BEE6F89F}"/>
    <cellStyle name="Vírgula 12 2 2 2 2 2 2" xfId="12706" xr:uid="{88553AE6-5DE1-4F25-9B71-4768D0520BC5}"/>
    <cellStyle name="Vírgula 12 2 2 2 2 3" xfId="9538" xr:uid="{82D95392-A3A9-457B-92D5-0339CC758F99}"/>
    <cellStyle name="Vírgula 12 2 2 2 3" xfId="4798" xr:uid="{5EA43358-D1D1-4BED-AA4C-B10EFE5E14D1}"/>
    <cellStyle name="Vírgula 12 2 2 2 3 2" xfId="11137" xr:uid="{D8C3792E-743C-4A70-AF8E-C77A8BAA90E7}"/>
    <cellStyle name="Vírgula 12 2 2 2 4" xfId="7969" xr:uid="{A8EDB8A2-D221-4E14-B7FD-2225E988CD62}"/>
    <cellStyle name="Vírgula 12 2 2 3" xfId="2400" xr:uid="{D6BD4422-50AF-4749-8CA1-D73DB3980FA5}"/>
    <cellStyle name="Vírgula 12 2 2 3 2" xfId="5570" xr:uid="{3E03C3FE-444F-4450-8260-C652EFB87C3E}"/>
    <cellStyle name="Vírgula 12 2 2 3 2 2" xfId="11909" xr:uid="{F7039EDF-B978-4595-8689-37E5C1D3E3AD}"/>
    <cellStyle name="Vírgula 12 2 2 3 3" xfId="8741" xr:uid="{4051E99D-B416-4C98-A97B-834F9514C00E}"/>
    <cellStyle name="Vírgula 12 2 2 4" xfId="4001" xr:uid="{51852E45-ADAA-43B3-8F54-408BB21B3446}"/>
    <cellStyle name="Vírgula 12 2 2 4 2" xfId="10340" xr:uid="{6BDA77C1-B167-436C-82EE-39FCA0290707}"/>
    <cellStyle name="Vírgula 12 2 2 5" xfId="7172" xr:uid="{8AC5064A-A2F8-4D46-902B-DD2C0841A80C}"/>
    <cellStyle name="Vírgula 12 2 3" xfId="1245" xr:uid="{77B19D27-4860-4A30-9CE7-45C670C1E375}"/>
    <cellStyle name="Vírgula 12 2 3 2" xfId="2816" xr:uid="{8F721470-1E0A-4773-B5A2-D0A3584E58D1}"/>
    <cellStyle name="Vírgula 12 2 3 2 2" xfId="5986" xr:uid="{1579533F-267F-4080-8D18-844CBFE2F945}"/>
    <cellStyle name="Vírgula 12 2 3 2 2 2" xfId="12325" xr:uid="{C437E106-03DC-4304-97A7-39F00A0E9A44}"/>
    <cellStyle name="Vírgula 12 2 3 2 3" xfId="9157" xr:uid="{315E2C2F-B1E1-47B5-8EE0-8B982451D869}"/>
    <cellStyle name="Vírgula 12 2 3 3" xfId="4417" xr:uid="{E92E096D-405E-462A-B87F-28D0F703FFD5}"/>
    <cellStyle name="Vírgula 12 2 3 3 2" xfId="10756" xr:uid="{7F13C5E8-DF0E-4290-822C-C68A377549DE}"/>
    <cellStyle name="Vírgula 12 2 3 4" xfId="7588" xr:uid="{C79BB2D8-D8E2-4D6C-9D4D-7FC1845760D2}"/>
    <cellStyle name="Vírgula 12 2 4" xfId="2019" xr:uid="{7B9F4AF3-DDC3-4C94-BF82-B967E5BDB44E}"/>
    <cellStyle name="Vírgula 12 2 4 2" xfId="5189" xr:uid="{56C8029E-A4C0-4145-9578-2E57913D3872}"/>
    <cellStyle name="Vírgula 12 2 4 2 2" xfId="11528" xr:uid="{AADB1CB7-269D-48BF-BDB5-E48108A011A4}"/>
    <cellStyle name="Vírgula 12 2 4 3" xfId="8360" xr:uid="{F41F2FE2-4B88-4FCE-8CDC-AF040B4861CB}"/>
    <cellStyle name="Vírgula 12 2 5" xfId="3620" xr:uid="{774E0A8B-B26E-4BFC-8A5A-2FA785CE7C28}"/>
    <cellStyle name="Vírgula 12 2 5 2" xfId="9959" xr:uid="{654D10CC-B042-41FA-A080-0DBB0654B450}"/>
    <cellStyle name="Vírgula 12 2 6" xfId="6791" xr:uid="{825DF86E-4729-4696-A02D-FADB15C52FB9}"/>
    <cellStyle name="Vírgula 12 3" xfId="625" xr:uid="{49C713E8-9206-4FCD-91CC-F40D8FFE3C2D}"/>
    <cellStyle name="Vírgula 12 3 2" xfId="1424" xr:uid="{83240324-F200-4CB4-B39B-79627C2CB114}"/>
    <cellStyle name="Vírgula 12 3 2 2" xfId="2995" xr:uid="{E5DA7BF3-A551-475D-BA08-1AED03577604}"/>
    <cellStyle name="Vírgula 12 3 2 2 2" xfId="6165" xr:uid="{3429A83E-3306-4840-9AC9-D823DA3050B7}"/>
    <cellStyle name="Vírgula 12 3 2 2 2 2" xfId="12504" xr:uid="{0F2B8523-F672-469D-ABCA-D66574569EA0}"/>
    <cellStyle name="Vírgula 12 3 2 2 3" xfId="9336" xr:uid="{6074C6C2-17EB-44E3-973A-3A4605B67639}"/>
    <cellStyle name="Vírgula 12 3 2 3" xfId="4596" xr:uid="{A0461D8B-A7F8-4FA2-8F97-0C7F7DE331B7}"/>
    <cellStyle name="Vírgula 12 3 2 3 2" xfId="10935" xr:uid="{A6FEB0DA-C084-417E-A6FB-6A5777F199AC}"/>
    <cellStyle name="Vírgula 12 3 2 4" xfId="7767" xr:uid="{DBD71560-4380-47DC-93B5-ABFF75F6BF03}"/>
    <cellStyle name="Vírgula 12 3 3" xfId="2198" xr:uid="{7D5F0F3F-82FC-4E68-BEA5-3A4FE63900F0}"/>
    <cellStyle name="Vírgula 12 3 3 2" xfId="5368" xr:uid="{06680B9E-749A-442F-9494-0BD7EC297F54}"/>
    <cellStyle name="Vírgula 12 3 3 2 2" xfId="11707" xr:uid="{21059500-03DC-4B42-9FD9-2D83228610DA}"/>
    <cellStyle name="Vírgula 12 3 3 3" xfId="8539" xr:uid="{F6DD66E7-C885-4CBD-BB97-FFFDB20CD1C0}"/>
    <cellStyle name="Vírgula 12 3 4" xfId="3799" xr:uid="{69D5C834-B0F7-44EF-BBA9-F6A6682A6163}"/>
    <cellStyle name="Vírgula 12 3 4 2" xfId="10138" xr:uid="{22183CAC-DBCF-4B89-8A40-452155904BB6}"/>
    <cellStyle name="Vírgula 12 3 5" xfId="6970" xr:uid="{039AE331-52AD-4818-9413-C68A4AB4AFEE}"/>
    <cellStyle name="Vírgula 12 4" xfId="1043" xr:uid="{128343E0-73A9-4165-A42F-DCC74FACC185}"/>
    <cellStyle name="Vírgula 12 4 2" xfId="2614" xr:uid="{5D1F1A32-D8D8-414B-89B3-37CCA382C136}"/>
    <cellStyle name="Vírgula 12 4 2 2" xfId="5784" xr:uid="{5E6ADFAF-EA13-4AF9-A646-2F090FBD4D28}"/>
    <cellStyle name="Vírgula 12 4 2 2 2" xfId="12123" xr:uid="{A9ABD998-0F60-48C6-BFB0-D39BB63C46E5}"/>
    <cellStyle name="Vírgula 12 4 2 3" xfId="8955" xr:uid="{F58813BA-3B2D-4EB0-8A13-E67E81495B8E}"/>
    <cellStyle name="Vírgula 12 4 3" xfId="4215" xr:uid="{99D26BBA-614B-4A29-9DBC-F6C6081C53F0}"/>
    <cellStyle name="Vírgula 12 4 3 2" xfId="10554" xr:uid="{A553A7FB-F758-44C9-B9A3-AEE46BF85AEC}"/>
    <cellStyle name="Vírgula 12 4 4" xfId="7386" xr:uid="{E00DE39B-475E-41CB-9E96-6B332309C991}"/>
    <cellStyle name="Vírgula 12 5" xfId="1817" xr:uid="{A87ACDCE-F29C-4953-B6D6-A5EE4738678D}"/>
    <cellStyle name="Vírgula 12 5 2" xfId="4987" xr:uid="{8CECA2BD-36CD-4F51-AF73-B93741FA3C9D}"/>
    <cellStyle name="Vírgula 12 5 2 2" xfId="11326" xr:uid="{AE5152B2-6F09-45FA-BBFA-C3FD630B815A}"/>
    <cellStyle name="Vírgula 12 5 3" xfId="8158" xr:uid="{DE78191B-0833-4C9A-A7F7-CEC10EA85290}"/>
    <cellStyle name="Vírgula 12 6" xfId="3418" xr:uid="{B7140C00-E246-42E4-A3F8-12704F177DF4}"/>
    <cellStyle name="Vírgula 12 6 2" xfId="9757" xr:uid="{97521904-6D09-42F5-96B5-A8E99FBEED31}"/>
    <cellStyle name="Vírgula 12 7" xfId="6589" xr:uid="{A032C953-1835-484D-B1E9-B549CF18D2A7}"/>
    <cellStyle name="Vírgula 13" xfId="832" xr:uid="{6B3DA4EF-9145-4371-B2A5-E161565B8A8A}"/>
    <cellStyle name="Vírgula 13 2" xfId="1631" xr:uid="{F743B912-5E1B-4EDB-AEA3-9C874D8EEF8E}"/>
    <cellStyle name="Vírgula 13 2 2" xfId="3202" xr:uid="{BF783D6A-8801-4B5C-9BEE-06B93A8F47E4}"/>
    <cellStyle name="Vírgula 13 2 2 2" xfId="6372" xr:uid="{40D41093-7251-4E9B-9551-773720A36ED5}"/>
    <cellStyle name="Vírgula 13 2 2 2 2" xfId="12711" xr:uid="{44E05996-4762-4946-A78A-2B50FD85DCE2}"/>
    <cellStyle name="Vírgula 13 2 2 3" xfId="9543" xr:uid="{D3B7B1C3-4868-4794-ADF9-933651320090}"/>
    <cellStyle name="Vírgula 13 2 3" xfId="4803" xr:uid="{26EAF9DA-B80E-403C-A2CF-059F8E6C2A17}"/>
    <cellStyle name="Vírgula 13 2 3 2" xfId="11142" xr:uid="{AD793F81-1706-483E-B02B-BB0F291BC5AE}"/>
    <cellStyle name="Vírgula 13 2 4" xfId="7974" xr:uid="{DCBF1F6A-8E0F-4686-A93B-CA080B60C713}"/>
    <cellStyle name="Vírgula 13 3" xfId="2405" xr:uid="{EDF6AAB7-E6F9-4BFD-8FA8-FBF2DA27E968}"/>
    <cellStyle name="Vírgula 13 3 2" xfId="5575" xr:uid="{DFECAA1F-7884-4749-8255-444D27AEE75A}"/>
    <cellStyle name="Vírgula 13 3 2 2" xfId="11914" xr:uid="{10418A69-BB87-4466-9203-6FE195569DC5}"/>
    <cellStyle name="Vírgula 13 3 3" xfId="8746" xr:uid="{EFD8196E-66FC-4E31-9C60-7BD8F4BF8856}"/>
    <cellStyle name="Vírgula 13 4" xfId="4006" xr:uid="{D94DBAC7-2FEC-4DD7-A497-EEA48F6F3C30}"/>
    <cellStyle name="Vírgula 13 4 2" xfId="10345" xr:uid="{109D8FDC-15D9-4959-B8D7-8921A801079F}"/>
    <cellStyle name="Vírgula 13 5" xfId="7177" xr:uid="{E205FED6-B8C1-4C91-894D-ECDD1BED8A2B}"/>
    <cellStyle name="Vírgula 14" xfId="835" xr:uid="{89E84E5F-18EB-4E85-81A0-671D2D8913A5}"/>
    <cellStyle name="Vírgula 14 2" xfId="1634" xr:uid="{DA628E04-FA29-4770-9C44-17C39A61CE4D}"/>
    <cellStyle name="Vírgula 14 2 2" xfId="3205" xr:uid="{542B8615-4A52-4A9D-83EF-08B0D6FA39C2}"/>
    <cellStyle name="Vírgula 14 2 2 2" xfId="6375" xr:uid="{8462FB84-2BDD-4DBC-B6D3-4399987A8468}"/>
    <cellStyle name="Vírgula 14 2 2 2 2" xfId="12714" xr:uid="{1C349C77-4825-4D11-862B-3C13B67B5978}"/>
    <cellStyle name="Vírgula 14 2 2 3" xfId="9546" xr:uid="{ACA122B8-FBEB-4466-AF9B-0DD8D4BC3FB4}"/>
    <cellStyle name="Vírgula 14 2 3" xfId="4806" xr:uid="{24133EDD-DFD7-425D-A343-C72286F84A98}"/>
    <cellStyle name="Vírgula 14 2 3 2" xfId="11145" xr:uid="{3CB57FBD-93CD-4C65-B1BE-F929E2A1CE09}"/>
    <cellStyle name="Vírgula 14 2 4" xfId="7977" xr:uid="{BC4C5F23-EE7E-46C9-85F8-E15EE008B279}"/>
    <cellStyle name="Vírgula 14 3" xfId="2408" xr:uid="{CD2858F9-ED72-4C21-ADF9-546A20E5B9C9}"/>
    <cellStyle name="Vírgula 14 3 2" xfId="5578" xr:uid="{32C559DF-3EA9-4EDB-82D7-D1D1754AB76B}"/>
    <cellStyle name="Vírgula 14 3 2 2" xfId="11917" xr:uid="{E2A3F57C-A4A0-4AFA-96AC-E9A75DCA1264}"/>
    <cellStyle name="Vírgula 14 3 3" xfId="8749" xr:uid="{F16261BD-8B9C-428F-998D-8F125BF97DC1}"/>
    <cellStyle name="Vírgula 14 4" xfId="4009" xr:uid="{352EEDD5-E48D-49EE-BF5D-941081F55D6F}"/>
    <cellStyle name="Vírgula 14 4 2" xfId="10348" xr:uid="{11986ECC-D02B-47D3-BBA2-C4A9A7D60273}"/>
    <cellStyle name="Vírgula 14 5" xfId="7180" xr:uid="{8571A068-E467-47FB-879D-370499ADAFAB}"/>
    <cellStyle name="Vírgula 15" xfId="839" xr:uid="{C6D54D03-4F11-4E26-9260-714F77E8D3CA}"/>
    <cellStyle name="Vírgula 15 2" xfId="2411" xr:uid="{2DB98C0E-34DD-4374-B755-F5A09091BC14}"/>
    <cellStyle name="Vírgula 15 2 2" xfId="5581" xr:uid="{FEE3BF2E-785B-4D2E-BAA5-678CDCA0FD9D}"/>
    <cellStyle name="Vírgula 15 2 2 2" xfId="11920" xr:uid="{D5C43822-68C6-4BB1-AF99-CB24C7696FF3}"/>
    <cellStyle name="Vírgula 15 2 3" xfId="8752" xr:uid="{844D414B-C7B2-4B05-9A89-B15AFF08F5AD}"/>
    <cellStyle name="Vírgula 15 3" xfId="4012" xr:uid="{7486C4C4-1BE7-4600-AC39-FA91F73EE567}"/>
    <cellStyle name="Vírgula 15 3 2" xfId="10351" xr:uid="{FD257B70-C1F9-41A5-978D-D5183BE70C78}"/>
    <cellStyle name="Vírgula 15 4" xfId="7183" xr:uid="{3D00B84D-358A-41DA-BB5A-C79BC900AEBC}"/>
    <cellStyle name="Vírgula 16" xfId="1644" xr:uid="{7F552962-A24C-46E8-AEFB-DBA26C3C8A56}"/>
    <cellStyle name="Vírgula 16 2" xfId="4814" xr:uid="{2669ADE3-7D31-40B5-92DC-6592C4A79A16}"/>
    <cellStyle name="Vírgula 16 2 2" xfId="11153" xr:uid="{A3EE3150-EC46-45A2-AAEA-0AD91BF892ED}"/>
    <cellStyle name="Vírgula 16 3" xfId="7985" xr:uid="{9EE87084-9252-48D5-85FF-1D4804FED9E2}"/>
    <cellStyle name="Vírgula 17" xfId="3214" xr:uid="{77C9D13D-45ED-483D-9196-92B2D7B4ED41}"/>
    <cellStyle name="Vírgula 17 2" xfId="6382" xr:uid="{E2B02E04-6C9F-4B2F-A90A-2128B3B5BEDD}"/>
    <cellStyle name="Vírgula 17 2 2" xfId="12721" xr:uid="{FF4BABF9-69FA-4091-8E38-493D8A4560B0}"/>
    <cellStyle name="Vírgula 17 3" xfId="9554" xr:uid="{E65665CB-0F06-4D71-802F-88C37A7E9A0B}"/>
    <cellStyle name="Vírgula 18" xfId="6385" xr:uid="{0504683A-DC0C-4CF5-8A5E-87E15526D9BA}"/>
    <cellStyle name="Vírgula 2" xfId="7" xr:uid="{34449150-E918-4051-A7B4-86C19C7B4CA0}"/>
    <cellStyle name="Vírgula 2 10" xfId="120" xr:uid="{8EF1BA2D-ACCE-44B1-8E83-0C15754FF169}"/>
    <cellStyle name="Vírgula 2 10 2" xfId="202" xr:uid="{FBD708AB-C8BD-461B-81A6-8B58177E0135}"/>
    <cellStyle name="Vírgula 2 10 2 2" xfId="419" xr:uid="{DC890DB0-E7D0-4D4B-B6AC-9944A22525B4}"/>
    <cellStyle name="Vírgula 2 10 2 2 2" xfId="800" xr:uid="{43FACE83-2D56-4C5D-9C05-2A04CAD6DFAE}"/>
    <cellStyle name="Vírgula 2 10 2 2 2 2" xfId="1599" xr:uid="{BCEF5516-5753-4F25-95EF-0A2DCBCFAAB3}"/>
    <cellStyle name="Vírgula 2 10 2 2 2 2 2" xfId="3170" xr:uid="{BB1868C7-A8E1-4956-BB13-2C07915B24AA}"/>
    <cellStyle name="Vírgula 2 10 2 2 2 2 2 2" xfId="6340" xr:uid="{40A1BFFC-5932-4CE9-878A-1386C9AFAB32}"/>
    <cellStyle name="Vírgula 2 10 2 2 2 2 2 2 2" xfId="12679" xr:uid="{E04359F7-4604-4586-9D4B-A15969B81C0E}"/>
    <cellStyle name="Vírgula 2 10 2 2 2 2 2 3" xfId="9511" xr:uid="{7FC7BA07-5C6F-4043-820E-4F330DCB1C2F}"/>
    <cellStyle name="Vírgula 2 10 2 2 2 2 3" xfId="4771" xr:uid="{F679FAB4-FD31-43F4-9F31-CDEC65FE3409}"/>
    <cellStyle name="Vírgula 2 10 2 2 2 2 3 2" xfId="11110" xr:uid="{C4C3C115-4AC3-4ED1-85EB-2DC48066A353}"/>
    <cellStyle name="Vírgula 2 10 2 2 2 2 4" xfId="7942" xr:uid="{BF715A7D-819C-4DED-854A-3FFC7BC450D4}"/>
    <cellStyle name="Vírgula 2 10 2 2 2 3" xfId="2373" xr:uid="{CD048BB5-63AF-4429-86C0-85C21A58EE44}"/>
    <cellStyle name="Vírgula 2 10 2 2 2 3 2" xfId="5543" xr:uid="{476F118D-6DE4-4B1D-9E26-8DBD4DBCE67F}"/>
    <cellStyle name="Vírgula 2 10 2 2 2 3 2 2" xfId="11882" xr:uid="{1590A3E0-6959-44E8-83D5-C12AE4D1AA2B}"/>
    <cellStyle name="Vírgula 2 10 2 2 2 3 3" xfId="8714" xr:uid="{7D4F8801-FD40-4E17-A13F-3F26010988DD}"/>
    <cellStyle name="Vírgula 2 10 2 2 2 4" xfId="3974" xr:uid="{B6A5A8FE-29D9-4E28-B0B5-CFD7B9E89C7E}"/>
    <cellStyle name="Vírgula 2 10 2 2 2 4 2" xfId="10313" xr:uid="{FA8B619B-811E-4814-902A-C117053D92C2}"/>
    <cellStyle name="Vírgula 2 10 2 2 2 5" xfId="7145" xr:uid="{90679449-31C2-427C-B996-24638AF4487D}"/>
    <cellStyle name="Vírgula 2 10 2 2 3" xfId="1218" xr:uid="{ED842EC0-E114-4069-8919-32F4B73FA73D}"/>
    <cellStyle name="Vírgula 2 10 2 2 3 2" xfId="2789" xr:uid="{87A8E665-7100-4DCD-AD83-B756E7A50206}"/>
    <cellStyle name="Vírgula 2 10 2 2 3 2 2" xfId="5959" xr:uid="{E4B87AF1-318C-454F-8CB8-6EA7E7755A99}"/>
    <cellStyle name="Vírgula 2 10 2 2 3 2 2 2" xfId="12298" xr:uid="{81835EDF-07A1-4581-8506-DA8248B33BCA}"/>
    <cellStyle name="Vírgula 2 10 2 2 3 2 3" xfId="9130" xr:uid="{421A3795-EFC5-471E-A678-3FA24DEFC0FB}"/>
    <cellStyle name="Vírgula 2 10 2 2 3 3" xfId="4390" xr:uid="{639AF5E9-94D8-4769-BE1C-BE12E6B8A006}"/>
    <cellStyle name="Vírgula 2 10 2 2 3 3 2" xfId="10729" xr:uid="{BBEBDC17-29A5-4650-AC8B-4CD34089924A}"/>
    <cellStyle name="Vírgula 2 10 2 2 3 4" xfId="7561" xr:uid="{8EC99EAB-6C74-4CFC-828F-98DE1952725C}"/>
    <cellStyle name="Vírgula 2 10 2 2 4" xfId="1992" xr:uid="{F4E1ACF9-3FA9-48C9-A273-8DC3BAEFA62B}"/>
    <cellStyle name="Vírgula 2 10 2 2 4 2" xfId="5162" xr:uid="{592A633F-94E4-42E1-AB63-33884DB555D9}"/>
    <cellStyle name="Vírgula 2 10 2 2 4 2 2" xfId="11501" xr:uid="{294AEE79-9E83-4CE1-92B5-2CA3DFD4BAFF}"/>
    <cellStyle name="Vírgula 2 10 2 2 4 3" xfId="8333" xr:uid="{878C02A7-B51A-40EF-BDA2-FFAD196557F3}"/>
    <cellStyle name="Vírgula 2 10 2 2 5" xfId="3593" xr:uid="{34E8C730-F62C-48EF-B17A-D0C505C7DDF6}"/>
    <cellStyle name="Vírgula 2 10 2 2 5 2" xfId="9932" xr:uid="{2ECA88F8-12C1-4D88-B370-D34D2FC3E93B}"/>
    <cellStyle name="Vírgula 2 10 2 2 6" xfId="6764" xr:uid="{227EA15D-2E8A-42AB-BDD2-D03A47D8ADD1}"/>
    <cellStyle name="Vírgula 2 10 2 3" xfId="597" xr:uid="{9EE90C10-A8AB-4EAB-84DC-83BFAA3CFE52}"/>
    <cellStyle name="Vírgula 2 10 2 3 2" xfId="1396" xr:uid="{D214F2ED-9929-40FD-8995-AFA1944CE0F6}"/>
    <cellStyle name="Vírgula 2 10 2 3 2 2" xfId="2967" xr:uid="{A89F6AFA-2031-4C35-8CE0-CB0B6C01ED10}"/>
    <cellStyle name="Vírgula 2 10 2 3 2 2 2" xfId="6137" xr:uid="{996E2950-3801-4C59-958C-7850EE8927D6}"/>
    <cellStyle name="Vírgula 2 10 2 3 2 2 2 2" xfId="12476" xr:uid="{D14A203C-FFA3-425C-B2BB-C579D3734164}"/>
    <cellStyle name="Vírgula 2 10 2 3 2 2 3" xfId="9308" xr:uid="{712AF3E8-F627-4B66-BAA3-2C8DFA62AC65}"/>
    <cellStyle name="Vírgula 2 10 2 3 2 3" xfId="4568" xr:uid="{6AE5F6ED-5B64-4CC5-9B0E-33316EBBE84F}"/>
    <cellStyle name="Vírgula 2 10 2 3 2 3 2" xfId="10907" xr:uid="{041335F6-CC0B-4AD6-9B83-D09D66BA2AFA}"/>
    <cellStyle name="Vírgula 2 10 2 3 2 4" xfId="7739" xr:uid="{CF0D69A8-514E-4D53-9E39-3FFD774FB7CD}"/>
    <cellStyle name="Vírgula 2 10 2 3 3" xfId="2170" xr:uid="{552E2AD5-0D35-41F3-8021-8D5E3D5615C4}"/>
    <cellStyle name="Vírgula 2 10 2 3 3 2" xfId="5340" xr:uid="{201CDC11-9BBE-4E37-BE14-8AE4257646CF}"/>
    <cellStyle name="Vírgula 2 10 2 3 3 2 2" xfId="11679" xr:uid="{38E2F93F-1CB3-4FA5-B0C5-18E6C7C17C08}"/>
    <cellStyle name="Vírgula 2 10 2 3 3 3" xfId="8511" xr:uid="{4E16390A-C33B-468F-A396-4AD2A188C8FF}"/>
    <cellStyle name="Vírgula 2 10 2 3 4" xfId="3771" xr:uid="{46DD13BA-31F8-466D-AA5E-B910C1E95381}"/>
    <cellStyle name="Vírgula 2 10 2 3 4 2" xfId="10110" xr:uid="{6AF2DE12-085A-44ED-A5B8-0DB2E5E5D0F0}"/>
    <cellStyle name="Vírgula 2 10 2 3 5" xfId="6942" xr:uid="{7EA0B2CF-3399-4A3C-8AA9-CF64E27F0F69}"/>
    <cellStyle name="Vírgula 2 10 2 4" xfId="1015" xr:uid="{FD289BD7-8C23-4A93-9E5C-99086608E2F4}"/>
    <cellStyle name="Vírgula 2 10 2 4 2" xfId="2586" xr:uid="{DAC35E9C-A788-45EE-869D-D38771FF67E4}"/>
    <cellStyle name="Vírgula 2 10 2 4 2 2" xfId="5756" xr:uid="{FA5E2DFD-8FF8-4CBE-BD4D-F2ACE1F2A66C}"/>
    <cellStyle name="Vírgula 2 10 2 4 2 2 2" xfId="12095" xr:uid="{63A47A6A-1C47-41D7-A411-A3301F0596C1}"/>
    <cellStyle name="Vírgula 2 10 2 4 2 3" xfId="8927" xr:uid="{3759E50D-281B-4F3A-965A-48D4E95B7849}"/>
    <cellStyle name="Vírgula 2 10 2 4 3" xfId="4187" xr:uid="{BC4E2A96-AB01-44E5-A289-5B88F6299D1A}"/>
    <cellStyle name="Vírgula 2 10 2 4 3 2" xfId="10526" xr:uid="{7B78A938-28C0-4C94-ABF5-344691431A12}"/>
    <cellStyle name="Vírgula 2 10 2 4 4" xfId="7358" xr:uid="{6CF39C23-7A01-49F9-9EBB-9DE8389ACDF5}"/>
    <cellStyle name="Vírgula 2 10 2 5" xfId="1789" xr:uid="{C91E2EB6-2235-4F37-9B0F-489659B64C02}"/>
    <cellStyle name="Vírgula 2 10 2 5 2" xfId="4959" xr:uid="{DEC84A2E-7F36-488E-A3C3-6905B3F93E28}"/>
    <cellStyle name="Vírgula 2 10 2 5 2 2" xfId="11298" xr:uid="{CB029E72-E327-4DC4-8888-4D99A1B2D300}"/>
    <cellStyle name="Vírgula 2 10 2 5 3" xfId="8130" xr:uid="{AA19C300-F8DB-48E2-951E-E10486763D66}"/>
    <cellStyle name="Vírgula 2 10 2 6" xfId="3390" xr:uid="{5C0487AC-AC5A-4128-A9DA-DF3AE3622A1D}"/>
    <cellStyle name="Vírgula 2 10 2 6 2" xfId="9729" xr:uid="{54E54132-0A2C-464D-AEA7-9FB89DF2D7C1}"/>
    <cellStyle name="Vírgula 2 10 2 7" xfId="6561" xr:uid="{C13CB7FC-2223-465A-8096-B7C198351856}"/>
    <cellStyle name="Vírgula 2 10 3" xfId="337" xr:uid="{141B3A96-7BD0-468C-8687-9D52AC8D1922}"/>
    <cellStyle name="Vírgula 2 10 3 2" xfId="719" xr:uid="{19FA7481-5108-43CE-BC6D-DB7FC3423293}"/>
    <cellStyle name="Vírgula 2 10 3 2 2" xfId="1518" xr:uid="{64918322-7433-4F39-8915-72AEEA1D7E38}"/>
    <cellStyle name="Vírgula 2 10 3 2 2 2" xfId="3089" xr:uid="{5DC46FAC-327F-44FA-BFBB-EB39B340EAED}"/>
    <cellStyle name="Vírgula 2 10 3 2 2 2 2" xfId="6259" xr:uid="{0BB8999E-3B02-4B9F-ABCC-83DD63573DC7}"/>
    <cellStyle name="Vírgula 2 10 3 2 2 2 2 2" xfId="12598" xr:uid="{3CE69320-3E30-4BD9-86D7-C0A537229465}"/>
    <cellStyle name="Vírgula 2 10 3 2 2 2 3" xfId="9430" xr:uid="{80D70FF5-A677-4CEC-A685-428D0B2DD78E}"/>
    <cellStyle name="Vírgula 2 10 3 2 2 3" xfId="4690" xr:uid="{D07BC7E7-122C-439D-9CC8-57123B641026}"/>
    <cellStyle name="Vírgula 2 10 3 2 2 3 2" xfId="11029" xr:uid="{50A13514-6641-45B2-9824-CF28216A629D}"/>
    <cellStyle name="Vírgula 2 10 3 2 2 4" xfId="7861" xr:uid="{5F5FE3B7-4E26-4ED1-ACD0-46888795FD15}"/>
    <cellStyle name="Vírgula 2 10 3 2 3" xfId="2292" xr:uid="{B075828F-42E9-4162-8340-B4C636A3C0CE}"/>
    <cellStyle name="Vírgula 2 10 3 2 3 2" xfId="5462" xr:uid="{E81417BE-E297-4716-B552-55F9ACABBFF3}"/>
    <cellStyle name="Vírgula 2 10 3 2 3 2 2" xfId="11801" xr:uid="{60A8980B-B130-45D3-8A0B-5898E9F61AF6}"/>
    <cellStyle name="Vírgula 2 10 3 2 3 3" xfId="8633" xr:uid="{ED8842EF-E735-46BD-8DC6-DBE4CC68D17C}"/>
    <cellStyle name="Vírgula 2 10 3 2 4" xfId="3893" xr:uid="{E19D58F0-44FE-4DFB-B6BB-63C104DC8168}"/>
    <cellStyle name="Vírgula 2 10 3 2 4 2" xfId="10232" xr:uid="{395A2291-2B8A-442B-88BA-E4E2555A2F4A}"/>
    <cellStyle name="Vírgula 2 10 3 2 5" xfId="7064" xr:uid="{E0472E1B-DE84-47ED-8189-1CDF97088AAE}"/>
    <cellStyle name="Vírgula 2 10 3 3" xfId="1137" xr:uid="{5BAE473E-3402-4C0A-A8E1-890AB82EA8FE}"/>
    <cellStyle name="Vírgula 2 10 3 3 2" xfId="2708" xr:uid="{58E3F26A-1D9F-4CE5-8FCA-2E452F504204}"/>
    <cellStyle name="Vírgula 2 10 3 3 2 2" xfId="5878" xr:uid="{F924CB21-6945-44E0-96AC-2D009ECB27B2}"/>
    <cellStyle name="Vírgula 2 10 3 3 2 2 2" xfId="12217" xr:uid="{3C76476B-DE0C-49D6-99B9-49F3F780D782}"/>
    <cellStyle name="Vírgula 2 10 3 3 2 3" xfId="9049" xr:uid="{FB90C597-A77F-4DCA-B7C0-946E247B175A}"/>
    <cellStyle name="Vírgula 2 10 3 3 3" xfId="4309" xr:uid="{8D6EF643-7F04-4D01-8BE2-B6A0569DBE64}"/>
    <cellStyle name="Vírgula 2 10 3 3 3 2" xfId="10648" xr:uid="{EB488364-A711-4611-A6E9-A62A03D1FC6F}"/>
    <cellStyle name="Vírgula 2 10 3 3 4" xfId="7480" xr:uid="{25641BFD-FAFD-43B6-B8FD-4D1690E1E4CF}"/>
    <cellStyle name="Vírgula 2 10 3 4" xfId="1911" xr:uid="{79596173-9801-4247-AC28-D6732E69F70E}"/>
    <cellStyle name="Vírgula 2 10 3 4 2" xfId="5081" xr:uid="{1D8BC368-C623-471A-9B17-4AC7F40D9E9F}"/>
    <cellStyle name="Vírgula 2 10 3 4 2 2" xfId="11420" xr:uid="{A5D77A98-39E8-4875-BD33-37325A8E5CFB}"/>
    <cellStyle name="Vírgula 2 10 3 4 3" xfId="8252" xr:uid="{CE51E71F-7044-44F9-A8D6-C95AD634B3E3}"/>
    <cellStyle name="Vírgula 2 10 3 5" xfId="3512" xr:uid="{572A84AD-43F2-4D5F-BCD4-AEB87C40957D}"/>
    <cellStyle name="Vírgula 2 10 3 5 2" xfId="9851" xr:uid="{B30FA652-B5D1-414E-BBB4-8B369D8F12C0}"/>
    <cellStyle name="Vírgula 2 10 3 6" xfId="6683" xr:uid="{4F137920-B4A4-4685-ACD8-9F0E350D535C}"/>
    <cellStyle name="Vírgula 2 10 4" xfId="934" xr:uid="{7D8B363C-5E67-4A38-8609-411924E043C7}"/>
    <cellStyle name="Vírgula 2 10 4 2" xfId="2505" xr:uid="{D5532E1D-6E23-4550-8A1F-2844A310768D}"/>
    <cellStyle name="Vírgula 2 10 4 2 2" xfId="5675" xr:uid="{1FEACC26-9710-42D7-857F-42FFCB85EA50}"/>
    <cellStyle name="Vírgula 2 10 4 2 2 2" xfId="12014" xr:uid="{5ECB3C76-AEFA-4786-A4EA-8DC50ED967B9}"/>
    <cellStyle name="Vírgula 2 10 4 2 3" xfId="8846" xr:uid="{FD55171C-4747-4222-B319-4D583420BC2E}"/>
    <cellStyle name="Vírgula 2 10 4 3" xfId="4106" xr:uid="{30F0F320-BDCB-4596-B146-3BBF4FD32480}"/>
    <cellStyle name="Vírgula 2 10 4 3 2" xfId="10445" xr:uid="{4D506649-D970-4A31-9A5B-9DE9A05FF5FC}"/>
    <cellStyle name="Vírgula 2 10 4 4" xfId="7277" xr:uid="{7C16D604-754F-4A5C-B5A3-8B9455FED6AC}"/>
    <cellStyle name="Vírgula 2 10 5" xfId="3309" xr:uid="{AA9458CC-62C6-43CF-80ED-D4A0FBE31A85}"/>
    <cellStyle name="Vírgula 2 10 5 2" xfId="9648" xr:uid="{3D4ABC2D-564F-4DD3-8231-1F6BD89F4780}"/>
    <cellStyle name="Vírgula 2 10 6" xfId="6480" xr:uid="{FA9CDC6E-759B-43BF-A537-5890E0135A12}"/>
    <cellStyle name="Vírgula 2 11" xfId="127" xr:uid="{71AEC0A4-DA59-410E-8F3E-009F4AC3A4A4}"/>
    <cellStyle name="Vírgula 2 11 2" xfId="208" xr:uid="{C56F64E7-AF78-480A-B4EB-3FB8C3CFDE7A}"/>
    <cellStyle name="Vírgula 2 11 2 2" xfId="425" xr:uid="{55820646-87C8-4D1F-8ADF-E80C5905E63B}"/>
    <cellStyle name="Vírgula 2 11 2 2 2" xfId="806" xr:uid="{F9ADD247-734E-4452-9E5D-42B9DC537DE9}"/>
    <cellStyle name="Vírgula 2 11 2 2 2 2" xfId="1605" xr:uid="{9D38B469-606A-444A-ABD8-409B7763CFF4}"/>
    <cellStyle name="Vírgula 2 11 2 2 2 2 2" xfId="3176" xr:uid="{485ACA5D-F923-4144-9D42-1B383754D2FE}"/>
    <cellStyle name="Vírgula 2 11 2 2 2 2 2 2" xfId="6346" xr:uid="{72F0049D-0320-45E0-8D8D-E5C8D4CD1108}"/>
    <cellStyle name="Vírgula 2 11 2 2 2 2 2 2 2" xfId="12685" xr:uid="{BF7D508D-8C99-4AC8-B5EC-D751D296FF4F}"/>
    <cellStyle name="Vírgula 2 11 2 2 2 2 2 3" xfId="9517" xr:uid="{D4E1EA5A-2FCB-4090-8330-A42EB09698D7}"/>
    <cellStyle name="Vírgula 2 11 2 2 2 2 3" xfId="4777" xr:uid="{F6846CFE-F2B1-4169-8D1F-A33FD9E17AE8}"/>
    <cellStyle name="Vírgula 2 11 2 2 2 2 3 2" xfId="11116" xr:uid="{C583647B-9902-4607-A7C5-9319FD58E3A5}"/>
    <cellStyle name="Vírgula 2 11 2 2 2 2 4" xfId="7948" xr:uid="{EEA9BE69-BDAE-4DB2-B5C3-9B6A970E98AB}"/>
    <cellStyle name="Vírgula 2 11 2 2 2 3" xfId="2379" xr:uid="{31076C18-C53E-4D59-A140-B0ACC843D08E}"/>
    <cellStyle name="Vírgula 2 11 2 2 2 3 2" xfId="5549" xr:uid="{65B20817-F77D-4319-80E0-17EE73596B84}"/>
    <cellStyle name="Vírgula 2 11 2 2 2 3 2 2" xfId="11888" xr:uid="{3B454E38-EF18-41DF-A1ED-EDB788D228D4}"/>
    <cellStyle name="Vírgula 2 11 2 2 2 3 3" xfId="8720" xr:uid="{BE487A7C-33B0-4B86-BFCA-CAF1587B50D5}"/>
    <cellStyle name="Vírgula 2 11 2 2 2 4" xfId="3980" xr:uid="{6EA6196B-5488-40EA-8B18-4801C40B16E4}"/>
    <cellStyle name="Vírgula 2 11 2 2 2 4 2" xfId="10319" xr:uid="{3E5489D4-B371-4EE4-9479-6B1944B51337}"/>
    <cellStyle name="Vírgula 2 11 2 2 2 5" xfId="7151" xr:uid="{DD87E19E-90BB-4D90-9668-4FF02D99CD66}"/>
    <cellStyle name="Vírgula 2 11 2 2 3" xfId="1224" xr:uid="{40DFAFB4-F0FC-442F-8C41-DB930762A1C2}"/>
    <cellStyle name="Vírgula 2 11 2 2 3 2" xfId="2795" xr:uid="{6FDF6F07-69B5-4DDF-95CA-21B73F28B6CE}"/>
    <cellStyle name="Vírgula 2 11 2 2 3 2 2" xfId="5965" xr:uid="{1291544B-BDFD-4B7C-A814-FD6AD4724AD7}"/>
    <cellStyle name="Vírgula 2 11 2 2 3 2 2 2" xfId="12304" xr:uid="{33EB9209-3DD2-46D7-A80C-A0FC434B0A64}"/>
    <cellStyle name="Vírgula 2 11 2 2 3 2 3" xfId="9136" xr:uid="{66CBB30B-C99E-4A0F-873A-D768DC7F4920}"/>
    <cellStyle name="Vírgula 2 11 2 2 3 3" xfId="4396" xr:uid="{3589371B-2A31-4BDC-9255-8DA47A66059D}"/>
    <cellStyle name="Vírgula 2 11 2 2 3 3 2" xfId="10735" xr:uid="{1EF74E56-7119-486C-A520-245F64F6157C}"/>
    <cellStyle name="Vírgula 2 11 2 2 3 4" xfId="7567" xr:uid="{D9FD397C-5CA1-4A32-98C9-9364A3C19D31}"/>
    <cellStyle name="Vírgula 2 11 2 2 4" xfId="1998" xr:uid="{1633733C-E4A7-4091-86DC-96130EE169E7}"/>
    <cellStyle name="Vírgula 2 11 2 2 4 2" xfId="5168" xr:uid="{8184884F-DB41-41A0-88A1-EB0E9C349BD6}"/>
    <cellStyle name="Vírgula 2 11 2 2 4 2 2" xfId="11507" xr:uid="{FFE8EAF3-4568-4028-9322-4EE7D015F6E6}"/>
    <cellStyle name="Vírgula 2 11 2 2 4 3" xfId="8339" xr:uid="{A54DAE98-C640-4A51-BB0B-8BD7310E6252}"/>
    <cellStyle name="Vírgula 2 11 2 2 5" xfId="3599" xr:uid="{8EB49C99-18FF-45AA-9B02-ACA8989526EE}"/>
    <cellStyle name="Vírgula 2 11 2 2 5 2" xfId="9938" xr:uid="{3BF2B5DC-DC04-4BE9-BF2D-9452B3B59A61}"/>
    <cellStyle name="Vírgula 2 11 2 2 6" xfId="6770" xr:uid="{A3AA38AC-4D4A-4C76-BC0F-4DA1A9FF105F}"/>
    <cellStyle name="Vírgula 2 11 2 3" xfId="603" xr:uid="{5C236A36-5EDD-4947-8955-81BCBA137BBC}"/>
    <cellStyle name="Vírgula 2 11 2 3 2" xfId="1402" xr:uid="{6457CF05-1E16-47CA-8C8B-D394A8C9F4C5}"/>
    <cellStyle name="Vírgula 2 11 2 3 2 2" xfId="2973" xr:uid="{3FEA79C3-478E-4C50-8628-A7080747C3C0}"/>
    <cellStyle name="Vírgula 2 11 2 3 2 2 2" xfId="6143" xr:uid="{CA5DC66A-2442-4B05-96DA-FF9D486E667B}"/>
    <cellStyle name="Vírgula 2 11 2 3 2 2 2 2" xfId="12482" xr:uid="{F5423C7A-5C6A-4CE6-9282-23CD7979938F}"/>
    <cellStyle name="Vírgula 2 11 2 3 2 2 3" xfId="9314" xr:uid="{B8DF2C6E-EF6D-4842-9911-2B6EE246AA18}"/>
    <cellStyle name="Vírgula 2 11 2 3 2 3" xfId="4574" xr:uid="{D789A08D-70B5-4C14-8462-24139ED9322B}"/>
    <cellStyle name="Vírgula 2 11 2 3 2 3 2" xfId="10913" xr:uid="{0BD0CB4F-4E04-491D-B9C5-6F0B4E757F3F}"/>
    <cellStyle name="Vírgula 2 11 2 3 2 4" xfId="7745" xr:uid="{3644D347-001E-48BF-8C5F-6DD5D8BB1ACF}"/>
    <cellStyle name="Vírgula 2 11 2 3 3" xfId="2176" xr:uid="{B1A1A37D-9B11-4EA3-B919-E4D39C681BBD}"/>
    <cellStyle name="Vírgula 2 11 2 3 3 2" xfId="5346" xr:uid="{E1947D2C-017A-493C-9A35-08C06EF1FA2B}"/>
    <cellStyle name="Vírgula 2 11 2 3 3 2 2" xfId="11685" xr:uid="{0E59E0E5-E348-4ADC-8842-A1F32B726FAD}"/>
    <cellStyle name="Vírgula 2 11 2 3 3 3" xfId="8517" xr:uid="{D4DD7A42-52DE-44AF-91F1-E57CD1A6D177}"/>
    <cellStyle name="Vírgula 2 11 2 3 4" xfId="3777" xr:uid="{FC86AE8D-4824-4EA2-AAD8-56F10FEFAEB9}"/>
    <cellStyle name="Vírgula 2 11 2 3 4 2" xfId="10116" xr:uid="{E5DA3E36-943B-409F-8A92-C13F6B1CBB5C}"/>
    <cellStyle name="Vírgula 2 11 2 3 5" xfId="6948" xr:uid="{E99E4234-A9A3-48B1-9A76-B1F2F9203F3E}"/>
    <cellStyle name="Vírgula 2 11 2 4" xfId="1021" xr:uid="{BEC97BB1-0075-42D2-9B70-23C2FAD45E61}"/>
    <cellStyle name="Vírgula 2 11 2 4 2" xfId="2592" xr:uid="{698B5423-F074-4649-BC79-B47EA4D34B5A}"/>
    <cellStyle name="Vírgula 2 11 2 4 2 2" xfId="5762" xr:uid="{D1067AC3-4161-4211-9C5F-1DA27999535F}"/>
    <cellStyle name="Vírgula 2 11 2 4 2 2 2" xfId="12101" xr:uid="{7735F7D4-F5F7-4B1A-91B0-AC6A1E5A3DB7}"/>
    <cellStyle name="Vírgula 2 11 2 4 2 3" xfId="8933" xr:uid="{97C53549-0860-40B3-B540-21D4BC132EA2}"/>
    <cellStyle name="Vírgula 2 11 2 4 3" xfId="4193" xr:uid="{87AB8874-D531-4018-9FA9-0A5CD2CD7806}"/>
    <cellStyle name="Vírgula 2 11 2 4 3 2" xfId="10532" xr:uid="{585222F4-B6D0-4D99-89F4-0669045689E9}"/>
    <cellStyle name="Vírgula 2 11 2 4 4" xfId="7364" xr:uid="{7C2CF5B4-4B7C-41C0-AA74-7200CA9CC158}"/>
    <cellStyle name="Vírgula 2 11 2 5" xfId="1795" xr:uid="{43643BFE-D8C8-4743-BB02-500E9C1CBEB0}"/>
    <cellStyle name="Vírgula 2 11 2 5 2" xfId="4965" xr:uid="{EEA0A34A-97BC-43A2-91C1-75D9EB50FAB0}"/>
    <cellStyle name="Vírgula 2 11 2 5 2 2" xfId="11304" xr:uid="{A812BF87-09CC-46E7-9F04-933D00B4BC1F}"/>
    <cellStyle name="Vírgula 2 11 2 5 3" xfId="8136" xr:uid="{C04B80F2-CE42-4F10-8576-6CFF0D91F135}"/>
    <cellStyle name="Vírgula 2 11 2 6" xfId="3396" xr:uid="{C7FF78EB-2C19-4EF1-834E-6A383905A915}"/>
    <cellStyle name="Vírgula 2 11 2 6 2" xfId="9735" xr:uid="{0F54D838-659C-4335-AE7B-6A9325BDD5B7}"/>
    <cellStyle name="Vírgula 2 11 2 7" xfId="6567" xr:uid="{125E6CEE-346A-474F-B873-612A10E05997}"/>
    <cellStyle name="Vírgula 2 11 3" xfId="344" xr:uid="{B167110A-82A3-4A71-A5E0-B537B71BE6D2}"/>
    <cellStyle name="Vírgula 2 11 3 2" xfId="725" xr:uid="{F0681707-B609-471E-ABDF-69261C9D706E}"/>
    <cellStyle name="Vírgula 2 11 3 2 2" xfId="1524" xr:uid="{3F9DEECC-61CC-425A-A5A8-E8E1DB155E1F}"/>
    <cellStyle name="Vírgula 2 11 3 2 2 2" xfId="3095" xr:uid="{3BAC281F-CA6D-4ED0-BDA6-EADAFE924F64}"/>
    <cellStyle name="Vírgula 2 11 3 2 2 2 2" xfId="6265" xr:uid="{1EE24174-5EE6-418A-BDEA-D03098FAA30E}"/>
    <cellStyle name="Vírgula 2 11 3 2 2 2 2 2" xfId="12604" xr:uid="{A4E4AE6B-A092-4C66-AD21-2B133F2FFE0A}"/>
    <cellStyle name="Vírgula 2 11 3 2 2 2 3" xfId="9436" xr:uid="{8EB88960-79DA-4272-A051-CCB61EE3D81D}"/>
    <cellStyle name="Vírgula 2 11 3 2 2 3" xfId="4696" xr:uid="{BF96518C-F9CE-4881-9404-D2C20ABA6EF3}"/>
    <cellStyle name="Vírgula 2 11 3 2 2 3 2" xfId="11035" xr:uid="{D87287F9-FB7B-4AB1-B561-4E2FB652311C}"/>
    <cellStyle name="Vírgula 2 11 3 2 2 4" xfId="7867" xr:uid="{C4B82CAE-68AF-4358-B2BE-D54AF2D4AA9B}"/>
    <cellStyle name="Vírgula 2 11 3 2 3" xfId="2298" xr:uid="{3576EFBE-03A9-4D96-915C-2E237CB6DB09}"/>
    <cellStyle name="Vírgula 2 11 3 2 3 2" xfId="5468" xr:uid="{170DF7B9-4ED1-41DA-839B-998ADB70AEBE}"/>
    <cellStyle name="Vírgula 2 11 3 2 3 2 2" xfId="11807" xr:uid="{9A4B3557-B373-4D3D-BF5D-5E39D04D7262}"/>
    <cellStyle name="Vírgula 2 11 3 2 3 3" xfId="8639" xr:uid="{1EDF8D50-DD57-49B2-A202-1E985EC1F486}"/>
    <cellStyle name="Vírgula 2 11 3 2 4" xfId="3899" xr:uid="{5DAB4B58-F3D4-4CBD-A07E-6611EE2C2DCF}"/>
    <cellStyle name="Vírgula 2 11 3 2 4 2" xfId="10238" xr:uid="{B49D5271-FCD3-48D3-81D2-74CE4C7F4D0A}"/>
    <cellStyle name="Vírgula 2 11 3 2 5" xfId="7070" xr:uid="{216F8994-3625-4E78-8312-FA369BB8C70C}"/>
    <cellStyle name="Vírgula 2 11 3 3" xfId="1143" xr:uid="{890E7C5D-8EC1-4962-A1F7-38C6F9988915}"/>
    <cellStyle name="Vírgula 2 11 3 3 2" xfId="2714" xr:uid="{84575D0D-D0C5-40F6-A3CA-B186FD675EE7}"/>
    <cellStyle name="Vírgula 2 11 3 3 2 2" xfId="5884" xr:uid="{C51EC4FD-7B85-4385-B30A-52532327922B}"/>
    <cellStyle name="Vírgula 2 11 3 3 2 2 2" xfId="12223" xr:uid="{AA86A7D5-304D-47CB-8C1F-3DE22C522D7E}"/>
    <cellStyle name="Vírgula 2 11 3 3 2 3" xfId="9055" xr:uid="{DDC4A45D-8E50-4C96-82F4-66B180590080}"/>
    <cellStyle name="Vírgula 2 11 3 3 3" xfId="4315" xr:uid="{7E042FB1-5FD5-4EBE-B0A7-FFCBD9BF6ACC}"/>
    <cellStyle name="Vírgula 2 11 3 3 3 2" xfId="10654" xr:uid="{B0A40718-8065-4194-AD92-2F5B97C9A27C}"/>
    <cellStyle name="Vírgula 2 11 3 3 4" xfId="7486" xr:uid="{9BE574D4-B5C0-46AA-98F3-1E8B8403A036}"/>
    <cellStyle name="Vírgula 2 11 3 4" xfId="1917" xr:uid="{4C3A6023-0936-4D30-A434-6885A4137497}"/>
    <cellStyle name="Vírgula 2 11 3 4 2" xfId="5087" xr:uid="{5E615D4A-3616-42D9-8387-FA5E8035971A}"/>
    <cellStyle name="Vírgula 2 11 3 4 2 2" xfId="11426" xr:uid="{C6ACAAC5-56F1-4724-A97B-F3DF80E4CECB}"/>
    <cellStyle name="Vírgula 2 11 3 4 3" xfId="8258" xr:uid="{A344377A-CD7C-4528-AEFF-54311CA20D05}"/>
    <cellStyle name="Vírgula 2 11 3 5" xfId="3518" xr:uid="{C23A4278-56D9-4939-A5A6-E7C4C64A7DD9}"/>
    <cellStyle name="Vírgula 2 11 3 5 2" xfId="9857" xr:uid="{67FF0741-1987-4577-9389-4EA411D3AC88}"/>
    <cellStyle name="Vírgula 2 11 3 6" xfId="6689" xr:uid="{48035C7A-FA43-4593-9FA0-EB836BCAC167}"/>
    <cellStyle name="Vírgula 2 11 4" xfId="940" xr:uid="{42D2494C-9DF7-47D7-ADB8-DF8EFA035F79}"/>
    <cellStyle name="Vírgula 2 11 4 2" xfId="2511" xr:uid="{B43FF98C-2F7D-4B10-B2F1-7BD519DBAB17}"/>
    <cellStyle name="Vírgula 2 11 4 2 2" xfId="5681" xr:uid="{A175FE0E-56BF-4313-B709-724A6ED8E30D}"/>
    <cellStyle name="Vírgula 2 11 4 2 2 2" xfId="12020" xr:uid="{C84A7E0A-F35C-4134-9D84-A3E96031A33F}"/>
    <cellStyle name="Vírgula 2 11 4 2 3" xfId="8852" xr:uid="{864A95D2-0BF2-4D9B-B81D-1B6E74A7B13E}"/>
    <cellStyle name="Vírgula 2 11 4 3" xfId="4112" xr:uid="{44D8E9F5-B2C3-4912-86D2-D0DB8A93BF28}"/>
    <cellStyle name="Vírgula 2 11 4 3 2" xfId="10451" xr:uid="{318BA8E6-1FFD-46A5-834D-A743A6C00EE0}"/>
    <cellStyle name="Vírgula 2 11 4 4" xfId="7283" xr:uid="{C668A268-2AEB-4DBF-8A01-83B44A7681A7}"/>
    <cellStyle name="Vírgula 2 11 5" xfId="3315" xr:uid="{FA71A6ED-92ED-4EB5-81BD-AD2430464ECB}"/>
    <cellStyle name="Vírgula 2 11 5 2" xfId="9654" xr:uid="{5721FB4A-6579-438F-8E9D-900DE2848139}"/>
    <cellStyle name="Vírgula 2 11 6" xfId="6486" xr:uid="{B24E695E-0366-4117-881B-AA505EA7B9E9}"/>
    <cellStyle name="Vírgula 2 12" xfId="132" xr:uid="{FFA352EC-F60E-4D66-BD18-0746B2DA5D62}"/>
    <cellStyle name="Vírgula 2 12 2" xfId="213" xr:uid="{6D51CC1A-AC98-4B41-85F9-1405CD9434B3}"/>
    <cellStyle name="Vírgula 2 12 2 2" xfId="430" xr:uid="{F3F15231-6F0B-4538-BF78-6ED20FD49246}"/>
    <cellStyle name="Vírgula 2 12 2 2 2" xfId="811" xr:uid="{3658A979-5E8A-4B7C-B174-724B3CF461A3}"/>
    <cellStyle name="Vírgula 2 12 2 2 2 2" xfId="1610" xr:uid="{BA7E40B8-785F-4424-934E-C99AF48307B5}"/>
    <cellStyle name="Vírgula 2 12 2 2 2 2 2" xfId="3181" xr:uid="{1B33FB9E-19FF-4398-AF89-95EBADAF43D5}"/>
    <cellStyle name="Vírgula 2 12 2 2 2 2 2 2" xfId="6351" xr:uid="{6B8271AB-F002-4A6A-8E47-BF13DD6E49AE}"/>
    <cellStyle name="Vírgula 2 12 2 2 2 2 2 2 2" xfId="12690" xr:uid="{7AE2566A-632B-4862-94A1-DD9A5CD97B84}"/>
    <cellStyle name="Vírgula 2 12 2 2 2 2 2 3" xfId="9522" xr:uid="{07E7DDBA-2FDB-44BA-B365-111BF0FF88DD}"/>
    <cellStyle name="Vírgula 2 12 2 2 2 2 3" xfId="4782" xr:uid="{915A616A-9155-4FCD-946E-F2A50AFD71EE}"/>
    <cellStyle name="Vírgula 2 12 2 2 2 2 3 2" xfId="11121" xr:uid="{04DB4A15-8F04-48DF-B9D9-D18DD8025CE6}"/>
    <cellStyle name="Vírgula 2 12 2 2 2 2 4" xfId="7953" xr:uid="{14B6A99F-3D9D-4586-BDA0-4DE581E5B961}"/>
    <cellStyle name="Vírgula 2 12 2 2 2 3" xfId="2384" xr:uid="{36FAF644-8D3E-456A-84A9-D0259D363F87}"/>
    <cellStyle name="Vírgula 2 12 2 2 2 3 2" xfId="5554" xr:uid="{9FB37EFA-F346-43AA-B884-07FD5BDCBB33}"/>
    <cellStyle name="Vírgula 2 12 2 2 2 3 2 2" xfId="11893" xr:uid="{0680A270-534A-48E6-B92B-32821EFF75A2}"/>
    <cellStyle name="Vírgula 2 12 2 2 2 3 3" xfId="8725" xr:uid="{12788ECE-8421-4DFF-9CE6-6FBC4781EAC6}"/>
    <cellStyle name="Vírgula 2 12 2 2 2 4" xfId="3985" xr:uid="{D683D508-0190-4CF8-B6BB-B27026B4723B}"/>
    <cellStyle name="Vírgula 2 12 2 2 2 4 2" xfId="10324" xr:uid="{20612967-B48D-4536-AC1B-819248B1321D}"/>
    <cellStyle name="Vírgula 2 12 2 2 2 5" xfId="7156" xr:uid="{9977178B-0717-40F2-85B8-8C188FEBDC64}"/>
    <cellStyle name="Vírgula 2 12 2 2 3" xfId="1229" xr:uid="{CA7798CF-FBB2-441B-81BD-7E54C142CD9C}"/>
    <cellStyle name="Vírgula 2 12 2 2 3 2" xfId="2800" xr:uid="{9DA21CFD-EDE4-4A71-A2C6-444CD0ED147E}"/>
    <cellStyle name="Vírgula 2 12 2 2 3 2 2" xfId="5970" xr:uid="{567798A7-86A0-4839-B655-D53651C987FE}"/>
    <cellStyle name="Vírgula 2 12 2 2 3 2 2 2" xfId="12309" xr:uid="{66AA7B78-0A8E-4D76-B786-588A627CE7C4}"/>
    <cellStyle name="Vírgula 2 12 2 2 3 2 3" xfId="9141" xr:uid="{CE5559C6-1829-4962-A64B-BCCB120A4B37}"/>
    <cellStyle name="Vírgula 2 12 2 2 3 3" xfId="4401" xr:uid="{36BDFDBA-1105-423F-A24C-2147249F67C0}"/>
    <cellStyle name="Vírgula 2 12 2 2 3 3 2" xfId="10740" xr:uid="{578CEC7D-6EF9-45E7-B459-9FC1D28B3C58}"/>
    <cellStyle name="Vírgula 2 12 2 2 3 4" xfId="7572" xr:uid="{65859762-E88E-4612-BC37-E7C144DB6692}"/>
    <cellStyle name="Vírgula 2 12 2 2 4" xfId="2003" xr:uid="{CD4304D4-8432-4CEF-BE51-157EC1CCBBC9}"/>
    <cellStyle name="Vírgula 2 12 2 2 4 2" xfId="5173" xr:uid="{C010C2CF-3E2A-4083-A24C-532180913664}"/>
    <cellStyle name="Vírgula 2 12 2 2 4 2 2" xfId="11512" xr:uid="{DEAB46EE-5DA0-44D9-9E4E-BAC507144C2D}"/>
    <cellStyle name="Vírgula 2 12 2 2 4 3" xfId="8344" xr:uid="{0EB44613-6071-4D16-972D-F413FC148745}"/>
    <cellStyle name="Vírgula 2 12 2 2 5" xfId="3604" xr:uid="{1000E6DB-4844-4CA4-BB3C-07BBDAD48C86}"/>
    <cellStyle name="Vírgula 2 12 2 2 5 2" xfId="9943" xr:uid="{496336AB-97AC-4BEA-8570-7D638A60B348}"/>
    <cellStyle name="Vírgula 2 12 2 2 6" xfId="6775" xr:uid="{149AA3A7-E297-4527-B868-3497941549D9}"/>
    <cellStyle name="Vírgula 2 12 2 3" xfId="608" xr:uid="{5DF715D0-2AE2-45AF-B615-143D88ECBCB8}"/>
    <cellStyle name="Vírgula 2 12 2 3 2" xfId="1407" xr:uid="{CF79F2CA-AD8C-41D8-9C72-17E8D006F853}"/>
    <cellStyle name="Vírgula 2 12 2 3 2 2" xfId="2978" xr:uid="{1AE5FBF8-90B5-42CE-8CF3-96769567AA65}"/>
    <cellStyle name="Vírgula 2 12 2 3 2 2 2" xfId="6148" xr:uid="{7B656DA1-F48F-4AE8-8A6C-14A6E9C546D7}"/>
    <cellStyle name="Vírgula 2 12 2 3 2 2 2 2" xfId="12487" xr:uid="{35648149-308C-464D-AA18-B9D4AE2B06B4}"/>
    <cellStyle name="Vírgula 2 12 2 3 2 2 3" xfId="9319" xr:uid="{A6E3D5B7-4E94-4A96-BAF8-6B3782367B28}"/>
    <cellStyle name="Vírgula 2 12 2 3 2 3" xfId="4579" xr:uid="{A4AC43E3-DAA3-4E73-A5C0-743E4078FA74}"/>
    <cellStyle name="Vírgula 2 12 2 3 2 3 2" xfId="10918" xr:uid="{C360C808-6F14-4576-BD5B-5FACE546E6C2}"/>
    <cellStyle name="Vírgula 2 12 2 3 2 4" xfId="7750" xr:uid="{957E891B-AD3D-46CA-AF78-9AA5915A5263}"/>
    <cellStyle name="Vírgula 2 12 2 3 3" xfId="2181" xr:uid="{7E18F2E6-1128-4CE8-AB37-28A30FB29BF6}"/>
    <cellStyle name="Vírgula 2 12 2 3 3 2" xfId="5351" xr:uid="{9079A48F-E78F-41D6-AA9B-D058D4AD0A56}"/>
    <cellStyle name="Vírgula 2 12 2 3 3 2 2" xfId="11690" xr:uid="{94337676-43C1-4279-93CD-257FCFFE4A85}"/>
    <cellStyle name="Vírgula 2 12 2 3 3 3" xfId="8522" xr:uid="{42A27724-A414-47B5-BB56-51D2D42E8C73}"/>
    <cellStyle name="Vírgula 2 12 2 3 4" xfId="3782" xr:uid="{A375D28D-4F3D-4992-830B-8F9C78B7E573}"/>
    <cellStyle name="Vírgula 2 12 2 3 4 2" xfId="10121" xr:uid="{AE265304-CCEF-4B6D-A004-A113F3C408A1}"/>
    <cellStyle name="Vírgula 2 12 2 3 5" xfId="6953" xr:uid="{03683D10-843C-402A-9803-EDDBDD90334A}"/>
    <cellStyle name="Vírgula 2 12 2 4" xfId="1026" xr:uid="{40857209-1ED6-4134-8A97-CF425D3923DD}"/>
    <cellStyle name="Vírgula 2 12 2 4 2" xfId="2597" xr:uid="{C3533C4B-967D-4804-89B5-2C3E10842565}"/>
    <cellStyle name="Vírgula 2 12 2 4 2 2" xfId="5767" xr:uid="{34596662-A4F0-4280-9BDB-1C78899AF675}"/>
    <cellStyle name="Vírgula 2 12 2 4 2 2 2" xfId="12106" xr:uid="{08AE6A4C-C324-4E19-B3A0-76289352D7BC}"/>
    <cellStyle name="Vírgula 2 12 2 4 2 3" xfId="8938" xr:uid="{99CBCDD4-5D65-4884-B0E9-A12424CC5B4B}"/>
    <cellStyle name="Vírgula 2 12 2 4 3" xfId="4198" xr:uid="{C62A332C-1E43-4D3A-880A-933B17974575}"/>
    <cellStyle name="Vírgula 2 12 2 4 3 2" xfId="10537" xr:uid="{286505A4-3201-4487-8263-4F1CC38C2448}"/>
    <cellStyle name="Vírgula 2 12 2 4 4" xfId="7369" xr:uid="{8876059C-8B20-4CF2-885C-55F4F64E1063}"/>
    <cellStyle name="Vírgula 2 12 2 5" xfId="1800" xr:uid="{5773ECEB-7100-4527-9980-41CE038DC29A}"/>
    <cellStyle name="Vírgula 2 12 2 5 2" xfId="4970" xr:uid="{0D8D441E-FF53-4D50-9A5C-37C214E505A1}"/>
    <cellStyle name="Vírgula 2 12 2 5 2 2" xfId="11309" xr:uid="{E9BEEC93-D66B-45C1-B869-501768891E93}"/>
    <cellStyle name="Vírgula 2 12 2 5 3" xfId="8141" xr:uid="{B48E7826-B3D7-4182-A211-DE287E512946}"/>
    <cellStyle name="Vírgula 2 12 2 6" xfId="3401" xr:uid="{0894CB55-F557-4AD1-B789-664C0B50AE93}"/>
    <cellStyle name="Vírgula 2 12 2 6 2" xfId="9740" xr:uid="{66DB7806-9279-47DC-878B-0B729EAC73F4}"/>
    <cellStyle name="Vírgula 2 12 2 7" xfId="6572" xr:uid="{B4366122-1A29-4665-A953-B572A2026597}"/>
    <cellStyle name="Vírgula 2 12 3" xfId="349" xr:uid="{4189C3A4-29C7-486C-AF5A-14B200AE389F}"/>
    <cellStyle name="Vírgula 2 12 3 2" xfId="730" xr:uid="{30E7A860-1DFA-4713-857F-826C3A3FAAF8}"/>
    <cellStyle name="Vírgula 2 12 3 2 2" xfId="1529" xr:uid="{96C74C12-07D5-4E3C-A3E0-DB0DE1B8050D}"/>
    <cellStyle name="Vírgula 2 12 3 2 2 2" xfId="3100" xr:uid="{CB1EB9D0-4C12-4DFF-BFA1-C4233E32F764}"/>
    <cellStyle name="Vírgula 2 12 3 2 2 2 2" xfId="6270" xr:uid="{CB80E17E-24CA-46D1-B093-D6804EBDA2F4}"/>
    <cellStyle name="Vírgula 2 12 3 2 2 2 2 2" xfId="12609" xr:uid="{BE4F789D-64D1-466E-B85F-0A221AE160E4}"/>
    <cellStyle name="Vírgula 2 12 3 2 2 2 3" xfId="9441" xr:uid="{12794B19-6705-489B-A566-A254A59D08BC}"/>
    <cellStyle name="Vírgula 2 12 3 2 2 3" xfId="4701" xr:uid="{D6A9FF1F-D256-4AA8-B917-093A02D8F6E9}"/>
    <cellStyle name="Vírgula 2 12 3 2 2 3 2" xfId="11040" xr:uid="{D93A655A-EB44-401F-B584-AA62028F7815}"/>
    <cellStyle name="Vírgula 2 12 3 2 2 4" xfId="7872" xr:uid="{2EF6245C-DE2B-4065-973C-3D71E1FBB9F8}"/>
    <cellStyle name="Vírgula 2 12 3 2 3" xfId="2303" xr:uid="{446FBD3E-F062-4227-BD13-7F10362C87E0}"/>
    <cellStyle name="Vírgula 2 12 3 2 3 2" xfId="5473" xr:uid="{E398BCAA-062B-44FD-8D58-0D16169F57B8}"/>
    <cellStyle name="Vírgula 2 12 3 2 3 2 2" xfId="11812" xr:uid="{68F91A0A-F6B4-4411-9358-55D6D0695DAA}"/>
    <cellStyle name="Vírgula 2 12 3 2 3 3" xfId="8644" xr:uid="{148B940B-63FB-4FEB-8891-1CA9101FA93F}"/>
    <cellStyle name="Vírgula 2 12 3 2 4" xfId="3904" xr:uid="{68804E7A-A7D4-43BF-BC3E-777AFBBD8EAD}"/>
    <cellStyle name="Vírgula 2 12 3 2 4 2" xfId="10243" xr:uid="{C21401BD-9EFE-4AA5-80DA-863F3DEF3A6E}"/>
    <cellStyle name="Vírgula 2 12 3 2 5" xfId="7075" xr:uid="{8A20AD2C-F54E-4EA7-90C2-AC1AFD88923C}"/>
    <cellStyle name="Vírgula 2 12 3 3" xfId="1148" xr:uid="{164A1C3B-F219-43F4-A9CB-E9232CA4EBDC}"/>
    <cellStyle name="Vírgula 2 12 3 3 2" xfId="2719" xr:uid="{42339F2E-27F6-4B1D-9B76-A7CE83A06E2C}"/>
    <cellStyle name="Vírgula 2 12 3 3 2 2" xfId="5889" xr:uid="{AA00043C-83B4-49D7-A179-7AECB966F0D0}"/>
    <cellStyle name="Vírgula 2 12 3 3 2 2 2" xfId="12228" xr:uid="{3257096F-1F67-465E-8247-D5BF6F63CD9F}"/>
    <cellStyle name="Vírgula 2 12 3 3 2 3" xfId="9060" xr:uid="{C9F8037C-06B4-4C66-87AB-FD0C584C1678}"/>
    <cellStyle name="Vírgula 2 12 3 3 3" xfId="4320" xr:uid="{79CFD38D-A37A-4460-948E-CB5226A34555}"/>
    <cellStyle name="Vírgula 2 12 3 3 3 2" xfId="10659" xr:uid="{8F309448-2E13-427E-9512-98C6B7DF2CFC}"/>
    <cellStyle name="Vírgula 2 12 3 3 4" xfId="7491" xr:uid="{09504BA0-8490-48B3-960A-7560E163632B}"/>
    <cellStyle name="Vírgula 2 12 3 4" xfId="1922" xr:uid="{AAFF44D2-1B4D-4CCD-9FF5-EA38E970C755}"/>
    <cellStyle name="Vírgula 2 12 3 4 2" xfId="5092" xr:uid="{CC7D92AD-B2E8-4E1F-AF0C-4C5BB9FAE0E1}"/>
    <cellStyle name="Vírgula 2 12 3 4 2 2" xfId="11431" xr:uid="{E0B0A40E-E7D2-4D45-B905-2B9F31C133F8}"/>
    <cellStyle name="Vírgula 2 12 3 4 3" xfId="8263" xr:uid="{C1729BC5-3F51-436F-B60B-F867D4BA8A68}"/>
    <cellStyle name="Vírgula 2 12 3 5" xfId="3523" xr:uid="{F49373F9-D898-4B2A-84D0-BD29AC3049DC}"/>
    <cellStyle name="Vírgula 2 12 3 5 2" xfId="9862" xr:uid="{A82BBD4D-1DA7-489F-92F8-890F3A211D01}"/>
    <cellStyle name="Vírgula 2 12 3 6" xfId="6694" xr:uid="{6DE564B2-ABF3-45A4-8C5D-02E64CC2B190}"/>
    <cellStyle name="Vírgula 2 12 4" xfId="945" xr:uid="{F7D65112-96D6-4F04-AB1A-C5B8C9FA9CD8}"/>
    <cellStyle name="Vírgula 2 12 4 2" xfId="2516" xr:uid="{72E8EAD9-D8AA-4782-A548-5247C973CFE1}"/>
    <cellStyle name="Vírgula 2 12 4 2 2" xfId="5686" xr:uid="{E7D02B0E-9A1E-44FB-91D0-8F34F6E5562F}"/>
    <cellStyle name="Vírgula 2 12 4 2 2 2" xfId="12025" xr:uid="{4873E9AD-83EC-4657-9AE2-9C2547F3B2E3}"/>
    <cellStyle name="Vírgula 2 12 4 2 3" xfId="8857" xr:uid="{B11E138F-5FA3-4816-9AB9-40EF2D79DB4B}"/>
    <cellStyle name="Vírgula 2 12 4 3" xfId="4117" xr:uid="{0691BA4C-2ED4-44C2-851B-13AA41E95A60}"/>
    <cellStyle name="Vírgula 2 12 4 3 2" xfId="10456" xr:uid="{CFF236FC-D328-43AF-B66A-FB2FF306164E}"/>
    <cellStyle name="Vírgula 2 12 4 4" xfId="7288" xr:uid="{E5A48E89-C6C3-4198-8903-E2DEB0DE0DFE}"/>
    <cellStyle name="Vírgula 2 12 5" xfId="3320" xr:uid="{DF6FC4D3-9F69-45E7-AA9D-166C8A4BB692}"/>
    <cellStyle name="Vírgula 2 12 5 2" xfId="9659" xr:uid="{F8B34E19-1242-431A-A162-FFCE31892B3C}"/>
    <cellStyle name="Vírgula 2 12 6" xfId="6491" xr:uid="{AD08A02F-C0CF-4966-8D07-A5CC19EF02C6}"/>
    <cellStyle name="Vírgula 2 13" xfId="138" xr:uid="{6D82DD8B-EBC7-4743-8620-754506ECF61E}"/>
    <cellStyle name="Vírgula 2 13 2" xfId="219" xr:uid="{9E0D5BA8-1FA7-46F2-ABFF-39A2FADEE035}"/>
    <cellStyle name="Vírgula 2 13 2 2" xfId="436" xr:uid="{2E607E96-A969-4F7E-AF7E-7A532E9C5231}"/>
    <cellStyle name="Vírgula 2 13 2 2 2" xfId="817" xr:uid="{ECB19E87-312E-48F6-B3B6-71F1C8FAE861}"/>
    <cellStyle name="Vírgula 2 13 2 2 2 2" xfId="1616" xr:uid="{FA6F9147-1033-4A92-8F5A-3942BD4A312B}"/>
    <cellStyle name="Vírgula 2 13 2 2 2 2 2" xfId="3187" xr:uid="{84F8627A-3705-4AF3-9401-A0CA90F86518}"/>
    <cellStyle name="Vírgula 2 13 2 2 2 2 2 2" xfId="6357" xr:uid="{EBF35D48-8155-49B1-8C22-9D3949A16D02}"/>
    <cellStyle name="Vírgula 2 13 2 2 2 2 2 2 2" xfId="12696" xr:uid="{41AE0744-B5E1-4ADD-8AD2-58971149C12A}"/>
    <cellStyle name="Vírgula 2 13 2 2 2 2 2 3" xfId="9528" xr:uid="{2CC74D62-16C6-4CF6-B923-BB47334C0B16}"/>
    <cellStyle name="Vírgula 2 13 2 2 2 2 3" xfId="4788" xr:uid="{0140BBF3-38BF-46A1-AF53-A19F1A91576C}"/>
    <cellStyle name="Vírgula 2 13 2 2 2 2 3 2" xfId="11127" xr:uid="{EA609246-234F-4730-8623-9870E11E6FE3}"/>
    <cellStyle name="Vírgula 2 13 2 2 2 2 4" xfId="7959" xr:uid="{36B80D6B-DC29-460E-BBE4-E0DBCF1EF0B3}"/>
    <cellStyle name="Vírgula 2 13 2 2 2 3" xfId="2390" xr:uid="{3147EA26-B127-41AF-9B11-8DE5EEE447FA}"/>
    <cellStyle name="Vírgula 2 13 2 2 2 3 2" xfId="5560" xr:uid="{CBAEDF11-C6F9-49AA-A33B-78161D0AD8BB}"/>
    <cellStyle name="Vírgula 2 13 2 2 2 3 2 2" xfId="11899" xr:uid="{B8A02CF5-B553-4758-B2C7-2D242D1A94E6}"/>
    <cellStyle name="Vírgula 2 13 2 2 2 3 3" xfId="8731" xr:uid="{9F12F311-AEC3-4DF5-BB08-6728D21EF8C1}"/>
    <cellStyle name="Vírgula 2 13 2 2 2 4" xfId="3991" xr:uid="{6462ED65-5BCE-4F3B-A425-887430E6AC9F}"/>
    <cellStyle name="Vírgula 2 13 2 2 2 4 2" xfId="10330" xr:uid="{37C9CE7D-AB15-49B9-8BE7-9C7D32E6FFD2}"/>
    <cellStyle name="Vírgula 2 13 2 2 2 5" xfId="7162" xr:uid="{F23C5B24-720D-4D65-A7E3-632FE5CAB7F4}"/>
    <cellStyle name="Vírgula 2 13 2 2 3" xfId="1235" xr:uid="{2BFE9F24-3233-4CA9-B540-DFCBBCCC4F4C}"/>
    <cellStyle name="Vírgula 2 13 2 2 3 2" xfId="2806" xr:uid="{CF288FCD-B30E-4068-96AC-5BF79A259979}"/>
    <cellStyle name="Vírgula 2 13 2 2 3 2 2" xfId="5976" xr:uid="{137A1DA1-6882-41D8-A569-ABEF9ACFC248}"/>
    <cellStyle name="Vírgula 2 13 2 2 3 2 2 2" xfId="12315" xr:uid="{AD976807-4A3C-4086-B69C-A33F7E391DF5}"/>
    <cellStyle name="Vírgula 2 13 2 2 3 2 3" xfId="9147" xr:uid="{36C3B332-8A43-4026-A2ED-0BC0CBFD6E27}"/>
    <cellStyle name="Vírgula 2 13 2 2 3 3" xfId="4407" xr:uid="{7ABB9181-F809-40D6-A08A-5FF202EA4C75}"/>
    <cellStyle name="Vírgula 2 13 2 2 3 3 2" xfId="10746" xr:uid="{C2E2DB1F-C10F-4A34-9A4D-39CF15D8C40C}"/>
    <cellStyle name="Vírgula 2 13 2 2 3 4" xfId="7578" xr:uid="{828FA1D5-F4E9-479B-A263-6B77CCC758DD}"/>
    <cellStyle name="Vírgula 2 13 2 2 4" xfId="2009" xr:uid="{4472B291-AC3D-4E15-BA34-826047F762AE}"/>
    <cellStyle name="Vírgula 2 13 2 2 4 2" xfId="5179" xr:uid="{71C3F7BF-9DF0-47F2-BDC1-4B3CDC8FD39C}"/>
    <cellStyle name="Vírgula 2 13 2 2 4 2 2" xfId="11518" xr:uid="{A025C771-3976-4D69-ADB2-8A9E277EECCC}"/>
    <cellStyle name="Vírgula 2 13 2 2 4 3" xfId="8350" xr:uid="{64507D52-8F43-45A0-82F0-695393042765}"/>
    <cellStyle name="Vírgula 2 13 2 2 5" xfId="3610" xr:uid="{7DDC292F-D124-46B3-AAD6-66696455FE61}"/>
    <cellStyle name="Vírgula 2 13 2 2 5 2" xfId="9949" xr:uid="{867730F2-B53C-4161-A6E8-BF6FE5678A35}"/>
    <cellStyle name="Vírgula 2 13 2 2 6" xfId="6781" xr:uid="{03E143C0-ED72-4366-BF9E-035CBE519DD0}"/>
    <cellStyle name="Vírgula 2 13 2 3" xfId="614" xr:uid="{B531A4F4-6999-4F05-8C33-AD9BA568A2DF}"/>
    <cellStyle name="Vírgula 2 13 2 3 2" xfId="1413" xr:uid="{97A26192-F94B-4B4B-94C7-F2A45565D076}"/>
    <cellStyle name="Vírgula 2 13 2 3 2 2" xfId="2984" xr:uid="{BD3F39AF-5193-4824-AB0E-91DD878BAD2A}"/>
    <cellStyle name="Vírgula 2 13 2 3 2 2 2" xfId="6154" xr:uid="{5D973D16-015E-448C-B8F3-61B02C7FED30}"/>
    <cellStyle name="Vírgula 2 13 2 3 2 2 2 2" xfId="12493" xr:uid="{0604A00D-5425-4F6C-9F4E-A5FF0E317A73}"/>
    <cellStyle name="Vírgula 2 13 2 3 2 2 3" xfId="9325" xr:uid="{48B15679-1BE8-4279-ABE7-4B5AC0044241}"/>
    <cellStyle name="Vírgula 2 13 2 3 2 3" xfId="4585" xr:uid="{EA48EBDD-5B8C-4F81-BDB8-8A3DE5A1DF38}"/>
    <cellStyle name="Vírgula 2 13 2 3 2 3 2" xfId="10924" xr:uid="{0DE56132-B4F6-402E-B83A-ACC91354F2FE}"/>
    <cellStyle name="Vírgula 2 13 2 3 2 4" xfId="7756" xr:uid="{AAE2CAD2-5ED7-464C-A814-B0CF6DEC28B7}"/>
    <cellStyle name="Vírgula 2 13 2 3 3" xfId="2187" xr:uid="{F6F3ED1D-B5C5-46AE-AEA2-C08CC495EEB6}"/>
    <cellStyle name="Vírgula 2 13 2 3 3 2" xfId="5357" xr:uid="{DC4B23B9-A4CD-4933-BF27-275BC190A3F2}"/>
    <cellStyle name="Vírgula 2 13 2 3 3 2 2" xfId="11696" xr:uid="{2A0DE75F-B0E4-4A1C-96D2-8B34FF540EF1}"/>
    <cellStyle name="Vírgula 2 13 2 3 3 3" xfId="8528" xr:uid="{30A2035A-CDCC-409C-B2EA-D9C2B0FBBEB2}"/>
    <cellStyle name="Vírgula 2 13 2 3 4" xfId="3788" xr:uid="{72902548-96FB-4756-9683-04C9BA0951E6}"/>
    <cellStyle name="Vírgula 2 13 2 3 4 2" xfId="10127" xr:uid="{360CE716-7CA5-4022-9358-1121341B6F03}"/>
    <cellStyle name="Vírgula 2 13 2 3 5" xfId="6959" xr:uid="{18A67008-84A1-446E-8D1A-B8D6614134CA}"/>
    <cellStyle name="Vírgula 2 13 2 4" xfId="1032" xr:uid="{67AC4E6D-E008-4AAD-BFD5-C2733D882A22}"/>
    <cellStyle name="Vírgula 2 13 2 4 2" xfId="2603" xr:uid="{9176B2F9-644E-47D1-800B-E3607334C141}"/>
    <cellStyle name="Vírgula 2 13 2 4 2 2" xfId="5773" xr:uid="{59DF5DC4-BCF5-4697-850E-12BCEF4FD639}"/>
    <cellStyle name="Vírgula 2 13 2 4 2 2 2" xfId="12112" xr:uid="{C01F918E-15DB-4351-86BE-4F6BB7BEBC0E}"/>
    <cellStyle name="Vírgula 2 13 2 4 2 3" xfId="8944" xr:uid="{ECA7FBA0-8ADB-4DCD-ABD2-6AFE051748CC}"/>
    <cellStyle name="Vírgula 2 13 2 4 3" xfId="4204" xr:uid="{C09F002F-4CA3-4B5C-B166-2E4BD3C7DC0B}"/>
    <cellStyle name="Vírgula 2 13 2 4 3 2" xfId="10543" xr:uid="{92E7CDCF-3623-42B3-A287-3F3DCD716FA5}"/>
    <cellStyle name="Vírgula 2 13 2 4 4" xfId="7375" xr:uid="{8538C8D6-26F9-4FD0-9275-D1F72D3D2272}"/>
    <cellStyle name="Vírgula 2 13 2 5" xfId="1806" xr:uid="{DE8E3003-8265-4EF6-960C-97AE722CC72F}"/>
    <cellStyle name="Vírgula 2 13 2 5 2" xfId="4976" xr:uid="{5816ECB6-1F28-4234-92E5-3BFB7A0C6241}"/>
    <cellStyle name="Vírgula 2 13 2 5 2 2" xfId="11315" xr:uid="{1264421A-ADEB-449B-89A1-EFABE705F1C0}"/>
    <cellStyle name="Vírgula 2 13 2 5 3" xfId="8147" xr:uid="{53D33293-7D8D-40DE-81FD-B9624EC10BDA}"/>
    <cellStyle name="Vírgula 2 13 2 6" xfId="3407" xr:uid="{0B74CF53-8FD6-4879-AC15-D663F49C5604}"/>
    <cellStyle name="Vírgula 2 13 2 6 2" xfId="9746" xr:uid="{E76A986D-D4B8-40AC-88B3-410E3012C198}"/>
    <cellStyle name="Vírgula 2 13 2 7" xfId="6578" xr:uid="{7345E48B-3ACD-4050-86CE-6F557D8F4CAD}"/>
    <cellStyle name="Vírgula 2 13 3" xfId="355" xr:uid="{49025765-B8A1-4B66-A27D-F9FE1D437BEA}"/>
    <cellStyle name="Vírgula 2 13 3 2" xfId="736" xr:uid="{A0E7DA69-0169-40AB-A1BB-9A8A2B9D029F}"/>
    <cellStyle name="Vírgula 2 13 3 2 2" xfId="1535" xr:uid="{91DCCA0C-42DA-473D-97CB-9B993D9CFA04}"/>
    <cellStyle name="Vírgula 2 13 3 2 2 2" xfId="3106" xr:uid="{CBA9154A-7C41-4FC8-9D17-33C3CC9A959B}"/>
    <cellStyle name="Vírgula 2 13 3 2 2 2 2" xfId="6276" xr:uid="{B954B105-37C3-4AC8-9F23-550C1F3FD1CC}"/>
    <cellStyle name="Vírgula 2 13 3 2 2 2 2 2" xfId="12615" xr:uid="{846E34D0-F439-4F72-8220-B3661ABCAFB4}"/>
    <cellStyle name="Vírgula 2 13 3 2 2 2 3" xfId="9447" xr:uid="{EA41B3AB-22A3-4AFB-BA8C-B616B93BCEE3}"/>
    <cellStyle name="Vírgula 2 13 3 2 2 3" xfId="4707" xr:uid="{E11313CA-CA1E-46FC-8F5F-B2D9258E1CB4}"/>
    <cellStyle name="Vírgula 2 13 3 2 2 3 2" xfId="11046" xr:uid="{9A606841-F2C5-4755-BD6C-AE51028BF004}"/>
    <cellStyle name="Vírgula 2 13 3 2 2 4" xfId="7878" xr:uid="{64E7F125-D04C-4391-9A9A-D318D8ED6AD4}"/>
    <cellStyle name="Vírgula 2 13 3 2 3" xfId="2309" xr:uid="{110A6CC5-A77E-46F5-944B-3DD45FB67FDE}"/>
    <cellStyle name="Vírgula 2 13 3 2 3 2" xfId="5479" xr:uid="{E7679D8B-3F0A-40B3-9851-60A8DD62F3EB}"/>
    <cellStyle name="Vírgula 2 13 3 2 3 2 2" xfId="11818" xr:uid="{E966AA0E-EA43-41BF-B758-0B697A05DC43}"/>
    <cellStyle name="Vírgula 2 13 3 2 3 3" xfId="8650" xr:uid="{2944CA60-8579-40C1-8BEA-FAF88930BB2A}"/>
    <cellStyle name="Vírgula 2 13 3 2 4" xfId="3910" xr:uid="{6BDEFF6E-3331-4FCF-93A2-F6A8D3BDFA65}"/>
    <cellStyle name="Vírgula 2 13 3 2 4 2" xfId="10249" xr:uid="{A7947A93-1D73-4A89-BEE8-D082513953DD}"/>
    <cellStyle name="Vírgula 2 13 3 2 5" xfId="7081" xr:uid="{B29E4629-B81C-48FA-BB1D-12404C633138}"/>
    <cellStyle name="Vírgula 2 13 3 3" xfId="1154" xr:uid="{98D66A33-EC33-4C33-AEF6-E9B57674017A}"/>
    <cellStyle name="Vírgula 2 13 3 3 2" xfId="2725" xr:uid="{92C02BC7-D94E-4F60-8C4F-E6957BC9BB9E}"/>
    <cellStyle name="Vírgula 2 13 3 3 2 2" xfId="5895" xr:uid="{ADE9B044-A6A5-4180-9581-6CA6B3CF696D}"/>
    <cellStyle name="Vírgula 2 13 3 3 2 2 2" xfId="12234" xr:uid="{A47E9FBE-8259-4955-B4AB-7AEF7CF73070}"/>
    <cellStyle name="Vírgula 2 13 3 3 2 3" xfId="9066" xr:uid="{C0B9C3A5-CADB-409F-9C32-DCE8B46B2766}"/>
    <cellStyle name="Vírgula 2 13 3 3 3" xfId="4326" xr:uid="{7905C4AB-D7E3-4400-908B-8CC44DD1089F}"/>
    <cellStyle name="Vírgula 2 13 3 3 3 2" xfId="10665" xr:uid="{07B5D457-F5B4-4391-B9EC-58287122C3DA}"/>
    <cellStyle name="Vírgula 2 13 3 3 4" xfId="7497" xr:uid="{1EE15426-7266-49BD-9F3F-5DBDDF47588B}"/>
    <cellStyle name="Vírgula 2 13 3 4" xfId="1928" xr:uid="{DB43AE2A-76EC-42D8-A351-835A719F102D}"/>
    <cellStyle name="Vírgula 2 13 3 4 2" xfId="5098" xr:uid="{C35D12B2-163A-4B9D-B6CF-DC5086F4E509}"/>
    <cellStyle name="Vírgula 2 13 3 4 2 2" xfId="11437" xr:uid="{0CCB1ACB-550B-4F35-80F0-D1FB185B178B}"/>
    <cellStyle name="Vírgula 2 13 3 4 3" xfId="8269" xr:uid="{AC1DB6BC-8A1F-43CD-B7F9-F258EA29CB13}"/>
    <cellStyle name="Vírgula 2 13 3 5" xfId="3529" xr:uid="{BAC0CEB9-29F4-417E-89F9-59496345CCD4}"/>
    <cellStyle name="Vírgula 2 13 3 5 2" xfId="9868" xr:uid="{49B6A4AF-0760-4412-8E36-EF2934855F9F}"/>
    <cellStyle name="Vírgula 2 13 3 6" xfId="6700" xr:uid="{B2FF0A4E-55E4-4171-B5BB-1B1583E8498E}"/>
    <cellStyle name="Vírgula 2 13 4" xfId="951" xr:uid="{A71DCFE8-EC67-4A20-BD35-B20343750C66}"/>
    <cellStyle name="Vírgula 2 13 4 2" xfId="2522" xr:uid="{9060AD9F-3BD6-4A44-BEBC-6941E96D90B4}"/>
    <cellStyle name="Vírgula 2 13 4 2 2" xfId="5692" xr:uid="{A3766E9B-2B8E-4FCA-B8A5-33AF1177ABF1}"/>
    <cellStyle name="Vírgula 2 13 4 2 2 2" xfId="12031" xr:uid="{BEDBAD7E-AF42-4D14-8ACF-7E6109682E8D}"/>
    <cellStyle name="Vírgula 2 13 4 2 3" xfId="8863" xr:uid="{D17ACC2D-C8B7-44BB-ADA0-BDB4ADC9AC4F}"/>
    <cellStyle name="Vírgula 2 13 4 3" xfId="4123" xr:uid="{AC8A1767-41C8-45F5-A82E-9BD62369C8F3}"/>
    <cellStyle name="Vírgula 2 13 4 3 2" xfId="10462" xr:uid="{A1B8FA3B-030F-4022-884A-12E7F9DFD055}"/>
    <cellStyle name="Vírgula 2 13 4 4" xfId="7294" xr:uid="{ABCA0170-1821-4833-800C-5EE090697853}"/>
    <cellStyle name="Vírgula 2 13 5" xfId="3326" xr:uid="{DF09EA4B-7DBE-455D-8E19-5ED1D66890A2}"/>
    <cellStyle name="Vírgula 2 13 5 2" xfId="9665" xr:uid="{694C4F35-0051-4A7F-BB03-E12099204F67}"/>
    <cellStyle name="Vírgula 2 13 6" xfId="6497" xr:uid="{2114E67E-FD45-488A-B102-8E9A1F56BE79}"/>
    <cellStyle name="Vírgula 2 14" xfId="62" xr:uid="{2EB4B3CD-41F1-49D9-9D3B-B13D6315283B}"/>
    <cellStyle name="Vírgula 2 14 2" xfId="224" xr:uid="{AA981BE5-6E90-4008-969D-0F87851EF2AE}"/>
    <cellStyle name="Vírgula 2 14 2 2" xfId="441" xr:uid="{B49DD1C6-C995-4735-8AFB-C8D5DD7DCEBC}"/>
    <cellStyle name="Vírgula 2 14 2 2 2" xfId="822" xr:uid="{0D1BAAC1-D969-430B-823C-C7424E411620}"/>
    <cellStyle name="Vírgula 2 14 2 2 2 2" xfId="1621" xr:uid="{AFCF4C8A-1225-4663-9D0D-4DF837923E54}"/>
    <cellStyle name="Vírgula 2 14 2 2 2 2 2" xfId="3192" xr:uid="{8593B4EB-AF33-4652-82ED-33CF7CA16B5D}"/>
    <cellStyle name="Vírgula 2 14 2 2 2 2 2 2" xfId="6362" xr:uid="{61FBC6DC-0BF5-4C86-843D-88BEA5B2EDCE}"/>
    <cellStyle name="Vírgula 2 14 2 2 2 2 2 2 2" xfId="12701" xr:uid="{104AB661-7465-4220-9078-BB2F78752FF0}"/>
    <cellStyle name="Vírgula 2 14 2 2 2 2 2 3" xfId="9533" xr:uid="{6A3F83C0-F122-463B-8A09-6A530AD3515B}"/>
    <cellStyle name="Vírgula 2 14 2 2 2 2 3" xfId="4793" xr:uid="{9FB02D72-F23D-45F7-974F-1814E247F992}"/>
    <cellStyle name="Vírgula 2 14 2 2 2 2 3 2" xfId="11132" xr:uid="{DA29EC1E-0BC1-43C9-B97A-77E0C86CFE7F}"/>
    <cellStyle name="Vírgula 2 14 2 2 2 2 4" xfId="7964" xr:uid="{09CBFED2-A066-413F-B617-7C7237E1EAD2}"/>
    <cellStyle name="Vírgula 2 14 2 2 2 3" xfId="2395" xr:uid="{B01E2B2F-A3EE-4B96-991F-286825C8E6B9}"/>
    <cellStyle name="Vírgula 2 14 2 2 2 3 2" xfId="5565" xr:uid="{C632BCB3-6177-4BEE-9C19-D7AE2C4EE595}"/>
    <cellStyle name="Vírgula 2 14 2 2 2 3 2 2" xfId="11904" xr:uid="{18EC9952-8FAC-4426-A5BB-43DF16AFF73B}"/>
    <cellStyle name="Vírgula 2 14 2 2 2 3 3" xfId="8736" xr:uid="{33BCC98E-D492-4320-AECB-1D9A9C9DD595}"/>
    <cellStyle name="Vírgula 2 14 2 2 2 4" xfId="3996" xr:uid="{06D2E0F1-E032-4228-BBC6-FDC0F67D18D7}"/>
    <cellStyle name="Vírgula 2 14 2 2 2 4 2" xfId="10335" xr:uid="{FA6DE043-6E9E-41B1-B9FE-49E6C9E7CD41}"/>
    <cellStyle name="Vírgula 2 14 2 2 2 5" xfId="7167" xr:uid="{039011B2-9DBF-4032-8B7E-8A284969EAC9}"/>
    <cellStyle name="Vírgula 2 14 2 2 3" xfId="1240" xr:uid="{DF3E15E7-FA9D-42EF-A5CD-38F8F51F9A6D}"/>
    <cellStyle name="Vírgula 2 14 2 2 3 2" xfId="2811" xr:uid="{4338F6BA-BF28-4B84-A961-407F44919B5E}"/>
    <cellStyle name="Vírgula 2 14 2 2 3 2 2" xfId="5981" xr:uid="{F699A976-0749-4B8F-95CE-5181C2991465}"/>
    <cellStyle name="Vírgula 2 14 2 2 3 2 2 2" xfId="12320" xr:uid="{08A6C672-CE97-4C09-8761-8338A66FCE24}"/>
    <cellStyle name="Vírgula 2 14 2 2 3 2 3" xfId="9152" xr:uid="{B9141EE7-F40C-490C-B7E8-C05D69D05045}"/>
    <cellStyle name="Vírgula 2 14 2 2 3 3" xfId="4412" xr:uid="{851A0792-228E-4CD0-B077-DEA922CCB115}"/>
    <cellStyle name="Vírgula 2 14 2 2 3 3 2" xfId="10751" xr:uid="{D84D05B8-A15A-4991-93B3-A8C303CBF230}"/>
    <cellStyle name="Vírgula 2 14 2 2 3 4" xfId="7583" xr:uid="{38646B57-AC9B-410B-AE00-40C2915E2796}"/>
    <cellStyle name="Vírgula 2 14 2 2 4" xfId="2014" xr:uid="{A516BC09-9410-43FA-A21A-C8B78A96EAE6}"/>
    <cellStyle name="Vírgula 2 14 2 2 4 2" xfId="5184" xr:uid="{1FDD1515-487A-43F4-8F0C-80F2CBEE6948}"/>
    <cellStyle name="Vírgula 2 14 2 2 4 2 2" xfId="11523" xr:uid="{823CCA6B-302E-4D04-9EFE-0373F7BFD82C}"/>
    <cellStyle name="Vírgula 2 14 2 2 4 3" xfId="8355" xr:uid="{146B10CE-505A-4B50-8E27-6C21553A6BA6}"/>
    <cellStyle name="Vírgula 2 14 2 2 5" xfId="3615" xr:uid="{7DAC0072-658D-4C38-83A9-9A9545B9618F}"/>
    <cellStyle name="Vírgula 2 14 2 2 5 2" xfId="9954" xr:uid="{65C7F4CC-FF81-43B1-BFA5-9935D652F6FE}"/>
    <cellStyle name="Vírgula 2 14 2 2 6" xfId="6786" xr:uid="{E0EA93F0-7814-44EF-B0CA-414A61C5F7C1}"/>
    <cellStyle name="Vírgula 2 14 2 3" xfId="619" xr:uid="{09A39E4F-4718-4170-93D6-9EF6037978EA}"/>
    <cellStyle name="Vírgula 2 14 2 3 2" xfId="1418" xr:uid="{B083CA4B-E3A9-43E6-BF9A-6987348D1AF0}"/>
    <cellStyle name="Vírgula 2 14 2 3 2 2" xfId="2989" xr:uid="{7F6C36C5-BB51-47FD-92A9-032E163B6AD2}"/>
    <cellStyle name="Vírgula 2 14 2 3 2 2 2" xfId="6159" xr:uid="{1BA2D6AE-24A9-4033-BE3F-E92558FD9DFD}"/>
    <cellStyle name="Vírgula 2 14 2 3 2 2 2 2" xfId="12498" xr:uid="{2262B0B6-5564-487D-BA78-652422345F7A}"/>
    <cellStyle name="Vírgula 2 14 2 3 2 2 3" xfId="9330" xr:uid="{2EA2CC1A-6284-4626-9299-FAD5F7F6F5E7}"/>
    <cellStyle name="Vírgula 2 14 2 3 2 3" xfId="4590" xr:uid="{FE7D0392-FAD3-4185-B825-6300D0EAD84A}"/>
    <cellStyle name="Vírgula 2 14 2 3 2 3 2" xfId="10929" xr:uid="{75D8F073-81C6-4B80-8A2F-2246194E70E8}"/>
    <cellStyle name="Vírgula 2 14 2 3 2 4" xfId="7761" xr:uid="{378A0435-5D74-424E-B25F-36DAB10FC938}"/>
    <cellStyle name="Vírgula 2 14 2 3 3" xfId="2192" xr:uid="{EA630A84-FE4B-4CE3-91D1-A3A226BF9424}"/>
    <cellStyle name="Vírgula 2 14 2 3 3 2" xfId="5362" xr:uid="{E6B61F41-C207-4165-AE99-9A6953B94C8F}"/>
    <cellStyle name="Vírgula 2 14 2 3 3 2 2" xfId="11701" xr:uid="{55F78984-71A7-47E4-AC37-0FA589EACEBD}"/>
    <cellStyle name="Vírgula 2 14 2 3 3 3" xfId="8533" xr:uid="{CDFEB1C6-39E0-4218-B873-E457235745F6}"/>
    <cellStyle name="Vírgula 2 14 2 3 4" xfId="3793" xr:uid="{FE703C56-1EF7-4375-96D7-8F1AA031B3FE}"/>
    <cellStyle name="Vírgula 2 14 2 3 4 2" xfId="10132" xr:uid="{3C7707AD-C191-42DE-B66A-E06932C7700C}"/>
    <cellStyle name="Vírgula 2 14 2 3 5" xfId="6964" xr:uid="{C470680D-9419-4AEF-AE34-871E54B6E89C}"/>
    <cellStyle name="Vírgula 2 14 2 4" xfId="1037" xr:uid="{6A989D3F-C906-4B98-AD91-E29C729E5C21}"/>
    <cellStyle name="Vírgula 2 14 2 4 2" xfId="2608" xr:uid="{4A7BAEC4-4FB6-47CC-8446-139632E817EA}"/>
    <cellStyle name="Vírgula 2 14 2 4 2 2" xfId="5778" xr:uid="{52A1896B-90F6-4216-9C06-454A378F7AAE}"/>
    <cellStyle name="Vírgula 2 14 2 4 2 2 2" xfId="12117" xr:uid="{0C88E5A2-A385-44F6-A664-C4B2CBC51BED}"/>
    <cellStyle name="Vírgula 2 14 2 4 2 3" xfId="8949" xr:uid="{320013E0-9EC8-462D-B935-6CEFE7AC4B8C}"/>
    <cellStyle name="Vírgula 2 14 2 4 3" xfId="4209" xr:uid="{D234FBFF-95DF-4D37-8305-E45D5D381E64}"/>
    <cellStyle name="Vírgula 2 14 2 4 3 2" xfId="10548" xr:uid="{1E5DB105-BEAD-4AD6-A53C-03DE59834E2C}"/>
    <cellStyle name="Vírgula 2 14 2 4 4" xfId="7380" xr:uid="{C565BF4D-FB3F-4618-AEBD-37F75E14D090}"/>
    <cellStyle name="Vírgula 2 14 2 5" xfId="1811" xr:uid="{539552EA-32FC-4533-8128-521FD5029587}"/>
    <cellStyle name="Vírgula 2 14 2 5 2" xfId="4981" xr:uid="{D8978FCD-168C-49E7-AF83-91FC67B559D3}"/>
    <cellStyle name="Vírgula 2 14 2 5 2 2" xfId="11320" xr:uid="{1EEBD173-9ED0-4B6C-AF06-76D07150D057}"/>
    <cellStyle name="Vírgula 2 14 2 5 3" xfId="8152" xr:uid="{C78F2620-045B-4692-B789-09AAD1C56583}"/>
    <cellStyle name="Vírgula 2 14 2 6" xfId="3412" xr:uid="{EBFC912A-4DA1-43FD-92B0-56C82D0F2594}"/>
    <cellStyle name="Vírgula 2 14 2 6 2" xfId="9751" xr:uid="{4EC44BC1-C17D-43BF-AE32-92C380C32467}"/>
    <cellStyle name="Vírgula 2 14 2 7" xfId="6583" xr:uid="{B75858F2-1956-4D4C-B98C-7FC3EBF9F389}"/>
    <cellStyle name="Vírgula 2 14 3" xfId="286" xr:uid="{2BEF535E-275D-43EA-AE2B-A72C68962E36}"/>
    <cellStyle name="Vírgula 2 14 3 2" xfId="676" xr:uid="{025A2514-5A67-4DDE-944F-E6B09ADCEEE4}"/>
    <cellStyle name="Vírgula 2 14 3 2 2" xfId="1475" xr:uid="{D6FFF866-A30F-49A8-97AA-7C8435CAD619}"/>
    <cellStyle name="Vírgula 2 14 3 2 2 2" xfId="3046" xr:uid="{3B812DEF-BF40-41D2-BF7D-BC9BC778AC82}"/>
    <cellStyle name="Vírgula 2 14 3 2 2 2 2" xfId="6216" xr:uid="{5D8E3906-827E-4B04-B22A-99208989A875}"/>
    <cellStyle name="Vírgula 2 14 3 2 2 2 2 2" xfId="12555" xr:uid="{0FCD8584-12F1-4B61-9E17-3C294FE4287D}"/>
    <cellStyle name="Vírgula 2 14 3 2 2 2 3" xfId="9387" xr:uid="{073F23FD-7DCA-45AB-9490-D07441AEA738}"/>
    <cellStyle name="Vírgula 2 14 3 2 2 3" xfId="4647" xr:uid="{ADB3F386-34F5-49AB-845B-05CB2F8FFF20}"/>
    <cellStyle name="Vírgula 2 14 3 2 2 3 2" xfId="10986" xr:uid="{06A124B0-EABD-4124-9948-A6E8A3767DF1}"/>
    <cellStyle name="Vírgula 2 14 3 2 2 4" xfId="7818" xr:uid="{6D380871-7E74-4BC5-AD91-4D1B06AD48CE}"/>
    <cellStyle name="Vírgula 2 14 3 2 3" xfId="2249" xr:uid="{075EB44A-4A81-440B-A381-88C4558EEB49}"/>
    <cellStyle name="Vírgula 2 14 3 2 3 2" xfId="5419" xr:uid="{480ED7DE-BB5E-411B-9776-3A93B83F6544}"/>
    <cellStyle name="Vírgula 2 14 3 2 3 2 2" xfId="11758" xr:uid="{6ED1C77E-FDAB-499C-8E13-2FAE90BC502E}"/>
    <cellStyle name="Vírgula 2 14 3 2 3 3" xfId="8590" xr:uid="{24E2DD1E-266D-4243-81ED-4D8604898571}"/>
    <cellStyle name="Vírgula 2 14 3 2 4" xfId="3850" xr:uid="{54685E31-426C-477B-B3CF-E9919ECEB583}"/>
    <cellStyle name="Vírgula 2 14 3 2 4 2" xfId="10189" xr:uid="{C7879C1B-34DF-4228-A968-52E58F404CF8}"/>
    <cellStyle name="Vírgula 2 14 3 2 5" xfId="7021" xr:uid="{6427B5F0-FCAB-4450-9A5C-B63A1D58F0BF}"/>
    <cellStyle name="Vírgula 2 14 3 3" xfId="1094" xr:uid="{8612DE30-4435-4D14-B4EE-4D739C2A6E91}"/>
    <cellStyle name="Vírgula 2 14 3 3 2" xfId="2665" xr:uid="{43294CD2-327F-42A2-83E3-76884CBB1AE8}"/>
    <cellStyle name="Vírgula 2 14 3 3 2 2" xfId="5835" xr:uid="{AD454CF3-5C80-4050-B32B-F86DA09B6F61}"/>
    <cellStyle name="Vírgula 2 14 3 3 2 2 2" xfId="12174" xr:uid="{DCFF0AEA-3CBC-49BF-9BD7-DB0C9D9C8BDA}"/>
    <cellStyle name="Vírgula 2 14 3 3 2 3" xfId="9006" xr:uid="{FFCDB8BC-ED32-437E-A417-AE0CF8CF7358}"/>
    <cellStyle name="Vírgula 2 14 3 3 3" xfId="4266" xr:uid="{16F94ABE-DDB3-4AF0-9BF1-6222CD3598D3}"/>
    <cellStyle name="Vírgula 2 14 3 3 3 2" xfId="10605" xr:uid="{36F15CA1-2958-4050-8A18-5CB2490297A6}"/>
    <cellStyle name="Vírgula 2 14 3 3 4" xfId="7437" xr:uid="{4A26B400-F2B8-40FD-82D8-D3B94668B0CD}"/>
    <cellStyle name="Vírgula 2 14 3 4" xfId="1868" xr:uid="{E64C11AE-1476-450F-99F2-A4BACED6A3D4}"/>
    <cellStyle name="Vírgula 2 14 3 4 2" xfId="5038" xr:uid="{EDA1A635-5822-4A26-A689-2810845E4E64}"/>
    <cellStyle name="Vírgula 2 14 3 4 2 2" xfId="11377" xr:uid="{C6832FF5-3362-484F-B26F-5FBD5A131471}"/>
    <cellStyle name="Vírgula 2 14 3 4 3" xfId="8209" xr:uid="{B3B5118C-ED49-4A52-9982-3656236ADB0E}"/>
    <cellStyle name="Vírgula 2 14 3 5" xfId="3469" xr:uid="{8990C87E-57DB-4636-B9A0-9349B271D657}"/>
    <cellStyle name="Vírgula 2 14 3 5 2" xfId="9808" xr:uid="{9529EE60-A9EA-48A0-BB28-9597F79E1745}"/>
    <cellStyle name="Vírgula 2 14 3 6" xfId="6640" xr:uid="{033D4EC2-9DCB-4CF7-AB34-C3382921E959}"/>
    <cellStyle name="Vírgula 2 14 4" xfId="493" xr:uid="{DD2AF27F-A2C9-442F-9A49-4B8394BF15B8}"/>
    <cellStyle name="Vírgula 2 14 4 2" xfId="1292" xr:uid="{F5113C6F-C43E-4DF5-BEBF-696E6293F83D}"/>
    <cellStyle name="Vírgula 2 14 4 2 2" xfId="2863" xr:uid="{E67693A9-BCFC-4D42-A606-8791A9F4FB0C}"/>
    <cellStyle name="Vírgula 2 14 4 2 2 2" xfId="6033" xr:uid="{10A50976-8C42-4978-9D3C-35000E134EF0}"/>
    <cellStyle name="Vírgula 2 14 4 2 2 2 2" xfId="12372" xr:uid="{7B3C6DD0-B684-4D19-9D54-05A20D14F1DD}"/>
    <cellStyle name="Vírgula 2 14 4 2 2 3" xfId="9204" xr:uid="{F070C78A-00FD-4C62-A76A-D6FF55CC9AD6}"/>
    <cellStyle name="Vírgula 2 14 4 2 3" xfId="4464" xr:uid="{7DCAB02A-E0C8-4549-A3D8-E0F7082F82C0}"/>
    <cellStyle name="Vírgula 2 14 4 2 3 2" xfId="10803" xr:uid="{72695A2A-36D8-454E-8810-9497E6F09F75}"/>
    <cellStyle name="Vírgula 2 14 4 2 4" xfId="7635" xr:uid="{434205F2-E506-4624-905F-18642267EDF3}"/>
    <cellStyle name="Vírgula 2 14 4 3" xfId="2066" xr:uid="{5AA2FFC8-8ECD-4D88-BD03-053E6E9552DE}"/>
    <cellStyle name="Vírgula 2 14 4 3 2" xfId="5236" xr:uid="{50ED9D14-ACF1-4B52-9E74-B776E6DD2892}"/>
    <cellStyle name="Vírgula 2 14 4 3 2 2" xfId="11575" xr:uid="{71BD0F09-8897-490E-9F76-EA237A8C87BB}"/>
    <cellStyle name="Vírgula 2 14 4 3 3" xfId="8407" xr:uid="{D4027FD9-9741-40DF-87E4-EA920B0EEC3B}"/>
    <cellStyle name="Vírgula 2 14 4 4" xfId="3667" xr:uid="{59B66DF1-CCDB-46B4-9FBA-827D4EC44B9A}"/>
    <cellStyle name="Vírgula 2 14 4 4 2" xfId="10006" xr:uid="{CE408696-9866-4948-BC73-F68BB9926B59}"/>
    <cellStyle name="Vírgula 2 14 4 5" xfId="6838" xr:uid="{EC96BF51-1394-4719-9278-C459554E0B68}"/>
    <cellStyle name="Vírgula 2 14 5" xfId="891" xr:uid="{A93015D9-ABFE-48F6-B823-20D601AAA517}"/>
    <cellStyle name="Vírgula 2 14 5 2" xfId="2462" xr:uid="{28DF1AAB-EAC7-499C-AE5F-CEE143611F76}"/>
    <cellStyle name="Vírgula 2 14 5 2 2" xfId="5632" xr:uid="{0446F96F-2B3F-46E9-8646-B22BB5EEFD9F}"/>
    <cellStyle name="Vírgula 2 14 5 2 2 2" xfId="11971" xr:uid="{9311CB07-57AE-4EE4-9C22-A033AB9B0AE3}"/>
    <cellStyle name="Vírgula 2 14 5 2 3" xfId="8803" xr:uid="{3DD00277-D566-4DB7-B10C-235C6328A2F0}"/>
    <cellStyle name="Vírgula 2 14 5 3" xfId="4063" xr:uid="{C1AA77F5-0121-4E2E-8FBC-C48D35CCC992}"/>
    <cellStyle name="Vírgula 2 14 5 3 2" xfId="10402" xr:uid="{D356D1BF-2628-4E72-8FE8-CE4BB8EF9BA0}"/>
    <cellStyle name="Vírgula 2 14 5 4" xfId="7234" xr:uid="{E21B0BD1-61DA-4188-AC1C-7B9CB2B13F5C}"/>
    <cellStyle name="Vírgula 2 14 6" xfId="1688" xr:uid="{CB90FE96-0828-4B3F-ABAB-7918918811FC}"/>
    <cellStyle name="Vírgula 2 14 6 2" xfId="4858" xr:uid="{E4BED172-15C2-4818-BA03-E5A513B8B1A2}"/>
    <cellStyle name="Vírgula 2 14 6 2 2" xfId="11197" xr:uid="{DF16CD46-6E07-425C-856F-988A5D4D67A2}"/>
    <cellStyle name="Vírgula 2 14 6 3" xfId="8029" xr:uid="{A6CE47BB-72A5-4E39-A361-F21B910A5588}"/>
    <cellStyle name="Vírgula 2 14 7" xfId="3266" xr:uid="{27867079-3C07-42C2-B184-C5EEE9AA656B}"/>
    <cellStyle name="Vírgula 2 14 7 2" xfId="9605" xr:uid="{D155B0B8-51B1-43E2-8F3F-8CB40A7E2DE8}"/>
    <cellStyle name="Vírgula 2 14 8" xfId="6437" xr:uid="{7BC0543E-C325-4522-8682-1F30FC25AA1D}"/>
    <cellStyle name="Vírgula 2 15" xfId="151" xr:uid="{CE4FE365-5223-4A56-A3A4-0651FDC41374}"/>
    <cellStyle name="Vírgula 2 15 2" xfId="368" xr:uid="{2A9A5045-1162-423F-8CC6-4FC460B6F2F2}"/>
    <cellStyle name="Vírgula 2 15 2 2" xfId="749" xr:uid="{FEB77B47-9DEA-4B77-9FB5-9174E0176970}"/>
    <cellStyle name="Vírgula 2 15 2 2 2" xfId="1548" xr:uid="{16B70EA6-C9E8-459E-A0E1-8B69F6C26E1E}"/>
    <cellStyle name="Vírgula 2 15 2 2 2 2" xfId="3119" xr:uid="{34EA5767-CE45-43C4-A182-C1FB6AF12865}"/>
    <cellStyle name="Vírgula 2 15 2 2 2 2 2" xfId="6289" xr:uid="{FFA25B78-0B36-460F-9140-6C8403793B61}"/>
    <cellStyle name="Vírgula 2 15 2 2 2 2 2 2" xfId="12628" xr:uid="{ACEBDCD9-0659-4126-A8A2-5288698B38E2}"/>
    <cellStyle name="Vírgula 2 15 2 2 2 2 3" xfId="9460" xr:uid="{CC0927BD-2A1F-4179-93B1-221A292D8E2B}"/>
    <cellStyle name="Vírgula 2 15 2 2 2 3" xfId="4720" xr:uid="{979B859D-9BF0-492A-B24A-DD26857958CC}"/>
    <cellStyle name="Vírgula 2 15 2 2 2 3 2" xfId="11059" xr:uid="{BC735B99-292C-4DC3-BE0D-4E9A46478A75}"/>
    <cellStyle name="Vírgula 2 15 2 2 2 4" xfId="7891" xr:uid="{EC943407-47A6-40F5-835A-489A03BF0BB3}"/>
    <cellStyle name="Vírgula 2 15 2 2 3" xfId="2322" xr:uid="{118BBAB8-6BA0-439C-86A7-12C60FEFD24A}"/>
    <cellStyle name="Vírgula 2 15 2 2 3 2" xfId="5492" xr:uid="{79B46D92-F42A-4663-8B7F-112657F457E0}"/>
    <cellStyle name="Vírgula 2 15 2 2 3 2 2" xfId="11831" xr:uid="{D4166922-092B-4B7E-889A-F0F3B2E2B9DA}"/>
    <cellStyle name="Vírgula 2 15 2 2 3 3" xfId="8663" xr:uid="{776800CD-9A53-4FB2-8C76-94069697C35B}"/>
    <cellStyle name="Vírgula 2 15 2 2 4" xfId="3923" xr:uid="{654EC4EF-2F8B-4333-AEB9-4677550FBF2C}"/>
    <cellStyle name="Vírgula 2 15 2 2 4 2" xfId="10262" xr:uid="{6C294F8F-6A95-493A-A8D9-4DB99095CE53}"/>
    <cellStyle name="Vírgula 2 15 2 2 5" xfId="7094" xr:uid="{91093C16-8A27-46C1-9FE1-27A41369D7F8}"/>
    <cellStyle name="Vírgula 2 15 2 3" xfId="1167" xr:uid="{C451444F-6113-45B7-9CA6-73189880C0D6}"/>
    <cellStyle name="Vírgula 2 15 2 3 2" xfId="2738" xr:uid="{8CD688F8-B9BB-4EAF-8B0B-F13A732E0857}"/>
    <cellStyle name="Vírgula 2 15 2 3 2 2" xfId="5908" xr:uid="{3ADF4C3F-CBE8-4880-9524-4E1418261101}"/>
    <cellStyle name="Vírgula 2 15 2 3 2 2 2" xfId="12247" xr:uid="{5BD43CD9-DAC0-4FC4-97DD-342C4D703DE7}"/>
    <cellStyle name="Vírgula 2 15 2 3 2 3" xfId="9079" xr:uid="{FF696719-576E-4757-BF46-44B5516F3A1F}"/>
    <cellStyle name="Vírgula 2 15 2 3 3" xfId="4339" xr:uid="{F84CAC38-4F95-42AD-BDBC-14E6ACC6BB20}"/>
    <cellStyle name="Vírgula 2 15 2 3 3 2" xfId="10678" xr:uid="{8C6430DA-799D-4C8F-BD1F-60B31AAC7501}"/>
    <cellStyle name="Vírgula 2 15 2 3 4" xfId="7510" xr:uid="{F4A6EF16-C013-4E5B-8511-5003DE046695}"/>
    <cellStyle name="Vírgula 2 15 2 4" xfId="1941" xr:uid="{F8CAC3C1-EDFA-4E4F-87A5-21BAD221347A}"/>
    <cellStyle name="Vírgula 2 15 2 4 2" xfId="5111" xr:uid="{95A74427-09EC-4A3D-859F-92B1FD2314E9}"/>
    <cellStyle name="Vírgula 2 15 2 4 2 2" xfId="11450" xr:uid="{7E10A6D1-1E87-41FF-BB49-400F63D30184}"/>
    <cellStyle name="Vírgula 2 15 2 4 3" xfId="8282" xr:uid="{26B8DD84-9B4D-40D8-A9E6-543396ED8D88}"/>
    <cellStyle name="Vírgula 2 15 2 5" xfId="3542" xr:uid="{AAA99BCB-9DEB-4FE4-A7CB-14256DA288F0}"/>
    <cellStyle name="Vírgula 2 15 2 5 2" xfId="9881" xr:uid="{016F5AC6-F5DD-48C9-A34C-7370335A27FD}"/>
    <cellStyle name="Vírgula 2 15 2 6" xfId="6713" xr:uid="{84197A53-6648-43CA-BA76-6BC48C4D003F}"/>
    <cellStyle name="Vírgula 2 15 3" xfId="546" xr:uid="{7B62841F-8461-41B2-B1DD-6021C5788452}"/>
    <cellStyle name="Vírgula 2 15 3 2" xfId="1345" xr:uid="{3ACC35F4-0639-446C-956B-987330E3DF07}"/>
    <cellStyle name="Vírgula 2 15 3 2 2" xfId="2916" xr:uid="{DDFCFD06-C8D5-4273-8FC1-20FFE669F730}"/>
    <cellStyle name="Vírgula 2 15 3 2 2 2" xfId="6086" xr:uid="{DC5FB936-CBD9-4321-910C-AF1FAB3B611D}"/>
    <cellStyle name="Vírgula 2 15 3 2 2 2 2" xfId="12425" xr:uid="{A3E059C4-990B-41A1-BD6F-24FF031C98D7}"/>
    <cellStyle name="Vírgula 2 15 3 2 2 3" xfId="9257" xr:uid="{8F35B44A-48ED-4FDB-82AC-E302640613CE}"/>
    <cellStyle name="Vírgula 2 15 3 2 3" xfId="4517" xr:uid="{D6EDF170-13A3-4370-B6B2-9F513FC1E9EA}"/>
    <cellStyle name="Vírgula 2 15 3 2 3 2" xfId="10856" xr:uid="{50EE6814-DAF3-4F10-A757-CD6082F3EB68}"/>
    <cellStyle name="Vírgula 2 15 3 2 4" xfId="7688" xr:uid="{05B14403-41E5-422F-8C7C-1EF6CB8D0CC7}"/>
    <cellStyle name="Vírgula 2 15 3 3" xfId="2119" xr:uid="{544E1907-29CE-4985-868C-F9F3C71EFFDC}"/>
    <cellStyle name="Vírgula 2 15 3 3 2" xfId="5289" xr:uid="{4AD30C8D-864E-4E36-BA54-31E306641646}"/>
    <cellStyle name="Vírgula 2 15 3 3 2 2" xfId="11628" xr:uid="{C24C1B1B-4DB1-499E-AB14-C0C0DD0306CF}"/>
    <cellStyle name="Vírgula 2 15 3 3 3" xfId="8460" xr:uid="{8D5ECEF6-D407-4CDB-81AD-8940D3164C5C}"/>
    <cellStyle name="Vírgula 2 15 3 4" xfId="3720" xr:uid="{68DB9B5B-AE4C-4774-A0A9-2EE26DFF0D68}"/>
    <cellStyle name="Vírgula 2 15 3 4 2" xfId="10059" xr:uid="{77B752B5-1274-4C14-BD6E-52FE111A6918}"/>
    <cellStyle name="Vírgula 2 15 3 5" xfId="6891" xr:uid="{9CC78B52-4B6F-409F-B776-CE30C6E7EA97}"/>
    <cellStyle name="Vírgula 2 15 4" xfId="964" xr:uid="{8386882B-3F34-4626-8C5F-5EAD2B7AD2A2}"/>
    <cellStyle name="Vírgula 2 15 4 2" xfId="2535" xr:uid="{E6D60B36-18BA-4327-A244-4AA8890D215D}"/>
    <cellStyle name="Vírgula 2 15 4 2 2" xfId="5705" xr:uid="{764A62FF-2295-40A3-9A58-DB5DAA97245F}"/>
    <cellStyle name="Vírgula 2 15 4 2 2 2" xfId="12044" xr:uid="{22F6E5A8-F432-460D-A569-3F88540886C2}"/>
    <cellStyle name="Vírgula 2 15 4 2 3" xfId="8876" xr:uid="{E49CE1D0-9C9C-4F13-B711-B1E9768BACB1}"/>
    <cellStyle name="Vírgula 2 15 4 3" xfId="4136" xr:uid="{FFED8B60-2FCA-41CB-9B75-12A663FF830B}"/>
    <cellStyle name="Vírgula 2 15 4 3 2" xfId="10475" xr:uid="{B3E56F2D-655D-4F8F-AE03-6E293E9C7802}"/>
    <cellStyle name="Vírgula 2 15 4 4" xfId="7307" xr:uid="{40AB6F2E-D4BF-49C0-8839-4D2B35812E31}"/>
    <cellStyle name="Vírgula 2 15 5" xfId="1738" xr:uid="{EE6BE014-BE3F-49B0-AF47-2B3C6B5509DE}"/>
    <cellStyle name="Vírgula 2 15 5 2" xfId="4908" xr:uid="{FD4ED5D9-CE56-4F32-A078-8822571CB74D}"/>
    <cellStyle name="Vírgula 2 15 5 2 2" xfId="11247" xr:uid="{5432BC17-5670-4F1E-B9A5-F572A5B751E2}"/>
    <cellStyle name="Vírgula 2 15 5 3" xfId="8079" xr:uid="{9F68D1A5-031A-4851-9B61-FDD80EA38951}"/>
    <cellStyle name="Vírgula 2 15 6" xfId="3339" xr:uid="{3C98B9D2-F56B-4680-AE3B-76552FE18AD3}"/>
    <cellStyle name="Vírgula 2 15 6 2" xfId="9678" xr:uid="{17E16D2B-6273-4F5E-933B-6A3A1BB6B6AE}"/>
    <cellStyle name="Vírgula 2 15 7" xfId="6510" xr:uid="{50B62D31-31B9-4A75-ABF7-325BC72A0055}"/>
    <cellStyle name="Vírgula 2 16" xfId="235" xr:uid="{F3755F33-2B0B-40C1-8AD5-9F113471CB17}"/>
    <cellStyle name="Vírgula 2 16 2" xfId="629" xr:uid="{3C96E8B5-1A18-482A-99F2-BE7F783A3A8A}"/>
    <cellStyle name="Vírgula 2 16 2 2" xfId="1428" xr:uid="{8AFD8A3C-18D1-4E56-ABD1-CA35E555AC1D}"/>
    <cellStyle name="Vírgula 2 16 2 2 2" xfId="2999" xr:uid="{002D07F2-8D0C-4503-B087-FB22E0C6299A}"/>
    <cellStyle name="Vírgula 2 16 2 2 2 2" xfId="6169" xr:uid="{3D66835E-92EA-45FE-B953-C01A4B51E4ED}"/>
    <cellStyle name="Vírgula 2 16 2 2 2 2 2" xfId="12508" xr:uid="{725237C2-2CEF-4201-9A4D-D0748FBD3CD5}"/>
    <cellStyle name="Vírgula 2 16 2 2 2 3" xfId="9340" xr:uid="{A82911D4-864D-47D3-9A4D-50F99098BAE5}"/>
    <cellStyle name="Vírgula 2 16 2 2 3" xfId="4600" xr:uid="{023176BF-24F4-40C0-8482-D4253D023DCE}"/>
    <cellStyle name="Vírgula 2 16 2 2 3 2" xfId="10939" xr:uid="{FB0D641B-C7BA-43CC-AAC3-0736B38BAD0F}"/>
    <cellStyle name="Vírgula 2 16 2 2 4" xfId="7771" xr:uid="{769136C7-2EC2-44EA-85B5-18643BDC02F5}"/>
    <cellStyle name="Vírgula 2 16 2 3" xfId="2202" xr:uid="{C88ED56D-8C41-4FA2-8760-FDB8CBCEEFCF}"/>
    <cellStyle name="Vírgula 2 16 2 3 2" xfId="5372" xr:uid="{8ADABBC2-B8FB-4454-B4D5-7B0873390364}"/>
    <cellStyle name="Vírgula 2 16 2 3 2 2" xfId="11711" xr:uid="{E325C7B0-6C23-4CCE-864A-55F9D5F8D3D3}"/>
    <cellStyle name="Vírgula 2 16 2 3 3" xfId="8543" xr:uid="{9068B9CD-EDB7-4619-8B9F-6BF8ABA42B57}"/>
    <cellStyle name="Vírgula 2 16 2 4" xfId="3803" xr:uid="{7C964A40-FAE8-44A5-829C-42C3B178B953}"/>
    <cellStyle name="Vírgula 2 16 2 4 2" xfId="10142" xr:uid="{E56E090D-269E-4C96-9C35-8F870B792AA7}"/>
    <cellStyle name="Vírgula 2 16 2 5" xfId="6974" xr:uid="{D62D6B7D-C833-4359-9FCC-4FECFD948DC3}"/>
    <cellStyle name="Vírgula 2 16 3" xfId="1047" xr:uid="{46DF355B-CBF3-4FD0-8EBB-C224387B78F8}"/>
    <cellStyle name="Vírgula 2 16 3 2" xfId="2618" xr:uid="{09A81C0E-583F-4226-8869-F1779F2E37FB}"/>
    <cellStyle name="Vírgula 2 16 3 2 2" xfId="5788" xr:uid="{2501F992-F0E2-4567-8325-14080E9E6959}"/>
    <cellStyle name="Vírgula 2 16 3 2 2 2" xfId="12127" xr:uid="{52221547-48C3-4CDA-8A43-094B9C544613}"/>
    <cellStyle name="Vírgula 2 16 3 2 3" xfId="8959" xr:uid="{F26EF693-FADE-4070-B148-E935F0F6B92B}"/>
    <cellStyle name="Vírgula 2 16 3 3" xfId="4219" xr:uid="{B800D8F0-DF5F-4645-AD3F-1307708BCF04}"/>
    <cellStyle name="Vírgula 2 16 3 3 2" xfId="10558" xr:uid="{E11DAB7F-9460-41C8-A134-2F3C3F28ABBF}"/>
    <cellStyle name="Vírgula 2 16 3 4" xfId="7390" xr:uid="{E62FD56C-DF09-4964-9DC5-AC62DDBDC660}"/>
    <cellStyle name="Vírgula 2 16 4" xfId="1821" xr:uid="{A60A12C4-3808-4E6D-8DDB-ACD2BFACB9AF}"/>
    <cellStyle name="Vírgula 2 16 4 2" xfId="4991" xr:uid="{079B0F4A-DDAC-4A9F-908B-F63FE79281A4}"/>
    <cellStyle name="Vírgula 2 16 4 2 2" xfId="11330" xr:uid="{D893DE46-DB6A-4D73-B8B9-D104DFAFFF65}"/>
    <cellStyle name="Vírgula 2 16 4 3" xfId="8162" xr:uid="{E2157CE6-6372-4A0E-8895-7B0205ED162E}"/>
    <cellStyle name="Vírgula 2 16 5" xfId="3422" xr:uid="{9162B8E5-B76E-48A2-A0E9-499DC4B133F7}"/>
    <cellStyle name="Vírgula 2 16 5 2" xfId="9761" xr:uid="{E0FC072B-518B-4D9B-833E-EEED4A1471C9}"/>
    <cellStyle name="Vírgula 2 16 6" xfId="6593" xr:uid="{99DBCAD2-D456-4F1D-9047-BEC757BDDE2C}"/>
    <cellStyle name="Vírgula 2 17" xfId="843" xr:uid="{39B3BA1B-C7E7-443D-9B35-CD1A29E34121}"/>
    <cellStyle name="Vírgula 2 17 2" xfId="2415" xr:uid="{1F6B5733-99FB-4974-A1CB-CF771909D94E}"/>
    <cellStyle name="Vírgula 2 17 2 2" xfId="5585" xr:uid="{0F9F934A-B8A0-478C-ADC7-DC8E70C5C30B}"/>
    <cellStyle name="Vírgula 2 17 2 2 2" xfId="11924" xr:uid="{26CAA34F-F4E1-4EF5-A4C5-EF64CE91BBA7}"/>
    <cellStyle name="Vírgula 2 17 2 3" xfId="8756" xr:uid="{3BBF9A15-745D-43FD-BA5C-8969015CADED}"/>
    <cellStyle name="Vírgula 2 17 3" xfId="4016" xr:uid="{70DF39C7-2CCF-47E7-B6A0-3DFCD564A9C2}"/>
    <cellStyle name="Vírgula 2 17 3 2" xfId="10355" xr:uid="{8C36EE15-E0C8-4F68-929E-89C37774AD5D}"/>
    <cellStyle name="Vírgula 2 17 4" xfId="7187" xr:uid="{7D2075D0-6DA4-4F53-9E69-57383732895C}"/>
    <cellStyle name="Vírgula 2 18" xfId="3218" xr:uid="{8DC78166-822A-4EF3-BEFC-CCE15FC7A4D9}"/>
    <cellStyle name="Vírgula 2 18 2" xfId="9558" xr:uid="{7CA6D1F4-9834-4AA1-9136-9B8AA5FD21EA}"/>
    <cellStyle name="Vírgula 2 19" xfId="6389" xr:uid="{A5346593-B914-4715-A970-7C1AAEAAFD30}"/>
    <cellStyle name="Vírgula 2 2" xfId="15" xr:uid="{CF14A388-00BB-4E9C-9C0D-7B66C9983520}"/>
    <cellStyle name="Vírgula 2 2 2" xfId="67" xr:uid="{D55D859A-5997-4E53-9DC4-7BE56115257B}"/>
    <cellStyle name="Vírgula 2 2 2 2" xfId="291" xr:uid="{FB3F55AF-03F6-4364-9EFB-6A41C29F040E}"/>
    <cellStyle name="Vírgula 2 2 2 2 2" xfId="681" xr:uid="{79A0B492-A600-44C3-99A7-22F4783DA138}"/>
    <cellStyle name="Vírgula 2 2 2 2 2 2" xfId="1480" xr:uid="{2C619F53-7FB6-4967-85F0-371A152F1EF7}"/>
    <cellStyle name="Vírgula 2 2 2 2 2 2 2" xfId="3051" xr:uid="{DB3A552F-0579-4172-A718-7CB80B1E2050}"/>
    <cellStyle name="Vírgula 2 2 2 2 2 2 2 2" xfId="6221" xr:uid="{AB472655-0CCD-451D-AABE-406AA7375B25}"/>
    <cellStyle name="Vírgula 2 2 2 2 2 2 2 2 2" xfId="12560" xr:uid="{59BE2056-5611-4025-9FBD-E3B9606869E5}"/>
    <cellStyle name="Vírgula 2 2 2 2 2 2 2 3" xfId="9392" xr:uid="{79EE7C56-713D-459D-A6FE-3818069B7B06}"/>
    <cellStyle name="Vírgula 2 2 2 2 2 2 3" xfId="4652" xr:uid="{315E68A4-6CC1-45EA-BCE2-61475CBAB6EF}"/>
    <cellStyle name="Vírgula 2 2 2 2 2 2 3 2" xfId="10991" xr:uid="{8F9E1D43-2522-42A6-9FBE-52C0BB6F6D9F}"/>
    <cellStyle name="Vírgula 2 2 2 2 2 2 4" xfId="7823" xr:uid="{0864C353-4A15-4380-9F3B-8DDCEDDF7449}"/>
    <cellStyle name="Vírgula 2 2 2 2 2 3" xfId="2254" xr:uid="{00B1C9C8-8384-4418-9B99-3320D60E0748}"/>
    <cellStyle name="Vírgula 2 2 2 2 2 3 2" xfId="5424" xr:uid="{81EF19C6-785E-417E-9090-A0A88CD9301C}"/>
    <cellStyle name="Vírgula 2 2 2 2 2 3 2 2" xfId="11763" xr:uid="{B05BEA15-87DA-400E-9E74-724C72F92B12}"/>
    <cellStyle name="Vírgula 2 2 2 2 2 3 3" xfId="8595" xr:uid="{384231B4-FBA4-49E0-8062-317BA374E661}"/>
    <cellStyle name="Vírgula 2 2 2 2 2 4" xfId="3855" xr:uid="{67FD5374-8C99-48F1-8604-3C22AB7F9894}"/>
    <cellStyle name="Vírgula 2 2 2 2 2 4 2" xfId="10194" xr:uid="{3B3D9505-A6E5-4C0F-87E3-EE5ABCE8CC74}"/>
    <cellStyle name="Vírgula 2 2 2 2 2 5" xfId="7026" xr:uid="{0FAD5F66-04C6-4D0D-AFFC-641E8BC1AD1D}"/>
    <cellStyle name="Vírgula 2 2 2 2 3" xfId="1099" xr:uid="{C658D961-EED1-42E8-A86C-5192381168AC}"/>
    <cellStyle name="Vírgula 2 2 2 2 3 2" xfId="2670" xr:uid="{97EF9592-32F5-4723-81C9-CA831EB38319}"/>
    <cellStyle name="Vírgula 2 2 2 2 3 2 2" xfId="5840" xr:uid="{09BF34A9-65FC-4659-BF3E-8C0A83E36928}"/>
    <cellStyle name="Vírgula 2 2 2 2 3 2 2 2" xfId="12179" xr:uid="{1AB709B4-F0EC-4DEF-BE73-47EAA35AAB21}"/>
    <cellStyle name="Vírgula 2 2 2 2 3 2 3" xfId="9011" xr:uid="{D787170B-C1F5-4AC5-AFA8-8684046F7FE7}"/>
    <cellStyle name="Vírgula 2 2 2 2 3 3" xfId="4271" xr:uid="{E3DEADDF-F07F-4CC3-A084-CE502EABCF99}"/>
    <cellStyle name="Vírgula 2 2 2 2 3 3 2" xfId="10610" xr:uid="{0BFB0D00-5C87-4190-96D2-17EBA33A28EC}"/>
    <cellStyle name="Vírgula 2 2 2 2 3 4" xfId="7442" xr:uid="{50C1F98D-B274-46BA-AF46-1F04828EBDBC}"/>
    <cellStyle name="Vírgula 2 2 2 2 4" xfId="1873" xr:uid="{E9024731-7F56-40A5-A9B3-F47E537F8B66}"/>
    <cellStyle name="Vírgula 2 2 2 2 4 2" xfId="5043" xr:uid="{6FFAFBEA-176D-48BF-A365-C4325F49AC5E}"/>
    <cellStyle name="Vírgula 2 2 2 2 4 2 2" xfId="11382" xr:uid="{A8BA1337-B127-4FF0-9C8F-BCAF49B55F2B}"/>
    <cellStyle name="Vírgula 2 2 2 2 4 3" xfId="8214" xr:uid="{41C55B97-D2AE-4112-AA55-B7081F830057}"/>
    <cellStyle name="Vírgula 2 2 2 2 5" xfId="3474" xr:uid="{C743C9C7-7A70-4087-AA6A-C119DA3908C7}"/>
    <cellStyle name="Vírgula 2 2 2 2 5 2" xfId="9813" xr:uid="{899D11D0-4EF5-479D-B052-1E69F7ED551A}"/>
    <cellStyle name="Vírgula 2 2 2 2 6" xfId="6645" xr:uid="{196063A9-FAA1-451E-AA53-EAEE4858E708}"/>
    <cellStyle name="Vírgula 2 2 2 3" xfId="498" xr:uid="{3D34229D-C491-4801-8E41-2A40D51C4896}"/>
    <cellStyle name="Vírgula 2 2 2 3 2" xfId="1297" xr:uid="{17B0C8AA-48A0-4BED-8BD8-8659A0168AD4}"/>
    <cellStyle name="Vírgula 2 2 2 3 2 2" xfId="2868" xr:uid="{4585B427-5DF2-480B-85F3-B197C0C347C2}"/>
    <cellStyle name="Vírgula 2 2 2 3 2 2 2" xfId="6038" xr:uid="{EF464C08-8CD8-4F77-93D2-BC4B3411A9F9}"/>
    <cellStyle name="Vírgula 2 2 2 3 2 2 2 2" xfId="12377" xr:uid="{D8F32FFF-4327-43F1-AC74-B19E442FA825}"/>
    <cellStyle name="Vírgula 2 2 2 3 2 2 3" xfId="9209" xr:uid="{0E991262-AE3D-4F7A-9C16-463F31648281}"/>
    <cellStyle name="Vírgula 2 2 2 3 2 3" xfId="4469" xr:uid="{4D2525DB-B36F-4252-8FA7-EE7A89610B50}"/>
    <cellStyle name="Vírgula 2 2 2 3 2 3 2" xfId="10808" xr:uid="{55315BF8-FCC0-4D41-A6D3-FF6FEDCCD67B}"/>
    <cellStyle name="Vírgula 2 2 2 3 2 4" xfId="7640" xr:uid="{6578F63D-B66B-4A65-A940-D8EC2C59BA82}"/>
    <cellStyle name="Vírgula 2 2 2 3 3" xfId="2071" xr:uid="{A07867B2-FA91-44F1-BE40-EB0D89DD0110}"/>
    <cellStyle name="Vírgula 2 2 2 3 3 2" xfId="5241" xr:uid="{72B1071A-C960-4A29-B89D-7BF9A9786106}"/>
    <cellStyle name="Vírgula 2 2 2 3 3 2 2" xfId="11580" xr:uid="{04C71C65-0AC8-4D70-9B0E-E89DEAEA2123}"/>
    <cellStyle name="Vírgula 2 2 2 3 3 3" xfId="8412" xr:uid="{3CDD6971-C537-4058-9CD8-EF90601CA213}"/>
    <cellStyle name="Vírgula 2 2 2 3 4" xfId="3672" xr:uid="{AC9F7763-3F11-4903-B2EB-58DC5853060A}"/>
    <cellStyle name="Vírgula 2 2 2 3 4 2" xfId="10011" xr:uid="{C947C69E-2C29-4C87-8FB1-FDF7815FE6BC}"/>
    <cellStyle name="Vírgula 2 2 2 3 5" xfId="6843" xr:uid="{547A3229-46B0-4246-9A76-CA0720002DE1}"/>
    <cellStyle name="Vírgula 2 2 2 4" xfId="896" xr:uid="{CC04FFE1-6BDE-4F19-B2C0-DBFCDF90F697}"/>
    <cellStyle name="Vírgula 2 2 2 4 2" xfId="2467" xr:uid="{DF640694-A9EC-4F57-A7D9-45C1408319EC}"/>
    <cellStyle name="Vírgula 2 2 2 4 2 2" xfId="5637" xr:uid="{0BB6344A-0E9B-47EA-B6E4-57DFDDDDF987}"/>
    <cellStyle name="Vírgula 2 2 2 4 2 2 2" xfId="11976" xr:uid="{723DCE4C-6A59-4E92-9C73-0180D50EBF39}"/>
    <cellStyle name="Vírgula 2 2 2 4 2 3" xfId="8808" xr:uid="{B8029085-D5B5-420F-97B0-59F25E822FFD}"/>
    <cellStyle name="Vírgula 2 2 2 4 3" xfId="4068" xr:uid="{DA0ACF95-AC85-481D-8CB4-D75FBF155B67}"/>
    <cellStyle name="Vírgula 2 2 2 4 3 2" xfId="10407" xr:uid="{BDEEB2DA-A124-40DE-920B-82E0AE47BCEB}"/>
    <cellStyle name="Vírgula 2 2 2 4 4" xfId="7239" xr:uid="{43A870B2-9BA7-4FEF-95FE-EDE8A18D517B}"/>
    <cellStyle name="Vírgula 2 2 2 5" xfId="1693" xr:uid="{69405800-1BC8-4117-9DCE-CF41D67A1ED6}"/>
    <cellStyle name="Vírgula 2 2 2 5 2" xfId="4863" xr:uid="{C8D7A275-B44B-489F-A1BE-76E78E869897}"/>
    <cellStyle name="Vírgula 2 2 2 5 2 2" xfId="11202" xr:uid="{F878AC9E-082F-485A-9EBA-14535E387C06}"/>
    <cellStyle name="Vírgula 2 2 2 5 3" xfId="8034" xr:uid="{697D49F4-D1D9-4F0B-8367-12B3708F2048}"/>
    <cellStyle name="Vírgula 2 2 2 6" xfId="3271" xr:uid="{12E6AB2F-93F0-44DC-AF9B-F8CD51D46D60}"/>
    <cellStyle name="Vírgula 2 2 2 6 2" xfId="9610" xr:uid="{239ABB26-47A9-48C5-99B4-6CCE5B16DB63}"/>
    <cellStyle name="Vírgula 2 2 2 7" xfId="6442" xr:uid="{D3BF07F3-9BDB-43FC-BBE6-1593640DD79A}"/>
    <cellStyle name="Vírgula 2 2 3" xfId="156" xr:uid="{8A734108-815B-4F3B-B3A5-74924BACF33C}"/>
    <cellStyle name="Vírgula 2 2 3 2" xfId="373" xr:uid="{0F1C094F-4E0A-4D03-9EEC-219C9AA8346A}"/>
    <cellStyle name="Vírgula 2 2 3 2 2" xfId="754" xr:uid="{0EFAA825-69D3-43EB-94E0-DA4901E273D0}"/>
    <cellStyle name="Vírgula 2 2 3 2 2 2" xfId="1553" xr:uid="{DA3F66F2-B0AD-45BF-ABBF-19689A33D628}"/>
    <cellStyle name="Vírgula 2 2 3 2 2 2 2" xfId="3124" xr:uid="{8E9FE774-1EFF-46D7-BDD7-285CB694758E}"/>
    <cellStyle name="Vírgula 2 2 3 2 2 2 2 2" xfId="6294" xr:uid="{BE795794-F180-40CE-8B89-A25D1546ABDD}"/>
    <cellStyle name="Vírgula 2 2 3 2 2 2 2 2 2" xfId="12633" xr:uid="{2B232817-906E-4D33-BE02-B72045565568}"/>
    <cellStyle name="Vírgula 2 2 3 2 2 2 2 3" xfId="9465" xr:uid="{AFD5AC7C-D822-4615-8CE1-5E80EE651FA0}"/>
    <cellStyle name="Vírgula 2 2 3 2 2 2 3" xfId="4725" xr:uid="{5310999C-DEA2-4A4A-B4B7-D94975A75140}"/>
    <cellStyle name="Vírgula 2 2 3 2 2 2 3 2" xfId="11064" xr:uid="{265368A5-60AA-43F7-ACB1-1E27298E8D3B}"/>
    <cellStyle name="Vírgula 2 2 3 2 2 2 4" xfId="7896" xr:uid="{5F86DEC6-517D-421A-A1D3-2BE8C04B2C71}"/>
    <cellStyle name="Vírgula 2 2 3 2 2 3" xfId="2327" xr:uid="{45F3F717-BA60-4F5B-90EB-9FBB01EA230D}"/>
    <cellStyle name="Vírgula 2 2 3 2 2 3 2" xfId="5497" xr:uid="{F2785006-37BB-455D-8161-CF8609645C92}"/>
    <cellStyle name="Vírgula 2 2 3 2 2 3 2 2" xfId="11836" xr:uid="{88F973F1-A0E4-4D58-BAF6-C9EC063CB3E8}"/>
    <cellStyle name="Vírgula 2 2 3 2 2 3 3" xfId="8668" xr:uid="{53AA131D-4616-495A-968D-249D4055B4FB}"/>
    <cellStyle name="Vírgula 2 2 3 2 2 4" xfId="3928" xr:uid="{DB04E2DD-8807-4F0F-9A8B-AAE2D9AA7125}"/>
    <cellStyle name="Vírgula 2 2 3 2 2 4 2" xfId="10267" xr:uid="{E3978A9A-FFC8-483B-B171-C50E330BA1D2}"/>
    <cellStyle name="Vírgula 2 2 3 2 2 5" xfId="7099" xr:uid="{402EAAC3-ABDD-428D-9ED2-A236C490A763}"/>
    <cellStyle name="Vírgula 2 2 3 2 3" xfId="1172" xr:uid="{48A4B14B-E317-431A-AF96-2C191B075E19}"/>
    <cellStyle name="Vírgula 2 2 3 2 3 2" xfId="2743" xr:uid="{B33E9099-66E1-41DA-9750-4254BE9F79F6}"/>
    <cellStyle name="Vírgula 2 2 3 2 3 2 2" xfId="5913" xr:uid="{FFED4894-4BC0-4C16-AAA5-550861B16285}"/>
    <cellStyle name="Vírgula 2 2 3 2 3 2 2 2" xfId="12252" xr:uid="{6BD8DFC2-9492-430F-8A63-0EDC470CD94E}"/>
    <cellStyle name="Vírgula 2 2 3 2 3 2 3" xfId="9084" xr:uid="{44786383-82F4-445A-8AE2-D6893CC756B7}"/>
    <cellStyle name="Vírgula 2 2 3 2 3 3" xfId="4344" xr:uid="{0B63D1CF-EBD3-4C95-AB79-31A1FD29F762}"/>
    <cellStyle name="Vírgula 2 2 3 2 3 3 2" xfId="10683" xr:uid="{ED87B9E6-111A-4287-A98B-7A7024B7E26D}"/>
    <cellStyle name="Vírgula 2 2 3 2 3 4" xfId="7515" xr:uid="{FA5911DB-6BC1-4ED4-9EE6-467124D70968}"/>
    <cellStyle name="Vírgula 2 2 3 2 4" xfId="1946" xr:uid="{3A4B7658-BB3B-4C40-AA85-E40121995BE3}"/>
    <cellStyle name="Vírgula 2 2 3 2 4 2" xfId="5116" xr:uid="{0E18A15D-22B4-4C42-AC77-2F21678E0B29}"/>
    <cellStyle name="Vírgula 2 2 3 2 4 2 2" xfId="11455" xr:uid="{844139D9-A1EB-423D-A9F2-09B3EC593FB8}"/>
    <cellStyle name="Vírgula 2 2 3 2 4 3" xfId="8287" xr:uid="{1BD45293-DD62-4EF9-AF63-AE1B9F69E366}"/>
    <cellStyle name="Vírgula 2 2 3 2 5" xfId="3547" xr:uid="{05F81508-8E8F-4C2B-8BB2-24D8DABCBADA}"/>
    <cellStyle name="Vírgula 2 2 3 2 5 2" xfId="9886" xr:uid="{BAB2A1F7-9671-41B6-AD65-B4A376EA0350}"/>
    <cellStyle name="Vírgula 2 2 3 2 6" xfId="6718" xr:uid="{B77D30FA-1D7F-4E20-99FF-F4046A342D8B}"/>
    <cellStyle name="Vírgula 2 2 3 3" xfId="551" xr:uid="{FA676E33-0DB0-4216-B584-C5C430BFF7A3}"/>
    <cellStyle name="Vírgula 2 2 3 3 2" xfId="1350" xr:uid="{7266C915-61B9-49AB-9175-0087896385A8}"/>
    <cellStyle name="Vírgula 2 2 3 3 2 2" xfId="2921" xr:uid="{EBD23946-7D6C-4B63-83C1-77FB179669EC}"/>
    <cellStyle name="Vírgula 2 2 3 3 2 2 2" xfId="6091" xr:uid="{DC1C3EC1-CA89-45E5-A31C-F1BDA1C50546}"/>
    <cellStyle name="Vírgula 2 2 3 3 2 2 2 2" xfId="12430" xr:uid="{0E6E9759-AC4E-4B11-8B46-167DB9EF7BD3}"/>
    <cellStyle name="Vírgula 2 2 3 3 2 2 3" xfId="9262" xr:uid="{EFA4FE5D-EF94-40DE-8DFB-A0ADC0191FBA}"/>
    <cellStyle name="Vírgula 2 2 3 3 2 3" xfId="4522" xr:uid="{88B3D786-56F9-48F4-9BF8-CFAA79EE0474}"/>
    <cellStyle name="Vírgula 2 2 3 3 2 3 2" xfId="10861" xr:uid="{38B1588B-C45A-44CF-8CEE-0DD46CC023B0}"/>
    <cellStyle name="Vírgula 2 2 3 3 2 4" xfId="7693" xr:uid="{81CC6B35-BA25-446F-A3F8-B83CE33E22FB}"/>
    <cellStyle name="Vírgula 2 2 3 3 3" xfId="2124" xr:uid="{05C14680-0A1D-4C75-8BA4-E7347953F11B}"/>
    <cellStyle name="Vírgula 2 2 3 3 3 2" xfId="5294" xr:uid="{5BB82557-49D0-4B97-BA5B-C17B4478A056}"/>
    <cellStyle name="Vírgula 2 2 3 3 3 2 2" xfId="11633" xr:uid="{987A1DFF-61CE-4CAA-BAE2-CF6769F50B5A}"/>
    <cellStyle name="Vírgula 2 2 3 3 3 3" xfId="8465" xr:uid="{8C81130A-9A86-42C8-B9C7-D162C0217209}"/>
    <cellStyle name="Vírgula 2 2 3 3 4" xfId="3725" xr:uid="{BB9ECD7B-B07A-4EE5-A734-BC4114396DA1}"/>
    <cellStyle name="Vírgula 2 2 3 3 4 2" xfId="10064" xr:uid="{DFFB3A5C-A0EF-42A1-9962-0673B9343587}"/>
    <cellStyle name="Vírgula 2 2 3 3 5" xfId="6896" xr:uid="{8290A619-2630-4169-A5A5-F5C074EB7F49}"/>
    <cellStyle name="Vírgula 2 2 3 4" xfId="969" xr:uid="{7263ACC7-BA87-4FC3-ABD2-A6308A38D553}"/>
    <cellStyle name="Vírgula 2 2 3 4 2" xfId="2540" xr:uid="{2D8C65AA-BE5F-40EA-875A-FFF3CFF97427}"/>
    <cellStyle name="Vírgula 2 2 3 4 2 2" xfId="5710" xr:uid="{94CB9B27-7EB0-4399-A018-AB883331B0BC}"/>
    <cellStyle name="Vírgula 2 2 3 4 2 2 2" xfId="12049" xr:uid="{191EA681-0D79-451C-89B8-B5A4F0626AAC}"/>
    <cellStyle name="Vírgula 2 2 3 4 2 3" xfId="8881" xr:uid="{46CCF13F-5449-4C0C-9711-9E45C8CDA5F5}"/>
    <cellStyle name="Vírgula 2 2 3 4 3" xfId="4141" xr:uid="{042FC104-3107-4AA5-9033-A071572D38CA}"/>
    <cellStyle name="Vírgula 2 2 3 4 3 2" xfId="10480" xr:uid="{8D78F346-1207-4353-83DC-0238B7212080}"/>
    <cellStyle name="Vírgula 2 2 3 4 4" xfId="7312" xr:uid="{7C8FA7E5-A8EE-42F5-A120-873EC3D9706B}"/>
    <cellStyle name="Vírgula 2 2 3 5" xfId="1743" xr:uid="{501D59B8-2F40-4187-BD77-6B344AD1113A}"/>
    <cellStyle name="Vírgula 2 2 3 5 2" xfId="4913" xr:uid="{ABD147D6-DF6F-4B42-BD67-753C00EA91AC}"/>
    <cellStyle name="Vírgula 2 2 3 5 2 2" xfId="11252" xr:uid="{7A7182B8-1C9D-442C-9C57-5A3850F3C90D}"/>
    <cellStyle name="Vírgula 2 2 3 5 3" xfId="8084" xr:uid="{9D63A664-F40D-4D59-AB77-0A6351E92A01}"/>
    <cellStyle name="Vírgula 2 2 3 6" xfId="3344" xr:uid="{B6B75497-53F0-41C4-98D2-7A2681E58294}"/>
    <cellStyle name="Vírgula 2 2 3 6 2" xfId="9683" xr:uid="{0A69C14C-CB5F-4128-A6A7-4698C39957DD}"/>
    <cellStyle name="Vírgula 2 2 3 7" xfId="6515" xr:uid="{D3721811-0631-4743-A0D0-DC3CF22271FA}"/>
    <cellStyle name="Vírgula 2 2 4" xfId="243" xr:uid="{E0ED09E6-FF35-4B19-9E75-C8E0C788B731}"/>
    <cellStyle name="Vírgula 2 2 4 2" xfId="635" xr:uid="{1929B6F0-C7F1-44B8-8035-2E41FF0CECF4}"/>
    <cellStyle name="Vírgula 2 2 4 2 2" xfId="1434" xr:uid="{0E6D0DCC-C79F-410E-A7EA-322A22D172B9}"/>
    <cellStyle name="Vírgula 2 2 4 2 2 2" xfId="3005" xr:uid="{021E50C4-B9A6-4474-939E-8EE7ACC4D5A1}"/>
    <cellStyle name="Vírgula 2 2 4 2 2 2 2" xfId="6175" xr:uid="{951CC017-84BC-4213-BA71-773E31B285B5}"/>
    <cellStyle name="Vírgula 2 2 4 2 2 2 2 2" xfId="12514" xr:uid="{D3BE4F92-78B7-4646-9148-5685A795CB1F}"/>
    <cellStyle name="Vírgula 2 2 4 2 2 2 3" xfId="9346" xr:uid="{0964A110-FE7E-480B-8C1B-18887161E4F3}"/>
    <cellStyle name="Vírgula 2 2 4 2 2 3" xfId="4606" xr:uid="{12ADFB27-11B4-4849-B2C4-9AD2E27192DC}"/>
    <cellStyle name="Vírgula 2 2 4 2 2 3 2" xfId="10945" xr:uid="{534CD7A7-BBD6-4073-A087-823C3D917B3D}"/>
    <cellStyle name="Vírgula 2 2 4 2 2 4" xfId="7777" xr:uid="{2A379271-FF15-44DB-9510-A363477F7C4B}"/>
    <cellStyle name="Vírgula 2 2 4 2 3" xfId="2208" xr:uid="{06D44D3A-851C-43EF-9A20-32C491CCF396}"/>
    <cellStyle name="Vírgula 2 2 4 2 3 2" xfId="5378" xr:uid="{AFC3148F-2CBC-4E8D-8D1F-7F011BA94DC1}"/>
    <cellStyle name="Vírgula 2 2 4 2 3 2 2" xfId="11717" xr:uid="{2AA923C3-0772-4549-8A4C-91396904E50B}"/>
    <cellStyle name="Vírgula 2 2 4 2 3 3" xfId="8549" xr:uid="{76FE9A97-24D4-4815-A29C-E2B7DD3FF931}"/>
    <cellStyle name="Vírgula 2 2 4 2 4" xfId="3809" xr:uid="{C7E6A695-89B1-4FBF-8EA8-29608941C7E7}"/>
    <cellStyle name="Vírgula 2 2 4 2 4 2" xfId="10148" xr:uid="{28E4E462-AE1C-4236-9F03-0CA670B2DC78}"/>
    <cellStyle name="Vírgula 2 2 4 2 5" xfId="6980" xr:uid="{992755E8-40E5-4468-A35A-7778E518F2BC}"/>
    <cellStyle name="Vírgula 2 2 4 3" xfId="1053" xr:uid="{922857EC-9C14-4949-9186-53BB4B770B0F}"/>
    <cellStyle name="Vírgula 2 2 4 3 2" xfId="2624" xr:uid="{2239B3AB-4E17-4EB6-BFE8-2497B5927397}"/>
    <cellStyle name="Vírgula 2 2 4 3 2 2" xfId="5794" xr:uid="{45B7921E-FCDD-44A8-8BDC-C62E5517911B}"/>
    <cellStyle name="Vírgula 2 2 4 3 2 2 2" xfId="12133" xr:uid="{D41EF5E9-C222-4172-9E92-897C27DD7184}"/>
    <cellStyle name="Vírgula 2 2 4 3 2 3" xfId="8965" xr:uid="{D39089CF-5C99-473E-BB27-55BDBBD8854A}"/>
    <cellStyle name="Vírgula 2 2 4 3 3" xfId="4225" xr:uid="{001CA839-A2DB-4625-80D6-43992D1792DC}"/>
    <cellStyle name="Vírgula 2 2 4 3 3 2" xfId="10564" xr:uid="{002887FD-62AF-43D5-A7BC-DBCB81DC39F4}"/>
    <cellStyle name="Vírgula 2 2 4 3 4" xfId="7396" xr:uid="{17EF1A62-38ED-4C12-988B-B41F52A559D1}"/>
    <cellStyle name="Vírgula 2 2 4 4" xfId="1827" xr:uid="{FBD2C586-55D4-41A1-9BD3-8515D1045679}"/>
    <cellStyle name="Vírgula 2 2 4 4 2" xfId="4997" xr:uid="{496A2B08-D506-4C18-99ED-AE8E67A83223}"/>
    <cellStyle name="Vírgula 2 2 4 4 2 2" xfId="11336" xr:uid="{AC5C70A8-E047-4D3E-947D-2B5F3E895CA6}"/>
    <cellStyle name="Vírgula 2 2 4 4 3" xfId="8168" xr:uid="{A70BE6D6-5DB4-4301-8EF2-FC66268D03F2}"/>
    <cellStyle name="Vírgula 2 2 4 5" xfId="3428" xr:uid="{A338C820-3CAB-4DB5-A3C4-2540B5F0DD9F}"/>
    <cellStyle name="Vírgula 2 2 4 5 2" xfId="9767" xr:uid="{644F13FF-404C-4821-AEEF-55B4AA8CA6CB}"/>
    <cellStyle name="Vírgula 2 2 4 6" xfId="6599" xr:uid="{5618E545-DF25-45EE-B776-0121D0A05821}"/>
    <cellStyle name="Vírgula 2 2 5" xfId="459" xr:uid="{755D4E43-B320-4A58-A249-CC00033DD624}"/>
    <cellStyle name="Vírgula 2 2 5 2" xfId="1258" xr:uid="{00DCA7AE-A3C1-49AB-92BA-470EE0EEDEFE}"/>
    <cellStyle name="Vírgula 2 2 5 2 2" xfId="2829" xr:uid="{2650D377-22C9-4862-8D0F-723F9587038E}"/>
    <cellStyle name="Vírgula 2 2 5 2 2 2" xfId="5999" xr:uid="{2CB71B37-53AF-4EF6-BCB2-78CE353B2BE0}"/>
    <cellStyle name="Vírgula 2 2 5 2 2 2 2" xfId="12338" xr:uid="{B3E50400-260B-42DF-A8AB-09132BA9E1E2}"/>
    <cellStyle name="Vírgula 2 2 5 2 2 3" xfId="9170" xr:uid="{1933640E-F3AD-400C-8564-353FE6656E03}"/>
    <cellStyle name="Vírgula 2 2 5 2 3" xfId="4430" xr:uid="{6C47D8E2-5D72-4D0E-8C79-2B5C71F6302B}"/>
    <cellStyle name="Vírgula 2 2 5 2 3 2" xfId="10769" xr:uid="{5B96DA91-87F0-44DC-AC6A-08A6FB9BE843}"/>
    <cellStyle name="Vírgula 2 2 5 2 4" xfId="7601" xr:uid="{0EBB0C5C-9362-4D8D-AE31-37C86A1DE1E8}"/>
    <cellStyle name="Vírgula 2 2 5 3" xfId="2032" xr:uid="{009C9C2C-3E52-43DE-A437-8B55F30CB90E}"/>
    <cellStyle name="Vírgula 2 2 5 3 2" xfId="5202" xr:uid="{163F21E5-8C19-4ADF-9A98-8D4156EEE4F7}"/>
    <cellStyle name="Vírgula 2 2 5 3 2 2" xfId="11541" xr:uid="{4AFB123B-4CC9-4D1D-A26D-5E8F719F83B1}"/>
    <cellStyle name="Vírgula 2 2 5 3 3" xfId="8373" xr:uid="{BB23E33B-EFA2-451A-A1D4-CEEBCE88E783}"/>
    <cellStyle name="Vírgula 2 2 5 4" xfId="3633" xr:uid="{A7D26B51-5900-443D-A2DE-E111C763A441}"/>
    <cellStyle name="Vírgula 2 2 5 4 2" xfId="9972" xr:uid="{370D75A5-3CBF-4200-A60F-45C59FC00DC0}"/>
    <cellStyle name="Vírgula 2 2 5 5" xfId="6804" xr:uid="{859176F9-5863-4E7F-A456-410A10A752C6}"/>
    <cellStyle name="Vírgula 2 2 6" xfId="850" xr:uid="{B0C3BFC3-9E6E-43EA-9DD7-8774622DA7D3}"/>
    <cellStyle name="Vírgula 2 2 6 2" xfId="2421" xr:uid="{C3133052-AC22-4610-A6A5-4511FC02B5E6}"/>
    <cellStyle name="Vírgula 2 2 6 2 2" xfId="5591" xr:uid="{507EC468-DA7F-4524-8476-21116846E8F2}"/>
    <cellStyle name="Vírgula 2 2 6 2 2 2" xfId="11930" xr:uid="{7256256A-15C5-4BC4-A82F-3AAFE019155B}"/>
    <cellStyle name="Vírgula 2 2 6 2 3" xfId="8762" xr:uid="{96C4DB1A-A245-4F5F-A8E0-6890EC3ABDAA}"/>
    <cellStyle name="Vírgula 2 2 6 3" xfId="4022" xr:uid="{5F258DD0-CB6A-49AC-B44D-F0BE125B8818}"/>
    <cellStyle name="Vírgula 2 2 6 3 2" xfId="10361" xr:uid="{C78311B2-1E83-4F51-8BBB-1751CBCEC3AE}"/>
    <cellStyle name="Vírgula 2 2 6 4" xfId="7193" xr:uid="{1C873A67-E44E-4D61-AFBE-3E63A573393B}"/>
    <cellStyle name="Vírgula 2 2 7" xfId="1654" xr:uid="{D989C342-2CD1-40BB-97BE-6B6E14BC216A}"/>
    <cellStyle name="Vírgula 2 2 7 2" xfId="4824" xr:uid="{DF9E2B22-EF70-4FFD-81B7-2F63ED82E605}"/>
    <cellStyle name="Vírgula 2 2 7 2 2" xfId="11163" xr:uid="{82588368-9AB5-4BAB-9B8E-5C3DCC67C811}"/>
    <cellStyle name="Vírgula 2 2 7 3" xfId="7995" xr:uid="{7C1CDA00-B5E7-4A22-B149-BF9E68139594}"/>
    <cellStyle name="Vírgula 2 2 8" xfId="3225" xr:uid="{CD9C0118-3F57-4C84-B0FF-B419720F2E2E}"/>
    <cellStyle name="Vírgula 2 2 8 2" xfId="9564" xr:uid="{D3625B3B-AE8F-41F7-9936-05CFA8534B71}"/>
    <cellStyle name="Vírgula 2 2 9" xfId="6396" xr:uid="{7268D115-4026-422E-AC2E-FD5AE968EB44}"/>
    <cellStyle name="Vírgula 2 3" xfId="26" xr:uid="{CAE02B61-0DEB-4370-8896-EFC4B42EA669}"/>
    <cellStyle name="Vírgula 2 3 2" xfId="69" xr:uid="{F7CE3BE4-5B1B-4A63-8E27-DE5C7ECD1582}"/>
    <cellStyle name="Vírgula 2 3 2 2" xfId="293" xr:uid="{CCF6A1BD-DAE5-4E7C-A96A-A4DC90D0F4B3}"/>
    <cellStyle name="Vírgula 2 3 2 2 2" xfId="683" xr:uid="{C86E0966-7F62-4CEC-A12C-F353E2E169ED}"/>
    <cellStyle name="Vírgula 2 3 2 2 2 2" xfId="1482" xr:uid="{61F8D25C-D0AE-495C-9BD7-D2C35195E39D}"/>
    <cellStyle name="Vírgula 2 3 2 2 2 2 2" xfId="3053" xr:uid="{671BA2D2-3C79-4335-B44A-A0FFDCDF4A4A}"/>
    <cellStyle name="Vírgula 2 3 2 2 2 2 2 2" xfId="6223" xr:uid="{3379856E-89DA-4FFB-999B-9C06DB21097C}"/>
    <cellStyle name="Vírgula 2 3 2 2 2 2 2 2 2" xfId="12562" xr:uid="{AE4AAB40-92B7-40BA-BAD6-4047981CA83E}"/>
    <cellStyle name="Vírgula 2 3 2 2 2 2 2 3" xfId="9394" xr:uid="{0B171303-413E-424A-9475-2ED72D588297}"/>
    <cellStyle name="Vírgula 2 3 2 2 2 2 3" xfId="4654" xr:uid="{9163B773-C371-4BE1-B18E-312F0E487A34}"/>
    <cellStyle name="Vírgula 2 3 2 2 2 2 3 2" xfId="10993" xr:uid="{BD28908A-F28A-451E-AF29-A214F31E3BB5}"/>
    <cellStyle name="Vírgula 2 3 2 2 2 2 4" xfId="7825" xr:uid="{A7747545-CAF3-48A9-9714-315F01C9E308}"/>
    <cellStyle name="Vírgula 2 3 2 2 2 3" xfId="2256" xr:uid="{68F39E79-0608-44AC-9C79-94FCEDA07C28}"/>
    <cellStyle name="Vírgula 2 3 2 2 2 3 2" xfId="5426" xr:uid="{7CCA6BEA-1A72-4EBC-8CA5-DAC51F14A680}"/>
    <cellStyle name="Vírgula 2 3 2 2 2 3 2 2" xfId="11765" xr:uid="{664A96BB-E790-49A8-BA75-DB34F69DF0A3}"/>
    <cellStyle name="Vírgula 2 3 2 2 2 3 3" xfId="8597" xr:uid="{4B3D3693-58CF-49FF-A5AC-30D07AD58008}"/>
    <cellStyle name="Vírgula 2 3 2 2 2 4" xfId="3857" xr:uid="{BB6B4EA8-2D6F-4A7A-AA47-C19BC50F1D18}"/>
    <cellStyle name="Vírgula 2 3 2 2 2 4 2" xfId="10196" xr:uid="{56852450-1058-4FD8-8096-382F2F0692F4}"/>
    <cellStyle name="Vírgula 2 3 2 2 2 5" xfId="7028" xr:uid="{34CB7A1B-A96E-4998-87A4-DDC25E1182B9}"/>
    <cellStyle name="Vírgula 2 3 2 2 3" xfId="1101" xr:uid="{B610D725-A09D-4F48-8B05-D5A3CAE33A18}"/>
    <cellStyle name="Vírgula 2 3 2 2 3 2" xfId="2672" xr:uid="{37EB0DB1-3A76-4BB8-B491-82E0E3882F03}"/>
    <cellStyle name="Vírgula 2 3 2 2 3 2 2" xfId="5842" xr:uid="{3F07FD56-8D7C-4BEB-9A16-691BFB81047C}"/>
    <cellStyle name="Vírgula 2 3 2 2 3 2 2 2" xfId="12181" xr:uid="{73EF1C19-CD23-4A27-BC5D-76C320E4B498}"/>
    <cellStyle name="Vírgula 2 3 2 2 3 2 3" xfId="9013" xr:uid="{47D93CEB-1884-4B2B-9D43-2EC388C5AE25}"/>
    <cellStyle name="Vírgula 2 3 2 2 3 3" xfId="4273" xr:uid="{118935B9-258C-46C6-A565-4BC15DB94D9C}"/>
    <cellStyle name="Vírgula 2 3 2 2 3 3 2" xfId="10612" xr:uid="{DB68BD88-5AF2-4722-BBA1-C8F963F5A866}"/>
    <cellStyle name="Vírgula 2 3 2 2 3 4" xfId="7444" xr:uid="{94E5AB52-EA11-4F11-A34C-D66B758A4574}"/>
    <cellStyle name="Vírgula 2 3 2 2 4" xfId="1875" xr:uid="{798154D9-279F-4D97-9F10-2E70F92B93F9}"/>
    <cellStyle name="Vírgula 2 3 2 2 4 2" xfId="5045" xr:uid="{411CCBB4-C452-4ADC-8DF9-F1CC3F5602DF}"/>
    <cellStyle name="Vírgula 2 3 2 2 4 2 2" xfId="11384" xr:uid="{B6839382-4847-4A71-9C1D-A74DC50E626E}"/>
    <cellStyle name="Vírgula 2 3 2 2 4 3" xfId="8216" xr:uid="{77E3A2AF-AB8A-4F2F-A14B-1592E2195716}"/>
    <cellStyle name="Vírgula 2 3 2 2 5" xfId="3476" xr:uid="{0B812542-6014-42BA-BB1F-E56399B0F345}"/>
    <cellStyle name="Vírgula 2 3 2 2 5 2" xfId="9815" xr:uid="{2EDD9CAB-B161-4AFE-8B83-BBD4F8CD973B}"/>
    <cellStyle name="Vírgula 2 3 2 2 6" xfId="6647" xr:uid="{BEC9B127-9662-420C-8B1D-9CA00B6F7EF7}"/>
    <cellStyle name="Vírgula 2 3 2 3" xfId="500" xr:uid="{45FC71F6-BCE1-4DEB-9A3B-DA036C2463F6}"/>
    <cellStyle name="Vírgula 2 3 2 3 2" xfId="1299" xr:uid="{D4D51124-7C2D-405E-B439-B6D30B43815B}"/>
    <cellStyle name="Vírgula 2 3 2 3 2 2" xfId="2870" xr:uid="{369CBEF3-00AA-43DF-850B-8C2EB6EEA854}"/>
    <cellStyle name="Vírgula 2 3 2 3 2 2 2" xfId="6040" xr:uid="{503C8E84-EB8A-4AA6-8E5C-CE2BFAD9B71D}"/>
    <cellStyle name="Vírgula 2 3 2 3 2 2 2 2" xfId="12379" xr:uid="{3FBC8CE1-89F7-4FBB-AB11-725865C5271E}"/>
    <cellStyle name="Vírgula 2 3 2 3 2 2 3" xfId="9211" xr:uid="{83510D7B-57B6-4C68-B455-4BA976C53C33}"/>
    <cellStyle name="Vírgula 2 3 2 3 2 3" xfId="4471" xr:uid="{B70B551A-84B1-46CE-A664-D16A552533FB}"/>
    <cellStyle name="Vírgula 2 3 2 3 2 3 2" xfId="10810" xr:uid="{D0850C5E-9375-456D-9CBF-8844765EAF52}"/>
    <cellStyle name="Vírgula 2 3 2 3 2 4" xfId="7642" xr:uid="{B919B25E-770E-4FB6-A156-2BFD5EC45103}"/>
    <cellStyle name="Vírgula 2 3 2 3 3" xfId="2073" xr:uid="{8A86C5E7-6E1F-4617-84B3-59A2ECDE5030}"/>
    <cellStyle name="Vírgula 2 3 2 3 3 2" xfId="5243" xr:uid="{84E10A98-53CF-4F75-BC7A-11A96644CFFA}"/>
    <cellStyle name="Vírgula 2 3 2 3 3 2 2" xfId="11582" xr:uid="{6FBE7ECD-9E21-453C-9592-0899F49DDE65}"/>
    <cellStyle name="Vírgula 2 3 2 3 3 3" xfId="8414" xr:uid="{6EAD2A4D-3192-4B64-9D55-8B63B1824F12}"/>
    <cellStyle name="Vírgula 2 3 2 3 4" xfId="3674" xr:uid="{0591591F-0FCB-4D46-89D4-261BBCE99FDC}"/>
    <cellStyle name="Vírgula 2 3 2 3 4 2" xfId="10013" xr:uid="{156565C1-F8BD-423C-8DF9-8419931E2B79}"/>
    <cellStyle name="Vírgula 2 3 2 3 5" xfId="6845" xr:uid="{6604BFB9-10B5-483A-B77D-0331B7BAC537}"/>
    <cellStyle name="Vírgula 2 3 2 4" xfId="898" xr:uid="{C9B86B4F-5EBD-4654-9267-F996DDC16C3D}"/>
    <cellStyle name="Vírgula 2 3 2 4 2" xfId="2469" xr:uid="{E5AC035E-12DC-404F-A28B-942A0B16C361}"/>
    <cellStyle name="Vírgula 2 3 2 4 2 2" xfId="5639" xr:uid="{B3DDEC8C-32F9-42D4-A130-4684B5EC893C}"/>
    <cellStyle name="Vírgula 2 3 2 4 2 2 2" xfId="11978" xr:uid="{D25FC3A5-E640-48BC-9C4E-12A0328D3CC5}"/>
    <cellStyle name="Vírgula 2 3 2 4 2 3" xfId="8810" xr:uid="{7D8CE360-321C-4E77-BB45-9B63083DBB74}"/>
    <cellStyle name="Vírgula 2 3 2 4 3" xfId="4070" xr:uid="{E041CA71-3B55-42BE-8F9F-C07013DF8B32}"/>
    <cellStyle name="Vírgula 2 3 2 4 3 2" xfId="10409" xr:uid="{7A689760-AB4B-4A6F-8529-9E1DAF062E0B}"/>
    <cellStyle name="Vírgula 2 3 2 4 4" xfId="7241" xr:uid="{03A9E2BE-F7A7-445B-A064-C180CE6B1914}"/>
    <cellStyle name="Vírgula 2 3 2 5" xfId="1695" xr:uid="{CBF9781E-1517-43A1-A005-9304143B2D4F}"/>
    <cellStyle name="Vírgula 2 3 2 5 2" xfId="4865" xr:uid="{35C5FB86-1BE3-477F-AFBE-EC0BD2079E80}"/>
    <cellStyle name="Vírgula 2 3 2 5 2 2" xfId="11204" xr:uid="{A1280B51-B923-4A1A-812E-35497CBA0B33}"/>
    <cellStyle name="Vírgula 2 3 2 5 3" xfId="8036" xr:uid="{93831D3F-53A3-4913-983F-136BEEE5C0DB}"/>
    <cellStyle name="Vírgula 2 3 2 6" xfId="3273" xr:uid="{EC0EE12C-E1CF-4986-B67A-20E4B0D28C49}"/>
    <cellStyle name="Vírgula 2 3 2 6 2" xfId="9612" xr:uid="{305022EA-7F1B-4622-8D31-61D107413214}"/>
    <cellStyle name="Vírgula 2 3 2 7" xfId="6444" xr:uid="{CB6C537A-0612-4BCD-AF02-D9F3457C4298}"/>
    <cellStyle name="Vírgula 2 3 3" xfId="158" xr:uid="{6933D061-C657-40ED-8270-FC032A5BBAA3}"/>
    <cellStyle name="Vírgula 2 3 3 2" xfId="375" xr:uid="{F1EAC1F8-22F5-4099-B72E-753F87E5F9C2}"/>
    <cellStyle name="Vírgula 2 3 3 2 2" xfId="756" xr:uid="{9B54395D-64D6-4D2D-9178-8535B0623D08}"/>
    <cellStyle name="Vírgula 2 3 3 2 2 2" xfId="1555" xr:uid="{6FCC4A59-4C1E-484E-A1C0-EC346E1D4C81}"/>
    <cellStyle name="Vírgula 2 3 3 2 2 2 2" xfId="3126" xr:uid="{1878E9F3-09C4-4ADD-9E9A-101D23D2067A}"/>
    <cellStyle name="Vírgula 2 3 3 2 2 2 2 2" xfId="6296" xr:uid="{BDF01E14-123A-44E9-A75B-77F393CBB78F}"/>
    <cellStyle name="Vírgula 2 3 3 2 2 2 2 2 2" xfId="12635" xr:uid="{D2C773D5-697D-4A05-A752-B85332B0ADAC}"/>
    <cellStyle name="Vírgula 2 3 3 2 2 2 2 3" xfId="9467" xr:uid="{0A537E2D-619D-439C-9994-DACAB35262AC}"/>
    <cellStyle name="Vírgula 2 3 3 2 2 2 3" xfId="4727" xr:uid="{C0F2FCD6-BE58-4E28-9A0D-88F6A7D1C0DB}"/>
    <cellStyle name="Vírgula 2 3 3 2 2 2 3 2" xfId="11066" xr:uid="{05E5F7C1-1301-46B1-B68C-0D2ADBAB1C91}"/>
    <cellStyle name="Vírgula 2 3 3 2 2 2 4" xfId="7898" xr:uid="{9F7111D8-E826-4054-961D-D9B9168499B2}"/>
    <cellStyle name="Vírgula 2 3 3 2 2 3" xfId="2329" xr:uid="{252BD8C2-1815-430D-B2FA-2008043B3DCF}"/>
    <cellStyle name="Vírgula 2 3 3 2 2 3 2" xfId="5499" xr:uid="{3F1EC367-9F80-4039-85B0-C5499F3BC9EB}"/>
    <cellStyle name="Vírgula 2 3 3 2 2 3 2 2" xfId="11838" xr:uid="{E5089B9E-3E23-4185-90A2-FC4915988ACE}"/>
    <cellStyle name="Vírgula 2 3 3 2 2 3 3" xfId="8670" xr:uid="{99CEE901-2345-443D-9141-7329A38EAE17}"/>
    <cellStyle name="Vírgula 2 3 3 2 2 4" xfId="3930" xr:uid="{326C5E21-BE6E-4666-9194-66EACC857465}"/>
    <cellStyle name="Vírgula 2 3 3 2 2 4 2" xfId="10269" xr:uid="{1B115E8C-780B-47AA-B1AB-C1E8C223CDAC}"/>
    <cellStyle name="Vírgula 2 3 3 2 2 5" xfId="7101" xr:uid="{FB7CA1C7-B652-4397-87F9-354188043726}"/>
    <cellStyle name="Vírgula 2 3 3 2 3" xfId="1174" xr:uid="{E3D28816-C098-4ACE-9A7D-DF53F65027B2}"/>
    <cellStyle name="Vírgula 2 3 3 2 3 2" xfId="2745" xr:uid="{28E2EA14-57BB-495E-B2DA-E5F456AB6DA2}"/>
    <cellStyle name="Vírgula 2 3 3 2 3 2 2" xfId="5915" xr:uid="{900BCEDC-1C54-4733-A325-1E297875DC8A}"/>
    <cellStyle name="Vírgula 2 3 3 2 3 2 2 2" xfId="12254" xr:uid="{9BC227CF-0C53-4932-B1E3-3927FB73A48A}"/>
    <cellStyle name="Vírgula 2 3 3 2 3 2 3" xfId="9086" xr:uid="{A529DA89-B22A-409F-BDCC-05AA9032E8D0}"/>
    <cellStyle name="Vírgula 2 3 3 2 3 3" xfId="4346" xr:uid="{E7124502-1DB1-4444-BFEA-912015E75CD0}"/>
    <cellStyle name="Vírgula 2 3 3 2 3 3 2" xfId="10685" xr:uid="{CBB3AAB2-FC46-4BC6-B795-018487DD5A83}"/>
    <cellStyle name="Vírgula 2 3 3 2 3 4" xfId="7517" xr:uid="{BF9DEA9A-22B6-443A-A7DF-E788421E161F}"/>
    <cellStyle name="Vírgula 2 3 3 2 4" xfId="1948" xr:uid="{5F5E151C-76A7-4C81-8FD9-25C925C97FB9}"/>
    <cellStyle name="Vírgula 2 3 3 2 4 2" xfId="5118" xr:uid="{4DE753A8-623E-4A3A-8A15-FFC0DFEE0B68}"/>
    <cellStyle name="Vírgula 2 3 3 2 4 2 2" xfId="11457" xr:uid="{A5890B7E-2A18-4DD7-9A29-3B0F1B30C1FE}"/>
    <cellStyle name="Vírgula 2 3 3 2 4 3" xfId="8289" xr:uid="{92630A3E-0DEF-4FDF-9D37-5E53C8C49AD8}"/>
    <cellStyle name="Vírgula 2 3 3 2 5" xfId="3549" xr:uid="{438ADE83-5DF0-4965-B830-90BB977B780E}"/>
    <cellStyle name="Vírgula 2 3 3 2 5 2" xfId="9888" xr:uid="{C1EACC42-DA0D-4B31-9FC1-1C0A3FA20DDB}"/>
    <cellStyle name="Vírgula 2 3 3 2 6" xfId="6720" xr:uid="{2B8297E0-63FA-4067-A49D-DD112DF1413C}"/>
    <cellStyle name="Vírgula 2 3 3 3" xfId="553" xr:uid="{F48D8394-757A-40FD-A031-F508B38EEFD5}"/>
    <cellStyle name="Vírgula 2 3 3 3 2" xfId="1352" xr:uid="{FBB1B602-BE1C-43DB-8002-DDF247581BF6}"/>
    <cellStyle name="Vírgula 2 3 3 3 2 2" xfId="2923" xr:uid="{A7A7BEA4-9A34-4F01-B0BC-FF05BBCF21B6}"/>
    <cellStyle name="Vírgula 2 3 3 3 2 2 2" xfId="6093" xr:uid="{DFF64549-261B-4A44-8DB5-F6703972E97B}"/>
    <cellStyle name="Vírgula 2 3 3 3 2 2 2 2" xfId="12432" xr:uid="{83509BAF-D305-461A-89C8-538B3639CE85}"/>
    <cellStyle name="Vírgula 2 3 3 3 2 2 3" xfId="9264" xr:uid="{9EB5B66C-9C5D-4D66-A526-068394F1B705}"/>
    <cellStyle name="Vírgula 2 3 3 3 2 3" xfId="4524" xr:uid="{B9911E62-C96E-4D66-A57E-D2F911E39360}"/>
    <cellStyle name="Vírgula 2 3 3 3 2 3 2" xfId="10863" xr:uid="{454422B1-E5EE-41BE-B6F5-047284069C84}"/>
    <cellStyle name="Vírgula 2 3 3 3 2 4" xfId="7695" xr:uid="{289C8809-9DF6-4F4A-A13E-34BFD9C647EA}"/>
    <cellStyle name="Vírgula 2 3 3 3 3" xfId="2126" xr:uid="{AD56FFD0-EFCE-466E-9E5B-C05E06CF84AF}"/>
    <cellStyle name="Vírgula 2 3 3 3 3 2" xfId="5296" xr:uid="{E37AF52B-8765-4A6E-AEBF-C3D9F165A80B}"/>
    <cellStyle name="Vírgula 2 3 3 3 3 2 2" xfId="11635" xr:uid="{1BDBAA4C-CE87-4E11-B4AE-FDF32C3E260F}"/>
    <cellStyle name="Vírgula 2 3 3 3 3 3" xfId="8467" xr:uid="{C4EBBBEF-D3BC-4101-95F0-3D20C5D52FF9}"/>
    <cellStyle name="Vírgula 2 3 3 3 4" xfId="3727" xr:uid="{9C57E6B6-920F-48C0-97D0-D4B451F0719C}"/>
    <cellStyle name="Vírgula 2 3 3 3 4 2" xfId="10066" xr:uid="{FB98C342-5FF8-4A0F-A237-12DAF680AE07}"/>
    <cellStyle name="Vírgula 2 3 3 3 5" xfId="6898" xr:uid="{E71E9547-B967-4BFC-BD80-AF1C7F8F8AB6}"/>
    <cellStyle name="Vírgula 2 3 3 4" xfId="971" xr:uid="{52458365-E6C7-40EB-8526-BF093B1F92D2}"/>
    <cellStyle name="Vírgula 2 3 3 4 2" xfId="2542" xr:uid="{12428ED3-2206-4B00-9D99-A29C770A02C9}"/>
    <cellStyle name="Vírgula 2 3 3 4 2 2" xfId="5712" xr:uid="{BB782D80-6900-479F-BE84-A07990BD4AC3}"/>
    <cellStyle name="Vírgula 2 3 3 4 2 2 2" xfId="12051" xr:uid="{9042330B-A68D-447E-B9A3-F5A3EEC0BDF0}"/>
    <cellStyle name="Vírgula 2 3 3 4 2 3" xfId="8883" xr:uid="{7C0D6592-0BE6-4244-B4B9-24A7DCE60909}"/>
    <cellStyle name="Vírgula 2 3 3 4 3" xfId="4143" xr:uid="{332D3A72-077E-4F34-8F41-636D02604A16}"/>
    <cellStyle name="Vírgula 2 3 3 4 3 2" xfId="10482" xr:uid="{10BB3D30-9B5E-4C4C-8E97-1F309C1A9EB9}"/>
    <cellStyle name="Vírgula 2 3 3 4 4" xfId="7314" xr:uid="{4AD879A0-2EA5-4051-9E60-726E399DB321}"/>
    <cellStyle name="Vírgula 2 3 3 5" xfId="1745" xr:uid="{6351133B-BBEF-4D1B-9B04-C0585A742548}"/>
    <cellStyle name="Vírgula 2 3 3 5 2" xfId="4915" xr:uid="{F98E0BBD-9B05-4C03-83D0-D6CB10E44823}"/>
    <cellStyle name="Vírgula 2 3 3 5 2 2" xfId="11254" xr:uid="{25224785-AB78-4B58-8EB6-95CB319B2156}"/>
    <cellStyle name="Vírgula 2 3 3 5 3" xfId="8086" xr:uid="{67F6180D-E97A-4D79-896B-C8F2E5322208}"/>
    <cellStyle name="Vírgula 2 3 3 6" xfId="3346" xr:uid="{984E9F76-4955-4967-9124-6D3C13E0E42E}"/>
    <cellStyle name="Vírgula 2 3 3 6 2" xfId="9685" xr:uid="{F04FA890-E75A-4944-B98B-D12196122D0E}"/>
    <cellStyle name="Vírgula 2 3 3 7" xfId="6517" xr:uid="{4B3864A3-AE80-4274-B448-8AAAA1A2968F}"/>
    <cellStyle name="Vírgula 2 3 4" xfId="250" xr:uid="{1288C89D-41A3-49B0-B218-83FF6E1A3CDF}"/>
    <cellStyle name="Vírgula 2 3 4 2" xfId="641" xr:uid="{5E072476-D7F9-4038-BE02-554AC4764370}"/>
    <cellStyle name="Vírgula 2 3 4 2 2" xfId="1440" xr:uid="{0B0C7EEB-2202-4BCD-98E6-0B9E8195C186}"/>
    <cellStyle name="Vírgula 2 3 4 2 2 2" xfId="3011" xr:uid="{F4F124AE-EB3E-4E0C-8F5A-834754F7B9B9}"/>
    <cellStyle name="Vírgula 2 3 4 2 2 2 2" xfId="6181" xr:uid="{B90B186F-4DDB-48CC-B7EA-E9334923C786}"/>
    <cellStyle name="Vírgula 2 3 4 2 2 2 2 2" xfId="12520" xr:uid="{C7519EDA-BF24-4D8F-961D-74DD12A93328}"/>
    <cellStyle name="Vírgula 2 3 4 2 2 2 3" xfId="9352" xr:uid="{820E9294-0E3E-4F62-9051-5574BD14A978}"/>
    <cellStyle name="Vírgula 2 3 4 2 2 3" xfId="4612" xr:uid="{D55F2BD0-9FF6-401B-8E06-45D8D9CF4409}"/>
    <cellStyle name="Vírgula 2 3 4 2 2 3 2" xfId="10951" xr:uid="{26D78A5D-90ED-43EF-8E5A-70E1DEA21457}"/>
    <cellStyle name="Vírgula 2 3 4 2 2 4" xfId="7783" xr:uid="{2F9C12E6-33C1-4BDE-A679-919B6DAECD37}"/>
    <cellStyle name="Vírgula 2 3 4 2 3" xfId="2214" xr:uid="{3880E719-26F7-49B9-B278-0F7A695C9EE8}"/>
    <cellStyle name="Vírgula 2 3 4 2 3 2" xfId="5384" xr:uid="{FDD0CB9F-CAFA-4545-A909-EF5F35D526C3}"/>
    <cellStyle name="Vírgula 2 3 4 2 3 2 2" xfId="11723" xr:uid="{AA2E5925-CCE0-4C9B-8132-206259D1F0B5}"/>
    <cellStyle name="Vírgula 2 3 4 2 3 3" xfId="8555" xr:uid="{22266D6B-C39B-4391-9F0A-EA34C57F3B7A}"/>
    <cellStyle name="Vírgula 2 3 4 2 4" xfId="3815" xr:uid="{56B689B0-1271-4F6A-818C-FCC251454463}"/>
    <cellStyle name="Vírgula 2 3 4 2 4 2" xfId="10154" xr:uid="{C2A2A3B1-D3C2-4C94-8CDD-820C484251CC}"/>
    <cellStyle name="Vírgula 2 3 4 2 5" xfId="6986" xr:uid="{D8C8B159-D8D0-4E27-BEB7-F1BF6DC3B856}"/>
    <cellStyle name="Vírgula 2 3 4 3" xfId="1059" xr:uid="{5E480FB6-5F29-43FD-BDCF-27A43A13F727}"/>
    <cellStyle name="Vírgula 2 3 4 3 2" xfId="2630" xr:uid="{FC2B2EFA-6724-4267-B97B-2F9C74407C61}"/>
    <cellStyle name="Vírgula 2 3 4 3 2 2" xfId="5800" xr:uid="{C5D9CBF5-6368-4DCE-9830-DE6F94FFC84C}"/>
    <cellStyle name="Vírgula 2 3 4 3 2 2 2" xfId="12139" xr:uid="{7BD36898-0F3E-48D5-9D8A-0298BE22A3BD}"/>
    <cellStyle name="Vírgula 2 3 4 3 2 3" xfId="8971" xr:uid="{F4D63C34-C810-4540-B7EF-AF830D93D10E}"/>
    <cellStyle name="Vírgula 2 3 4 3 3" xfId="4231" xr:uid="{0FCF0E28-2175-449C-9543-5CC81488101F}"/>
    <cellStyle name="Vírgula 2 3 4 3 3 2" xfId="10570" xr:uid="{E3F2A159-42A2-4E3B-A176-E7DE12F7A4E9}"/>
    <cellStyle name="Vírgula 2 3 4 3 4" xfId="7402" xr:uid="{3103F0EB-2509-4E7B-AC14-30E8C244FBE0}"/>
    <cellStyle name="Vírgula 2 3 4 4" xfId="1833" xr:uid="{1B203BC0-CDF3-442F-8304-381DF7534376}"/>
    <cellStyle name="Vírgula 2 3 4 4 2" xfId="5003" xr:uid="{8BA0D355-1C92-4DD0-AFA6-57EFE44AD8D2}"/>
    <cellStyle name="Vírgula 2 3 4 4 2 2" xfId="11342" xr:uid="{5F87651C-F525-465F-B7DC-96417BCB4511}"/>
    <cellStyle name="Vírgula 2 3 4 4 3" xfId="8174" xr:uid="{C8803AD8-B1C2-4B0F-B904-92DB2D75B40B}"/>
    <cellStyle name="Vírgula 2 3 4 5" xfId="3434" xr:uid="{F18E1DD5-F71C-4211-8481-D0529578B059}"/>
    <cellStyle name="Vírgula 2 3 4 5 2" xfId="9773" xr:uid="{75A14CCD-9611-41C7-B5B9-9270C464EE3F}"/>
    <cellStyle name="Vírgula 2 3 4 6" xfId="6605" xr:uid="{6C9FF82F-E4E1-4557-B36A-38ED5773C1BD}"/>
    <cellStyle name="Vírgula 2 3 5" xfId="856" xr:uid="{421A81BA-58F1-4EEF-8F1F-130C336ADC5C}"/>
    <cellStyle name="Vírgula 2 3 5 2" xfId="2427" xr:uid="{3D395E8B-5163-4A98-A0FE-31CFAB3BF61C}"/>
    <cellStyle name="Vírgula 2 3 5 2 2" xfId="5597" xr:uid="{B2DF46F1-C003-4B4B-9F55-8C01E6AB5670}"/>
    <cellStyle name="Vírgula 2 3 5 2 2 2" xfId="11936" xr:uid="{22CF3B2B-EEC5-41AD-B0BF-4FB45765FF36}"/>
    <cellStyle name="Vírgula 2 3 5 2 3" xfId="8768" xr:uid="{5358E7E7-1993-4372-8FB9-F1E37FE905E0}"/>
    <cellStyle name="Vírgula 2 3 5 3" xfId="4028" xr:uid="{4D855133-5D6D-4EE9-8E90-8D16FB0452A2}"/>
    <cellStyle name="Vírgula 2 3 5 3 2" xfId="10367" xr:uid="{0CC4539D-B5E7-4178-BD06-FAB8C931EF1C}"/>
    <cellStyle name="Vírgula 2 3 5 4" xfId="7199" xr:uid="{232AB850-58C1-4C4B-830F-3E4B75BB58E1}"/>
    <cellStyle name="Vírgula 2 3 6" xfId="3231" xr:uid="{3D4C02BC-57F3-495A-B265-D3B72FFC38F6}"/>
    <cellStyle name="Vírgula 2 3 6 2" xfId="9570" xr:uid="{B05ED852-FA38-4487-AAE6-4057C4CD2679}"/>
    <cellStyle name="Vírgula 2 3 7" xfId="6402" xr:uid="{6A9FA4FC-E2F1-443A-94F4-4AD2ED333FD1}"/>
    <cellStyle name="Vírgula 2 4" xfId="36" xr:uid="{BBC12B3E-E97D-4E47-B079-40395730B799}"/>
    <cellStyle name="Vírgula 2 4 2" xfId="73" xr:uid="{A215761C-EECB-41A7-9FE6-4A39B39F415E}"/>
    <cellStyle name="Vírgula 2 4 2 2" xfId="296" xr:uid="{407F0A3F-FCC4-4DB1-B752-EDF450870DD2}"/>
    <cellStyle name="Vírgula 2 4 2 2 2" xfId="686" xr:uid="{14531929-C477-4221-942D-A88B359C69C3}"/>
    <cellStyle name="Vírgula 2 4 2 2 2 2" xfId="1485" xr:uid="{6E824ABD-56BB-4078-95F9-788890EEE738}"/>
    <cellStyle name="Vírgula 2 4 2 2 2 2 2" xfId="3056" xr:uid="{5D065E5F-7FC0-42CE-84D9-41A740040798}"/>
    <cellStyle name="Vírgula 2 4 2 2 2 2 2 2" xfId="6226" xr:uid="{6D171939-42B0-4323-9BDF-A94D50A9472A}"/>
    <cellStyle name="Vírgula 2 4 2 2 2 2 2 2 2" xfId="12565" xr:uid="{AF88610A-4BD4-492E-AA44-C3239C6AB809}"/>
    <cellStyle name="Vírgula 2 4 2 2 2 2 2 3" xfId="9397" xr:uid="{A721529D-BE19-4FFE-A243-EB9EF108E4A5}"/>
    <cellStyle name="Vírgula 2 4 2 2 2 2 3" xfId="4657" xr:uid="{BEE19727-0FA4-4286-9111-89216D7E2CF0}"/>
    <cellStyle name="Vírgula 2 4 2 2 2 2 3 2" xfId="10996" xr:uid="{ADD070F8-E07A-4171-A11D-8635A2918798}"/>
    <cellStyle name="Vírgula 2 4 2 2 2 2 4" xfId="7828" xr:uid="{B9D012AD-7B86-47E8-8538-AACF46A01461}"/>
    <cellStyle name="Vírgula 2 4 2 2 2 3" xfId="2259" xr:uid="{B78B7AAC-90A5-43AE-9FBD-4155CC1B8868}"/>
    <cellStyle name="Vírgula 2 4 2 2 2 3 2" xfId="5429" xr:uid="{F1FF264E-B084-470F-AAB5-DA10ECF2AC73}"/>
    <cellStyle name="Vírgula 2 4 2 2 2 3 2 2" xfId="11768" xr:uid="{6FF4FCB9-55D3-4A39-96A6-0654930A035A}"/>
    <cellStyle name="Vírgula 2 4 2 2 2 3 3" xfId="8600" xr:uid="{4F0D48F6-A7BE-4296-A393-91DB1A62E66E}"/>
    <cellStyle name="Vírgula 2 4 2 2 2 4" xfId="3860" xr:uid="{C93D9893-1482-4BAC-BD8B-7B220265E66D}"/>
    <cellStyle name="Vírgula 2 4 2 2 2 4 2" xfId="10199" xr:uid="{8DEDB51A-3E98-4687-AB84-C11A5C53B211}"/>
    <cellStyle name="Vírgula 2 4 2 2 2 5" xfId="7031" xr:uid="{8AEE1F8C-E1D7-4AAC-BCB3-327731D8DAA5}"/>
    <cellStyle name="Vírgula 2 4 2 2 3" xfId="1104" xr:uid="{190CA7ED-D9D1-4352-BEE9-AD7B99EBE1F6}"/>
    <cellStyle name="Vírgula 2 4 2 2 3 2" xfId="2675" xr:uid="{D2343607-4495-43A0-A0A7-CB9F8FF97727}"/>
    <cellStyle name="Vírgula 2 4 2 2 3 2 2" xfId="5845" xr:uid="{7796E49E-1A22-4B7F-A2F4-80DC9AD15ED4}"/>
    <cellStyle name="Vírgula 2 4 2 2 3 2 2 2" xfId="12184" xr:uid="{205418AB-78A3-45C0-AD43-5AB29F60EF19}"/>
    <cellStyle name="Vírgula 2 4 2 2 3 2 3" xfId="9016" xr:uid="{2814382C-9822-4A07-9E59-FD4394EB894F}"/>
    <cellStyle name="Vírgula 2 4 2 2 3 3" xfId="4276" xr:uid="{1D6D7042-98F6-4103-A459-986B5BE1E94D}"/>
    <cellStyle name="Vírgula 2 4 2 2 3 3 2" xfId="10615" xr:uid="{CDA6B27C-EDF7-453F-9ECD-62669AEF8F00}"/>
    <cellStyle name="Vírgula 2 4 2 2 3 4" xfId="7447" xr:uid="{04CAC8EC-05D4-46F1-9405-472C446CE7B0}"/>
    <cellStyle name="Vírgula 2 4 2 2 4" xfId="1878" xr:uid="{D57485E0-CBE4-423F-90BC-DD1CA5AC486A}"/>
    <cellStyle name="Vírgula 2 4 2 2 4 2" xfId="5048" xr:uid="{33DB6431-E112-4DA8-8AC4-79ECF916F1A9}"/>
    <cellStyle name="Vírgula 2 4 2 2 4 2 2" xfId="11387" xr:uid="{04267847-D5A0-4D0F-8B22-DB10301CDDB4}"/>
    <cellStyle name="Vírgula 2 4 2 2 4 3" xfId="8219" xr:uid="{281D5129-0778-49FE-ABB4-FE3DA4E1E2AB}"/>
    <cellStyle name="Vírgula 2 4 2 2 5" xfId="3479" xr:uid="{5AF17072-DDBA-4E09-9D10-C08EF135D8CF}"/>
    <cellStyle name="Vírgula 2 4 2 2 5 2" xfId="9818" xr:uid="{349D44BD-00E3-4D9F-A53D-44990620E38F}"/>
    <cellStyle name="Vírgula 2 4 2 2 6" xfId="6650" xr:uid="{B7E1EBDE-FC33-466D-988F-97E0942523CF}"/>
    <cellStyle name="Vírgula 2 4 2 3" xfId="901" xr:uid="{C3B6234C-AA12-4F67-8DE4-8789E39A39AE}"/>
    <cellStyle name="Vírgula 2 4 2 3 2" xfId="2472" xr:uid="{75855E59-5D9A-4643-939A-602D4EC8A928}"/>
    <cellStyle name="Vírgula 2 4 2 3 2 2" xfId="5642" xr:uid="{5B94DCEF-D6E7-4A08-8334-839DA95FD4C8}"/>
    <cellStyle name="Vírgula 2 4 2 3 2 2 2" xfId="11981" xr:uid="{0D2B4212-F15B-44AD-93F6-5B8633807178}"/>
    <cellStyle name="Vírgula 2 4 2 3 2 3" xfId="8813" xr:uid="{A3C9D283-025A-4B84-B81D-3A0A75E37FB4}"/>
    <cellStyle name="Vírgula 2 4 2 3 3" xfId="4073" xr:uid="{1D527D08-10DC-4F06-A59F-7360FF201597}"/>
    <cellStyle name="Vírgula 2 4 2 3 3 2" xfId="10412" xr:uid="{29D5714F-B478-4F86-83E0-645FFCBCF6E1}"/>
    <cellStyle name="Vírgula 2 4 2 3 4" xfId="7244" xr:uid="{7AD344DB-7B6A-4EBD-AC33-8A9566895688}"/>
    <cellStyle name="Vírgula 2 4 2 4" xfId="3276" xr:uid="{3B25F2BD-EDE3-4794-9002-B435ED753B16}"/>
    <cellStyle name="Vírgula 2 4 2 4 2" xfId="9615" xr:uid="{C1504117-BB8E-4B71-B9B2-9B0E9CFD9366}"/>
    <cellStyle name="Vírgula 2 4 2 5" xfId="6447" xr:uid="{E6D9BC5A-889C-4001-B4BE-F6606C720777}"/>
    <cellStyle name="Vírgula 2 4 3" xfId="161" xr:uid="{AF33CDC0-EE1F-47A8-9833-E223D66372D2}"/>
    <cellStyle name="Vírgula 2 4 3 2" xfId="378" xr:uid="{09AB9EB5-B4B1-4E0C-B212-F62960237667}"/>
    <cellStyle name="Vírgula 2 4 3 2 2" xfId="759" xr:uid="{E087C265-8BC2-492A-A629-0CB4B4D42238}"/>
    <cellStyle name="Vírgula 2 4 3 2 2 2" xfId="1558" xr:uid="{BF33D1DD-2CF1-4281-B48F-2AC2A5B50CA5}"/>
    <cellStyle name="Vírgula 2 4 3 2 2 2 2" xfId="3129" xr:uid="{6324ECF4-9083-4436-8563-1925D28075E3}"/>
    <cellStyle name="Vírgula 2 4 3 2 2 2 2 2" xfId="6299" xr:uid="{E057B90E-187C-4D58-861F-4087B172996D}"/>
    <cellStyle name="Vírgula 2 4 3 2 2 2 2 2 2" xfId="12638" xr:uid="{3488FBC2-C077-4749-AC13-65F7611A4FDE}"/>
    <cellStyle name="Vírgula 2 4 3 2 2 2 2 3" xfId="9470" xr:uid="{6106DC96-C7A4-438F-B1B8-395AA8E5570A}"/>
    <cellStyle name="Vírgula 2 4 3 2 2 2 3" xfId="4730" xr:uid="{828AF690-42B8-454E-91D0-BC5BCD4DC048}"/>
    <cellStyle name="Vírgula 2 4 3 2 2 2 3 2" xfId="11069" xr:uid="{4F4834C1-F2F5-44E0-A531-F08960FC393D}"/>
    <cellStyle name="Vírgula 2 4 3 2 2 2 4" xfId="7901" xr:uid="{FD19B494-445F-4446-8D46-5E647334BCE2}"/>
    <cellStyle name="Vírgula 2 4 3 2 2 3" xfId="2332" xr:uid="{7C3D2740-A755-4DD6-9048-E7A33F0ED9B4}"/>
    <cellStyle name="Vírgula 2 4 3 2 2 3 2" xfId="5502" xr:uid="{91531EFD-1968-48BF-B26E-49D0060F82C5}"/>
    <cellStyle name="Vírgula 2 4 3 2 2 3 2 2" xfId="11841" xr:uid="{FED70AF7-B26A-4A52-A0FF-E2CF1DD9567C}"/>
    <cellStyle name="Vírgula 2 4 3 2 2 3 3" xfId="8673" xr:uid="{0F6115E4-FB7C-4760-BC1E-DFAFD22932C7}"/>
    <cellStyle name="Vírgula 2 4 3 2 2 4" xfId="3933" xr:uid="{6DF1DCB4-42CE-4963-8D77-7C9BF3E09F3C}"/>
    <cellStyle name="Vírgula 2 4 3 2 2 4 2" xfId="10272" xr:uid="{5544A83D-2547-446A-A125-CAF6653CFD41}"/>
    <cellStyle name="Vírgula 2 4 3 2 2 5" xfId="7104" xr:uid="{EA1BBB2B-17CF-458A-9249-40D6789BC6A6}"/>
    <cellStyle name="Vírgula 2 4 3 2 3" xfId="1177" xr:uid="{355BCBE2-52E0-4372-9661-345568AA69CA}"/>
    <cellStyle name="Vírgula 2 4 3 2 3 2" xfId="2748" xr:uid="{A08BFBE4-A1B0-401A-80D6-E74142061D4D}"/>
    <cellStyle name="Vírgula 2 4 3 2 3 2 2" xfId="5918" xr:uid="{677D677E-9BE3-46AB-A4FB-D31EC43A398B}"/>
    <cellStyle name="Vírgula 2 4 3 2 3 2 2 2" xfId="12257" xr:uid="{DF4726B3-5EB2-4275-B1DE-E943C9E3D3BB}"/>
    <cellStyle name="Vírgula 2 4 3 2 3 2 3" xfId="9089" xr:uid="{8F39BEB5-84AA-47DD-A064-8B36B575787E}"/>
    <cellStyle name="Vírgula 2 4 3 2 3 3" xfId="4349" xr:uid="{8861A0FF-DB0B-44D0-BC33-A06170386F19}"/>
    <cellStyle name="Vírgula 2 4 3 2 3 3 2" xfId="10688" xr:uid="{2C8D1221-C1A7-42D7-8070-BA593DCAFA93}"/>
    <cellStyle name="Vírgula 2 4 3 2 3 4" xfId="7520" xr:uid="{00C2B37D-2EAB-4457-BF2D-A53663125A5A}"/>
    <cellStyle name="Vírgula 2 4 3 2 4" xfId="1951" xr:uid="{CF43B525-36C8-4C58-B099-5AE29C6115EB}"/>
    <cellStyle name="Vírgula 2 4 3 2 4 2" xfId="5121" xr:uid="{972FF066-3BB8-4B9A-B08D-4F80CAC44705}"/>
    <cellStyle name="Vírgula 2 4 3 2 4 2 2" xfId="11460" xr:uid="{34BC967A-8013-45EF-A71A-E0D76216EA91}"/>
    <cellStyle name="Vírgula 2 4 3 2 4 3" xfId="8292" xr:uid="{028516A6-CD9C-4E63-8F00-42AF96038569}"/>
    <cellStyle name="Vírgula 2 4 3 2 5" xfId="3552" xr:uid="{8B2E8E74-19AD-4FC3-85A2-18565681549D}"/>
    <cellStyle name="Vírgula 2 4 3 2 5 2" xfId="9891" xr:uid="{DDE8952A-FC45-488A-8A95-08C773675C8C}"/>
    <cellStyle name="Vírgula 2 4 3 2 6" xfId="6723" xr:uid="{9ED9C20F-6732-410A-B241-7B73D9FE062C}"/>
    <cellStyle name="Vírgula 2 4 3 3" xfId="556" xr:uid="{4D962069-5711-44D2-A120-0BFE6659F8F7}"/>
    <cellStyle name="Vírgula 2 4 3 3 2" xfId="1355" xr:uid="{9EBDFEC6-8DD2-48CA-BD0C-1F32DFCF3FE2}"/>
    <cellStyle name="Vírgula 2 4 3 3 2 2" xfId="2926" xr:uid="{16449167-1722-46ED-907B-9D41021C7D3C}"/>
    <cellStyle name="Vírgula 2 4 3 3 2 2 2" xfId="6096" xr:uid="{952A278C-5170-457E-A5FA-128BBA9EA89C}"/>
    <cellStyle name="Vírgula 2 4 3 3 2 2 2 2" xfId="12435" xr:uid="{99F1FB48-D5F9-47BB-8841-105276E2A785}"/>
    <cellStyle name="Vírgula 2 4 3 3 2 2 3" xfId="9267" xr:uid="{492195D1-0244-4D72-82F8-469B6C61BCA2}"/>
    <cellStyle name="Vírgula 2 4 3 3 2 3" xfId="4527" xr:uid="{DA240533-16F6-43F9-A95D-B9987B42A65D}"/>
    <cellStyle name="Vírgula 2 4 3 3 2 3 2" xfId="10866" xr:uid="{26575EF6-2372-49E6-8962-4A98A8F7368D}"/>
    <cellStyle name="Vírgula 2 4 3 3 2 4" xfId="7698" xr:uid="{0982AEAE-264F-466A-9652-863FFB765158}"/>
    <cellStyle name="Vírgula 2 4 3 3 3" xfId="2129" xr:uid="{E500BD95-F540-4F2C-BF98-E511CC13226D}"/>
    <cellStyle name="Vírgula 2 4 3 3 3 2" xfId="5299" xr:uid="{98844D55-8B0E-4691-BC2B-3E0661B2D3A3}"/>
    <cellStyle name="Vírgula 2 4 3 3 3 2 2" xfId="11638" xr:uid="{5F58B7DF-B50D-421E-A750-4C5171453CAD}"/>
    <cellStyle name="Vírgula 2 4 3 3 3 3" xfId="8470" xr:uid="{78C53640-1262-4602-B78D-61DB02C7CEF4}"/>
    <cellStyle name="Vírgula 2 4 3 3 4" xfId="3730" xr:uid="{3964646D-29DB-4920-99BE-DD98C0BFA176}"/>
    <cellStyle name="Vírgula 2 4 3 3 4 2" xfId="10069" xr:uid="{462939BB-7405-42D2-A945-DAFF784C0CB6}"/>
    <cellStyle name="Vírgula 2 4 3 3 5" xfId="6901" xr:uid="{D866DC17-C379-4D07-8CFA-E7AAA8D630F9}"/>
    <cellStyle name="Vírgula 2 4 3 4" xfId="974" xr:uid="{87FB4A2C-7EF8-49DB-AEBB-5AC6D6CFD48B}"/>
    <cellStyle name="Vírgula 2 4 3 4 2" xfId="2545" xr:uid="{E03C798C-F50E-410D-B2EE-BDC64E7EFB21}"/>
    <cellStyle name="Vírgula 2 4 3 4 2 2" xfId="5715" xr:uid="{2C77906F-D1CB-4043-99EE-B4A226157A5D}"/>
    <cellStyle name="Vírgula 2 4 3 4 2 2 2" xfId="12054" xr:uid="{1F458CAB-EDA2-4BFA-9BFE-8F068C42E95A}"/>
    <cellStyle name="Vírgula 2 4 3 4 2 3" xfId="8886" xr:uid="{3123F516-7DFE-48BA-9FC3-8BEC9065A516}"/>
    <cellStyle name="Vírgula 2 4 3 4 3" xfId="4146" xr:uid="{469EF45B-D018-48D1-8D6C-F52A322D4127}"/>
    <cellStyle name="Vírgula 2 4 3 4 3 2" xfId="10485" xr:uid="{46764701-C6EA-4431-86A5-A05AD2A63475}"/>
    <cellStyle name="Vírgula 2 4 3 4 4" xfId="7317" xr:uid="{CBFE6BC4-98B1-4695-8A36-E27FB0859C55}"/>
    <cellStyle name="Vírgula 2 4 3 5" xfId="1748" xr:uid="{AEE64D91-0336-42D5-B7ED-90B51538E208}"/>
    <cellStyle name="Vírgula 2 4 3 5 2" xfId="4918" xr:uid="{BA98E652-BAFB-4AB7-B67D-3D5875B58AA6}"/>
    <cellStyle name="Vírgula 2 4 3 5 2 2" xfId="11257" xr:uid="{2DD7A31E-8DA5-4295-86F6-319963E9068E}"/>
    <cellStyle name="Vírgula 2 4 3 5 3" xfId="8089" xr:uid="{659AC3CB-8C86-49B6-8053-1735E3D2DD12}"/>
    <cellStyle name="Vírgula 2 4 3 6" xfId="3349" xr:uid="{34A4A5D2-11E4-4AD4-98A7-A32E0A2BD6BB}"/>
    <cellStyle name="Vírgula 2 4 3 6 2" xfId="9688" xr:uid="{9AC664EB-A5C8-4B2A-B192-F7BBE3D10AC6}"/>
    <cellStyle name="Vírgula 2 4 3 7" xfId="6520" xr:uid="{06CFDA68-9573-4D97-B92D-3673FA802631}"/>
    <cellStyle name="Vírgula 2 4 4" xfId="260" xr:uid="{D1CFDBD1-E607-4495-A87A-6F0D387D3889}"/>
    <cellStyle name="Vírgula 2 4 4 2" xfId="650" xr:uid="{0D9EB9F4-2958-4090-8FD8-00CADDE23A47}"/>
    <cellStyle name="Vírgula 2 4 4 2 2" xfId="1449" xr:uid="{34E443D9-6301-4A3E-A736-3BC6D9F82842}"/>
    <cellStyle name="Vírgula 2 4 4 2 2 2" xfId="3020" xr:uid="{EBE5DCA6-6ABE-4FCF-9B66-AB119BD411F7}"/>
    <cellStyle name="Vírgula 2 4 4 2 2 2 2" xfId="6190" xr:uid="{66767EF8-B264-45D4-A0BF-F50E5662627A}"/>
    <cellStyle name="Vírgula 2 4 4 2 2 2 2 2" xfId="12529" xr:uid="{B2DFA298-B088-42F7-89EC-94F2E3E05715}"/>
    <cellStyle name="Vírgula 2 4 4 2 2 2 3" xfId="9361" xr:uid="{DB36D70C-D999-4209-8875-109FDC17B2AE}"/>
    <cellStyle name="Vírgula 2 4 4 2 2 3" xfId="4621" xr:uid="{D60A02F3-B0CC-49FE-946F-D02D45824A25}"/>
    <cellStyle name="Vírgula 2 4 4 2 2 3 2" xfId="10960" xr:uid="{C67E1B63-2567-485F-ADC9-78767AAB5160}"/>
    <cellStyle name="Vírgula 2 4 4 2 2 4" xfId="7792" xr:uid="{85631662-E9E4-4A5A-B59F-214E8A25B02A}"/>
    <cellStyle name="Vírgula 2 4 4 2 3" xfId="2223" xr:uid="{330BB4B7-74F6-4695-90D9-590790D0E389}"/>
    <cellStyle name="Vírgula 2 4 4 2 3 2" xfId="5393" xr:uid="{F676AC6C-1B62-48F4-9DBE-EE69AEBCF4F3}"/>
    <cellStyle name="Vírgula 2 4 4 2 3 2 2" xfId="11732" xr:uid="{6C7B5B23-6FDC-4832-9F07-EB97B6917871}"/>
    <cellStyle name="Vírgula 2 4 4 2 3 3" xfId="8564" xr:uid="{2B016C89-4203-4CAE-9FF1-21CD20D5B01A}"/>
    <cellStyle name="Vírgula 2 4 4 2 4" xfId="3824" xr:uid="{8920649C-6A42-4A72-AABB-ABD3DF57C85F}"/>
    <cellStyle name="Vírgula 2 4 4 2 4 2" xfId="10163" xr:uid="{63470977-02FE-452C-A7FA-93854C7AF996}"/>
    <cellStyle name="Vírgula 2 4 4 2 5" xfId="6995" xr:uid="{BA1C6DB2-093F-4477-8433-A71B2C90049F}"/>
    <cellStyle name="Vírgula 2 4 4 3" xfId="1068" xr:uid="{D06234D3-4CCF-4BC0-8258-C5289EA0CCD8}"/>
    <cellStyle name="Vírgula 2 4 4 3 2" xfId="2639" xr:uid="{F1C046CA-7579-44A5-BD17-F89038EA256B}"/>
    <cellStyle name="Vírgula 2 4 4 3 2 2" xfId="5809" xr:uid="{A28F96F8-7EFA-4BE8-92E5-A17FF5E6F93B}"/>
    <cellStyle name="Vírgula 2 4 4 3 2 2 2" xfId="12148" xr:uid="{D92BAFFA-5D27-4A8C-B6CC-1D1135F67479}"/>
    <cellStyle name="Vírgula 2 4 4 3 2 3" xfId="8980" xr:uid="{0E5AF681-3636-40F6-8C06-C100E9D311C3}"/>
    <cellStyle name="Vírgula 2 4 4 3 3" xfId="4240" xr:uid="{46C8E3D7-3E00-43B5-9FF6-B3941B289DDC}"/>
    <cellStyle name="Vírgula 2 4 4 3 3 2" xfId="10579" xr:uid="{0FFB8E6B-8D27-43AB-821D-A8F0DD35F019}"/>
    <cellStyle name="Vírgula 2 4 4 3 4" xfId="7411" xr:uid="{87301AE4-B13D-49DF-8C61-F552BD7D8A1D}"/>
    <cellStyle name="Vírgula 2 4 4 4" xfId="1842" xr:uid="{F9B6DECC-E9FC-4C16-A348-250B55A0D3F6}"/>
    <cellStyle name="Vírgula 2 4 4 4 2" xfId="5012" xr:uid="{A2A6155E-FF9F-4A62-8381-5174DEE4D1CF}"/>
    <cellStyle name="Vírgula 2 4 4 4 2 2" xfId="11351" xr:uid="{623E0525-8D3B-4E81-A31C-85A1BDD9E0E7}"/>
    <cellStyle name="Vírgula 2 4 4 4 3" xfId="8183" xr:uid="{82C39528-AB68-4222-B1D3-33E15C43AE0B}"/>
    <cellStyle name="Vírgula 2 4 4 5" xfId="3443" xr:uid="{031C8FB8-B398-4AFE-A6E0-425AB29145D0}"/>
    <cellStyle name="Vírgula 2 4 4 5 2" xfId="9782" xr:uid="{E0BE1D22-18FB-4C69-A953-8C3EE24C4F45}"/>
    <cellStyle name="Vírgula 2 4 4 6" xfId="6614" xr:uid="{8935B087-D7E7-4A2D-BE80-59C43F6E2BF7}"/>
    <cellStyle name="Vírgula 2 4 5" xfId="865" xr:uid="{7604A2BA-A5C6-4C9A-B63B-93F920E0288B}"/>
    <cellStyle name="Vírgula 2 4 5 2" xfId="2436" xr:uid="{7471A524-599B-4F28-BEA9-9EFE86149BCD}"/>
    <cellStyle name="Vírgula 2 4 5 2 2" xfId="5606" xr:uid="{93A2A452-F85A-4FD1-9B02-9E4DF50B3C50}"/>
    <cellStyle name="Vírgula 2 4 5 2 2 2" xfId="11945" xr:uid="{F9C2738F-ED62-450E-A88D-09D9E536A045}"/>
    <cellStyle name="Vírgula 2 4 5 2 3" xfId="8777" xr:uid="{C9C67896-8C09-4563-B64B-DB38E14DDA35}"/>
    <cellStyle name="Vírgula 2 4 5 3" xfId="4037" xr:uid="{D7DE3ECF-F030-4E13-B017-32BF100F6F20}"/>
    <cellStyle name="Vírgula 2 4 5 3 2" xfId="10376" xr:uid="{18E58F0E-AE75-4515-BB41-687E845AA31C}"/>
    <cellStyle name="Vírgula 2 4 5 4" xfId="7208" xr:uid="{DAA34667-F3CA-44F1-A3DE-E19E85AA51C5}"/>
    <cellStyle name="Vírgula 2 4 6" xfId="3240" xr:uid="{928FDD30-733B-40B0-A41F-2F47A0D45341}"/>
    <cellStyle name="Vírgula 2 4 6 2" xfId="9579" xr:uid="{504AD7F1-E47C-4B5B-8F2C-B0B10493B2A8}"/>
    <cellStyle name="Vírgula 2 4 7" xfId="6411" xr:uid="{CB44C950-ABE2-4537-BBB0-E5FB696B8085}"/>
    <cellStyle name="Vírgula 2 5" xfId="44" xr:uid="{E09D2675-D924-47CA-B0BB-92848A1E6CCA}"/>
    <cellStyle name="Vírgula 2 5 2" xfId="82" xr:uid="{6C5154ED-F510-47DD-A092-A4C2590918B5}"/>
    <cellStyle name="Vírgula 2 5 2 2" xfId="303" xr:uid="{9214F566-7BA8-4087-8210-7BE086CBFCFE}"/>
    <cellStyle name="Vírgula 2 5 2 2 2" xfId="692" xr:uid="{13DC1D45-12D0-430D-8151-62EAA835DF0D}"/>
    <cellStyle name="Vírgula 2 5 2 2 2 2" xfId="1491" xr:uid="{5774F87E-B954-4CB9-8DD0-89987FCED37C}"/>
    <cellStyle name="Vírgula 2 5 2 2 2 2 2" xfId="3062" xr:uid="{FE1B7CAA-5E02-4991-8EAC-FE579C93A608}"/>
    <cellStyle name="Vírgula 2 5 2 2 2 2 2 2" xfId="6232" xr:uid="{17FECEC8-A7D8-46D5-AB46-63961DB2D6C7}"/>
    <cellStyle name="Vírgula 2 5 2 2 2 2 2 2 2" xfId="12571" xr:uid="{E41D510B-3DC1-42B6-8115-3D0EE45E5D9F}"/>
    <cellStyle name="Vírgula 2 5 2 2 2 2 2 3" xfId="9403" xr:uid="{31B5A7D0-A566-4311-9A3C-DC962761E593}"/>
    <cellStyle name="Vírgula 2 5 2 2 2 2 3" xfId="4663" xr:uid="{FB44F598-0024-4F91-9A44-517DA53F2B04}"/>
    <cellStyle name="Vírgula 2 5 2 2 2 2 3 2" xfId="11002" xr:uid="{385D2292-F218-497E-853F-B9BA617423F9}"/>
    <cellStyle name="Vírgula 2 5 2 2 2 2 4" xfId="7834" xr:uid="{94031F57-5FE1-4E8F-9ECF-DC7E7959E51D}"/>
    <cellStyle name="Vírgula 2 5 2 2 2 3" xfId="2265" xr:uid="{A14E1A06-6FB4-434B-8FDF-BE869C17B900}"/>
    <cellStyle name="Vírgula 2 5 2 2 2 3 2" xfId="5435" xr:uid="{6254208E-4F3B-4DC5-9A4C-BDA6B61F80D1}"/>
    <cellStyle name="Vírgula 2 5 2 2 2 3 2 2" xfId="11774" xr:uid="{21639E75-F02B-4079-B6F3-342367E8FCAF}"/>
    <cellStyle name="Vírgula 2 5 2 2 2 3 3" xfId="8606" xr:uid="{EDE6A4E3-0DD0-4447-AD03-5A05A1D7EC19}"/>
    <cellStyle name="Vírgula 2 5 2 2 2 4" xfId="3866" xr:uid="{84898E88-791E-4325-B892-6D8E0AAF8D39}"/>
    <cellStyle name="Vírgula 2 5 2 2 2 4 2" xfId="10205" xr:uid="{528FF44E-6A48-45FD-B819-6DB42F0BC30D}"/>
    <cellStyle name="Vírgula 2 5 2 2 2 5" xfId="7037" xr:uid="{4B8B6BF3-3333-4519-B38D-EB6A1D9FE674}"/>
    <cellStyle name="Vírgula 2 5 2 2 3" xfId="1110" xr:uid="{FC00F760-67D6-4239-B6E0-AA4D4DF6ECEA}"/>
    <cellStyle name="Vírgula 2 5 2 2 3 2" xfId="2681" xr:uid="{A75245DB-085F-4326-ADB7-30918142CA8B}"/>
    <cellStyle name="Vírgula 2 5 2 2 3 2 2" xfId="5851" xr:uid="{E145CF70-0FD8-48B7-A46C-67CCDEA9ACCE}"/>
    <cellStyle name="Vírgula 2 5 2 2 3 2 2 2" xfId="12190" xr:uid="{F150A60B-552D-4D05-9733-484D79EF3CAA}"/>
    <cellStyle name="Vírgula 2 5 2 2 3 2 3" xfId="9022" xr:uid="{28C1F6E0-27EB-455F-87ED-C2BD22F2C9C5}"/>
    <cellStyle name="Vírgula 2 5 2 2 3 3" xfId="4282" xr:uid="{95C5FD72-2AB7-483B-936C-3A86EA3E1570}"/>
    <cellStyle name="Vírgula 2 5 2 2 3 3 2" xfId="10621" xr:uid="{81ADD1D6-3BDD-4B43-ACB8-383E1D73CDA7}"/>
    <cellStyle name="Vírgula 2 5 2 2 3 4" xfId="7453" xr:uid="{6CB572DB-388B-4956-AB3A-30B5ECD4C854}"/>
    <cellStyle name="Vírgula 2 5 2 2 4" xfId="1884" xr:uid="{9F9E531D-2D1B-4F71-B0B8-3986BB5C4039}"/>
    <cellStyle name="Vírgula 2 5 2 2 4 2" xfId="5054" xr:uid="{3B888EC2-EF51-4B41-9C12-C09E8990CF61}"/>
    <cellStyle name="Vírgula 2 5 2 2 4 2 2" xfId="11393" xr:uid="{301A27D6-329B-4A62-9AD0-51D8BDF6950B}"/>
    <cellStyle name="Vírgula 2 5 2 2 4 3" xfId="8225" xr:uid="{3DFA9569-26C7-485D-8B3F-977D17732B8C}"/>
    <cellStyle name="Vírgula 2 5 2 2 5" xfId="3485" xr:uid="{52A2116D-78D5-49A3-8005-EBADA46FFD0C}"/>
    <cellStyle name="Vírgula 2 5 2 2 5 2" xfId="9824" xr:uid="{D326F2D2-67AF-4A2D-BC6B-9CCE036E2153}"/>
    <cellStyle name="Vírgula 2 5 2 2 6" xfId="6656" xr:uid="{E2F7D983-3074-4862-ADC5-123D62B9BE53}"/>
    <cellStyle name="Vírgula 2 5 2 3" xfId="907" xr:uid="{A69CC8BD-D9C1-4FF6-832B-8640E38175B1}"/>
    <cellStyle name="Vírgula 2 5 2 3 2" xfId="2478" xr:uid="{65465616-4110-4EDF-A974-7534894E39A2}"/>
    <cellStyle name="Vírgula 2 5 2 3 2 2" xfId="5648" xr:uid="{ADA6A5E4-51F9-4E90-8D9A-9669564D99A0}"/>
    <cellStyle name="Vírgula 2 5 2 3 2 2 2" xfId="11987" xr:uid="{FDD36CD7-02E8-4EB8-A852-589F2E765786}"/>
    <cellStyle name="Vírgula 2 5 2 3 2 3" xfId="8819" xr:uid="{F6B7BCD6-ED11-47D7-BFF3-105E0907D01F}"/>
    <cellStyle name="Vírgula 2 5 2 3 3" xfId="4079" xr:uid="{94C7E41B-2E9A-4300-9FDA-85266C0B6B25}"/>
    <cellStyle name="Vírgula 2 5 2 3 3 2" xfId="10418" xr:uid="{4ABC45A0-B84F-4BF1-8D0C-E50288E13B80}"/>
    <cellStyle name="Vírgula 2 5 2 3 4" xfId="7250" xr:uid="{5DFB4D23-A685-4098-AF53-6C3B818B946D}"/>
    <cellStyle name="Vírgula 2 5 2 4" xfId="3282" xr:uid="{877F5C3B-D2E3-449E-8681-BF6FEC864472}"/>
    <cellStyle name="Vírgula 2 5 2 4 2" xfId="9621" xr:uid="{C9FC13BD-DEF8-4A0D-9728-2B5819282610}"/>
    <cellStyle name="Vírgula 2 5 2 5" xfId="6453" xr:uid="{278A6D82-B80D-495D-9810-0C7BAD3AB65E}"/>
    <cellStyle name="Vírgula 2 5 3" xfId="168" xr:uid="{71802103-70BB-4703-AC32-8D58E4451C12}"/>
    <cellStyle name="Vírgula 2 5 3 2" xfId="385" xr:uid="{094126ED-6F12-45CD-BFC1-956F49961AA3}"/>
    <cellStyle name="Vírgula 2 5 3 2 2" xfId="766" xr:uid="{C287660A-9AB5-467D-8238-0748CC0DF6B4}"/>
    <cellStyle name="Vírgula 2 5 3 2 2 2" xfId="1565" xr:uid="{3CB90501-B79F-4C1A-8B89-438CEB8B73F7}"/>
    <cellStyle name="Vírgula 2 5 3 2 2 2 2" xfId="3136" xr:uid="{076FFE9C-2955-4551-9DD4-FFFEB820928E}"/>
    <cellStyle name="Vírgula 2 5 3 2 2 2 2 2" xfId="6306" xr:uid="{EF7F5AA9-83FF-48BB-B451-DAA50D9A0BF8}"/>
    <cellStyle name="Vírgula 2 5 3 2 2 2 2 2 2" xfId="12645" xr:uid="{2E220D80-3FA7-4033-8BCF-3DA4558001B2}"/>
    <cellStyle name="Vírgula 2 5 3 2 2 2 2 3" xfId="9477" xr:uid="{3A488BBE-543F-4273-93FB-91457B2DFB19}"/>
    <cellStyle name="Vírgula 2 5 3 2 2 2 3" xfId="4737" xr:uid="{D559BE74-95D0-4061-8676-FB43A0A27BCE}"/>
    <cellStyle name="Vírgula 2 5 3 2 2 2 3 2" xfId="11076" xr:uid="{66D3F970-1826-453B-BB27-EEC132B38485}"/>
    <cellStyle name="Vírgula 2 5 3 2 2 2 4" xfId="7908" xr:uid="{001C0D78-7DAF-45A7-9122-0C76C6883C8A}"/>
    <cellStyle name="Vírgula 2 5 3 2 2 3" xfId="2339" xr:uid="{76A8D8B1-E771-4919-9F83-9797F124389F}"/>
    <cellStyle name="Vírgula 2 5 3 2 2 3 2" xfId="5509" xr:uid="{6F9EFACC-78B5-4D85-8008-975C2B2CE0B0}"/>
    <cellStyle name="Vírgula 2 5 3 2 2 3 2 2" xfId="11848" xr:uid="{215819B4-EF35-4871-87A5-5FFA8A90E3D9}"/>
    <cellStyle name="Vírgula 2 5 3 2 2 3 3" xfId="8680" xr:uid="{F6BFA0DD-189E-4D4A-AABC-BCDD535D2CA4}"/>
    <cellStyle name="Vírgula 2 5 3 2 2 4" xfId="3940" xr:uid="{64A251F6-C79A-4154-94A1-18DFF4925035}"/>
    <cellStyle name="Vírgula 2 5 3 2 2 4 2" xfId="10279" xr:uid="{07CC62B8-AD5B-49DB-9E18-FE1BB7E7F436}"/>
    <cellStyle name="Vírgula 2 5 3 2 2 5" xfId="7111" xr:uid="{C500B1D0-11A1-4E56-9E17-DEC3E42BCAFE}"/>
    <cellStyle name="Vírgula 2 5 3 2 3" xfId="1184" xr:uid="{BE169643-55AB-4C4C-9AA6-75D3C6181282}"/>
    <cellStyle name="Vírgula 2 5 3 2 3 2" xfId="2755" xr:uid="{6BD3CFC4-DAD9-4440-9475-6963A8B8F1C3}"/>
    <cellStyle name="Vírgula 2 5 3 2 3 2 2" xfId="5925" xr:uid="{0F62AA09-9EBC-407D-B1D7-564724F26278}"/>
    <cellStyle name="Vírgula 2 5 3 2 3 2 2 2" xfId="12264" xr:uid="{54664E9C-AAC3-41A1-ABB0-C3F67A3CB5DF}"/>
    <cellStyle name="Vírgula 2 5 3 2 3 2 3" xfId="9096" xr:uid="{8BCF60C3-6108-4BC7-B318-63CAE5ABB089}"/>
    <cellStyle name="Vírgula 2 5 3 2 3 3" xfId="4356" xr:uid="{2EEA7D59-A9DC-421B-A6E1-49E96FCC7829}"/>
    <cellStyle name="Vírgula 2 5 3 2 3 3 2" xfId="10695" xr:uid="{CE2BBB88-FAFB-4A4E-AF9C-8B139A02BA66}"/>
    <cellStyle name="Vírgula 2 5 3 2 3 4" xfId="7527" xr:uid="{97B45CFD-4758-45D4-9318-20C762ED282B}"/>
    <cellStyle name="Vírgula 2 5 3 2 4" xfId="1958" xr:uid="{ADD9266B-205E-4E99-9F13-B2A84CD78796}"/>
    <cellStyle name="Vírgula 2 5 3 2 4 2" xfId="5128" xr:uid="{69DB6B87-C67F-4FE6-AF6A-53728E3AED47}"/>
    <cellStyle name="Vírgula 2 5 3 2 4 2 2" xfId="11467" xr:uid="{42646268-20E6-49BC-AE9F-5617B7077AF2}"/>
    <cellStyle name="Vírgula 2 5 3 2 4 3" xfId="8299" xr:uid="{61F6348B-6C4A-4405-BB92-8FF1861E152B}"/>
    <cellStyle name="Vírgula 2 5 3 2 5" xfId="3559" xr:uid="{BCAC39B9-DCF4-4BD7-9EDB-C047BF3C79E9}"/>
    <cellStyle name="Vírgula 2 5 3 2 5 2" xfId="9898" xr:uid="{A7F70D0B-909C-44FE-AA82-A330CF94EFD4}"/>
    <cellStyle name="Vírgula 2 5 3 2 6" xfId="6730" xr:uid="{8DB5C886-99A3-44E9-88A0-CF3BE49BEE98}"/>
    <cellStyle name="Vírgula 2 5 3 3" xfId="563" xr:uid="{191B16E3-6061-45E3-9CA6-41F0636B61C7}"/>
    <cellStyle name="Vírgula 2 5 3 3 2" xfId="1362" xr:uid="{2F698FBB-A362-4FE6-B434-10E8DE64CB1D}"/>
    <cellStyle name="Vírgula 2 5 3 3 2 2" xfId="2933" xr:uid="{F645468B-6EFF-4967-B666-4C858E2BA0A7}"/>
    <cellStyle name="Vírgula 2 5 3 3 2 2 2" xfId="6103" xr:uid="{5A3FCEC8-1F4A-4528-A9F0-127C523A9367}"/>
    <cellStyle name="Vírgula 2 5 3 3 2 2 2 2" xfId="12442" xr:uid="{9468C0FB-1237-4774-90B5-A8B7521ADC67}"/>
    <cellStyle name="Vírgula 2 5 3 3 2 2 3" xfId="9274" xr:uid="{CF8653D5-3779-41A2-B4C0-FDB2F00D91DA}"/>
    <cellStyle name="Vírgula 2 5 3 3 2 3" xfId="4534" xr:uid="{1DCBAE8B-E1B6-444F-A823-9CDEE8B656E3}"/>
    <cellStyle name="Vírgula 2 5 3 3 2 3 2" xfId="10873" xr:uid="{200EB68A-1E50-43D4-BB21-69FB5FF07514}"/>
    <cellStyle name="Vírgula 2 5 3 3 2 4" xfId="7705" xr:uid="{92B156A9-5ADD-4AC3-AC4E-113EE3924E53}"/>
    <cellStyle name="Vírgula 2 5 3 3 3" xfId="2136" xr:uid="{7A3F4686-BCE0-4061-8891-D61967EC7B1F}"/>
    <cellStyle name="Vírgula 2 5 3 3 3 2" xfId="5306" xr:uid="{AF405189-0BE1-46F0-87DB-E638417276CE}"/>
    <cellStyle name="Vírgula 2 5 3 3 3 2 2" xfId="11645" xr:uid="{33893B16-567F-47A7-AF67-1D946AF739A4}"/>
    <cellStyle name="Vírgula 2 5 3 3 3 3" xfId="8477" xr:uid="{395E9749-7298-4E1F-8C36-54C8BBDC42E6}"/>
    <cellStyle name="Vírgula 2 5 3 3 4" xfId="3737" xr:uid="{D5AF59B6-208D-4232-9865-579FFDCF3593}"/>
    <cellStyle name="Vírgula 2 5 3 3 4 2" xfId="10076" xr:uid="{8D2A2CD2-74E5-4D10-A1F0-3F845C1E691D}"/>
    <cellStyle name="Vírgula 2 5 3 3 5" xfId="6908" xr:uid="{E8ECD67D-30A0-470D-B053-A1F43D3173DB}"/>
    <cellStyle name="Vírgula 2 5 3 4" xfId="981" xr:uid="{9455B388-EEC3-4A29-B3B8-877295DBE82F}"/>
    <cellStyle name="Vírgula 2 5 3 4 2" xfId="2552" xr:uid="{C5DE7CD1-8C86-4DA5-B4B3-1BA31BB2F6DB}"/>
    <cellStyle name="Vírgula 2 5 3 4 2 2" xfId="5722" xr:uid="{99CD7EB9-1A27-47F6-8C38-A6D0C6479F16}"/>
    <cellStyle name="Vírgula 2 5 3 4 2 2 2" xfId="12061" xr:uid="{6AF0FFD5-65D4-415B-BC65-467D167572D8}"/>
    <cellStyle name="Vírgula 2 5 3 4 2 3" xfId="8893" xr:uid="{50E87520-6718-498E-BC9B-E279C516C50A}"/>
    <cellStyle name="Vírgula 2 5 3 4 3" xfId="4153" xr:uid="{5E9EABB0-123E-463E-AB95-AF2B5FA759B5}"/>
    <cellStyle name="Vírgula 2 5 3 4 3 2" xfId="10492" xr:uid="{A1F204D6-8377-4F3D-98E8-3D26C8435F82}"/>
    <cellStyle name="Vírgula 2 5 3 4 4" xfId="7324" xr:uid="{85C9F0AF-D540-4AE4-8177-2AE4253FF0AE}"/>
    <cellStyle name="Vírgula 2 5 3 5" xfId="1755" xr:uid="{0F3B2781-748C-4FFE-BCA1-C6D4E5BA6D72}"/>
    <cellStyle name="Vírgula 2 5 3 5 2" xfId="4925" xr:uid="{BD9802A9-FEB5-4A10-80EB-68664C6778C8}"/>
    <cellStyle name="Vírgula 2 5 3 5 2 2" xfId="11264" xr:uid="{D2C08527-DBA8-47BB-9629-B452830B8938}"/>
    <cellStyle name="Vírgula 2 5 3 5 3" xfId="8096" xr:uid="{5D493A8D-6D5F-4EC9-A4A0-03E194EDB09A}"/>
    <cellStyle name="Vírgula 2 5 3 6" xfId="3356" xr:uid="{A1F1DDB6-7315-4B7F-BA9C-F4EA5DF1F4C1}"/>
    <cellStyle name="Vírgula 2 5 3 6 2" xfId="9695" xr:uid="{C518EC13-99EE-4918-A4E2-6F237849BF90}"/>
    <cellStyle name="Vírgula 2 5 3 7" xfId="6527" xr:uid="{C065C897-1343-4603-831F-F47D4355FE2A}"/>
    <cellStyle name="Vírgula 2 5 4" xfId="268" xr:uid="{F940AD5A-C6FA-44C2-8419-A65C33073413}"/>
    <cellStyle name="Vírgula 2 5 4 2" xfId="658" xr:uid="{1680BBC0-8624-43D4-8BB6-817817DCB878}"/>
    <cellStyle name="Vírgula 2 5 4 2 2" xfId="1457" xr:uid="{BB4EBB41-DFCB-42EA-9B6B-ACB787E8916F}"/>
    <cellStyle name="Vírgula 2 5 4 2 2 2" xfId="3028" xr:uid="{AF2852BC-A34B-435D-AA81-5A7DED3EEED5}"/>
    <cellStyle name="Vírgula 2 5 4 2 2 2 2" xfId="6198" xr:uid="{15F4E4B3-F883-4A7C-9330-65607908436F}"/>
    <cellStyle name="Vírgula 2 5 4 2 2 2 2 2" xfId="12537" xr:uid="{BBBC5A97-4121-4E68-A534-7266778E7AF0}"/>
    <cellStyle name="Vírgula 2 5 4 2 2 2 3" xfId="9369" xr:uid="{B0DBA5EF-F714-4787-B7C6-66D4CCC999A8}"/>
    <cellStyle name="Vírgula 2 5 4 2 2 3" xfId="4629" xr:uid="{F680E508-31C3-40C6-B0A7-80CEF837D98C}"/>
    <cellStyle name="Vírgula 2 5 4 2 2 3 2" xfId="10968" xr:uid="{12D193AB-A2E4-40F3-B28B-C3FB5E07AF18}"/>
    <cellStyle name="Vírgula 2 5 4 2 2 4" xfId="7800" xr:uid="{F8D22D16-5D2E-4A8A-B75E-C9AB4D5842C2}"/>
    <cellStyle name="Vírgula 2 5 4 2 3" xfId="2231" xr:uid="{F7F92443-4C1E-4BD5-B1E5-1285C4CF6BAE}"/>
    <cellStyle name="Vírgula 2 5 4 2 3 2" xfId="5401" xr:uid="{F974F775-CA00-46E9-B06B-A9D366AB6CD8}"/>
    <cellStyle name="Vírgula 2 5 4 2 3 2 2" xfId="11740" xr:uid="{8037421C-CF08-460A-8917-542ABDF32522}"/>
    <cellStyle name="Vírgula 2 5 4 2 3 3" xfId="8572" xr:uid="{3D6F6292-9293-47BF-93FA-79C0F3F0F54A}"/>
    <cellStyle name="Vírgula 2 5 4 2 4" xfId="3832" xr:uid="{764B8E9E-D066-4E82-B662-9ED80DF8E3A2}"/>
    <cellStyle name="Vírgula 2 5 4 2 4 2" xfId="10171" xr:uid="{564D4019-9178-4B55-A8DA-54C9B27B3AAD}"/>
    <cellStyle name="Vírgula 2 5 4 2 5" xfId="7003" xr:uid="{AD5A7539-FB4B-468D-8B15-29F7E60D37F0}"/>
    <cellStyle name="Vírgula 2 5 4 3" xfId="1076" xr:uid="{837A4522-AEB4-49EB-9A6D-750D56A94FB2}"/>
    <cellStyle name="Vírgula 2 5 4 3 2" xfId="2647" xr:uid="{A2C8E936-ED06-4924-AAFA-0DAD207C0D1F}"/>
    <cellStyle name="Vírgula 2 5 4 3 2 2" xfId="5817" xr:uid="{9A6C4DAB-FB8F-49FC-964F-9B5427CC57B5}"/>
    <cellStyle name="Vírgula 2 5 4 3 2 2 2" xfId="12156" xr:uid="{17D0894D-126D-4C57-A4A7-BEEF2C458B8E}"/>
    <cellStyle name="Vírgula 2 5 4 3 2 3" xfId="8988" xr:uid="{C53D04C2-379E-4077-A99C-A652A0398AE3}"/>
    <cellStyle name="Vírgula 2 5 4 3 3" xfId="4248" xr:uid="{CA9B8D7E-FBE5-44A9-897D-159324009187}"/>
    <cellStyle name="Vírgula 2 5 4 3 3 2" xfId="10587" xr:uid="{664B7DAF-3229-49D3-AE23-F81DF91DFB65}"/>
    <cellStyle name="Vírgula 2 5 4 3 4" xfId="7419" xr:uid="{E41259EA-646C-41B5-8D07-EDAC2487E779}"/>
    <cellStyle name="Vírgula 2 5 4 4" xfId="1850" xr:uid="{271096F6-8B94-4706-A12E-54E88413DB96}"/>
    <cellStyle name="Vírgula 2 5 4 4 2" xfId="5020" xr:uid="{5F368CF6-DD7A-4F42-B633-E37740A48BE6}"/>
    <cellStyle name="Vírgula 2 5 4 4 2 2" xfId="11359" xr:uid="{0A0BD0EC-E8C2-4C49-B17A-3909EE64AD09}"/>
    <cellStyle name="Vírgula 2 5 4 4 3" xfId="8191" xr:uid="{4BDBC316-AB4C-4323-BCF9-6BAEB0CCBB2B}"/>
    <cellStyle name="Vírgula 2 5 4 5" xfId="3451" xr:uid="{95E5A5C5-C7E1-43A2-99A6-2C7DF42C93BA}"/>
    <cellStyle name="Vírgula 2 5 4 5 2" xfId="9790" xr:uid="{7FE42B76-47C7-4909-B71B-3C152FA7CE7C}"/>
    <cellStyle name="Vírgula 2 5 4 6" xfId="6622" xr:uid="{AFCAC3A3-C5A0-429A-A67D-7864AA6863CB}"/>
    <cellStyle name="Vírgula 2 5 5" xfId="873" xr:uid="{6C65B93F-6DB3-47BC-B09D-934BF0512193}"/>
    <cellStyle name="Vírgula 2 5 5 2" xfId="2444" xr:uid="{C23CEDA5-D135-4CB1-8D30-F64EF78EC9D4}"/>
    <cellStyle name="Vírgula 2 5 5 2 2" xfId="5614" xr:uid="{1C7DF07A-048B-41FA-B9B6-3928D38A72E8}"/>
    <cellStyle name="Vírgula 2 5 5 2 2 2" xfId="11953" xr:uid="{0ABBF11A-2130-4046-8956-1E1552949751}"/>
    <cellStyle name="Vírgula 2 5 5 2 3" xfId="8785" xr:uid="{8EC2F627-91DC-4CD3-A9F5-82B98936FE7A}"/>
    <cellStyle name="Vírgula 2 5 5 3" xfId="4045" xr:uid="{D0A4FDDD-A076-4215-88EB-A104BADBE0E4}"/>
    <cellStyle name="Vírgula 2 5 5 3 2" xfId="10384" xr:uid="{3F4872AE-E8BB-4629-8C27-E4DED6886A9B}"/>
    <cellStyle name="Vírgula 2 5 5 4" xfId="7216" xr:uid="{7438A962-AA91-47AB-9D79-BB2E083B0B1C}"/>
    <cellStyle name="Vírgula 2 5 6" xfId="3248" xr:uid="{40D9294E-7B43-44B5-B5B3-598463B9C75D}"/>
    <cellStyle name="Vírgula 2 5 6 2" xfId="9587" xr:uid="{AA870CFC-C629-4409-8C33-A8DBD898A13B}"/>
    <cellStyle name="Vírgula 2 5 7" xfId="6419" xr:uid="{F46E9008-1C95-4646-82C9-74EDAD2B38D5}"/>
    <cellStyle name="Vírgula 2 6" xfId="88" xr:uid="{0C9D3104-021A-47B4-98A9-3F14C3CAE71A}"/>
    <cellStyle name="Vírgula 2 6 2" xfId="174" xr:uid="{B7C0CABD-C40D-4506-8B6E-3F50CBC5D940}"/>
    <cellStyle name="Vírgula 2 6 2 2" xfId="391" xr:uid="{964CC098-4703-45A4-9712-47748B6F3898}"/>
    <cellStyle name="Vírgula 2 6 2 2 2" xfId="772" xr:uid="{379EFEF5-5D6D-4E04-96A8-DD7A06D734B4}"/>
    <cellStyle name="Vírgula 2 6 2 2 2 2" xfId="1571" xr:uid="{91151453-5881-4BD8-B325-DDA2C10D120B}"/>
    <cellStyle name="Vírgula 2 6 2 2 2 2 2" xfId="3142" xr:uid="{5C90AD56-3859-4E36-BA40-8B4248472364}"/>
    <cellStyle name="Vírgula 2 6 2 2 2 2 2 2" xfId="6312" xr:uid="{76F683E4-E7D5-4F7B-989D-8A33827404EC}"/>
    <cellStyle name="Vírgula 2 6 2 2 2 2 2 2 2" xfId="12651" xr:uid="{5BFE45BC-ED42-463B-A3EA-D74D18474F6A}"/>
    <cellStyle name="Vírgula 2 6 2 2 2 2 2 3" xfId="9483" xr:uid="{68E2B1C6-4235-4528-B6F2-AF4CCC38670C}"/>
    <cellStyle name="Vírgula 2 6 2 2 2 2 3" xfId="4743" xr:uid="{74399A62-DD23-42EA-BC23-944835F86DA9}"/>
    <cellStyle name="Vírgula 2 6 2 2 2 2 3 2" xfId="11082" xr:uid="{76C4C5FC-CF4D-41C0-86F0-9838261D5776}"/>
    <cellStyle name="Vírgula 2 6 2 2 2 2 4" xfId="7914" xr:uid="{B5B3CC4F-BB74-4A5D-85D0-B21ECF2049B0}"/>
    <cellStyle name="Vírgula 2 6 2 2 2 3" xfId="2345" xr:uid="{8C6B750F-A679-4BAC-928A-780775B3EA69}"/>
    <cellStyle name="Vírgula 2 6 2 2 2 3 2" xfId="5515" xr:uid="{2E8DE57F-4103-406F-BDB8-49B0BE07AF30}"/>
    <cellStyle name="Vírgula 2 6 2 2 2 3 2 2" xfId="11854" xr:uid="{1CD8B4FF-F756-4129-8E7F-1FB228C36A50}"/>
    <cellStyle name="Vírgula 2 6 2 2 2 3 3" xfId="8686" xr:uid="{9B4E0A35-FBDE-4245-8455-7CCB3F2038DC}"/>
    <cellStyle name="Vírgula 2 6 2 2 2 4" xfId="3946" xr:uid="{DD74C478-D8C3-4B2E-9AA0-68B361196FA1}"/>
    <cellStyle name="Vírgula 2 6 2 2 2 4 2" xfId="10285" xr:uid="{D93C26DF-D2CD-47B2-8D68-351B3971C0BB}"/>
    <cellStyle name="Vírgula 2 6 2 2 2 5" xfId="7117" xr:uid="{1D430CBF-D628-4F80-B2E7-F08948609E48}"/>
    <cellStyle name="Vírgula 2 6 2 2 3" xfId="1190" xr:uid="{A272D754-E93D-4C16-B3D0-BF7D85456D14}"/>
    <cellStyle name="Vírgula 2 6 2 2 3 2" xfId="2761" xr:uid="{34B65C13-01EF-4EC2-AB46-093E4E8E3738}"/>
    <cellStyle name="Vírgula 2 6 2 2 3 2 2" xfId="5931" xr:uid="{55225713-2B70-471B-8E12-EBCACBEA0D80}"/>
    <cellStyle name="Vírgula 2 6 2 2 3 2 2 2" xfId="12270" xr:uid="{F39B927C-BFCD-4740-96F5-867767C8438B}"/>
    <cellStyle name="Vírgula 2 6 2 2 3 2 3" xfId="9102" xr:uid="{C6BD6796-B9B4-4197-A565-F34CC026AC9F}"/>
    <cellStyle name="Vírgula 2 6 2 2 3 3" xfId="4362" xr:uid="{784B8110-525A-4116-8E5C-D70D338DF179}"/>
    <cellStyle name="Vírgula 2 6 2 2 3 3 2" xfId="10701" xr:uid="{BAEF8553-6F05-4A34-9DC7-60DC7B0105B4}"/>
    <cellStyle name="Vírgula 2 6 2 2 3 4" xfId="7533" xr:uid="{7720F875-5D71-449E-B5C5-BE536EE30EA9}"/>
    <cellStyle name="Vírgula 2 6 2 2 4" xfId="1964" xr:uid="{AB690B36-D50F-494E-B899-EEF6DADB7D42}"/>
    <cellStyle name="Vírgula 2 6 2 2 4 2" xfId="5134" xr:uid="{54168F03-0CF4-4335-A33C-33F539E6B260}"/>
    <cellStyle name="Vírgula 2 6 2 2 4 2 2" xfId="11473" xr:uid="{213BA1A9-A741-4797-A1BD-73934C1A109D}"/>
    <cellStyle name="Vírgula 2 6 2 2 4 3" xfId="8305" xr:uid="{08C2966D-9F94-4030-8AB6-88B53F59FDA8}"/>
    <cellStyle name="Vírgula 2 6 2 2 5" xfId="3565" xr:uid="{0C22BE57-913D-42CC-B19A-EFD898DC704E}"/>
    <cellStyle name="Vírgula 2 6 2 2 5 2" xfId="9904" xr:uid="{E26FFBCA-5380-4645-913E-167A82D68218}"/>
    <cellStyle name="Vírgula 2 6 2 2 6" xfId="6736" xr:uid="{EE9B685D-5C9A-4819-AA4F-8CE86FC8A6BF}"/>
    <cellStyle name="Vírgula 2 6 2 3" xfId="569" xr:uid="{BA78621D-097F-4613-B403-9F443EF3D701}"/>
    <cellStyle name="Vírgula 2 6 2 3 2" xfId="1368" xr:uid="{53153305-2216-419F-9079-D7BBB721FFBA}"/>
    <cellStyle name="Vírgula 2 6 2 3 2 2" xfId="2939" xr:uid="{6A294D5D-12DC-43D0-8D26-B722D24F181B}"/>
    <cellStyle name="Vírgula 2 6 2 3 2 2 2" xfId="6109" xr:uid="{3EBD9CA7-AE3F-46C9-8936-17F56658307B}"/>
    <cellStyle name="Vírgula 2 6 2 3 2 2 2 2" xfId="12448" xr:uid="{691C25E4-8766-48FA-8D6B-96D8820B3A25}"/>
    <cellStyle name="Vírgula 2 6 2 3 2 2 3" xfId="9280" xr:uid="{D3D63DE9-97A6-49D9-B5CA-79C321141F26}"/>
    <cellStyle name="Vírgula 2 6 2 3 2 3" xfId="4540" xr:uid="{05FB6A70-1C27-4493-A8B2-EDE22397571D}"/>
    <cellStyle name="Vírgula 2 6 2 3 2 3 2" xfId="10879" xr:uid="{B7CE4746-523A-4863-923E-9422FF08D61B}"/>
    <cellStyle name="Vírgula 2 6 2 3 2 4" xfId="7711" xr:uid="{29CD35C0-256B-430C-ABC0-E59C67E28518}"/>
    <cellStyle name="Vírgula 2 6 2 3 3" xfId="2142" xr:uid="{5227703E-5511-4033-B9BA-AAD2FBDAFF27}"/>
    <cellStyle name="Vírgula 2 6 2 3 3 2" xfId="5312" xr:uid="{99D7D0C6-0FB1-45E1-8F0F-D82CE33EE4B3}"/>
    <cellStyle name="Vírgula 2 6 2 3 3 2 2" xfId="11651" xr:uid="{48127238-0F9C-4CD2-B29D-B9B4FECD0DBC}"/>
    <cellStyle name="Vírgula 2 6 2 3 3 3" xfId="8483" xr:uid="{B5199857-53D7-405A-B200-BADA7B3D713B}"/>
    <cellStyle name="Vírgula 2 6 2 3 4" xfId="3743" xr:uid="{345BBAC5-DCBC-45E2-9F9A-497EBC146933}"/>
    <cellStyle name="Vírgula 2 6 2 3 4 2" xfId="10082" xr:uid="{8DFE92BC-D38F-4663-8E13-C7CB6837C269}"/>
    <cellStyle name="Vírgula 2 6 2 3 5" xfId="6914" xr:uid="{8411BF59-B190-47DF-8B3F-1B64BA34C775}"/>
    <cellStyle name="Vírgula 2 6 2 4" xfId="987" xr:uid="{CEAD2F9A-C1D3-42A5-975E-396C23CE9826}"/>
    <cellStyle name="Vírgula 2 6 2 4 2" xfId="2558" xr:uid="{6771BD51-58E1-4510-8EC1-1E5CB572AD17}"/>
    <cellStyle name="Vírgula 2 6 2 4 2 2" xfId="5728" xr:uid="{C33E6BA7-B8C1-4988-9D84-BEAF2BEFE0B9}"/>
    <cellStyle name="Vírgula 2 6 2 4 2 2 2" xfId="12067" xr:uid="{05EE9D21-D84D-483E-9BF0-70CA4F11A2E0}"/>
    <cellStyle name="Vírgula 2 6 2 4 2 3" xfId="8899" xr:uid="{E3768D21-5544-46D4-B403-73FD512941F5}"/>
    <cellStyle name="Vírgula 2 6 2 4 3" xfId="4159" xr:uid="{33461640-F1F6-4885-9209-D706EA72AED1}"/>
    <cellStyle name="Vírgula 2 6 2 4 3 2" xfId="10498" xr:uid="{60C12F8B-115E-4DD8-91AB-36C57D434208}"/>
    <cellStyle name="Vírgula 2 6 2 4 4" xfId="7330" xr:uid="{EAA40161-8107-4472-8F63-C8AD358E37FB}"/>
    <cellStyle name="Vírgula 2 6 2 5" xfId="1761" xr:uid="{7AC8ACAF-9742-4827-9299-F95D0FBA2BFE}"/>
    <cellStyle name="Vírgula 2 6 2 5 2" xfId="4931" xr:uid="{C81CAAD1-7CCE-4007-8BCD-3D3E30CDDBDC}"/>
    <cellStyle name="Vírgula 2 6 2 5 2 2" xfId="11270" xr:uid="{FCC2F6FB-A4E1-4C43-8FFF-DC730830CF9A}"/>
    <cellStyle name="Vírgula 2 6 2 5 3" xfId="8102" xr:uid="{1702DEBB-6FC1-41FB-B9F3-1773F1115DAF}"/>
    <cellStyle name="Vírgula 2 6 2 6" xfId="3362" xr:uid="{681E8DE0-EC70-4242-8ABE-FF3D6963C2E3}"/>
    <cellStyle name="Vírgula 2 6 2 6 2" xfId="9701" xr:uid="{3A494AA6-0C40-4EA7-9FEC-59652995FE7A}"/>
    <cellStyle name="Vírgula 2 6 2 7" xfId="6533" xr:uid="{EBA947FA-54E0-49B4-A042-BD184E58CFF7}"/>
    <cellStyle name="Vírgula 2 6 3" xfId="309" xr:uid="{75F963C6-1C5E-4371-ADC2-5E5E604113BA}"/>
    <cellStyle name="Vírgula 2 6 3 2" xfId="697" xr:uid="{95E8F2DD-CB30-4A92-8F22-0A1192F99AE4}"/>
    <cellStyle name="Vírgula 2 6 3 2 2" xfId="1496" xr:uid="{29D986BB-ECDD-4D85-A5E7-322A5CC6B44C}"/>
    <cellStyle name="Vírgula 2 6 3 2 2 2" xfId="3067" xr:uid="{1E10DBB0-613C-4EEF-8B0A-96704B950C11}"/>
    <cellStyle name="Vírgula 2 6 3 2 2 2 2" xfId="6237" xr:uid="{70FCA899-7DD6-417B-8D6D-44480A3A18A7}"/>
    <cellStyle name="Vírgula 2 6 3 2 2 2 2 2" xfId="12576" xr:uid="{1082A243-CA8F-4C1F-A499-7A16530D15E7}"/>
    <cellStyle name="Vírgula 2 6 3 2 2 2 3" xfId="9408" xr:uid="{B000B53D-8777-45C2-A492-3A00525E66E9}"/>
    <cellStyle name="Vírgula 2 6 3 2 2 3" xfId="4668" xr:uid="{1FFBB8A8-9528-4023-99B8-51913615238D}"/>
    <cellStyle name="Vírgula 2 6 3 2 2 3 2" xfId="11007" xr:uid="{044F5050-9788-41D3-A1A6-D8F50CBD0224}"/>
    <cellStyle name="Vírgula 2 6 3 2 2 4" xfId="7839" xr:uid="{CCEB7A89-0635-4402-BDCA-BD219FF62B8F}"/>
    <cellStyle name="Vírgula 2 6 3 2 3" xfId="2270" xr:uid="{ADFDC778-0F3B-4217-8D7B-ACDD4CF358A8}"/>
    <cellStyle name="Vírgula 2 6 3 2 3 2" xfId="5440" xr:uid="{48D3A3A5-EF71-4806-B14E-65CEE6946F97}"/>
    <cellStyle name="Vírgula 2 6 3 2 3 2 2" xfId="11779" xr:uid="{1A471EC5-E15E-4B04-9968-28A073C84AC3}"/>
    <cellStyle name="Vírgula 2 6 3 2 3 3" xfId="8611" xr:uid="{984ACBCB-9941-40E4-832B-67E38A0023AA}"/>
    <cellStyle name="Vírgula 2 6 3 2 4" xfId="3871" xr:uid="{173D1525-76D7-4E7E-B251-EB5485E3393C}"/>
    <cellStyle name="Vírgula 2 6 3 2 4 2" xfId="10210" xr:uid="{7F7D0B6C-2705-4746-854F-2ADF491471A2}"/>
    <cellStyle name="Vírgula 2 6 3 2 5" xfId="7042" xr:uid="{04001045-2C58-4149-9080-C4FDAFC35FF2}"/>
    <cellStyle name="Vírgula 2 6 3 3" xfId="1115" xr:uid="{76573087-DC8F-420B-BEE0-E7770B0322D9}"/>
    <cellStyle name="Vírgula 2 6 3 3 2" xfId="2686" xr:uid="{2FF830B3-0FEC-4B8E-8AE7-2096E139389F}"/>
    <cellStyle name="Vírgula 2 6 3 3 2 2" xfId="5856" xr:uid="{50ED3130-7A81-4364-9586-3E01BB53B7F1}"/>
    <cellStyle name="Vírgula 2 6 3 3 2 2 2" xfId="12195" xr:uid="{737F9385-52F4-4770-8035-FD61237ED5BC}"/>
    <cellStyle name="Vírgula 2 6 3 3 2 3" xfId="9027" xr:uid="{1ED183CA-6CE0-43E5-85B4-FBA512EB763E}"/>
    <cellStyle name="Vírgula 2 6 3 3 3" xfId="4287" xr:uid="{EDFAE7EC-5390-4682-BB41-B1460523025C}"/>
    <cellStyle name="Vírgula 2 6 3 3 3 2" xfId="10626" xr:uid="{B58105F3-4AE4-41DB-B72E-533967452E4A}"/>
    <cellStyle name="Vírgula 2 6 3 3 4" xfId="7458" xr:uid="{CA1A37EC-AB3C-4BF4-82E1-A207FF9283BF}"/>
    <cellStyle name="Vírgula 2 6 3 4" xfId="1889" xr:uid="{E22AEC70-35F6-44D7-9A7B-D6C89B42001B}"/>
    <cellStyle name="Vírgula 2 6 3 4 2" xfId="5059" xr:uid="{A7D02253-07B5-4530-8CBA-830DD2198F17}"/>
    <cellStyle name="Vírgula 2 6 3 4 2 2" xfId="11398" xr:uid="{2FA64E6F-8C8D-4B97-88F7-A6B914859E61}"/>
    <cellStyle name="Vírgula 2 6 3 4 3" xfId="8230" xr:uid="{6AEA2DEB-7C83-4CAE-9686-31E7910CE3DA}"/>
    <cellStyle name="Vírgula 2 6 3 5" xfId="3490" xr:uid="{307C5943-03C6-46AD-8762-F67D4ABAA506}"/>
    <cellStyle name="Vírgula 2 6 3 5 2" xfId="9829" xr:uid="{A672EA5D-B17D-4EC4-9CAC-5DE081FD0868}"/>
    <cellStyle name="Vírgula 2 6 3 6" xfId="6661" xr:uid="{11771B31-4053-431C-B5E6-07978D388AE6}"/>
    <cellStyle name="Vírgula 2 6 4" xfId="912" xr:uid="{0A79DA5B-69F7-4950-A0F7-BA3138E22354}"/>
    <cellStyle name="Vírgula 2 6 4 2" xfId="2483" xr:uid="{90ED8A5E-D85C-4E71-8C7E-F8CE62BC9221}"/>
    <cellStyle name="Vírgula 2 6 4 2 2" xfId="5653" xr:uid="{37A47475-DC36-40C2-B1F9-4634C0F23BA5}"/>
    <cellStyle name="Vírgula 2 6 4 2 2 2" xfId="11992" xr:uid="{E83403AE-885D-4808-A06C-711A84A57088}"/>
    <cellStyle name="Vírgula 2 6 4 2 3" xfId="8824" xr:uid="{A5886FCC-ED75-44F2-B9F3-B9366DBC9516}"/>
    <cellStyle name="Vírgula 2 6 4 3" xfId="4084" xr:uid="{B7D0531E-85AF-4223-AAD5-04A4EC00091E}"/>
    <cellStyle name="Vírgula 2 6 4 3 2" xfId="10423" xr:uid="{D0E1C40D-7738-4D61-A9FA-D6A659FC4EBA}"/>
    <cellStyle name="Vírgula 2 6 4 4" xfId="7255" xr:uid="{90559E4C-7924-4941-9790-38E6341D7CAC}"/>
    <cellStyle name="Vírgula 2 6 5" xfId="3287" xr:uid="{37A6EC26-1357-410C-89EE-DBAE810C28E3}"/>
    <cellStyle name="Vírgula 2 6 5 2" xfId="9626" xr:uid="{52E9576B-C4F3-4EE6-9A1F-FF18DA8ED297}"/>
    <cellStyle name="Vírgula 2 6 6" xfId="6458" xr:uid="{2BC415D6-C134-4196-9C5B-417D4CC461F0}"/>
    <cellStyle name="Vírgula 2 7" xfId="99" xr:uid="{10C17B2B-209A-4E05-A889-73806F08ADF9}"/>
    <cellStyle name="Vírgula 2 7 2" xfId="181" xr:uid="{44227C76-0373-412B-90DC-36E529805BFA}"/>
    <cellStyle name="Vírgula 2 7 2 2" xfId="398" xr:uid="{19FBDDA0-5794-4382-A29D-2C031D995EEF}"/>
    <cellStyle name="Vírgula 2 7 2 2 2" xfId="779" xr:uid="{6792615E-9DE9-440F-A5D5-560BF402CAE4}"/>
    <cellStyle name="Vírgula 2 7 2 2 2 2" xfId="1578" xr:uid="{1BA660E7-E1AD-4AC8-B281-8047E29A2FC9}"/>
    <cellStyle name="Vírgula 2 7 2 2 2 2 2" xfId="3149" xr:uid="{68EDD41D-7DF4-43B3-BBD5-A5520392F0D3}"/>
    <cellStyle name="Vírgula 2 7 2 2 2 2 2 2" xfId="6319" xr:uid="{97BEAC2E-1F2B-4F4D-A1D6-E2AAEDDB50EE}"/>
    <cellStyle name="Vírgula 2 7 2 2 2 2 2 2 2" xfId="12658" xr:uid="{05C4768E-3CE3-4B37-8797-F522F3F9BDEE}"/>
    <cellStyle name="Vírgula 2 7 2 2 2 2 2 3" xfId="9490" xr:uid="{1A1BDE65-30F0-4D00-B3AD-D9DDF18DEC99}"/>
    <cellStyle name="Vírgula 2 7 2 2 2 2 3" xfId="4750" xr:uid="{DAF10E6C-54C7-49E8-8974-A7320C7D8239}"/>
    <cellStyle name="Vírgula 2 7 2 2 2 2 3 2" xfId="11089" xr:uid="{54143051-5676-4271-8849-A14DFE023656}"/>
    <cellStyle name="Vírgula 2 7 2 2 2 2 4" xfId="7921" xr:uid="{6DF41944-8D64-45C9-B93E-F468578A3632}"/>
    <cellStyle name="Vírgula 2 7 2 2 2 3" xfId="2352" xr:uid="{CD0BC530-960B-4A64-A803-3F1DC08F3C0F}"/>
    <cellStyle name="Vírgula 2 7 2 2 2 3 2" xfId="5522" xr:uid="{DB119B1B-A11B-45F5-8C95-914E5473688F}"/>
    <cellStyle name="Vírgula 2 7 2 2 2 3 2 2" xfId="11861" xr:uid="{89957163-4B18-4476-8825-4D7D346D9045}"/>
    <cellStyle name="Vírgula 2 7 2 2 2 3 3" xfId="8693" xr:uid="{448BAE50-824A-4D20-80A7-7A73596E0B73}"/>
    <cellStyle name="Vírgula 2 7 2 2 2 4" xfId="3953" xr:uid="{DEEF690A-E1E5-4A55-9E94-8CEDF24A87DB}"/>
    <cellStyle name="Vírgula 2 7 2 2 2 4 2" xfId="10292" xr:uid="{1EE36709-2147-4195-8069-E1AAAE8B2FB5}"/>
    <cellStyle name="Vírgula 2 7 2 2 2 5" xfId="7124" xr:uid="{83E9E59E-6AA3-4CCD-ABB1-5D73ABD49274}"/>
    <cellStyle name="Vírgula 2 7 2 2 3" xfId="1197" xr:uid="{E73F5658-C39F-4CE4-89BE-907545E0E2B0}"/>
    <cellStyle name="Vírgula 2 7 2 2 3 2" xfId="2768" xr:uid="{BC1AD0BB-4A5D-431E-B9FF-EB4B7339CD1D}"/>
    <cellStyle name="Vírgula 2 7 2 2 3 2 2" xfId="5938" xr:uid="{D13D5622-F16F-4F8C-BA81-E1C46BF89BC1}"/>
    <cellStyle name="Vírgula 2 7 2 2 3 2 2 2" xfId="12277" xr:uid="{21CD4167-11F6-46EC-A95E-1633FB5C4ADE}"/>
    <cellStyle name="Vírgula 2 7 2 2 3 2 3" xfId="9109" xr:uid="{F432B908-E3AD-4943-9938-03203F14BA39}"/>
    <cellStyle name="Vírgula 2 7 2 2 3 3" xfId="4369" xr:uid="{332F0E24-2116-41B8-A0FE-98E8B89EC63E}"/>
    <cellStyle name="Vírgula 2 7 2 2 3 3 2" xfId="10708" xr:uid="{98885992-7939-4E11-96CD-DFCB36DEBE4A}"/>
    <cellStyle name="Vírgula 2 7 2 2 3 4" xfId="7540" xr:uid="{6512C299-526A-4D29-8F2F-AF6E592D1214}"/>
    <cellStyle name="Vírgula 2 7 2 2 4" xfId="1971" xr:uid="{FFAA8D75-A21C-41C1-88EA-D6145244298F}"/>
    <cellStyle name="Vírgula 2 7 2 2 4 2" xfId="5141" xr:uid="{870D5360-5CFE-4779-98B3-0AC11C61404D}"/>
    <cellStyle name="Vírgula 2 7 2 2 4 2 2" xfId="11480" xr:uid="{192EA6B5-BEFC-485A-8E73-1DD619F2D943}"/>
    <cellStyle name="Vírgula 2 7 2 2 4 3" xfId="8312" xr:uid="{F32A7FE4-3EA0-4E79-8071-53E26C591E08}"/>
    <cellStyle name="Vírgula 2 7 2 2 5" xfId="3572" xr:uid="{1D6FA5A5-AF29-4383-9361-115F652592CA}"/>
    <cellStyle name="Vírgula 2 7 2 2 5 2" xfId="9911" xr:uid="{78A5F43E-D8E0-418D-A57E-C38CA7D42841}"/>
    <cellStyle name="Vírgula 2 7 2 2 6" xfId="6743" xr:uid="{528CA8A6-0925-4A3C-A17E-0101ADC4E673}"/>
    <cellStyle name="Vírgula 2 7 2 3" xfId="576" xr:uid="{66BF59B8-EEDF-4FFF-A1FD-E6EF4D72ACFF}"/>
    <cellStyle name="Vírgula 2 7 2 3 2" xfId="1375" xr:uid="{7002EF74-9313-4FA1-BF72-11226381374C}"/>
    <cellStyle name="Vírgula 2 7 2 3 2 2" xfId="2946" xr:uid="{94B2C6A8-FA78-466C-8EFB-25CCDD5F7307}"/>
    <cellStyle name="Vírgula 2 7 2 3 2 2 2" xfId="6116" xr:uid="{EE50BDD6-D374-4773-9A47-8B3E3A46B506}"/>
    <cellStyle name="Vírgula 2 7 2 3 2 2 2 2" xfId="12455" xr:uid="{901A6211-E446-41B5-976D-D4273B4EB93B}"/>
    <cellStyle name="Vírgula 2 7 2 3 2 2 3" xfId="9287" xr:uid="{E4D30525-AEB5-45CD-B5F9-5F8E0882D0EF}"/>
    <cellStyle name="Vírgula 2 7 2 3 2 3" xfId="4547" xr:uid="{5AFED182-337D-4C70-A3B7-2111296140EC}"/>
    <cellStyle name="Vírgula 2 7 2 3 2 3 2" xfId="10886" xr:uid="{88F60414-ABA4-4A37-BE0B-ABC8BAF1ACF0}"/>
    <cellStyle name="Vírgula 2 7 2 3 2 4" xfId="7718" xr:uid="{F6C151B4-58BA-4C50-99FC-16B256DD256D}"/>
    <cellStyle name="Vírgula 2 7 2 3 3" xfId="2149" xr:uid="{C4F31364-1CA9-4909-9EC5-89942291E638}"/>
    <cellStyle name="Vírgula 2 7 2 3 3 2" xfId="5319" xr:uid="{FEF952E4-7A89-4BCB-96FD-B4C7EFAAD567}"/>
    <cellStyle name="Vírgula 2 7 2 3 3 2 2" xfId="11658" xr:uid="{A7D19ECF-08F6-460D-B8EF-AC7593CDA3E2}"/>
    <cellStyle name="Vírgula 2 7 2 3 3 3" xfId="8490" xr:uid="{59CBBF9B-81DD-4F0E-9E3F-060DDBCBD0B4}"/>
    <cellStyle name="Vírgula 2 7 2 3 4" xfId="3750" xr:uid="{68CEB3CA-73AD-4D8E-949A-049F100047B5}"/>
    <cellStyle name="Vírgula 2 7 2 3 4 2" xfId="10089" xr:uid="{6891155E-0677-4FB8-B4BE-41E00EC6627B}"/>
    <cellStyle name="Vírgula 2 7 2 3 5" xfId="6921" xr:uid="{8F30DBBE-36B1-4C52-AEEF-EF83E957796B}"/>
    <cellStyle name="Vírgula 2 7 2 4" xfId="994" xr:uid="{C21F8534-2745-47A0-861B-18DF6DC82C8D}"/>
    <cellStyle name="Vírgula 2 7 2 4 2" xfId="2565" xr:uid="{83F22925-69B0-43D5-8FDF-8F0390C5F5A5}"/>
    <cellStyle name="Vírgula 2 7 2 4 2 2" xfId="5735" xr:uid="{5DF02CAB-CED8-4ADC-8C55-D4CC21C9023A}"/>
    <cellStyle name="Vírgula 2 7 2 4 2 2 2" xfId="12074" xr:uid="{A7204F3F-4086-4474-9ABA-DA9644B4BF84}"/>
    <cellStyle name="Vírgula 2 7 2 4 2 3" xfId="8906" xr:uid="{A1935980-5DDB-45E7-84F0-1E637F11FF7E}"/>
    <cellStyle name="Vírgula 2 7 2 4 3" xfId="4166" xr:uid="{D3AC69A0-55AA-4AD4-A152-16CB52DB0B64}"/>
    <cellStyle name="Vírgula 2 7 2 4 3 2" xfId="10505" xr:uid="{C1564648-EACF-4C4E-AECA-8575823F56A4}"/>
    <cellStyle name="Vírgula 2 7 2 4 4" xfId="7337" xr:uid="{8829C5DE-F628-4118-ADB8-5EB69FF0A8ED}"/>
    <cellStyle name="Vírgula 2 7 2 5" xfId="1768" xr:uid="{68685EEB-F681-4CAF-9B9F-2FE32FBD2C1A}"/>
    <cellStyle name="Vírgula 2 7 2 5 2" xfId="4938" xr:uid="{1084728B-4F9F-45F7-BD03-98086F470793}"/>
    <cellStyle name="Vírgula 2 7 2 5 2 2" xfId="11277" xr:uid="{32A6C731-B4C3-46E6-99DF-1EB65D89E097}"/>
    <cellStyle name="Vírgula 2 7 2 5 3" xfId="8109" xr:uid="{54011A4D-8A25-4973-82E3-00E55AEB2144}"/>
    <cellStyle name="Vírgula 2 7 2 6" xfId="3369" xr:uid="{A488A625-E74B-4FE4-BD60-3E4F9F016F88}"/>
    <cellStyle name="Vírgula 2 7 2 6 2" xfId="9708" xr:uid="{A24ACB11-123A-4CAA-AF80-E7012027AA17}"/>
    <cellStyle name="Vírgula 2 7 2 7" xfId="6540" xr:uid="{E2D034B2-C7B7-4AA1-94E7-F2446F55B5E7}"/>
    <cellStyle name="Vírgula 2 7 3" xfId="316" xr:uid="{F28F4748-7A7D-4E6A-9BBF-D9A2F88EA58C}"/>
    <cellStyle name="Vírgula 2 7 3 2" xfId="703" xr:uid="{0B74733E-DAED-48FE-AE9A-75A7FA196B35}"/>
    <cellStyle name="Vírgula 2 7 3 2 2" xfId="1502" xr:uid="{F53F7D94-6D49-4D98-B696-C703C6267F10}"/>
    <cellStyle name="Vírgula 2 7 3 2 2 2" xfId="3073" xr:uid="{759C9F06-6E25-4DAA-8D29-2630EA0470C8}"/>
    <cellStyle name="Vírgula 2 7 3 2 2 2 2" xfId="6243" xr:uid="{B946E080-5284-4798-AFBB-2324054E2627}"/>
    <cellStyle name="Vírgula 2 7 3 2 2 2 2 2" xfId="12582" xr:uid="{3634585C-310F-42C6-B683-2A2463A942E5}"/>
    <cellStyle name="Vírgula 2 7 3 2 2 2 3" xfId="9414" xr:uid="{23979607-3E04-4664-A6D7-AF681B925E7E}"/>
    <cellStyle name="Vírgula 2 7 3 2 2 3" xfId="4674" xr:uid="{A90F2FEE-1D01-4FA8-8737-BA2E9D6C4A03}"/>
    <cellStyle name="Vírgula 2 7 3 2 2 3 2" xfId="11013" xr:uid="{82B4948F-4954-4566-9F8E-776E39364D55}"/>
    <cellStyle name="Vírgula 2 7 3 2 2 4" xfId="7845" xr:uid="{36B420D4-3AEC-46F7-9B6D-E2756B674C38}"/>
    <cellStyle name="Vírgula 2 7 3 2 3" xfId="2276" xr:uid="{943B4578-6E63-4923-A17A-7F66F7CE4CB7}"/>
    <cellStyle name="Vírgula 2 7 3 2 3 2" xfId="5446" xr:uid="{F5936341-1926-44BC-B477-9A3CFD625920}"/>
    <cellStyle name="Vírgula 2 7 3 2 3 2 2" xfId="11785" xr:uid="{2FCCF29D-18D0-4E75-897F-A3E20B727BF9}"/>
    <cellStyle name="Vírgula 2 7 3 2 3 3" xfId="8617" xr:uid="{0DC58C14-25FC-4512-842A-5C6A4B8059F1}"/>
    <cellStyle name="Vírgula 2 7 3 2 4" xfId="3877" xr:uid="{2B445438-E905-4580-9CF1-C995FF1A4640}"/>
    <cellStyle name="Vírgula 2 7 3 2 4 2" xfId="10216" xr:uid="{019BE0BD-25DB-4E89-A231-9066AF950507}"/>
    <cellStyle name="Vírgula 2 7 3 2 5" xfId="7048" xr:uid="{A17E4D74-76CA-46F3-AC9C-F5E1B848FFE2}"/>
    <cellStyle name="Vírgula 2 7 3 3" xfId="1121" xr:uid="{F57901B3-B2AA-45BB-8888-28544563CA02}"/>
    <cellStyle name="Vírgula 2 7 3 3 2" xfId="2692" xr:uid="{FE19868B-79DC-4E7E-8749-D56E36160C69}"/>
    <cellStyle name="Vírgula 2 7 3 3 2 2" xfId="5862" xr:uid="{B43DB4DC-6F4F-4100-AB42-5353966E9641}"/>
    <cellStyle name="Vírgula 2 7 3 3 2 2 2" xfId="12201" xr:uid="{16C234B3-FD30-4EFC-8EEB-72A1543A7A88}"/>
    <cellStyle name="Vírgula 2 7 3 3 2 3" xfId="9033" xr:uid="{3E8ABB61-BA3F-453F-8B3A-7712B64C4967}"/>
    <cellStyle name="Vírgula 2 7 3 3 3" xfId="4293" xr:uid="{9D3CAB8D-B17F-4ECE-B265-3E4523733FDC}"/>
    <cellStyle name="Vírgula 2 7 3 3 3 2" xfId="10632" xr:uid="{A39A4F54-64D2-49B9-82FC-EB99F4D38A78}"/>
    <cellStyle name="Vírgula 2 7 3 3 4" xfId="7464" xr:uid="{C0F326C5-7B00-4DDC-BC3F-2285F2ED82A0}"/>
    <cellStyle name="Vírgula 2 7 3 4" xfId="1895" xr:uid="{1F31AAFE-A054-4838-A2FC-35C59C57F250}"/>
    <cellStyle name="Vírgula 2 7 3 4 2" xfId="5065" xr:uid="{0EA794F4-BE2E-47E2-B429-B0CE778740C0}"/>
    <cellStyle name="Vírgula 2 7 3 4 2 2" xfId="11404" xr:uid="{7069E0D0-8B00-4850-9434-6C386A495AB3}"/>
    <cellStyle name="Vírgula 2 7 3 4 3" xfId="8236" xr:uid="{9C5EEBC3-D525-473F-A3A0-2A6023317ECE}"/>
    <cellStyle name="Vírgula 2 7 3 5" xfId="3496" xr:uid="{00A2985F-9BF9-4272-9E24-D4265B66E905}"/>
    <cellStyle name="Vírgula 2 7 3 5 2" xfId="9835" xr:uid="{FC5C1A55-703E-4FCC-9BB4-851425EBD5A1}"/>
    <cellStyle name="Vírgula 2 7 3 6" xfId="6667" xr:uid="{4F05B21A-7096-4496-AF9A-CE1D76A031FF}"/>
    <cellStyle name="Vírgula 2 7 4" xfId="918" xr:uid="{036B9C3F-5FCF-4B46-9CA2-C627DE89675F}"/>
    <cellStyle name="Vírgula 2 7 4 2" xfId="2489" xr:uid="{17BCC3BB-B291-499A-A57D-37D9EB9F5661}"/>
    <cellStyle name="Vírgula 2 7 4 2 2" xfId="5659" xr:uid="{168CD5C9-6730-4A3A-97E5-6671D7E05623}"/>
    <cellStyle name="Vírgula 2 7 4 2 2 2" xfId="11998" xr:uid="{E2A4EA8D-5FF3-4861-90BD-6906D6D59232}"/>
    <cellStyle name="Vírgula 2 7 4 2 3" xfId="8830" xr:uid="{4CD03A52-CF00-4CB1-8ACB-2972F85D999B}"/>
    <cellStyle name="Vírgula 2 7 4 3" xfId="4090" xr:uid="{9DA49A51-881D-4B3A-B462-87A0DF7C59D5}"/>
    <cellStyle name="Vírgula 2 7 4 3 2" xfId="10429" xr:uid="{94716B07-6DB0-4F53-AD99-43521FB12DDC}"/>
    <cellStyle name="Vírgula 2 7 4 4" xfId="7261" xr:uid="{AD4F8F42-09F1-4BB4-87EB-20FFCB6D9B8A}"/>
    <cellStyle name="Vírgula 2 7 5" xfId="3293" xr:uid="{145A2931-1EE8-43AB-8E99-FA508C3B149D}"/>
    <cellStyle name="Vírgula 2 7 5 2" xfId="9632" xr:uid="{73BE2027-240B-48B1-99C0-130B31E99DCB}"/>
    <cellStyle name="Vírgula 2 7 6" xfId="6464" xr:uid="{1B224F1E-A2C9-4767-BEAF-F7CB3DE44955}"/>
    <cellStyle name="Vírgula 2 8" xfId="104" xr:uid="{3E56E38C-7807-472F-B85A-A42F964065B7}"/>
    <cellStyle name="Vírgula 2 8 2" xfId="186" xr:uid="{78992A66-8CED-4057-B82A-1C73D1D67CC7}"/>
    <cellStyle name="Vírgula 2 8 2 2" xfId="403" xr:uid="{3D139E58-3A66-46D2-B856-41D5640265C3}"/>
    <cellStyle name="Vírgula 2 8 2 2 2" xfId="784" xr:uid="{49EA080D-5D22-463D-A479-AF572996E9BE}"/>
    <cellStyle name="Vírgula 2 8 2 2 2 2" xfId="1583" xr:uid="{15FF486B-6629-4750-88DE-EA765E774786}"/>
    <cellStyle name="Vírgula 2 8 2 2 2 2 2" xfId="3154" xr:uid="{3A2560B0-130C-46CF-AB7F-377F2C68E9D1}"/>
    <cellStyle name="Vírgula 2 8 2 2 2 2 2 2" xfId="6324" xr:uid="{98CAFBBD-0E01-46C3-84AD-7F799A162F82}"/>
    <cellStyle name="Vírgula 2 8 2 2 2 2 2 2 2" xfId="12663" xr:uid="{7EBD41FE-579F-40CB-9B24-8CF90117C905}"/>
    <cellStyle name="Vírgula 2 8 2 2 2 2 2 3" xfId="9495" xr:uid="{DECC5A42-455A-42D0-BC0A-794F72DF274A}"/>
    <cellStyle name="Vírgula 2 8 2 2 2 2 3" xfId="4755" xr:uid="{14D9DB4B-0B93-4F90-8A81-4EDAE5A6A3C0}"/>
    <cellStyle name="Vírgula 2 8 2 2 2 2 3 2" xfId="11094" xr:uid="{F4C63EBD-64A7-4B26-859A-662E18E304C1}"/>
    <cellStyle name="Vírgula 2 8 2 2 2 2 4" xfId="7926" xr:uid="{7067FF23-A6CD-483D-A75C-E00EC556CD00}"/>
    <cellStyle name="Vírgula 2 8 2 2 2 3" xfId="2357" xr:uid="{1F14271B-3B23-47AC-9C99-40FC1053445F}"/>
    <cellStyle name="Vírgula 2 8 2 2 2 3 2" xfId="5527" xr:uid="{BEC702DE-F3AE-4A99-8173-10A9E9430D86}"/>
    <cellStyle name="Vírgula 2 8 2 2 2 3 2 2" xfId="11866" xr:uid="{D2A77200-E1B9-4C98-80A2-BF2F4EBD82A6}"/>
    <cellStyle name="Vírgula 2 8 2 2 2 3 3" xfId="8698" xr:uid="{353B461C-3332-4333-A280-624CB84BAB4D}"/>
    <cellStyle name="Vírgula 2 8 2 2 2 4" xfId="3958" xr:uid="{D7DADAFC-795C-4BE6-B6AA-A83F7451318E}"/>
    <cellStyle name="Vírgula 2 8 2 2 2 4 2" xfId="10297" xr:uid="{2CF26326-C0BD-4150-A25E-B9DF351A109B}"/>
    <cellStyle name="Vírgula 2 8 2 2 2 5" xfId="7129" xr:uid="{BE05EF9A-1B93-44C8-A6D2-A6D430AEACF1}"/>
    <cellStyle name="Vírgula 2 8 2 2 3" xfId="1202" xr:uid="{D270EB4F-4B2E-4345-865C-4787623F2661}"/>
    <cellStyle name="Vírgula 2 8 2 2 3 2" xfId="2773" xr:uid="{FA9A8EF3-FA0C-41FA-8555-D9A8C6B03F03}"/>
    <cellStyle name="Vírgula 2 8 2 2 3 2 2" xfId="5943" xr:uid="{165B365F-3716-47D7-9E02-CB1E39D14253}"/>
    <cellStyle name="Vírgula 2 8 2 2 3 2 2 2" xfId="12282" xr:uid="{8F5604BD-A980-4D66-B8AB-235E73446846}"/>
    <cellStyle name="Vírgula 2 8 2 2 3 2 3" xfId="9114" xr:uid="{2D9C1BFC-5912-42B6-845A-FAABDF820036}"/>
    <cellStyle name="Vírgula 2 8 2 2 3 3" xfId="4374" xr:uid="{36D68477-CB1D-4E89-ACC6-DE1FFB28AEB8}"/>
    <cellStyle name="Vírgula 2 8 2 2 3 3 2" xfId="10713" xr:uid="{C66E4236-8632-4C5F-B432-BC54D2177CD9}"/>
    <cellStyle name="Vírgula 2 8 2 2 3 4" xfId="7545" xr:uid="{2749CD4E-B551-4026-BE0F-973B55921F30}"/>
    <cellStyle name="Vírgula 2 8 2 2 4" xfId="1976" xr:uid="{1FAD37E7-67F9-4B72-8879-34523A1CD8E6}"/>
    <cellStyle name="Vírgula 2 8 2 2 4 2" xfId="5146" xr:uid="{725AB79C-7374-47DB-8FC3-874F01F28511}"/>
    <cellStyle name="Vírgula 2 8 2 2 4 2 2" xfId="11485" xr:uid="{93099BB8-BF46-44D5-9790-BADAEBF0CE57}"/>
    <cellStyle name="Vírgula 2 8 2 2 4 3" xfId="8317" xr:uid="{CADFC8B2-6AB8-488C-8FCF-5FF27595C1E1}"/>
    <cellStyle name="Vírgula 2 8 2 2 5" xfId="3577" xr:uid="{0925538E-BD05-4A44-A450-D9F59DCBF7A9}"/>
    <cellStyle name="Vírgula 2 8 2 2 5 2" xfId="9916" xr:uid="{C732D98F-1AD8-4EF7-BE3F-D19313893C49}"/>
    <cellStyle name="Vírgula 2 8 2 2 6" xfId="6748" xr:uid="{278AA1E3-BDA3-4E64-9496-4AF52CD87DCD}"/>
    <cellStyle name="Vírgula 2 8 2 3" xfId="581" xr:uid="{DAC1B0DD-73C6-4399-8B1E-C6A2226DB701}"/>
    <cellStyle name="Vírgula 2 8 2 3 2" xfId="1380" xr:uid="{3386DD5D-A92B-45F7-B45A-F3790C3B55A8}"/>
    <cellStyle name="Vírgula 2 8 2 3 2 2" xfId="2951" xr:uid="{4A267985-5F66-400E-B563-1A08F174A58A}"/>
    <cellStyle name="Vírgula 2 8 2 3 2 2 2" xfId="6121" xr:uid="{B64B0C56-6C1F-4B55-ABC9-F761C52C7172}"/>
    <cellStyle name="Vírgula 2 8 2 3 2 2 2 2" xfId="12460" xr:uid="{3B8722E7-334B-4386-8A47-EEE7C5740EB0}"/>
    <cellStyle name="Vírgula 2 8 2 3 2 2 3" xfId="9292" xr:uid="{6A3575C2-3D25-4683-9E42-D4C82958930A}"/>
    <cellStyle name="Vírgula 2 8 2 3 2 3" xfId="4552" xr:uid="{72E74688-8020-4871-8238-F7A1B95C5A90}"/>
    <cellStyle name="Vírgula 2 8 2 3 2 3 2" xfId="10891" xr:uid="{B8421DF3-691D-4AE6-98BC-BF5977F0AEA4}"/>
    <cellStyle name="Vírgula 2 8 2 3 2 4" xfId="7723" xr:uid="{52B5D31A-3689-46E5-A915-896550118DF7}"/>
    <cellStyle name="Vírgula 2 8 2 3 3" xfId="2154" xr:uid="{CF85DEC3-03C0-49B0-A683-84A2270B9818}"/>
    <cellStyle name="Vírgula 2 8 2 3 3 2" xfId="5324" xr:uid="{E8330AB6-81A0-4092-A376-7083673F302C}"/>
    <cellStyle name="Vírgula 2 8 2 3 3 2 2" xfId="11663" xr:uid="{6621176D-FED3-4183-8932-E51004F40089}"/>
    <cellStyle name="Vírgula 2 8 2 3 3 3" xfId="8495" xr:uid="{981C3DBF-35E5-4CFA-9EED-7E17D57ECC35}"/>
    <cellStyle name="Vírgula 2 8 2 3 4" xfId="3755" xr:uid="{746A20FE-2CCC-4F15-B11A-FAC474DC767E}"/>
    <cellStyle name="Vírgula 2 8 2 3 4 2" xfId="10094" xr:uid="{339480EA-BE23-4285-AB23-ABE1645390C5}"/>
    <cellStyle name="Vírgula 2 8 2 3 5" xfId="6926" xr:uid="{80398F0A-BD12-4185-AF5D-17DE04120057}"/>
    <cellStyle name="Vírgula 2 8 2 4" xfId="999" xr:uid="{EFF4A373-3763-4F58-BE23-F900FB092EFD}"/>
    <cellStyle name="Vírgula 2 8 2 4 2" xfId="2570" xr:uid="{DF5ADD53-AE94-4B40-80C0-1F77DDCD34CD}"/>
    <cellStyle name="Vírgula 2 8 2 4 2 2" xfId="5740" xr:uid="{3B3EB71A-8011-4531-81A6-1986EC8270A2}"/>
    <cellStyle name="Vírgula 2 8 2 4 2 2 2" xfId="12079" xr:uid="{E9CBC9DF-96FF-48B2-841A-274C2AB555EE}"/>
    <cellStyle name="Vírgula 2 8 2 4 2 3" xfId="8911" xr:uid="{6C68447D-B9D4-4C33-B0D4-88AD62495FC4}"/>
    <cellStyle name="Vírgula 2 8 2 4 3" xfId="4171" xr:uid="{96F249B3-F16D-4897-BD96-661DC92CFEB9}"/>
    <cellStyle name="Vírgula 2 8 2 4 3 2" xfId="10510" xr:uid="{ADD5AA6E-0F9B-470E-B37F-97EE7494AB3D}"/>
    <cellStyle name="Vírgula 2 8 2 4 4" xfId="7342" xr:uid="{3252ED4D-7C35-4B22-A645-B19B3FA15840}"/>
    <cellStyle name="Vírgula 2 8 2 5" xfId="1773" xr:uid="{95488418-8CF8-47A2-B2DD-CB0E4272FDA4}"/>
    <cellStyle name="Vírgula 2 8 2 5 2" xfId="4943" xr:uid="{F760C3BB-E4C0-4199-9069-9A2ED4FEA6AA}"/>
    <cellStyle name="Vírgula 2 8 2 5 2 2" xfId="11282" xr:uid="{BB2CD962-32E6-46BF-9870-9F33824D6890}"/>
    <cellStyle name="Vírgula 2 8 2 5 3" xfId="8114" xr:uid="{4742F3FD-3FB7-4B8E-B04D-544968666C12}"/>
    <cellStyle name="Vírgula 2 8 2 6" xfId="3374" xr:uid="{1A6DCA62-0096-4B8B-8444-29ECBA36393C}"/>
    <cellStyle name="Vírgula 2 8 2 6 2" xfId="9713" xr:uid="{A38742EB-2265-4C68-8F0F-57AB0158E3FE}"/>
    <cellStyle name="Vírgula 2 8 2 7" xfId="6545" xr:uid="{0B12C981-C809-42BA-B1A8-D6DA5C6058B0}"/>
    <cellStyle name="Vírgula 2 8 3" xfId="321" xr:uid="{E52E5FA9-288B-48B7-A0B8-8F3D69EA0AF6}"/>
    <cellStyle name="Vírgula 2 8 3 2" xfId="707" xr:uid="{CF39E1DA-4B73-40CF-AB30-C401CACC1825}"/>
    <cellStyle name="Vírgula 2 8 3 2 2" xfId="1506" xr:uid="{7ECABA82-5CA7-4DDF-8ED1-9ADF29AEA599}"/>
    <cellStyle name="Vírgula 2 8 3 2 2 2" xfId="3077" xr:uid="{FF072CBF-DA59-49F6-9D65-D5BBFC2F865D}"/>
    <cellStyle name="Vírgula 2 8 3 2 2 2 2" xfId="6247" xr:uid="{80EC3D1B-2124-4EF2-A1A4-DD2C6CA71C63}"/>
    <cellStyle name="Vírgula 2 8 3 2 2 2 2 2" xfId="12586" xr:uid="{8985BC8B-B5A8-49DF-8D85-D536F5922201}"/>
    <cellStyle name="Vírgula 2 8 3 2 2 2 3" xfId="9418" xr:uid="{E429BBD5-7C46-464E-BC23-7625F39B357E}"/>
    <cellStyle name="Vírgula 2 8 3 2 2 3" xfId="4678" xr:uid="{09655E10-EFBF-408F-9D6F-34DBD63EDB85}"/>
    <cellStyle name="Vírgula 2 8 3 2 2 3 2" xfId="11017" xr:uid="{440F0C36-8278-4F6E-A038-3D42E45C120F}"/>
    <cellStyle name="Vírgula 2 8 3 2 2 4" xfId="7849" xr:uid="{7B8091E9-5DA0-430C-B6D9-1B35F962B4E7}"/>
    <cellStyle name="Vírgula 2 8 3 2 3" xfId="2280" xr:uid="{ACE8C238-3DA0-4FAB-BC35-1E91F6313909}"/>
    <cellStyle name="Vírgula 2 8 3 2 3 2" xfId="5450" xr:uid="{25EA8491-8294-421F-AEEB-863504C9E1FC}"/>
    <cellStyle name="Vírgula 2 8 3 2 3 2 2" xfId="11789" xr:uid="{2DEF3CB9-9802-47A4-9DEA-6CBEB4798A72}"/>
    <cellStyle name="Vírgula 2 8 3 2 3 3" xfId="8621" xr:uid="{B56837CF-2AD9-4A3C-86EE-F4BDEB8E06AE}"/>
    <cellStyle name="Vírgula 2 8 3 2 4" xfId="3881" xr:uid="{82554A61-5949-4DFC-B8FB-E988289229B0}"/>
    <cellStyle name="Vírgula 2 8 3 2 4 2" xfId="10220" xr:uid="{470B6759-D778-4A13-926D-9687C28C3769}"/>
    <cellStyle name="Vírgula 2 8 3 2 5" xfId="7052" xr:uid="{6B501742-28E0-44AF-B0EA-854A78E7BCE1}"/>
    <cellStyle name="Vírgula 2 8 3 3" xfId="1125" xr:uid="{412FA2F1-13CE-46B6-93F5-2641F9D94CC9}"/>
    <cellStyle name="Vírgula 2 8 3 3 2" xfId="2696" xr:uid="{9EA8D433-C095-4673-A95A-1C8B1604D748}"/>
    <cellStyle name="Vírgula 2 8 3 3 2 2" xfId="5866" xr:uid="{C0CB528E-1B55-417B-A5C3-E6F92FA0A4A3}"/>
    <cellStyle name="Vírgula 2 8 3 3 2 2 2" xfId="12205" xr:uid="{3F5DE0AA-27E6-4D91-B82A-DFA6016ECE7D}"/>
    <cellStyle name="Vírgula 2 8 3 3 2 3" xfId="9037" xr:uid="{BBBC7997-D85F-475F-BB7B-AC5853E4BEE8}"/>
    <cellStyle name="Vírgula 2 8 3 3 3" xfId="4297" xr:uid="{D83D4649-8124-4077-90D9-65D6B0C055F6}"/>
    <cellStyle name="Vírgula 2 8 3 3 3 2" xfId="10636" xr:uid="{75FC24B2-3664-4697-B367-C62F555D471D}"/>
    <cellStyle name="Vírgula 2 8 3 3 4" xfId="7468" xr:uid="{E0627571-7A22-40CB-B68A-F7F73B22B01A}"/>
    <cellStyle name="Vírgula 2 8 3 4" xfId="1899" xr:uid="{5F412509-F214-40D4-B6B5-BBB2633AED3F}"/>
    <cellStyle name="Vírgula 2 8 3 4 2" xfId="5069" xr:uid="{0732FCF2-7B17-4940-B460-5724B8CEF407}"/>
    <cellStyle name="Vírgula 2 8 3 4 2 2" xfId="11408" xr:uid="{FC9D0EA1-791F-46D1-8500-87B8C8C73620}"/>
    <cellStyle name="Vírgula 2 8 3 4 3" xfId="8240" xr:uid="{35000C05-0E78-47DC-AC51-E1E65D94F5F9}"/>
    <cellStyle name="Vírgula 2 8 3 5" xfId="3500" xr:uid="{7D8EFCCE-155F-4CD9-838D-2D8FD80C52B0}"/>
    <cellStyle name="Vírgula 2 8 3 5 2" xfId="9839" xr:uid="{06BDCD71-46B7-4D0B-B35C-EEAD6F76C019}"/>
    <cellStyle name="Vírgula 2 8 3 6" xfId="6671" xr:uid="{C0C3A1CC-DBEE-49FF-83B3-7575D7F5BC74}"/>
    <cellStyle name="Vírgula 2 8 4" xfId="922" xr:uid="{D2D9F528-5889-4C00-B6F0-782ECCA49656}"/>
    <cellStyle name="Vírgula 2 8 4 2" xfId="2493" xr:uid="{517716F4-C9DA-4445-99D3-78B03A7712EA}"/>
    <cellStyle name="Vírgula 2 8 4 2 2" xfId="5663" xr:uid="{D854674E-E554-43D3-8339-D934E021733B}"/>
    <cellStyle name="Vírgula 2 8 4 2 2 2" xfId="12002" xr:uid="{3E9A5F65-F075-4B2C-9C8E-28923066F977}"/>
    <cellStyle name="Vírgula 2 8 4 2 3" xfId="8834" xr:uid="{AB35479F-4F45-423A-A420-E9042820539A}"/>
    <cellStyle name="Vírgula 2 8 4 3" xfId="4094" xr:uid="{D83239F4-3E6F-4E3A-86A0-4453343FBF8E}"/>
    <cellStyle name="Vírgula 2 8 4 3 2" xfId="10433" xr:uid="{A3A4D492-7FC9-4C04-9452-E5650D570C1A}"/>
    <cellStyle name="Vírgula 2 8 4 4" xfId="7265" xr:uid="{51529199-4AD8-4676-B861-B74C2E2BD47D}"/>
    <cellStyle name="Vírgula 2 8 5" xfId="3297" xr:uid="{A5979F33-2C93-4F72-A551-61981860283C}"/>
    <cellStyle name="Vírgula 2 8 5 2" xfId="9636" xr:uid="{BA8940C1-6153-4C30-8A9D-DEE121F50F6D}"/>
    <cellStyle name="Vírgula 2 8 6" xfId="6468" xr:uid="{E5F752F6-DD39-4E2B-887E-4FEB4140AF6B}"/>
    <cellStyle name="Vírgula 2 9" xfId="112" xr:uid="{EC410466-8EE1-4007-A0B3-E7EA613F161E}"/>
    <cellStyle name="Vírgula 2 9 2" xfId="194" xr:uid="{3759D837-E56A-4AFC-A2E5-0CD7039DEA2F}"/>
    <cellStyle name="Vírgula 2 9 2 2" xfId="411" xr:uid="{60D28BE6-1EB0-4CAB-82FD-7ABEE38B0E2D}"/>
    <cellStyle name="Vírgula 2 9 2 2 2" xfId="792" xr:uid="{2C2D41D0-BBA7-4D9F-A580-D08E87AC93AA}"/>
    <cellStyle name="Vírgula 2 9 2 2 2 2" xfId="1591" xr:uid="{481BDF9F-AF78-4E5A-A13B-A96B2D58D675}"/>
    <cellStyle name="Vírgula 2 9 2 2 2 2 2" xfId="3162" xr:uid="{D30A773C-1E9E-4285-81A4-425CCA6D5A13}"/>
    <cellStyle name="Vírgula 2 9 2 2 2 2 2 2" xfId="6332" xr:uid="{4BD30000-42A3-4C0B-B4DC-5AA30530199A}"/>
    <cellStyle name="Vírgula 2 9 2 2 2 2 2 2 2" xfId="12671" xr:uid="{7E7CC34E-1533-4151-9E2D-2643073358EB}"/>
    <cellStyle name="Vírgula 2 9 2 2 2 2 2 3" xfId="9503" xr:uid="{091BEDEC-E1BB-4FD3-B4E9-881331562560}"/>
    <cellStyle name="Vírgula 2 9 2 2 2 2 3" xfId="4763" xr:uid="{E59AB441-5180-4530-B319-AA187003FAC8}"/>
    <cellStyle name="Vírgula 2 9 2 2 2 2 3 2" xfId="11102" xr:uid="{C4E1E5BD-247C-48BE-907E-1267DBDFFFEA}"/>
    <cellStyle name="Vírgula 2 9 2 2 2 2 4" xfId="7934" xr:uid="{3323A6A2-DDF0-4897-BC12-464512B78509}"/>
    <cellStyle name="Vírgula 2 9 2 2 2 3" xfId="2365" xr:uid="{F7F64449-B94B-4A5A-AD61-313A419726B4}"/>
    <cellStyle name="Vírgula 2 9 2 2 2 3 2" xfId="5535" xr:uid="{C6870860-FB26-4C2E-9BD3-E2BEDF27DEEB}"/>
    <cellStyle name="Vírgula 2 9 2 2 2 3 2 2" xfId="11874" xr:uid="{9BA3062D-CD8A-45B0-91A9-7437FABBA896}"/>
    <cellStyle name="Vírgula 2 9 2 2 2 3 3" xfId="8706" xr:uid="{8DB69961-C0EF-40B7-BB53-AF2A9FAC1D78}"/>
    <cellStyle name="Vírgula 2 9 2 2 2 4" xfId="3966" xr:uid="{DE5BB90D-6FCC-46D6-B330-34BEA6A26BF5}"/>
    <cellStyle name="Vírgula 2 9 2 2 2 4 2" xfId="10305" xr:uid="{D0001AEF-ED28-4D49-AD86-4393562EE1A2}"/>
    <cellStyle name="Vírgula 2 9 2 2 2 5" xfId="7137" xr:uid="{F3FD4C17-FE89-4E8C-AC62-6F13CDB83560}"/>
    <cellStyle name="Vírgula 2 9 2 2 3" xfId="1210" xr:uid="{C083F0AE-1BF1-44AD-9EEE-272CD02F6DD6}"/>
    <cellStyle name="Vírgula 2 9 2 2 3 2" xfId="2781" xr:uid="{DB0975EE-E045-40E5-BA12-CEDD6938777D}"/>
    <cellStyle name="Vírgula 2 9 2 2 3 2 2" xfId="5951" xr:uid="{69EB4094-0147-4965-9CF1-97AC2CA439D7}"/>
    <cellStyle name="Vírgula 2 9 2 2 3 2 2 2" xfId="12290" xr:uid="{EDCFAC72-6ED9-4998-940C-37C20C15FC57}"/>
    <cellStyle name="Vírgula 2 9 2 2 3 2 3" xfId="9122" xr:uid="{DD56AC43-63B3-46AE-A4DC-44CD84CD3058}"/>
    <cellStyle name="Vírgula 2 9 2 2 3 3" xfId="4382" xr:uid="{2A0ED614-75AB-4EC6-B655-7BF950CB8FC4}"/>
    <cellStyle name="Vírgula 2 9 2 2 3 3 2" xfId="10721" xr:uid="{B2D76A83-D32A-4476-953F-3DC507FE4566}"/>
    <cellStyle name="Vírgula 2 9 2 2 3 4" xfId="7553" xr:uid="{959B9502-D232-48D4-AF78-56FC663C303B}"/>
    <cellStyle name="Vírgula 2 9 2 2 4" xfId="1984" xr:uid="{81D89F30-1805-489C-AD47-C80BC3666FA1}"/>
    <cellStyle name="Vírgula 2 9 2 2 4 2" xfId="5154" xr:uid="{5745180C-1D42-4EF9-8866-E5DD95E18E46}"/>
    <cellStyle name="Vírgula 2 9 2 2 4 2 2" xfId="11493" xr:uid="{9DE22E6C-8085-4823-82EC-13CB06087C0B}"/>
    <cellStyle name="Vírgula 2 9 2 2 4 3" xfId="8325" xr:uid="{8B416B08-A9FC-4C36-8C2B-6EAB6FAF7AC9}"/>
    <cellStyle name="Vírgula 2 9 2 2 5" xfId="3585" xr:uid="{41973D70-DAEB-4402-ADDD-0B2F487FB7B7}"/>
    <cellStyle name="Vírgula 2 9 2 2 5 2" xfId="9924" xr:uid="{7B01A8FC-2DC1-4C63-A48D-2D3386C9519C}"/>
    <cellStyle name="Vírgula 2 9 2 2 6" xfId="6756" xr:uid="{3A2DECDC-49E2-4CFB-8D8B-EB5B4CC01AC3}"/>
    <cellStyle name="Vírgula 2 9 2 3" xfId="589" xr:uid="{A6E812CE-082A-442E-B855-C1E73AA84A77}"/>
    <cellStyle name="Vírgula 2 9 2 3 2" xfId="1388" xr:uid="{F277107E-16A5-4617-9331-2BEA2818A580}"/>
    <cellStyle name="Vírgula 2 9 2 3 2 2" xfId="2959" xr:uid="{A4755529-30EB-42E9-91A9-E7291C180E4F}"/>
    <cellStyle name="Vírgula 2 9 2 3 2 2 2" xfId="6129" xr:uid="{33D8CC62-15C0-4FE4-A336-B030E1F8D447}"/>
    <cellStyle name="Vírgula 2 9 2 3 2 2 2 2" xfId="12468" xr:uid="{290AB65A-4DD8-4DF5-BF26-5610F418805D}"/>
    <cellStyle name="Vírgula 2 9 2 3 2 2 3" xfId="9300" xr:uid="{F9912FB8-C42F-411A-A22C-DD8ABB5167E3}"/>
    <cellStyle name="Vírgula 2 9 2 3 2 3" xfId="4560" xr:uid="{6A36AF51-BE44-441A-BD7E-3D19A09BB5AF}"/>
    <cellStyle name="Vírgula 2 9 2 3 2 3 2" xfId="10899" xr:uid="{6C151B82-C4AE-4D71-B982-55FFAF100864}"/>
    <cellStyle name="Vírgula 2 9 2 3 2 4" xfId="7731" xr:uid="{61609E4B-4D13-4FCB-BD55-8F16630418F7}"/>
    <cellStyle name="Vírgula 2 9 2 3 3" xfId="2162" xr:uid="{559E068E-4B15-474A-9222-2B831C8B0A59}"/>
    <cellStyle name="Vírgula 2 9 2 3 3 2" xfId="5332" xr:uid="{2361F3E6-5439-4375-B275-7C32DD1253B4}"/>
    <cellStyle name="Vírgula 2 9 2 3 3 2 2" xfId="11671" xr:uid="{044AADE8-1823-418B-B59D-17B833F6C931}"/>
    <cellStyle name="Vírgula 2 9 2 3 3 3" xfId="8503" xr:uid="{87EAD271-8EB1-4F6B-A70F-BE9EBF28F46E}"/>
    <cellStyle name="Vírgula 2 9 2 3 4" xfId="3763" xr:uid="{FF4B972F-BE23-45AB-A07C-C58678256BAA}"/>
    <cellStyle name="Vírgula 2 9 2 3 4 2" xfId="10102" xr:uid="{D0B93DE7-9F00-470A-B0E9-51F28BD1FBD8}"/>
    <cellStyle name="Vírgula 2 9 2 3 5" xfId="6934" xr:uid="{E5D901DE-8010-4724-B676-6BC2F570BA90}"/>
    <cellStyle name="Vírgula 2 9 2 4" xfId="1007" xr:uid="{3EC266A7-BD96-4203-B388-F9791207044B}"/>
    <cellStyle name="Vírgula 2 9 2 4 2" xfId="2578" xr:uid="{D9E16066-0B42-499C-A5FE-C944050A6316}"/>
    <cellStyle name="Vírgula 2 9 2 4 2 2" xfId="5748" xr:uid="{76084505-9E54-41DC-B258-65F5A1AE438F}"/>
    <cellStyle name="Vírgula 2 9 2 4 2 2 2" xfId="12087" xr:uid="{09A3D9B1-A418-4EBC-BC0E-58CB76C69C5F}"/>
    <cellStyle name="Vírgula 2 9 2 4 2 3" xfId="8919" xr:uid="{ECFD7525-9360-4A53-80C2-E930691092A9}"/>
    <cellStyle name="Vírgula 2 9 2 4 3" xfId="4179" xr:uid="{68052425-478A-49CD-B5EA-9F38BE59E5EE}"/>
    <cellStyle name="Vírgula 2 9 2 4 3 2" xfId="10518" xr:uid="{41912929-4253-46BF-BC0A-CA4586FECCCE}"/>
    <cellStyle name="Vírgula 2 9 2 4 4" xfId="7350" xr:uid="{BA3FEAC9-5B39-4E1F-A6AF-BF1AFBE4726C}"/>
    <cellStyle name="Vírgula 2 9 2 5" xfId="1781" xr:uid="{EDBAF6BD-61B2-4A92-81A5-F6FD5460AC92}"/>
    <cellStyle name="Vírgula 2 9 2 5 2" xfId="4951" xr:uid="{307CCFDE-E0FE-46D2-89F7-D69C03446B48}"/>
    <cellStyle name="Vírgula 2 9 2 5 2 2" xfId="11290" xr:uid="{35934DE3-7731-41AE-916B-658DD6D53FA5}"/>
    <cellStyle name="Vírgula 2 9 2 5 3" xfId="8122" xr:uid="{756B3D15-18F6-4DFA-95F1-C8B77C99D715}"/>
    <cellStyle name="Vírgula 2 9 2 6" xfId="3382" xr:uid="{842F32FC-8F60-4269-8121-05C4C6DFFE30}"/>
    <cellStyle name="Vírgula 2 9 2 6 2" xfId="9721" xr:uid="{573F6B1C-C568-4C48-8A4D-0A3C061913BE}"/>
    <cellStyle name="Vírgula 2 9 2 7" xfId="6553" xr:uid="{B17353BF-3FD9-44DF-B9A9-B2BB3D95DBBB}"/>
    <cellStyle name="Vírgula 2 9 3" xfId="329" xr:uid="{FD9F03FA-C55C-4BEA-A32A-9E0BF0C4CE3F}"/>
    <cellStyle name="Vírgula 2 9 3 2" xfId="713" xr:uid="{266509DE-B04D-4FA1-BAB9-30E8172B41B8}"/>
    <cellStyle name="Vírgula 2 9 3 2 2" xfId="1512" xr:uid="{D1A514F4-6A42-4819-BEE8-F995B128D54F}"/>
    <cellStyle name="Vírgula 2 9 3 2 2 2" xfId="3083" xr:uid="{A18975FD-9F5B-4D16-B5EC-DFE73B3B3F14}"/>
    <cellStyle name="Vírgula 2 9 3 2 2 2 2" xfId="6253" xr:uid="{2B38AFFF-51C4-4078-8267-FB89B000E4DA}"/>
    <cellStyle name="Vírgula 2 9 3 2 2 2 2 2" xfId="12592" xr:uid="{F10BA20E-B3FD-4AE6-9FC4-4D574B7CC0BD}"/>
    <cellStyle name="Vírgula 2 9 3 2 2 2 3" xfId="9424" xr:uid="{2F760CA9-AF38-431D-8F7A-C484F4F24A66}"/>
    <cellStyle name="Vírgula 2 9 3 2 2 3" xfId="4684" xr:uid="{42711FA8-E6D1-455E-8EE7-A05C84A00F77}"/>
    <cellStyle name="Vírgula 2 9 3 2 2 3 2" xfId="11023" xr:uid="{3FC850D7-E39A-4819-97F1-5623A4A9A266}"/>
    <cellStyle name="Vírgula 2 9 3 2 2 4" xfId="7855" xr:uid="{0A669951-E32C-49B2-9AC6-758C1804E7FE}"/>
    <cellStyle name="Vírgula 2 9 3 2 3" xfId="2286" xr:uid="{A7915809-C941-43C1-ABE9-38207CC1C993}"/>
    <cellStyle name="Vírgula 2 9 3 2 3 2" xfId="5456" xr:uid="{CD68979A-3CF9-42A3-995E-8788346DF96F}"/>
    <cellStyle name="Vírgula 2 9 3 2 3 2 2" xfId="11795" xr:uid="{79693CCC-424F-42C2-AAB2-B1EE864CEEC8}"/>
    <cellStyle name="Vírgula 2 9 3 2 3 3" xfId="8627" xr:uid="{A86A1F92-6452-4039-A81A-F77CFC9C1705}"/>
    <cellStyle name="Vírgula 2 9 3 2 4" xfId="3887" xr:uid="{6AF41D83-E5D8-4E67-AADF-7E6AFC8454B1}"/>
    <cellStyle name="Vírgula 2 9 3 2 4 2" xfId="10226" xr:uid="{DE30C8D6-38EB-4677-8DBF-8A0808F6B929}"/>
    <cellStyle name="Vírgula 2 9 3 2 5" xfId="7058" xr:uid="{49821E66-DF3F-4EEE-9F41-D6C94674B833}"/>
    <cellStyle name="Vírgula 2 9 3 3" xfId="1131" xr:uid="{48D49ED2-F5C0-420E-939C-FCECC503C47C}"/>
    <cellStyle name="Vírgula 2 9 3 3 2" xfId="2702" xr:uid="{E4CA7863-29A8-487D-A279-D444BC3F51D2}"/>
    <cellStyle name="Vírgula 2 9 3 3 2 2" xfId="5872" xr:uid="{A8407B82-78DB-4F0F-BB5B-BFC3AF3C9579}"/>
    <cellStyle name="Vírgula 2 9 3 3 2 2 2" xfId="12211" xr:uid="{1ABC04A7-0B0E-4C50-8695-E38CC0F0AF50}"/>
    <cellStyle name="Vírgula 2 9 3 3 2 3" xfId="9043" xr:uid="{70BA682E-0044-4953-8B2E-EA0B3897CCBE}"/>
    <cellStyle name="Vírgula 2 9 3 3 3" xfId="4303" xr:uid="{89D4BF90-197A-440D-8555-C72C795588CC}"/>
    <cellStyle name="Vírgula 2 9 3 3 3 2" xfId="10642" xr:uid="{6B8F11FB-C5A4-421E-8CA1-B4EB4D5E358E}"/>
    <cellStyle name="Vírgula 2 9 3 3 4" xfId="7474" xr:uid="{F390DC79-9313-4B9B-A75A-BAD8685869BD}"/>
    <cellStyle name="Vírgula 2 9 3 4" xfId="1905" xr:uid="{C2E6A554-7541-4FD8-AC99-E2DB55F46A30}"/>
    <cellStyle name="Vírgula 2 9 3 4 2" xfId="5075" xr:uid="{19D6002D-EF88-4530-9DFD-161C1A6C19AE}"/>
    <cellStyle name="Vírgula 2 9 3 4 2 2" xfId="11414" xr:uid="{2E073201-7C16-47FB-8829-1AB31A25A4F5}"/>
    <cellStyle name="Vírgula 2 9 3 4 3" xfId="8246" xr:uid="{9B45D846-7348-406E-BCB4-FAF582F43C24}"/>
    <cellStyle name="Vírgula 2 9 3 5" xfId="3506" xr:uid="{E64E3B1A-DE5F-41E6-88A7-1774782F44D9}"/>
    <cellStyle name="Vírgula 2 9 3 5 2" xfId="9845" xr:uid="{1038798A-B345-47BB-A23B-3D7FAFD04728}"/>
    <cellStyle name="Vírgula 2 9 3 6" xfId="6677" xr:uid="{A25A2A85-F883-404D-B181-580AFA619046}"/>
    <cellStyle name="Vírgula 2 9 4" xfId="928" xr:uid="{64B7E3E8-9F75-4461-8B02-ADCEA1D359DF}"/>
    <cellStyle name="Vírgula 2 9 4 2" xfId="2499" xr:uid="{02BD71FE-634C-417C-AD6D-08A68ABAFDA8}"/>
    <cellStyle name="Vírgula 2 9 4 2 2" xfId="5669" xr:uid="{79ABCC8B-13A0-4F24-B48E-F4DA05B192F4}"/>
    <cellStyle name="Vírgula 2 9 4 2 2 2" xfId="12008" xr:uid="{0DBFE3C0-1B50-4477-984C-F1979CBF8B7A}"/>
    <cellStyle name="Vírgula 2 9 4 2 3" xfId="8840" xr:uid="{4A89CDFC-2A07-41A0-A224-014D71F985E7}"/>
    <cellStyle name="Vírgula 2 9 4 3" xfId="4100" xr:uid="{ACC08AEC-27BA-4F30-A0DF-D8E8EB9F8FE5}"/>
    <cellStyle name="Vírgula 2 9 4 3 2" xfId="10439" xr:uid="{0C662C93-754F-45A9-A9E1-E9414C0E1B39}"/>
    <cellStyle name="Vírgula 2 9 4 4" xfId="7271" xr:uid="{EE75A39B-F5C0-4833-AF1E-A6083307C4FE}"/>
    <cellStyle name="Vírgula 2 9 5" xfId="3303" xr:uid="{11418586-3857-412F-B779-96DC5CC90161}"/>
    <cellStyle name="Vírgula 2 9 5 2" xfId="9642" xr:uid="{99EEB0DF-29C7-4286-990F-C3536235FA5A}"/>
    <cellStyle name="Vírgula 2 9 6" xfId="6474" xr:uid="{164BAF13-C082-4F7A-BA05-82E9A15B18B6}"/>
    <cellStyle name="Vírgula 3" xfId="17" xr:uid="{7707EA44-2662-464C-AB86-5E686EDF38BD}"/>
    <cellStyle name="Vírgula 3 10" xfId="245" xr:uid="{FEFDF029-4A6B-4503-B6E4-2C3D836EE281}"/>
    <cellStyle name="Vírgula 3 10 2" xfId="637" xr:uid="{43FABE94-AC95-4EED-8B2F-D549B5B3FDB8}"/>
    <cellStyle name="Vírgula 3 10 2 2" xfId="1436" xr:uid="{76031D68-EFC8-4BF9-B0FA-312B02037222}"/>
    <cellStyle name="Vírgula 3 10 2 2 2" xfId="3007" xr:uid="{361723E7-E0F1-48D1-B3F2-58D6348878F0}"/>
    <cellStyle name="Vírgula 3 10 2 2 2 2" xfId="6177" xr:uid="{1F3C4186-2311-489F-B1A9-2A15C3CCC354}"/>
    <cellStyle name="Vírgula 3 10 2 2 2 2 2" xfId="12516" xr:uid="{C6514929-7AE7-42EF-A68D-A28ABF47724A}"/>
    <cellStyle name="Vírgula 3 10 2 2 2 3" xfId="9348" xr:uid="{93A3FFE5-8E8A-41C0-AFAE-D5ECEE47C6D7}"/>
    <cellStyle name="Vírgula 3 10 2 2 3" xfId="4608" xr:uid="{29CA4482-4066-4FF6-8A86-660175C828A2}"/>
    <cellStyle name="Vírgula 3 10 2 2 3 2" xfId="10947" xr:uid="{020DCA65-6BC1-4C51-969B-FFBECD473BA8}"/>
    <cellStyle name="Vírgula 3 10 2 2 4" xfId="7779" xr:uid="{DD3DA1FC-1AA4-4103-B2C4-EFC7D5390587}"/>
    <cellStyle name="Vírgula 3 10 2 3" xfId="2210" xr:uid="{15A75016-93C5-4B9C-ADF7-C6C655137503}"/>
    <cellStyle name="Vírgula 3 10 2 3 2" xfId="5380" xr:uid="{A8143E64-52E4-4C1B-A828-C502F0CE4FBE}"/>
    <cellStyle name="Vírgula 3 10 2 3 2 2" xfId="11719" xr:uid="{74536C66-EC63-49E8-A218-24E3D9B4A802}"/>
    <cellStyle name="Vírgula 3 10 2 3 3" xfId="8551" xr:uid="{55E79EE8-CC4C-4A79-AE56-078DEDBA6AD3}"/>
    <cellStyle name="Vírgula 3 10 2 4" xfId="3811" xr:uid="{F7396E46-CDA8-4480-8A41-AD5055B02F1B}"/>
    <cellStyle name="Vírgula 3 10 2 4 2" xfId="10150" xr:uid="{F59FBAE8-1787-4A0F-B756-69E1BCFCA403}"/>
    <cellStyle name="Vírgula 3 10 2 5" xfId="6982" xr:uid="{FC3EE622-23CE-4B49-8A15-38D5D9B7F937}"/>
    <cellStyle name="Vírgula 3 10 3" xfId="1055" xr:uid="{5667C428-BDE9-4F85-987F-E2C8FEE9AA7D}"/>
    <cellStyle name="Vírgula 3 10 3 2" xfId="2626" xr:uid="{F27498C1-06C1-4BAE-8457-0B5943084596}"/>
    <cellStyle name="Vírgula 3 10 3 2 2" xfId="5796" xr:uid="{10A8DF2A-CE3F-4EAD-B342-10457F417FAA}"/>
    <cellStyle name="Vírgula 3 10 3 2 2 2" xfId="12135" xr:uid="{8C4D4506-26E9-4D7E-A93C-01E8E79C49A8}"/>
    <cellStyle name="Vírgula 3 10 3 2 3" xfId="8967" xr:uid="{9031B011-17B0-4C5D-B552-CC381AE4DD89}"/>
    <cellStyle name="Vírgula 3 10 3 3" xfId="4227" xr:uid="{E90C0947-E71F-4E85-B3E3-E69C9599C8C2}"/>
    <cellStyle name="Vírgula 3 10 3 3 2" xfId="10566" xr:uid="{26E5C50C-FE02-411A-B0F4-E54442BE9D56}"/>
    <cellStyle name="Vírgula 3 10 3 4" xfId="7398" xr:uid="{A825B45F-1AE6-4022-8F54-6BC9D8414866}"/>
    <cellStyle name="Vírgula 3 10 4" xfId="1829" xr:uid="{A9221DC1-3566-4BF8-9873-F33004F55F58}"/>
    <cellStyle name="Vírgula 3 10 4 2" xfId="4999" xr:uid="{49688B8A-538F-47FC-9112-9196CA93B025}"/>
    <cellStyle name="Vírgula 3 10 4 2 2" xfId="11338" xr:uid="{39391FFE-B357-4D69-B577-9ED54E892E1B}"/>
    <cellStyle name="Vírgula 3 10 4 3" xfId="8170" xr:uid="{21B7F050-E342-43F5-980B-7C9CE3A9EE4C}"/>
    <cellStyle name="Vírgula 3 10 5" xfId="3430" xr:uid="{7F8C0FC2-D8F2-4CAB-A79B-88BC4F6D807A}"/>
    <cellStyle name="Vírgula 3 10 5 2" xfId="9769" xr:uid="{37286012-820D-4ED2-9D49-7526B4325388}"/>
    <cellStyle name="Vírgula 3 10 6" xfId="6601" xr:uid="{5D2C2695-7B80-4AE7-B73D-A263A6C7F4EF}"/>
    <cellStyle name="Vírgula 3 11" xfId="852" xr:uid="{2D8702E3-3666-41B5-A8DD-D8272D5E0FD0}"/>
    <cellStyle name="Vírgula 3 11 2" xfId="2423" xr:uid="{93268C1C-FAA5-4FB5-97BB-51004BD8F54F}"/>
    <cellStyle name="Vírgula 3 11 2 2" xfId="5593" xr:uid="{4A0B0680-7A56-47C2-BA02-2D21B3809AFC}"/>
    <cellStyle name="Vírgula 3 11 2 2 2" xfId="11932" xr:uid="{5D9287B3-1B0F-4367-964B-8128A4F5D5B6}"/>
    <cellStyle name="Vírgula 3 11 2 3" xfId="8764" xr:uid="{8A5B8B65-034C-44FF-BADF-EACBCCD87427}"/>
    <cellStyle name="Vírgula 3 11 3" xfId="4024" xr:uid="{34BD8CCD-E91A-469C-98D2-B159A74F15A3}"/>
    <cellStyle name="Vírgula 3 11 3 2" xfId="10363" xr:uid="{0D93A16C-2539-4988-824E-760CADF499EB}"/>
    <cellStyle name="Vírgula 3 11 4" xfId="7195" xr:uid="{24886F79-036A-4B9D-89F0-4C9EAC547DEF}"/>
    <cellStyle name="Vírgula 3 12" xfId="3227" xr:uid="{879F0480-31B1-42B4-BF0B-CCDDAE20EB6D}"/>
    <cellStyle name="Vírgula 3 12 2" xfId="9566" xr:uid="{764942B3-FFD6-435E-8675-9D640B56EBDB}"/>
    <cellStyle name="Vírgula 3 13" xfId="6398" xr:uid="{2B3F0AC0-364A-4205-9639-C6B29EEA2680}"/>
    <cellStyle name="Vírgula 3 2" xfId="101" xr:uid="{867F801F-1924-40EA-BDB9-D68FFD89180D}"/>
    <cellStyle name="Vírgula 3 2 2" xfId="183" xr:uid="{0F2F5569-4C40-466F-9A1C-FFA97FCE5ECC}"/>
    <cellStyle name="Vírgula 3 2 2 2" xfId="400" xr:uid="{097C85AC-C7C6-4737-B06B-345EC25CB7B5}"/>
    <cellStyle name="Vírgula 3 2 2 2 2" xfId="781" xr:uid="{C51FF2A1-520B-4E6C-B9FC-0FD0FBD83964}"/>
    <cellStyle name="Vírgula 3 2 2 2 2 2" xfId="1580" xr:uid="{9F98D6D5-82E8-4396-A661-5980F4EE0711}"/>
    <cellStyle name="Vírgula 3 2 2 2 2 2 2" xfId="3151" xr:uid="{81D8663F-49A3-43D2-AE97-2E6A068CDDFF}"/>
    <cellStyle name="Vírgula 3 2 2 2 2 2 2 2" xfId="6321" xr:uid="{2F39CEB3-E7C3-473E-8D26-7E4C6FC3F0F0}"/>
    <cellStyle name="Vírgula 3 2 2 2 2 2 2 2 2" xfId="12660" xr:uid="{04540CC1-B426-4633-93C6-AC34DA83FA49}"/>
    <cellStyle name="Vírgula 3 2 2 2 2 2 2 3" xfId="9492" xr:uid="{E38E6B75-1DC5-4130-A465-6567712AB600}"/>
    <cellStyle name="Vírgula 3 2 2 2 2 2 3" xfId="4752" xr:uid="{B05EA9E5-7068-4574-8830-538BEF103EAC}"/>
    <cellStyle name="Vírgula 3 2 2 2 2 2 3 2" xfId="11091" xr:uid="{47499281-6852-4323-8D3F-506C20026E03}"/>
    <cellStyle name="Vírgula 3 2 2 2 2 2 4" xfId="7923" xr:uid="{2EA9ED9F-020F-4226-8EC4-CDFEB40ED0A1}"/>
    <cellStyle name="Vírgula 3 2 2 2 2 3" xfId="2354" xr:uid="{6B180C3A-F9A3-45A4-B3C9-52CD912F28A5}"/>
    <cellStyle name="Vírgula 3 2 2 2 2 3 2" xfId="5524" xr:uid="{E2099CB3-F1CA-4A14-A532-DCA91867E538}"/>
    <cellStyle name="Vírgula 3 2 2 2 2 3 2 2" xfId="11863" xr:uid="{88EA461E-A475-4C46-92DD-A00C786BAE74}"/>
    <cellStyle name="Vírgula 3 2 2 2 2 3 3" xfId="8695" xr:uid="{FB6BB71F-0E7C-4B9B-9B39-299E6F02AEC9}"/>
    <cellStyle name="Vírgula 3 2 2 2 2 4" xfId="3955" xr:uid="{DAA0C374-1339-450F-A5D1-0555443C350E}"/>
    <cellStyle name="Vírgula 3 2 2 2 2 4 2" xfId="10294" xr:uid="{07AA6179-1F1B-4B86-A58C-7D8594AD6E5F}"/>
    <cellStyle name="Vírgula 3 2 2 2 2 5" xfId="7126" xr:uid="{7D5C92FC-D4B4-4C68-8B04-EE6F100B952B}"/>
    <cellStyle name="Vírgula 3 2 2 2 3" xfId="1199" xr:uid="{FED2B7FE-3430-4A50-91AC-872CE231D1E6}"/>
    <cellStyle name="Vírgula 3 2 2 2 3 2" xfId="2770" xr:uid="{0DF96F1E-C114-4D9D-AF57-09C73A113E2F}"/>
    <cellStyle name="Vírgula 3 2 2 2 3 2 2" xfId="5940" xr:uid="{F32A96DA-F04A-4A82-B03B-525FF1218BCF}"/>
    <cellStyle name="Vírgula 3 2 2 2 3 2 2 2" xfId="12279" xr:uid="{72E3AF71-694D-40BC-A244-493DAB13051E}"/>
    <cellStyle name="Vírgula 3 2 2 2 3 2 3" xfId="9111" xr:uid="{49030A3B-4521-40F0-B40A-5AB2051E89DF}"/>
    <cellStyle name="Vírgula 3 2 2 2 3 3" xfId="4371" xr:uid="{9BC8DC9B-4988-41D7-BAFD-C2CC5042F61E}"/>
    <cellStyle name="Vírgula 3 2 2 2 3 3 2" xfId="10710" xr:uid="{637ADC6E-C235-46B4-8F63-950316E5AA18}"/>
    <cellStyle name="Vírgula 3 2 2 2 3 4" xfId="7542" xr:uid="{D2DF7314-FB04-4AB9-B99C-80BD6B5B474E}"/>
    <cellStyle name="Vírgula 3 2 2 2 4" xfId="1973" xr:uid="{3D6A9DFE-65BD-4B44-AF1F-33152B04C931}"/>
    <cellStyle name="Vírgula 3 2 2 2 4 2" xfId="5143" xr:uid="{8E3E919E-2020-4B4C-8C02-42FEC5934683}"/>
    <cellStyle name="Vírgula 3 2 2 2 4 2 2" xfId="11482" xr:uid="{B4E7C32D-05A9-4DA4-AEE2-51E48812DA93}"/>
    <cellStyle name="Vírgula 3 2 2 2 4 3" xfId="8314" xr:uid="{BDD91CDA-EB97-47B6-A1F1-74F034E502B8}"/>
    <cellStyle name="Vírgula 3 2 2 2 5" xfId="3574" xr:uid="{22F1E344-5F3A-4CC3-8ED5-289D512A7F75}"/>
    <cellStyle name="Vírgula 3 2 2 2 5 2" xfId="9913" xr:uid="{9EDC38AC-7CDF-4004-8DF4-F5AE80EF1879}"/>
    <cellStyle name="Vírgula 3 2 2 2 6" xfId="6745" xr:uid="{1BA471F7-B02A-4092-9C78-D687BD0B64C9}"/>
    <cellStyle name="Vírgula 3 2 2 3" xfId="578" xr:uid="{10D84919-02E3-4C24-A0DA-1EE490FFEC51}"/>
    <cellStyle name="Vírgula 3 2 2 3 2" xfId="1377" xr:uid="{A3042D73-31D1-4A43-9480-2DE91BC61648}"/>
    <cellStyle name="Vírgula 3 2 2 3 2 2" xfId="2948" xr:uid="{7FAEE1E2-5D6A-4617-8B7B-9EE53AF95891}"/>
    <cellStyle name="Vírgula 3 2 2 3 2 2 2" xfId="6118" xr:uid="{4FEBFA17-9307-4E1B-96F5-29D3490CF38B}"/>
    <cellStyle name="Vírgula 3 2 2 3 2 2 2 2" xfId="12457" xr:uid="{A2029936-5C2B-4859-AD6B-4A5D619C78A3}"/>
    <cellStyle name="Vírgula 3 2 2 3 2 2 3" xfId="9289" xr:uid="{A73EBD82-4D6D-49C6-9E38-1D7D194AC52C}"/>
    <cellStyle name="Vírgula 3 2 2 3 2 3" xfId="4549" xr:uid="{FED1A291-502B-4D65-8B84-255A5A36D590}"/>
    <cellStyle name="Vírgula 3 2 2 3 2 3 2" xfId="10888" xr:uid="{29CD75D2-8AC2-4310-BE3C-D19C6FC0D1F1}"/>
    <cellStyle name="Vírgula 3 2 2 3 2 4" xfId="7720" xr:uid="{64CE30B4-4A9A-4A61-A48F-D1C87868EF66}"/>
    <cellStyle name="Vírgula 3 2 2 3 3" xfId="2151" xr:uid="{50CA04CD-B2B2-4C91-94FB-A14CD8CC33CB}"/>
    <cellStyle name="Vírgula 3 2 2 3 3 2" xfId="5321" xr:uid="{3EAE1138-048E-4B0A-8A53-907CF6D2B955}"/>
    <cellStyle name="Vírgula 3 2 2 3 3 2 2" xfId="11660" xr:uid="{D52EDA16-20DE-4937-BB2C-3145F8FAE248}"/>
    <cellStyle name="Vírgula 3 2 2 3 3 3" xfId="8492" xr:uid="{86E14FA7-1142-4F16-8605-B64F80FF0164}"/>
    <cellStyle name="Vírgula 3 2 2 3 4" xfId="3752" xr:uid="{E6142EE9-B6BE-43BC-89A9-0E1212328B4F}"/>
    <cellStyle name="Vírgula 3 2 2 3 4 2" xfId="10091" xr:uid="{5B3BC5BB-E7AF-42F0-A45A-2DAF8FE221FF}"/>
    <cellStyle name="Vírgula 3 2 2 3 5" xfId="6923" xr:uid="{10C26EE3-8B53-4BC6-89CF-67D2FA6AAAF4}"/>
    <cellStyle name="Vírgula 3 2 2 4" xfId="996" xr:uid="{5D025584-0922-4211-AD0C-AA4556B08A5C}"/>
    <cellStyle name="Vírgula 3 2 2 4 2" xfId="2567" xr:uid="{07D4BB1E-B795-42B2-8E46-9817426C8CAF}"/>
    <cellStyle name="Vírgula 3 2 2 4 2 2" xfId="5737" xr:uid="{6AFA8227-4EAE-4CA2-83B1-4DAB3C40B194}"/>
    <cellStyle name="Vírgula 3 2 2 4 2 2 2" xfId="12076" xr:uid="{BF74A8DE-3EBB-4E73-83CE-BEEA3FE121E4}"/>
    <cellStyle name="Vírgula 3 2 2 4 2 3" xfId="8908" xr:uid="{C1712B44-C034-4AB5-8658-654B7996E9B7}"/>
    <cellStyle name="Vírgula 3 2 2 4 3" xfId="4168" xr:uid="{9575A185-3631-4BDE-A802-97764FEC45D4}"/>
    <cellStyle name="Vírgula 3 2 2 4 3 2" xfId="10507" xr:uid="{90C0A87D-2C36-4B50-93AF-E4F96191B0E7}"/>
    <cellStyle name="Vírgula 3 2 2 4 4" xfId="7339" xr:uid="{C7FC6B01-FCB0-40AB-B853-3694AC8A641B}"/>
    <cellStyle name="Vírgula 3 2 2 5" xfId="1770" xr:uid="{2E916A47-8907-4496-898B-1AA21381B90D}"/>
    <cellStyle name="Vírgula 3 2 2 5 2" xfId="4940" xr:uid="{90E1BC4F-9923-46C2-A51C-F9081BFA7CA5}"/>
    <cellStyle name="Vírgula 3 2 2 5 2 2" xfId="11279" xr:uid="{941B7C61-6091-488D-971F-0F75EEB18291}"/>
    <cellStyle name="Vírgula 3 2 2 5 3" xfId="8111" xr:uid="{CEE3888E-80F2-4C11-88D3-B8206E0B70BB}"/>
    <cellStyle name="Vírgula 3 2 2 6" xfId="3371" xr:uid="{32443A92-E39C-4D35-B622-FBF2ECE9A11D}"/>
    <cellStyle name="Vírgula 3 2 2 6 2" xfId="9710" xr:uid="{693891DA-EC02-49A1-A2D5-105469D5C3ED}"/>
    <cellStyle name="Vírgula 3 2 2 7" xfId="6542" xr:uid="{CB36FD85-B3A2-4C45-8E05-D28936D001A2}"/>
    <cellStyle name="Vírgula 3 2 3" xfId="318" xr:uid="{62847774-74DE-4A0B-BA7C-C8ED1D34B9DE}"/>
    <cellStyle name="Vírgula 3 2 3 2" xfId="705" xr:uid="{02FE66A8-6560-4F41-8192-642A2CB245D1}"/>
    <cellStyle name="Vírgula 3 2 3 2 2" xfId="1504" xr:uid="{5E1B4FCA-4484-47EA-B884-0A8AE8BFA611}"/>
    <cellStyle name="Vírgula 3 2 3 2 2 2" xfId="3075" xr:uid="{DAC6A97A-6D16-4B06-A1B1-14CDE1FE572B}"/>
    <cellStyle name="Vírgula 3 2 3 2 2 2 2" xfId="6245" xr:uid="{8A1556EF-7571-4277-815D-A04FD7FDC563}"/>
    <cellStyle name="Vírgula 3 2 3 2 2 2 2 2" xfId="12584" xr:uid="{E2FDC86C-5958-417A-B61C-625717E87B65}"/>
    <cellStyle name="Vírgula 3 2 3 2 2 2 3" xfId="9416" xr:uid="{3F376C5C-BA32-491A-8AE5-D1846B3EB0AC}"/>
    <cellStyle name="Vírgula 3 2 3 2 2 3" xfId="4676" xr:uid="{CB66C63F-6579-4355-8525-2D11DBF423AE}"/>
    <cellStyle name="Vírgula 3 2 3 2 2 3 2" xfId="11015" xr:uid="{E834F99B-FDA1-4D33-AE08-34205859988E}"/>
    <cellStyle name="Vírgula 3 2 3 2 2 4" xfId="7847" xr:uid="{2CC65F2B-5111-4A5F-BBA3-BAC9B48DC4A0}"/>
    <cellStyle name="Vírgula 3 2 3 2 3" xfId="2278" xr:uid="{A1901E57-8C85-4676-8DE0-B417115CE112}"/>
    <cellStyle name="Vírgula 3 2 3 2 3 2" xfId="5448" xr:uid="{30E26FB5-273D-4631-92B2-1A6C6BD63279}"/>
    <cellStyle name="Vírgula 3 2 3 2 3 2 2" xfId="11787" xr:uid="{05A1A9AA-0211-4B42-9F6C-2D5C6C8CF850}"/>
    <cellStyle name="Vírgula 3 2 3 2 3 3" xfId="8619" xr:uid="{3D48CD12-E16A-4307-BACD-0D28C7D09DAD}"/>
    <cellStyle name="Vírgula 3 2 3 2 4" xfId="3879" xr:uid="{D6387AD6-26AC-4D5D-9FA3-BF5989713988}"/>
    <cellStyle name="Vírgula 3 2 3 2 4 2" xfId="10218" xr:uid="{17478CD8-3D68-4E4E-A0DE-FABA31CEA3E7}"/>
    <cellStyle name="Vírgula 3 2 3 2 5" xfId="7050" xr:uid="{653236FC-4403-4B8E-A920-25B1794074E6}"/>
    <cellStyle name="Vírgula 3 2 3 3" xfId="1123" xr:uid="{E7C3E137-E93F-4F19-8FEC-97862A302E6A}"/>
    <cellStyle name="Vírgula 3 2 3 3 2" xfId="2694" xr:uid="{E618ACF9-6070-4162-886C-608F49D31D8B}"/>
    <cellStyle name="Vírgula 3 2 3 3 2 2" xfId="5864" xr:uid="{5F1C048E-E5B2-4DF9-97D7-759DE5255026}"/>
    <cellStyle name="Vírgula 3 2 3 3 2 2 2" xfId="12203" xr:uid="{21A03199-2E18-43AD-98E2-7DDA0C65ACA1}"/>
    <cellStyle name="Vírgula 3 2 3 3 2 3" xfId="9035" xr:uid="{90741041-BD8D-43CB-8F3D-145CA38701F6}"/>
    <cellStyle name="Vírgula 3 2 3 3 3" xfId="4295" xr:uid="{9D78FEB4-E710-4269-A9DB-A273B0F77511}"/>
    <cellStyle name="Vírgula 3 2 3 3 3 2" xfId="10634" xr:uid="{5E601E36-D54C-43F2-BE89-292F54063D42}"/>
    <cellStyle name="Vírgula 3 2 3 3 4" xfId="7466" xr:uid="{029A51A4-3769-479C-9993-1E50AF9BCDFF}"/>
    <cellStyle name="Vírgula 3 2 3 4" xfId="1897" xr:uid="{E5374290-6056-4E32-BBE4-F2851343408D}"/>
    <cellStyle name="Vírgula 3 2 3 4 2" xfId="5067" xr:uid="{F74A5658-73F0-492F-998D-B3C2A16B159D}"/>
    <cellStyle name="Vírgula 3 2 3 4 2 2" xfId="11406" xr:uid="{534EE56C-5470-4A42-B747-4C0F42699ACF}"/>
    <cellStyle name="Vírgula 3 2 3 4 3" xfId="8238" xr:uid="{C8F34CDB-01F0-4F98-9933-1D4D63D8C626}"/>
    <cellStyle name="Vírgula 3 2 3 5" xfId="3498" xr:uid="{2382A5A6-0AC1-4F5D-A89E-DFD62C1C3BE5}"/>
    <cellStyle name="Vírgula 3 2 3 5 2" xfId="9837" xr:uid="{9276EA68-BAF4-480D-8349-DBB96D457E50}"/>
    <cellStyle name="Vírgula 3 2 3 6" xfId="6669" xr:uid="{429ED890-05D6-425E-AFB8-FA739C5A17FB}"/>
    <cellStyle name="Vírgula 3 2 4" xfId="920" xr:uid="{3477BDAC-9088-415D-AC46-BBE5F0E5A87D}"/>
    <cellStyle name="Vírgula 3 2 4 2" xfId="2491" xr:uid="{C590E60D-D80A-4940-B004-82FD5DB0F4E0}"/>
    <cellStyle name="Vírgula 3 2 4 2 2" xfId="5661" xr:uid="{A728A13E-A626-44EC-AB0B-DDC887225792}"/>
    <cellStyle name="Vírgula 3 2 4 2 2 2" xfId="12000" xr:uid="{1D8B4E4D-079D-4304-9778-DD42F9CC4F62}"/>
    <cellStyle name="Vírgula 3 2 4 2 3" xfId="8832" xr:uid="{07FD1A81-6FB6-4069-A403-D295E1BE94CB}"/>
    <cellStyle name="Vírgula 3 2 4 3" xfId="4092" xr:uid="{3957A0C7-F545-4CAF-A0E1-2E9DC295DCC4}"/>
    <cellStyle name="Vírgula 3 2 4 3 2" xfId="10431" xr:uid="{7715DCE9-06CF-4A45-9F47-DA4585F583C7}"/>
    <cellStyle name="Vírgula 3 2 4 4" xfId="7263" xr:uid="{2FB2E3E7-0DF6-40EB-8370-5BEB928D7F11}"/>
    <cellStyle name="Vírgula 3 2 5" xfId="3295" xr:uid="{90D7685D-DF85-46B1-9387-F5B331197414}"/>
    <cellStyle name="Vírgula 3 2 5 2" xfId="9634" xr:uid="{FAE03477-4E89-4BD2-A2B0-068160F85B7C}"/>
    <cellStyle name="Vírgula 3 2 6" xfId="6466" xr:uid="{390BB47E-9163-4668-A09E-167F6058C93D}"/>
    <cellStyle name="Vírgula 3 3" xfId="109" xr:uid="{64409312-616A-4098-9E49-722BB1F7C79C}"/>
    <cellStyle name="Vírgula 3 3 2" xfId="191" xr:uid="{5E82B0EC-B906-4EF9-939D-D259FE4AD332}"/>
    <cellStyle name="Vírgula 3 3 2 2" xfId="408" xr:uid="{6D2EB3AE-52DA-4F54-A5B8-607C8B8D7B19}"/>
    <cellStyle name="Vírgula 3 3 2 2 2" xfId="789" xr:uid="{A70325B6-EBC2-4B14-98BB-73729DCE288C}"/>
    <cellStyle name="Vírgula 3 3 2 2 2 2" xfId="1588" xr:uid="{C05E2890-C21E-405A-9996-9C735D465F08}"/>
    <cellStyle name="Vírgula 3 3 2 2 2 2 2" xfId="3159" xr:uid="{BD325892-DFAF-43D6-991E-20245345FFB0}"/>
    <cellStyle name="Vírgula 3 3 2 2 2 2 2 2" xfId="6329" xr:uid="{A9E18B91-9AB0-49AA-AED4-33BC82542AA4}"/>
    <cellStyle name="Vírgula 3 3 2 2 2 2 2 2 2" xfId="12668" xr:uid="{95622EFF-7D5E-40D7-9B15-6890449C16BC}"/>
    <cellStyle name="Vírgula 3 3 2 2 2 2 2 3" xfId="9500" xr:uid="{939A8F59-66CB-4915-B193-CA998C27008C}"/>
    <cellStyle name="Vírgula 3 3 2 2 2 2 3" xfId="4760" xr:uid="{E2869557-FF36-4814-BED5-61112D087F92}"/>
    <cellStyle name="Vírgula 3 3 2 2 2 2 3 2" xfId="11099" xr:uid="{384C5E31-2405-4627-8C9D-3B048BF24B56}"/>
    <cellStyle name="Vírgula 3 3 2 2 2 2 4" xfId="7931" xr:uid="{B2B42FF1-B556-42AE-8371-B43C2197D697}"/>
    <cellStyle name="Vírgula 3 3 2 2 2 3" xfId="2362" xr:uid="{1C596687-A87D-4EA4-9DD1-021B17880198}"/>
    <cellStyle name="Vírgula 3 3 2 2 2 3 2" xfId="5532" xr:uid="{9BF37B96-C3C3-40B1-9DDA-6E5D33C1D641}"/>
    <cellStyle name="Vírgula 3 3 2 2 2 3 2 2" xfId="11871" xr:uid="{A6735CC1-2881-4347-80B0-82817957DD85}"/>
    <cellStyle name="Vírgula 3 3 2 2 2 3 3" xfId="8703" xr:uid="{A3840505-54EA-4EE6-B37A-54584B5555FD}"/>
    <cellStyle name="Vírgula 3 3 2 2 2 4" xfId="3963" xr:uid="{4440794E-BC84-40F6-B81D-3F885AE515B8}"/>
    <cellStyle name="Vírgula 3 3 2 2 2 4 2" xfId="10302" xr:uid="{D090BF80-734C-4738-BD76-A9A010130F34}"/>
    <cellStyle name="Vírgula 3 3 2 2 2 5" xfId="7134" xr:uid="{461F1727-8C5C-4DA8-9784-4D4376DEA148}"/>
    <cellStyle name="Vírgula 3 3 2 2 3" xfId="1207" xr:uid="{D1A1B064-FF61-4C29-9D93-0C4A525C60BE}"/>
    <cellStyle name="Vírgula 3 3 2 2 3 2" xfId="2778" xr:uid="{4D125501-BE96-4C96-A697-D3816F8BA6DF}"/>
    <cellStyle name="Vírgula 3 3 2 2 3 2 2" xfId="5948" xr:uid="{AF7C46A0-C118-47D3-AACC-C078FA3B6772}"/>
    <cellStyle name="Vírgula 3 3 2 2 3 2 2 2" xfId="12287" xr:uid="{E4400DD9-BE06-4F1F-93CF-D9F7B776B27B}"/>
    <cellStyle name="Vírgula 3 3 2 2 3 2 3" xfId="9119" xr:uid="{37874866-CF3D-47D7-91DF-E98EB0831CEC}"/>
    <cellStyle name="Vírgula 3 3 2 2 3 3" xfId="4379" xr:uid="{2B536603-AA5B-4E41-A9D4-1195E4EC47AB}"/>
    <cellStyle name="Vírgula 3 3 2 2 3 3 2" xfId="10718" xr:uid="{8443C3E5-CC76-4AC3-A489-BD8B27A4A223}"/>
    <cellStyle name="Vírgula 3 3 2 2 3 4" xfId="7550" xr:uid="{43F5516A-CF28-464F-91B9-93790F7BFDEB}"/>
    <cellStyle name="Vírgula 3 3 2 2 4" xfId="1981" xr:uid="{225208FD-0470-477C-8229-15A26515CE06}"/>
    <cellStyle name="Vírgula 3 3 2 2 4 2" xfId="5151" xr:uid="{8D73E467-067D-446F-851D-A74F961FFEA0}"/>
    <cellStyle name="Vírgula 3 3 2 2 4 2 2" xfId="11490" xr:uid="{ED47426D-BC4F-4FD4-9EFB-523888641FEB}"/>
    <cellStyle name="Vírgula 3 3 2 2 4 3" xfId="8322" xr:uid="{CB8BB593-0D87-4623-B2B1-F4C72F4A0323}"/>
    <cellStyle name="Vírgula 3 3 2 2 5" xfId="3582" xr:uid="{6B48BA65-ACFF-40C2-AA69-104A4BBB53B1}"/>
    <cellStyle name="Vírgula 3 3 2 2 5 2" xfId="9921" xr:uid="{F53609BA-4B08-463D-8B27-60A2BBCE452A}"/>
    <cellStyle name="Vírgula 3 3 2 2 6" xfId="6753" xr:uid="{7E6964A2-D127-4F9B-B1FB-4012F642FA7C}"/>
    <cellStyle name="Vírgula 3 3 2 3" xfId="586" xr:uid="{C5C16CFA-7A19-4254-AE2C-D183D332AEAD}"/>
    <cellStyle name="Vírgula 3 3 2 3 2" xfId="1385" xr:uid="{F9548CEE-D510-4403-8E19-1B793C6166F1}"/>
    <cellStyle name="Vírgula 3 3 2 3 2 2" xfId="2956" xr:uid="{346CFEC5-F5E6-45A9-8D4A-46DD0E8EB9D0}"/>
    <cellStyle name="Vírgula 3 3 2 3 2 2 2" xfId="6126" xr:uid="{48C94FB4-7C56-4D6D-81E4-0F3E2DE910F4}"/>
    <cellStyle name="Vírgula 3 3 2 3 2 2 2 2" xfId="12465" xr:uid="{F216BD35-3E81-431D-AE08-3259BC0B3271}"/>
    <cellStyle name="Vírgula 3 3 2 3 2 2 3" xfId="9297" xr:uid="{F1A198F1-D278-45C4-A7E5-37B14B650C0C}"/>
    <cellStyle name="Vírgula 3 3 2 3 2 3" xfId="4557" xr:uid="{0C899899-6848-46D2-A9A5-C5D06567773F}"/>
    <cellStyle name="Vírgula 3 3 2 3 2 3 2" xfId="10896" xr:uid="{9C6E27A9-9506-4BA2-BE08-31655D68CFE9}"/>
    <cellStyle name="Vírgula 3 3 2 3 2 4" xfId="7728" xr:uid="{29EF91BC-3F4F-4B7A-A508-3E85F7DFB1F8}"/>
    <cellStyle name="Vírgula 3 3 2 3 3" xfId="2159" xr:uid="{E8B99F7E-39CD-492E-AE39-6C9135D07AEE}"/>
    <cellStyle name="Vírgula 3 3 2 3 3 2" xfId="5329" xr:uid="{6F1FED28-A1D8-4034-85DD-124893623092}"/>
    <cellStyle name="Vírgula 3 3 2 3 3 2 2" xfId="11668" xr:uid="{9B961BA3-C9A4-49A4-800C-842B190E298C}"/>
    <cellStyle name="Vírgula 3 3 2 3 3 3" xfId="8500" xr:uid="{0DC1C542-3252-436E-854D-0E8AD7F206E7}"/>
    <cellStyle name="Vírgula 3 3 2 3 4" xfId="3760" xr:uid="{3C75CDC7-567E-4F3B-A1ED-5109CE033622}"/>
    <cellStyle name="Vírgula 3 3 2 3 4 2" xfId="10099" xr:uid="{239C21E0-4B06-489E-A349-E88668D14C72}"/>
    <cellStyle name="Vírgula 3 3 2 3 5" xfId="6931" xr:uid="{42F98959-2258-4AA2-93B6-CA336575E97E}"/>
    <cellStyle name="Vírgula 3 3 2 4" xfId="1004" xr:uid="{259B1C9F-80F3-41F8-92F0-5F4DAB986960}"/>
    <cellStyle name="Vírgula 3 3 2 4 2" xfId="2575" xr:uid="{65878126-3366-4AA9-9863-F58820B9C850}"/>
    <cellStyle name="Vírgula 3 3 2 4 2 2" xfId="5745" xr:uid="{D4EF602C-64FB-413D-AD64-3869EA5D9E8D}"/>
    <cellStyle name="Vírgula 3 3 2 4 2 2 2" xfId="12084" xr:uid="{BC33BAD9-1035-4E2F-B748-13DAFA4392BC}"/>
    <cellStyle name="Vírgula 3 3 2 4 2 3" xfId="8916" xr:uid="{D18FF87F-5827-4E87-A439-045CF67A6E5C}"/>
    <cellStyle name="Vírgula 3 3 2 4 3" xfId="4176" xr:uid="{E9FD9085-A7A1-4556-9770-EFE0749CF8B5}"/>
    <cellStyle name="Vírgula 3 3 2 4 3 2" xfId="10515" xr:uid="{275F7EDE-3DD3-472A-BA46-73A716A04276}"/>
    <cellStyle name="Vírgula 3 3 2 4 4" xfId="7347" xr:uid="{6FF41C8A-900A-47BB-A7F6-DAA911BD02B8}"/>
    <cellStyle name="Vírgula 3 3 2 5" xfId="1778" xr:uid="{A205E023-BBAF-42D0-A9BA-79DAAA7B031A}"/>
    <cellStyle name="Vírgula 3 3 2 5 2" xfId="4948" xr:uid="{88595626-B1C2-4BDA-BAA5-09F159D9AA14}"/>
    <cellStyle name="Vírgula 3 3 2 5 2 2" xfId="11287" xr:uid="{C4F32B76-8827-45F6-8E6B-7099B9EC1A56}"/>
    <cellStyle name="Vírgula 3 3 2 5 3" xfId="8119" xr:uid="{E203B25B-8DCA-4949-96E1-9A5257C9D510}"/>
    <cellStyle name="Vírgula 3 3 2 6" xfId="3379" xr:uid="{C6328963-09CA-40D7-A4FB-57952445F512}"/>
    <cellStyle name="Vírgula 3 3 2 6 2" xfId="9718" xr:uid="{94499DF2-5D0E-470A-BEA7-BD6969B29A4A}"/>
    <cellStyle name="Vírgula 3 3 2 7" xfId="6550" xr:uid="{3D3B07F0-7F8A-4C0B-948E-19A812D57FFB}"/>
    <cellStyle name="Vírgula 3 3 3" xfId="326" xr:uid="{75D2C7E3-575F-4F8A-B699-F1C91C336112}"/>
    <cellStyle name="Vírgula 3 3 3 2" xfId="711" xr:uid="{D8358336-69D7-4BE6-9089-D56E13AB1111}"/>
    <cellStyle name="Vírgula 3 3 3 2 2" xfId="1510" xr:uid="{E9AABB2A-6765-42CF-9057-8232C5A67F14}"/>
    <cellStyle name="Vírgula 3 3 3 2 2 2" xfId="3081" xr:uid="{505ECF01-4845-4A97-B773-D6183381C9CF}"/>
    <cellStyle name="Vírgula 3 3 3 2 2 2 2" xfId="6251" xr:uid="{87C47DE7-5E0F-4EF0-8C43-7057409A2A6E}"/>
    <cellStyle name="Vírgula 3 3 3 2 2 2 2 2" xfId="12590" xr:uid="{4025A809-640D-42E0-B163-FC8F65218B6A}"/>
    <cellStyle name="Vírgula 3 3 3 2 2 2 3" xfId="9422" xr:uid="{0D5E67E4-19FE-4D4D-B91B-9CF1F7753E48}"/>
    <cellStyle name="Vírgula 3 3 3 2 2 3" xfId="4682" xr:uid="{B109EF6F-96BF-4456-BC43-BD75D6D1B213}"/>
    <cellStyle name="Vírgula 3 3 3 2 2 3 2" xfId="11021" xr:uid="{AD64B903-F8DA-40A3-9F71-76CD0E513494}"/>
    <cellStyle name="Vírgula 3 3 3 2 2 4" xfId="7853" xr:uid="{CCB403F0-01D9-46E5-88BB-FACD1470E8ED}"/>
    <cellStyle name="Vírgula 3 3 3 2 3" xfId="2284" xr:uid="{6A9B5D3F-5B06-4EB2-B8FD-51E49D639F3D}"/>
    <cellStyle name="Vírgula 3 3 3 2 3 2" xfId="5454" xr:uid="{9F679CC2-F032-47B4-ACBF-A85E169ECB2A}"/>
    <cellStyle name="Vírgula 3 3 3 2 3 2 2" xfId="11793" xr:uid="{00B53CB2-0FAA-4F0C-AC77-664EA7B3502D}"/>
    <cellStyle name="Vírgula 3 3 3 2 3 3" xfId="8625" xr:uid="{CC8C58F8-1FC2-4D40-9C71-A8C9CE192730}"/>
    <cellStyle name="Vírgula 3 3 3 2 4" xfId="3885" xr:uid="{0F2395AB-9AE2-4FD3-8A94-B3B0D804FF32}"/>
    <cellStyle name="Vírgula 3 3 3 2 4 2" xfId="10224" xr:uid="{7D6EF697-3BD9-4D0A-836A-176C7D771D15}"/>
    <cellStyle name="Vírgula 3 3 3 2 5" xfId="7056" xr:uid="{CC552D71-7244-4423-A518-2886B83A000B}"/>
    <cellStyle name="Vírgula 3 3 3 3" xfId="1129" xr:uid="{6F6C3DF1-27F8-4D4D-8052-4DF69EF70BD4}"/>
    <cellStyle name="Vírgula 3 3 3 3 2" xfId="2700" xr:uid="{F68DDFF1-B22E-4C07-8AA0-77721ED0AAC3}"/>
    <cellStyle name="Vírgula 3 3 3 3 2 2" xfId="5870" xr:uid="{8310B2E1-5305-452D-AA61-D650CF91B8F9}"/>
    <cellStyle name="Vírgula 3 3 3 3 2 2 2" xfId="12209" xr:uid="{6BC099D0-3940-4486-B939-597FB1C54FFF}"/>
    <cellStyle name="Vírgula 3 3 3 3 2 3" xfId="9041" xr:uid="{344FAEFE-3352-40DA-AA9D-80C0FD5B52B4}"/>
    <cellStyle name="Vírgula 3 3 3 3 3" xfId="4301" xr:uid="{EF3517C6-F9C9-48DB-BDED-C05FFB4EAB73}"/>
    <cellStyle name="Vírgula 3 3 3 3 3 2" xfId="10640" xr:uid="{9041592B-62E3-4ACF-9D88-D47BC3C90DA6}"/>
    <cellStyle name="Vírgula 3 3 3 3 4" xfId="7472" xr:uid="{0D898A72-76AB-4137-882E-BAECB24210C7}"/>
    <cellStyle name="Vírgula 3 3 3 4" xfId="1903" xr:uid="{2803010B-F4E3-4B17-BD15-D9310B21BFAB}"/>
    <cellStyle name="Vírgula 3 3 3 4 2" xfId="5073" xr:uid="{0A2E3A5E-06FA-4EE4-B9DB-3E42F6F1A3F2}"/>
    <cellStyle name="Vírgula 3 3 3 4 2 2" xfId="11412" xr:uid="{3179A553-2061-4296-8FA9-26628B53C5B9}"/>
    <cellStyle name="Vírgula 3 3 3 4 3" xfId="8244" xr:uid="{B0690F69-4CD5-460D-84E7-0C61170BFBA8}"/>
    <cellStyle name="Vírgula 3 3 3 5" xfId="3504" xr:uid="{3CFD5F35-FDFD-4608-BFA0-8403FA0C2B7C}"/>
    <cellStyle name="Vírgula 3 3 3 5 2" xfId="9843" xr:uid="{8D75EB9A-A3B1-45A7-B018-8F6A71EAB3EC}"/>
    <cellStyle name="Vírgula 3 3 3 6" xfId="6675" xr:uid="{7B379C3E-85BA-4CD2-89BC-B292EDC6752D}"/>
    <cellStyle name="Vírgula 3 3 4" xfId="926" xr:uid="{B6B2D599-27B4-47B4-A873-8FE3BCF27A72}"/>
    <cellStyle name="Vírgula 3 3 4 2" xfId="2497" xr:uid="{18D774D4-C6E0-4984-80EE-8EB991CE1029}"/>
    <cellStyle name="Vírgula 3 3 4 2 2" xfId="5667" xr:uid="{613C5AB4-6A33-46A8-90F8-8D1304A6D440}"/>
    <cellStyle name="Vírgula 3 3 4 2 2 2" xfId="12006" xr:uid="{300CB426-531B-4B83-A9EC-593B08DABB91}"/>
    <cellStyle name="Vírgula 3 3 4 2 3" xfId="8838" xr:uid="{E2E4BEAE-CB1E-4BC4-ACD4-7357F778EB46}"/>
    <cellStyle name="Vírgula 3 3 4 3" xfId="4098" xr:uid="{E3CD361F-0DB8-4519-A20D-C2AE67C758A2}"/>
    <cellStyle name="Vírgula 3 3 4 3 2" xfId="10437" xr:uid="{09DECA71-7E7D-4127-B776-8BE0496B79F9}"/>
    <cellStyle name="Vírgula 3 3 4 4" xfId="7269" xr:uid="{9C843E9A-C45B-42E5-B7B5-3FC9FE0D66D3}"/>
    <cellStyle name="Vírgula 3 3 5" xfId="3301" xr:uid="{E06246AC-7FE3-4695-8AAE-44E118EC033A}"/>
    <cellStyle name="Vírgula 3 3 5 2" xfId="9640" xr:uid="{C3DF989D-A7A3-4804-BD50-247EA846991C}"/>
    <cellStyle name="Vírgula 3 3 6" xfId="6472" xr:uid="{D7D8E533-F802-496E-9042-B71601536ADF}"/>
    <cellStyle name="Vírgula 3 4" xfId="117" xr:uid="{E1B21FA8-A927-41E3-BA60-70CE3721B72C}"/>
    <cellStyle name="Vírgula 3 4 2" xfId="199" xr:uid="{D090BCC6-F2CA-49F6-8FBF-D0A04A52D3BB}"/>
    <cellStyle name="Vírgula 3 4 2 2" xfId="416" xr:uid="{C4C0CBBD-234C-4218-A505-5E73421FF981}"/>
    <cellStyle name="Vírgula 3 4 2 2 2" xfId="797" xr:uid="{EF9071D8-023D-4168-9D6D-5873DFD90638}"/>
    <cellStyle name="Vírgula 3 4 2 2 2 2" xfId="1596" xr:uid="{79D47C10-2403-4533-A39D-1E646CC31ABE}"/>
    <cellStyle name="Vírgula 3 4 2 2 2 2 2" xfId="3167" xr:uid="{C9B43971-D862-46A9-915F-96315E698A6B}"/>
    <cellStyle name="Vírgula 3 4 2 2 2 2 2 2" xfId="6337" xr:uid="{47BDEEA1-D3EB-4B11-B92F-8D1E24C70008}"/>
    <cellStyle name="Vírgula 3 4 2 2 2 2 2 2 2" xfId="12676" xr:uid="{DD3D5B08-AC14-4C81-A682-CF59EB73A9C9}"/>
    <cellStyle name="Vírgula 3 4 2 2 2 2 2 3" xfId="9508" xr:uid="{ECA1E32E-7EEA-43C9-8272-42CE0143205F}"/>
    <cellStyle name="Vírgula 3 4 2 2 2 2 3" xfId="4768" xr:uid="{13BB593D-7785-42F0-AB4A-A78CC7F82D04}"/>
    <cellStyle name="Vírgula 3 4 2 2 2 2 3 2" xfId="11107" xr:uid="{43EC7416-BB35-4A20-8F52-15D6C36ADC9C}"/>
    <cellStyle name="Vírgula 3 4 2 2 2 2 4" xfId="7939" xr:uid="{6C35AC64-EF63-4E50-9F59-BD123646244A}"/>
    <cellStyle name="Vírgula 3 4 2 2 2 3" xfId="2370" xr:uid="{0F75E2E0-9FE3-421E-8931-EB0395764F79}"/>
    <cellStyle name="Vírgula 3 4 2 2 2 3 2" xfId="5540" xr:uid="{266D8B52-ECA7-4A1C-9576-1C758C6C1CED}"/>
    <cellStyle name="Vírgula 3 4 2 2 2 3 2 2" xfId="11879" xr:uid="{B8DD17C2-C0FF-4664-BF51-AA1EBA3E2893}"/>
    <cellStyle name="Vírgula 3 4 2 2 2 3 3" xfId="8711" xr:uid="{63370F5D-220B-4224-865E-544E6832C0F1}"/>
    <cellStyle name="Vírgula 3 4 2 2 2 4" xfId="3971" xr:uid="{C34DAA03-4DB2-4E24-B80C-7EA862D9AF4B}"/>
    <cellStyle name="Vírgula 3 4 2 2 2 4 2" xfId="10310" xr:uid="{0AECA5E9-AD36-4F75-8B61-D4839496DB0D}"/>
    <cellStyle name="Vírgula 3 4 2 2 2 5" xfId="7142" xr:uid="{D0DC7321-D649-484E-BE0F-F24A7792410C}"/>
    <cellStyle name="Vírgula 3 4 2 2 3" xfId="1215" xr:uid="{E717F914-9FF3-431F-AF22-DEC448120C04}"/>
    <cellStyle name="Vírgula 3 4 2 2 3 2" xfId="2786" xr:uid="{443A72E6-F362-42BE-B8A6-74307593A353}"/>
    <cellStyle name="Vírgula 3 4 2 2 3 2 2" xfId="5956" xr:uid="{83104EEB-DA62-415E-AD5C-25D5AA895446}"/>
    <cellStyle name="Vírgula 3 4 2 2 3 2 2 2" xfId="12295" xr:uid="{16F2CAD7-F44D-429B-896C-392742287A30}"/>
    <cellStyle name="Vírgula 3 4 2 2 3 2 3" xfId="9127" xr:uid="{07A1EAD0-2162-4AE7-BE47-0A2D3130C7DA}"/>
    <cellStyle name="Vírgula 3 4 2 2 3 3" xfId="4387" xr:uid="{0A71C2EA-220B-4002-83A2-B87D510E2A6D}"/>
    <cellStyle name="Vírgula 3 4 2 2 3 3 2" xfId="10726" xr:uid="{AC3F9CA3-B6F6-4F0B-8424-A6E17F3358A7}"/>
    <cellStyle name="Vírgula 3 4 2 2 3 4" xfId="7558" xr:uid="{41AAB7CD-0BF2-4765-9AF2-C57F9F7AD9B3}"/>
    <cellStyle name="Vírgula 3 4 2 2 4" xfId="1989" xr:uid="{E3677F2D-3112-4417-B824-934E7417AC22}"/>
    <cellStyle name="Vírgula 3 4 2 2 4 2" xfId="5159" xr:uid="{9B09FCC1-6E9C-4396-84DE-D7C0830272E4}"/>
    <cellStyle name="Vírgula 3 4 2 2 4 2 2" xfId="11498" xr:uid="{D6142202-0763-468A-BAE7-FD0276D42589}"/>
    <cellStyle name="Vírgula 3 4 2 2 4 3" xfId="8330" xr:uid="{2FC37C72-DB39-4F49-B020-38D76B51824C}"/>
    <cellStyle name="Vírgula 3 4 2 2 5" xfId="3590" xr:uid="{3585D54C-46F3-457B-A99F-D5129A75EF9F}"/>
    <cellStyle name="Vírgula 3 4 2 2 5 2" xfId="9929" xr:uid="{A1AABE9D-5265-4AFE-B857-71197C04C1D4}"/>
    <cellStyle name="Vírgula 3 4 2 2 6" xfId="6761" xr:uid="{682558E7-E65B-4099-9195-CCFF9800A31F}"/>
    <cellStyle name="Vírgula 3 4 2 3" xfId="594" xr:uid="{48BD5DFD-D143-46AF-9E01-11E211B20FCE}"/>
    <cellStyle name="Vírgula 3 4 2 3 2" xfId="1393" xr:uid="{C7B22568-D013-4A7A-BCCE-1125B0FDEC6A}"/>
    <cellStyle name="Vírgula 3 4 2 3 2 2" xfId="2964" xr:uid="{E7412BE9-1E65-4BC8-9173-B8D4145EF2D8}"/>
    <cellStyle name="Vírgula 3 4 2 3 2 2 2" xfId="6134" xr:uid="{B6E3B052-FF56-496E-A5CF-97F5945550CA}"/>
    <cellStyle name="Vírgula 3 4 2 3 2 2 2 2" xfId="12473" xr:uid="{74C790B3-C57D-4D06-9FE8-3FC6872F27DD}"/>
    <cellStyle name="Vírgula 3 4 2 3 2 2 3" xfId="9305" xr:uid="{9A5209FB-E732-4931-9539-0FCAEBF84924}"/>
    <cellStyle name="Vírgula 3 4 2 3 2 3" xfId="4565" xr:uid="{75B281FB-E464-45D1-9491-082B00634EA2}"/>
    <cellStyle name="Vírgula 3 4 2 3 2 3 2" xfId="10904" xr:uid="{3A8A7ED9-ABC5-446C-BA0E-06DB908EAF50}"/>
    <cellStyle name="Vírgula 3 4 2 3 2 4" xfId="7736" xr:uid="{44520E1C-75AA-4203-A18F-B9C1CFB4CFB4}"/>
    <cellStyle name="Vírgula 3 4 2 3 3" xfId="2167" xr:uid="{9F426D51-1DCE-4BA0-B316-4D3536E36D7C}"/>
    <cellStyle name="Vírgula 3 4 2 3 3 2" xfId="5337" xr:uid="{DF955171-DF53-436B-9BD5-53B707FA2724}"/>
    <cellStyle name="Vírgula 3 4 2 3 3 2 2" xfId="11676" xr:uid="{AB143EB0-11D4-48B1-9FC4-52BD81334520}"/>
    <cellStyle name="Vírgula 3 4 2 3 3 3" xfId="8508" xr:uid="{96CA523B-CB76-4104-AC4A-D4F97732EE33}"/>
    <cellStyle name="Vírgula 3 4 2 3 4" xfId="3768" xr:uid="{036937A4-644D-4D08-B1D8-CCD9E610A714}"/>
    <cellStyle name="Vírgula 3 4 2 3 4 2" xfId="10107" xr:uid="{EB5CF9BB-5946-460B-9DA5-887881CFD150}"/>
    <cellStyle name="Vírgula 3 4 2 3 5" xfId="6939" xr:uid="{F25956B2-1E10-4994-844A-0355894DF59B}"/>
    <cellStyle name="Vírgula 3 4 2 4" xfId="1012" xr:uid="{9CCF36AE-F4C9-452F-997D-18258D8AE760}"/>
    <cellStyle name="Vírgula 3 4 2 4 2" xfId="2583" xr:uid="{CFF53A6A-AEBF-407F-9C3E-D701EDEE70BD}"/>
    <cellStyle name="Vírgula 3 4 2 4 2 2" xfId="5753" xr:uid="{B9071EDE-8C71-406E-8499-BCE05F5D0BC2}"/>
    <cellStyle name="Vírgula 3 4 2 4 2 2 2" xfId="12092" xr:uid="{DBAD1F9D-ACEC-49E1-8CB3-815995F72D40}"/>
    <cellStyle name="Vírgula 3 4 2 4 2 3" xfId="8924" xr:uid="{84C94836-19E2-4BD7-A818-DA85437F1335}"/>
    <cellStyle name="Vírgula 3 4 2 4 3" xfId="4184" xr:uid="{DEB33FBC-9FC2-499D-AD80-41205CE6347F}"/>
    <cellStyle name="Vírgula 3 4 2 4 3 2" xfId="10523" xr:uid="{2CE2AA80-EBA4-47B8-A16E-7F3656CE93DE}"/>
    <cellStyle name="Vírgula 3 4 2 4 4" xfId="7355" xr:uid="{242FDA32-0075-41CE-90CE-1461C83CC85E}"/>
    <cellStyle name="Vírgula 3 4 2 5" xfId="1786" xr:uid="{EAB22E9B-A95F-4AF7-87E6-1F4BDE66A96D}"/>
    <cellStyle name="Vírgula 3 4 2 5 2" xfId="4956" xr:uid="{18313675-CCE4-41D2-86C9-FC8CA0EDA225}"/>
    <cellStyle name="Vírgula 3 4 2 5 2 2" xfId="11295" xr:uid="{223826DB-7D71-42C6-AD2A-EDFADFF2600B}"/>
    <cellStyle name="Vírgula 3 4 2 5 3" xfId="8127" xr:uid="{DE2D34AB-D8F5-4CF8-9649-55399965445A}"/>
    <cellStyle name="Vírgula 3 4 2 6" xfId="3387" xr:uid="{12923D27-DA13-42B1-9AB0-347EB1D355A7}"/>
    <cellStyle name="Vírgula 3 4 2 6 2" xfId="9726" xr:uid="{7E504B09-8C4B-4C64-8145-B3A202629471}"/>
    <cellStyle name="Vírgula 3 4 2 7" xfId="6558" xr:uid="{44D2278B-5B81-40BD-A564-B4BFA8D4335F}"/>
    <cellStyle name="Vírgula 3 4 3" xfId="334" xr:uid="{B5EB1DC6-4D03-4EEE-8518-AF427E4D2827}"/>
    <cellStyle name="Vírgula 3 4 3 2" xfId="717" xr:uid="{FD092C54-C6B1-49CA-A43B-DB1F3FF5C3D6}"/>
    <cellStyle name="Vírgula 3 4 3 2 2" xfId="1516" xr:uid="{2441668B-3835-470E-8DAE-43C3B3BE8855}"/>
    <cellStyle name="Vírgula 3 4 3 2 2 2" xfId="3087" xr:uid="{6562F223-FFA8-41BC-A42F-29172A5AE8E2}"/>
    <cellStyle name="Vírgula 3 4 3 2 2 2 2" xfId="6257" xr:uid="{F30B75BF-6DD9-4651-A173-AD06B8B90FF0}"/>
    <cellStyle name="Vírgula 3 4 3 2 2 2 2 2" xfId="12596" xr:uid="{F564D9AD-1DD0-4892-B8BE-7BE92146DF81}"/>
    <cellStyle name="Vírgula 3 4 3 2 2 2 3" xfId="9428" xr:uid="{695057D7-191C-486B-9C5D-CB6EF5F590C8}"/>
    <cellStyle name="Vírgula 3 4 3 2 2 3" xfId="4688" xr:uid="{5E1FCAC1-5F06-40B2-A40B-320FDC5ED62C}"/>
    <cellStyle name="Vírgula 3 4 3 2 2 3 2" xfId="11027" xr:uid="{35C18B80-8D3E-4A4D-B27C-F18E36A3FED4}"/>
    <cellStyle name="Vírgula 3 4 3 2 2 4" xfId="7859" xr:uid="{534FE5F1-CAE1-48F3-883D-43DBBFA323C1}"/>
    <cellStyle name="Vírgula 3 4 3 2 3" xfId="2290" xr:uid="{D7599E07-DE0B-46B0-8234-2BB220C33858}"/>
    <cellStyle name="Vírgula 3 4 3 2 3 2" xfId="5460" xr:uid="{4FE90B4F-2534-4561-AED8-B6179D777E37}"/>
    <cellStyle name="Vírgula 3 4 3 2 3 2 2" xfId="11799" xr:uid="{E8290204-2C18-4953-9A44-1B2DB969B199}"/>
    <cellStyle name="Vírgula 3 4 3 2 3 3" xfId="8631" xr:uid="{A603E7C3-AA27-49D8-A4E8-80E7AC8C57F6}"/>
    <cellStyle name="Vírgula 3 4 3 2 4" xfId="3891" xr:uid="{B8129448-A3DE-4124-902C-B62DC3300ACB}"/>
    <cellStyle name="Vírgula 3 4 3 2 4 2" xfId="10230" xr:uid="{E31D24E8-62AB-46E8-A7DC-9CCDF378A699}"/>
    <cellStyle name="Vírgula 3 4 3 2 5" xfId="7062" xr:uid="{4C92C1C2-BA85-42CA-AE54-7CD1F644C2D9}"/>
    <cellStyle name="Vírgula 3 4 3 3" xfId="1135" xr:uid="{5008276F-F0EA-4AD3-AB80-28F6634DF663}"/>
    <cellStyle name="Vírgula 3 4 3 3 2" xfId="2706" xr:uid="{5DD70D98-5F01-43EA-9138-0670728580BB}"/>
    <cellStyle name="Vírgula 3 4 3 3 2 2" xfId="5876" xr:uid="{BA0DE76B-B1D3-416E-9CA3-1D7B8483B11D}"/>
    <cellStyle name="Vírgula 3 4 3 3 2 2 2" xfId="12215" xr:uid="{22E12293-EFAE-4E7A-93E9-8711711C1061}"/>
    <cellStyle name="Vírgula 3 4 3 3 2 3" xfId="9047" xr:uid="{7DC8370A-6D13-4D2A-AAED-EDF22E7C9053}"/>
    <cellStyle name="Vírgula 3 4 3 3 3" xfId="4307" xr:uid="{69E63E76-67B7-49EE-8650-6C7312171A42}"/>
    <cellStyle name="Vírgula 3 4 3 3 3 2" xfId="10646" xr:uid="{08AED59C-C4F9-457A-BDAB-6BABF5E0CDEE}"/>
    <cellStyle name="Vírgula 3 4 3 3 4" xfId="7478" xr:uid="{5D5ED5DE-F235-458A-B96B-D9938A663556}"/>
    <cellStyle name="Vírgula 3 4 3 4" xfId="1909" xr:uid="{B4E2F616-C263-41B5-9F62-B197D468ADFD}"/>
    <cellStyle name="Vírgula 3 4 3 4 2" xfId="5079" xr:uid="{055917E6-2663-47A2-9B61-DD710A9631DD}"/>
    <cellStyle name="Vírgula 3 4 3 4 2 2" xfId="11418" xr:uid="{9BFD338C-09B5-4162-A05D-1D6D35AD1249}"/>
    <cellStyle name="Vírgula 3 4 3 4 3" xfId="8250" xr:uid="{7EADE680-F7DC-417D-BC22-68A2E78BB7C5}"/>
    <cellStyle name="Vírgula 3 4 3 5" xfId="3510" xr:uid="{25DAB984-1017-424E-A092-52E2B4B828F3}"/>
    <cellStyle name="Vírgula 3 4 3 5 2" xfId="9849" xr:uid="{498A2229-887E-4E88-B255-A218BB144F33}"/>
    <cellStyle name="Vírgula 3 4 3 6" xfId="6681" xr:uid="{A4E10A6B-52B5-4856-99C2-580B2402B864}"/>
    <cellStyle name="Vírgula 3 4 4" xfId="932" xr:uid="{AB2970A7-C776-49B5-8716-C8CE3929F691}"/>
    <cellStyle name="Vírgula 3 4 4 2" xfId="2503" xr:uid="{5E111E7B-3351-442C-B004-FC644559DB9F}"/>
    <cellStyle name="Vírgula 3 4 4 2 2" xfId="5673" xr:uid="{CB9B56DF-D92D-46B7-9147-3D8030BD8783}"/>
    <cellStyle name="Vírgula 3 4 4 2 2 2" xfId="12012" xr:uid="{3C07BAF4-0912-41FC-A9C5-1E5EC1B09C08}"/>
    <cellStyle name="Vírgula 3 4 4 2 3" xfId="8844" xr:uid="{BE9704F1-3F52-4B85-A9FD-9A5E3B969BCE}"/>
    <cellStyle name="Vírgula 3 4 4 3" xfId="4104" xr:uid="{FDE9DCA8-C229-4470-86DD-F729A350F1B0}"/>
    <cellStyle name="Vírgula 3 4 4 3 2" xfId="10443" xr:uid="{0B3D6657-1357-4F2D-B714-09E502A637CF}"/>
    <cellStyle name="Vírgula 3 4 4 4" xfId="7275" xr:uid="{D6C4EC4E-CDE1-4943-A29F-46994555EA22}"/>
    <cellStyle name="Vírgula 3 4 5" xfId="3307" xr:uid="{E758EA9B-DA53-4B26-BE04-091292E60D19}"/>
    <cellStyle name="Vírgula 3 4 5 2" xfId="9646" xr:uid="{5C221807-5E99-4B26-B23C-659344AE477F}"/>
    <cellStyle name="Vírgula 3 4 6" xfId="6478" xr:uid="{80F88420-5B6B-46CD-A27C-7C8778A519BB}"/>
    <cellStyle name="Vírgula 3 5" xfId="125" xr:uid="{A377CE4D-10DD-44DE-849B-E0E756A3AD12}"/>
    <cellStyle name="Vírgula 3 5 2" xfId="206" xr:uid="{31B8F8A9-4AE3-4863-B2D7-0855D10F60FB}"/>
    <cellStyle name="Vírgula 3 5 2 2" xfId="423" xr:uid="{7360C595-5242-4BDA-B689-8A7BD139E926}"/>
    <cellStyle name="Vírgula 3 5 2 2 2" xfId="804" xr:uid="{E68F3225-EE1D-4133-BA97-E80E139A204D}"/>
    <cellStyle name="Vírgula 3 5 2 2 2 2" xfId="1603" xr:uid="{F3756ADE-684C-41F7-B0C4-9B35B91066E1}"/>
    <cellStyle name="Vírgula 3 5 2 2 2 2 2" xfId="3174" xr:uid="{D5BFD922-0066-4575-A3DC-49F7F931842C}"/>
    <cellStyle name="Vírgula 3 5 2 2 2 2 2 2" xfId="6344" xr:uid="{C2103AE1-A6AD-40C8-8135-E3F2974ADEB5}"/>
    <cellStyle name="Vírgula 3 5 2 2 2 2 2 2 2" xfId="12683" xr:uid="{93DB9173-0684-4A02-875A-15748D7E5DC9}"/>
    <cellStyle name="Vírgula 3 5 2 2 2 2 2 3" xfId="9515" xr:uid="{B917A3E4-1573-4B0F-B987-49A45F82A9BF}"/>
    <cellStyle name="Vírgula 3 5 2 2 2 2 3" xfId="4775" xr:uid="{270276A8-4D4B-44B1-AABA-5494225771FE}"/>
    <cellStyle name="Vírgula 3 5 2 2 2 2 3 2" xfId="11114" xr:uid="{8F7714CD-3518-4906-B298-9EC087EFF298}"/>
    <cellStyle name="Vírgula 3 5 2 2 2 2 4" xfId="7946" xr:uid="{F269AB0F-782F-41E9-B2BA-BE6A1E1162DC}"/>
    <cellStyle name="Vírgula 3 5 2 2 2 3" xfId="2377" xr:uid="{C2A542A9-6694-4598-911A-7533EAF867E2}"/>
    <cellStyle name="Vírgula 3 5 2 2 2 3 2" xfId="5547" xr:uid="{2CC27B68-3FB0-44B2-B6D3-7C5A672C1D48}"/>
    <cellStyle name="Vírgula 3 5 2 2 2 3 2 2" xfId="11886" xr:uid="{EBCCD5D7-D0E0-4504-91F1-9238D5071372}"/>
    <cellStyle name="Vírgula 3 5 2 2 2 3 3" xfId="8718" xr:uid="{2062F686-9840-45A3-9918-C1A39B65B44B}"/>
    <cellStyle name="Vírgula 3 5 2 2 2 4" xfId="3978" xr:uid="{002E1A98-B27F-4779-BA4A-3A7A4EF317ED}"/>
    <cellStyle name="Vírgula 3 5 2 2 2 4 2" xfId="10317" xr:uid="{7CBBDCA5-7BA6-4123-8814-01F668A7E039}"/>
    <cellStyle name="Vírgula 3 5 2 2 2 5" xfId="7149" xr:uid="{D19CC6C0-0D9F-4916-A1C7-3B64760F8D72}"/>
    <cellStyle name="Vírgula 3 5 2 2 3" xfId="1222" xr:uid="{36B5492A-D00D-453D-8B53-250039596C5D}"/>
    <cellStyle name="Vírgula 3 5 2 2 3 2" xfId="2793" xr:uid="{B7EE744D-EB72-466C-B6E9-819A1ACCE7C7}"/>
    <cellStyle name="Vírgula 3 5 2 2 3 2 2" xfId="5963" xr:uid="{711E6322-13D0-45E5-88B2-7771F23200D9}"/>
    <cellStyle name="Vírgula 3 5 2 2 3 2 2 2" xfId="12302" xr:uid="{FCED9B00-91B0-4AC4-B5B1-0F1F4D221DEC}"/>
    <cellStyle name="Vírgula 3 5 2 2 3 2 3" xfId="9134" xr:uid="{2BC25169-606F-4A97-9BD8-6D904E89A9A5}"/>
    <cellStyle name="Vírgula 3 5 2 2 3 3" xfId="4394" xr:uid="{2A6995DA-B32C-4158-921F-9D54DDF2DC82}"/>
    <cellStyle name="Vírgula 3 5 2 2 3 3 2" xfId="10733" xr:uid="{4910B5DF-821E-4F59-A459-69EE55C3453D}"/>
    <cellStyle name="Vírgula 3 5 2 2 3 4" xfId="7565" xr:uid="{0037A7AE-1B2D-4CA0-980B-CBC6EE4FE62B}"/>
    <cellStyle name="Vírgula 3 5 2 2 4" xfId="1996" xr:uid="{31562EAA-C06E-4C73-AE33-CF1E2EFA3354}"/>
    <cellStyle name="Vírgula 3 5 2 2 4 2" xfId="5166" xr:uid="{71FFEAA5-B63D-4BB8-8DE3-9937EC166CE9}"/>
    <cellStyle name="Vírgula 3 5 2 2 4 2 2" xfId="11505" xr:uid="{41E02292-47BE-4E80-8CDA-D38E743F75F5}"/>
    <cellStyle name="Vírgula 3 5 2 2 4 3" xfId="8337" xr:uid="{62402FF6-01F7-487D-8A30-DF5C1714D2C2}"/>
    <cellStyle name="Vírgula 3 5 2 2 5" xfId="3597" xr:uid="{D8321D23-65E0-4E0A-A988-D287855A3613}"/>
    <cellStyle name="Vírgula 3 5 2 2 5 2" xfId="9936" xr:uid="{FD659A2B-E4F0-474A-BCBC-536832B62EE5}"/>
    <cellStyle name="Vírgula 3 5 2 2 6" xfId="6768" xr:uid="{87F130EA-6970-4E9D-ACFB-EA7B29157739}"/>
    <cellStyle name="Vírgula 3 5 2 3" xfId="601" xr:uid="{979AAC9C-481E-4219-828D-39A2BE65BFD7}"/>
    <cellStyle name="Vírgula 3 5 2 3 2" xfId="1400" xr:uid="{D4A41817-9125-4541-8D8C-7A6F3BD9F303}"/>
    <cellStyle name="Vírgula 3 5 2 3 2 2" xfId="2971" xr:uid="{144D5DC3-5794-4B06-A7A8-40A202166806}"/>
    <cellStyle name="Vírgula 3 5 2 3 2 2 2" xfId="6141" xr:uid="{46D65EEF-08AB-4345-8C8D-8D49DA0A4433}"/>
    <cellStyle name="Vírgula 3 5 2 3 2 2 2 2" xfId="12480" xr:uid="{69B3B980-5021-4D4F-A06C-8CA48D1B2F45}"/>
    <cellStyle name="Vírgula 3 5 2 3 2 2 3" xfId="9312" xr:uid="{68D6CB47-4DAA-43C0-9EFD-2BAC6DE11BC3}"/>
    <cellStyle name="Vírgula 3 5 2 3 2 3" xfId="4572" xr:uid="{D4C96A17-9F58-4699-8F86-C3CE63DAA7C6}"/>
    <cellStyle name="Vírgula 3 5 2 3 2 3 2" xfId="10911" xr:uid="{C5CE41B6-5C1D-4B3A-A0A7-E530B8C65026}"/>
    <cellStyle name="Vírgula 3 5 2 3 2 4" xfId="7743" xr:uid="{51A47F4E-6CFE-406D-A13C-B131AECB16C2}"/>
    <cellStyle name="Vírgula 3 5 2 3 3" xfId="2174" xr:uid="{E5A7A8A4-C6D3-4D27-8C65-A2414C9D581E}"/>
    <cellStyle name="Vírgula 3 5 2 3 3 2" xfId="5344" xr:uid="{EB857827-8B96-40CD-B0A5-7C2DB5980CFD}"/>
    <cellStyle name="Vírgula 3 5 2 3 3 2 2" xfId="11683" xr:uid="{F8680060-8466-4643-AB47-CF9A600DED72}"/>
    <cellStyle name="Vírgula 3 5 2 3 3 3" xfId="8515" xr:uid="{06498CF3-13ED-4A91-BBE7-4056C8E4B950}"/>
    <cellStyle name="Vírgula 3 5 2 3 4" xfId="3775" xr:uid="{EC698BB3-F697-4A36-8D55-C77BB4C286B4}"/>
    <cellStyle name="Vírgula 3 5 2 3 4 2" xfId="10114" xr:uid="{61D49F7E-FF11-4199-B627-0E7ECA82A69C}"/>
    <cellStyle name="Vírgula 3 5 2 3 5" xfId="6946" xr:uid="{39C0B3EF-4159-4A65-A3DB-BF8B1238EBEE}"/>
    <cellStyle name="Vírgula 3 5 2 4" xfId="1019" xr:uid="{6B68BFBF-F8A4-47D3-AE25-A2EE48D2E37B}"/>
    <cellStyle name="Vírgula 3 5 2 4 2" xfId="2590" xr:uid="{A955A613-66B2-463A-B15C-3FC78DEDF8A0}"/>
    <cellStyle name="Vírgula 3 5 2 4 2 2" xfId="5760" xr:uid="{7A14A75B-D53B-4E2E-8651-24285BA88FCD}"/>
    <cellStyle name="Vírgula 3 5 2 4 2 2 2" xfId="12099" xr:uid="{BB345A2C-B51B-49E8-8E28-32DD0C73F06C}"/>
    <cellStyle name="Vírgula 3 5 2 4 2 3" xfId="8931" xr:uid="{82A7A282-8757-46FD-BF49-71C560605FEF}"/>
    <cellStyle name="Vírgula 3 5 2 4 3" xfId="4191" xr:uid="{C5F5905C-BA8E-4A1E-BD5F-A9D144F60400}"/>
    <cellStyle name="Vírgula 3 5 2 4 3 2" xfId="10530" xr:uid="{8A7D4F6C-72C7-4800-85BE-023B6FED5BCB}"/>
    <cellStyle name="Vírgula 3 5 2 4 4" xfId="7362" xr:uid="{1F91BB6D-BEC4-46F5-8520-B071DCB91F74}"/>
    <cellStyle name="Vírgula 3 5 2 5" xfId="1793" xr:uid="{863520D1-1CE3-4E71-B6E6-16D3487F5A17}"/>
    <cellStyle name="Vírgula 3 5 2 5 2" xfId="4963" xr:uid="{02C4DC5B-02FD-479E-A4DA-DA31A7E1C87A}"/>
    <cellStyle name="Vírgula 3 5 2 5 2 2" xfId="11302" xr:uid="{8EAC07B2-9054-4216-846E-69FBE541F700}"/>
    <cellStyle name="Vírgula 3 5 2 5 3" xfId="8134" xr:uid="{A7E5A79E-6516-47FB-97E9-1AC27AF215F8}"/>
    <cellStyle name="Vírgula 3 5 2 6" xfId="3394" xr:uid="{9F9C3E1C-2C47-4985-A53D-1408F68A0A66}"/>
    <cellStyle name="Vírgula 3 5 2 6 2" xfId="9733" xr:uid="{FE04CF6D-3FE6-4D31-B94F-0925C9D8F2D9}"/>
    <cellStyle name="Vírgula 3 5 2 7" xfId="6565" xr:uid="{73619170-EA5D-4011-A41A-438180092585}"/>
    <cellStyle name="Vírgula 3 5 3" xfId="342" xr:uid="{10BCD8B5-C726-4BE2-809F-F32E2351425D}"/>
    <cellStyle name="Vírgula 3 5 3 2" xfId="723" xr:uid="{F6A91E6F-DE62-4420-BF2B-6AAAC3BF9EF4}"/>
    <cellStyle name="Vírgula 3 5 3 2 2" xfId="1522" xr:uid="{7F3464E4-F951-4AD0-A58A-AEBC295FB5F9}"/>
    <cellStyle name="Vírgula 3 5 3 2 2 2" xfId="3093" xr:uid="{F0A97723-D317-4DA2-8078-1C0925910BDE}"/>
    <cellStyle name="Vírgula 3 5 3 2 2 2 2" xfId="6263" xr:uid="{850CA30C-4760-4135-8037-FA8531D22C5C}"/>
    <cellStyle name="Vírgula 3 5 3 2 2 2 2 2" xfId="12602" xr:uid="{FE629B6D-1A20-4932-9557-6647A6DD017F}"/>
    <cellStyle name="Vírgula 3 5 3 2 2 2 3" xfId="9434" xr:uid="{DED3EFF1-92C1-4023-B71C-D3315C764AFB}"/>
    <cellStyle name="Vírgula 3 5 3 2 2 3" xfId="4694" xr:uid="{7C473D72-61C2-408C-8061-ECFD4BAA0939}"/>
    <cellStyle name="Vírgula 3 5 3 2 2 3 2" xfId="11033" xr:uid="{2B241B26-4844-476B-973F-B1AEFB11E724}"/>
    <cellStyle name="Vírgula 3 5 3 2 2 4" xfId="7865" xr:uid="{3492048F-7C76-40AE-96E5-BBE01691A209}"/>
    <cellStyle name="Vírgula 3 5 3 2 3" xfId="2296" xr:uid="{864D79BA-69A9-46F0-B467-65F6FBB38EDB}"/>
    <cellStyle name="Vírgula 3 5 3 2 3 2" xfId="5466" xr:uid="{1C67A0A0-B00D-4E91-93AD-258200462B7B}"/>
    <cellStyle name="Vírgula 3 5 3 2 3 2 2" xfId="11805" xr:uid="{E38A15E8-F41C-47E6-B051-17DC6FA09B07}"/>
    <cellStyle name="Vírgula 3 5 3 2 3 3" xfId="8637" xr:uid="{C8644503-AE10-4BEB-A12D-C45B4AAD8819}"/>
    <cellStyle name="Vírgula 3 5 3 2 4" xfId="3897" xr:uid="{859B9ADA-92A8-41C1-8DDB-41491019401D}"/>
    <cellStyle name="Vírgula 3 5 3 2 4 2" xfId="10236" xr:uid="{A9F25D3D-5F7E-4E8D-AC58-1F7A293D5A9C}"/>
    <cellStyle name="Vírgula 3 5 3 2 5" xfId="7068" xr:uid="{0A0969FB-175D-4DA8-979D-721B66262DD3}"/>
    <cellStyle name="Vírgula 3 5 3 3" xfId="1141" xr:uid="{F85A96C5-8C4D-42B6-A111-7E6E8FD965C6}"/>
    <cellStyle name="Vírgula 3 5 3 3 2" xfId="2712" xr:uid="{5ED79448-F318-486E-9122-24FD4460CF08}"/>
    <cellStyle name="Vírgula 3 5 3 3 2 2" xfId="5882" xr:uid="{C3D05430-9704-4AC4-829A-6A9BF51EB426}"/>
    <cellStyle name="Vírgula 3 5 3 3 2 2 2" xfId="12221" xr:uid="{0BFD8A34-3609-4112-B5BA-822CE3ECACA3}"/>
    <cellStyle name="Vírgula 3 5 3 3 2 3" xfId="9053" xr:uid="{1E598558-66BB-4FC7-B9DE-A16AA77FE0D9}"/>
    <cellStyle name="Vírgula 3 5 3 3 3" xfId="4313" xr:uid="{53E070CE-0C01-48BA-9FC9-5AFCCF31C220}"/>
    <cellStyle name="Vírgula 3 5 3 3 3 2" xfId="10652" xr:uid="{BFEF828C-9B94-48B6-B110-DAC016262C21}"/>
    <cellStyle name="Vírgula 3 5 3 3 4" xfId="7484" xr:uid="{C34D6A46-8774-47B8-82FD-0099F22F494C}"/>
    <cellStyle name="Vírgula 3 5 3 4" xfId="1915" xr:uid="{9A12E20A-37BC-4FAE-8752-3E64A0B7F5F7}"/>
    <cellStyle name="Vírgula 3 5 3 4 2" xfId="5085" xr:uid="{42DA7D36-7692-4B80-9BA3-3D3A54CDE4A4}"/>
    <cellStyle name="Vírgula 3 5 3 4 2 2" xfId="11424" xr:uid="{0966E704-BCBD-4C0B-8B31-632A849C5CEC}"/>
    <cellStyle name="Vírgula 3 5 3 4 3" xfId="8256" xr:uid="{4281B7CB-2067-4948-B209-C359A8ACB805}"/>
    <cellStyle name="Vírgula 3 5 3 5" xfId="3516" xr:uid="{6E89A67C-F1AA-40D9-ACF5-EE9FF488D8A4}"/>
    <cellStyle name="Vírgula 3 5 3 5 2" xfId="9855" xr:uid="{EE444B19-D8FC-4A1B-87C7-070B4991D6A9}"/>
    <cellStyle name="Vírgula 3 5 3 6" xfId="6687" xr:uid="{26C80A79-F9BE-4278-8022-AAE499C69B49}"/>
    <cellStyle name="Vírgula 3 5 4" xfId="938" xr:uid="{96C21DE5-536C-46B1-9A97-CC6955423106}"/>
    <cellStyle name="Vírgula 3 5 4 2" xfId="2509" xr:uid="{AE85FAEE-4608-4E8F-BF37-001E61B08176}"/>
    <cellStyle name="Vírgula 3 5 4 2 2" xfId="5679" xr:uid="{68791046-170F-4058-A3A0-0A22C9640099}"/>
    <cellStyle name="Vírgula 3 5 4 2 2 2" xfId="12018" xr:uid="{0B1583F7-62F9-49A7-93EC-9C21D5CB5432}"/>
    <cellStyle name="Vírgula 3 5 4 2 3" xfId="8850" xr:uid="{26ABC171-C557-4434-8F9B-EC627C2F7326}"/>
    <cellStyle name="Vírgula 3 5 4 3" xfId="4110" xr:uid="{16D9EDF3-3DB6-4A24-8D62-5B2B094EA638}"/>
    <cellStyle name="Vírgula 3 5 4 3 2" xfId="10449" xr:uid="{5A1A983F-1B7D-4CF6-88CA-88D445BF0559}"/>
    <cellStyle name="Vírgula 3 5 4 4" xfId="7281" xr:uid="{67A0AF93-7273-4DD6-BEAD-A70949FE62E5}"/>
    <cellStyle name="Vírgula 3 5 5" xfId="3313" xr:uid="{62839357-3A1D-4B70-A5CA-7B9385604E75}"/>
    <cellStyle name="Vírgula 3 5 5 2" xfId="9652" xr:uid="{CE1AA7CB-B4EB-4BDA-BB32-EF569EF6E16F}"/>
    <cellStyle name="Vírgula 3 5 6" xfId="6484" xr:uid="{1726334C-9E2C-4FA8-9634-25BA06EEAE82}"/>
    <cellStyle name="Vírgula 3 6" xfId="130" xr:uid="{490D92BA-CB65-4F47-86CC-28D8984EC406}"/>
    <cellStyle name="Vírgula 3 6 2" xfId="211" xr:uid="{36D8DD0F-5DCB-46A2-8FC8-052A80BC9A71}"/>
    <cellStyle name="Vírgula 3 6 2 2" xfId="428" xr:uid="{776D4D0B-80F3-4595-99D4-95E23E0AEF85}"/>
    <cellStyle name="Vírgula 3 6 2 2 2" xfId="809" xr:uid="{CDD62CD2-D55F-4B96-B4F2-8CEB5CE776C2}"/>
    <cellStyle name="Vírgula 3 6 2 2 2 2" xfId="1608" xr:uid="{BFAF612A-F48E-48AF-93FF-C73B379B351A}"/>
    <cellStyle name="Vírgula 3 6 2 2 2 2 2" xfId="3179" xr:uid="{B8E36753-55D8-4CEB-A719-8DA1D12D6680}"/>
    <cellStyle name="Vírgula 3 6 2 2 2 2 2 2" xfId="6349" xr:uid="{F3B0352D-9AE5-4B88-B7A6-B411C35993D6}"/>
    <cellStyle name="Vírgula 3 6 2 2 2 2 2 2 2" xfId="12688" xr:uid="{BF96F6D3-F9F0-47AF-8647-D13A252B844D}"/>
    <cellStyle name="Vírgula 3 6 2 2 2 2 2 3" xfId="9520" xr:uid="{681E5DC3-A330-4101-BEBC-A61DBB000817}"/>
    <cellStyle name="Vírgula 3 6 2 2 2 2 3" xfId="4780" xr:uid="{E53E53A0-DAFD-4228-9494-6E192CC0F755}"/>
    <cellStyle name="Vírgula 3 6 2 2 2 2 3 2" xfId="11119" xr:uid="{4B73C88A-D632-49F4-B1C3-51BCAC825473}"/>
    <cellStyle name="Vírgula 3 6 2 2 2 2 4" xfId="7951" xr:uid="{964BB165-C075-4532-B5BB-413FBC453294}"/>
    <cellStyle name="Vírgula 3 6 2 2 2 3" xfId="2382" xr:uid="{F0A1980E-811E-4E5A-A61C-DDB97620ABA5}"/>
    <cellStyle name="Vírgula 3 6 2 2 2 3 2" xfId="5552" xr:uid="{0379DEB9-8ABE-4343-9251-575828E1D24F}"/>
    <cellStyle name="Vírgula 3 6 2 2 2 3 2 2" xfId="11891" xr:uid="{AEFA3D24-1863-44C0-84FE-639920DE5862}"/>
    <cellStyle name="Vírgula 3 6 2 2 2 3 3" xfId="8723" xr:uid="{94B84FF4-E68D-4160-8561-3C5339E1EE04}"/>
    <cellStyle name="Vírgula 3 6 2 2 2 4" xfId="3983" xr:uid="{51A668D9-5B2F-430B-861B-84C15EA2DFEB}"/>
    <cellStyle name="Vírgula 3 6 2 2 2 4 2" xfId="10322" xr:uid="{878582AE-8A86-4968-8CFF-54909C7F8042}"/>
    <cellStyle name="Vírgula 3 6 2 2 2 5" xfId="7154" xr:uid="{7E625C73-968E-4BD1-AAF0-A50CED9DF788}"/>
    <cellStyle name="Vírgula 3 6 2 2 3" xfId="1227" xr:uid="{8AAB9D30-B81A-42E7-A55B-60847B88C547}"/>
    <cellStyle name="Vírgula 3 6 2 2 3 2" xfId="2798" xr:uid="{7743A270-5ACA-4538-9542-8631361F0F08}"/>
    <cellStyle name="Vírgula 3 6 2 2 3 2 2" xfId="5968" xr:uid="{F303C1F5-AF5E-49F6-B1A2-94AF279E0BDC}"/>
    <cellStyle name="Vírgula 3 6 2 2 3 2 2 2" xfId="12307" xr:uid="{26DC0ABB-91EC-4993-8286-0F8848283B86}"/>
    <cellStyle name="Vírgula 3 6 2 2 3 2 3" xfId="9139" xr:uid="{725CF538-4A53-4AB9-8780-FE66B2652461}"/>
    <cellStyle name="Vírgula 3 6 2 2 3 3" xfId="4399" xr:uid="{38C00241-1DA7-4C92-8E81-5D846D67C57B}"/>
    <cellStyle name="Vírgula 3 6 2 2 3 3 2" xfId="10738" xr:uid="{4522016F-59DC-4D8B-92AA-C5B94FFEF560}"/>
    <cellStyle name="Vírgula 3 6 2 2 3 4" xfId="7570" xr:uid="{E4B74F44-5874-4003-AEDA-9A90C08C5C96}"/>
    <cellStyle name="Vírgula 3 6 2 2 4" xfId="2001" xr:uid="{05113ED9-8A00-4191-A0DF-3ED0296282C6}"/>
    <cellStyle name="Vírgula 3 6 2 2 4 2" xfId="5171" xr:uid="{BEC457A7-8ED2-4764-921D-9DD816688491}"/>
    <cellStyle name="Vírgula 3 6 2 2 4 2 2" xfId="11510" xr:uid="{E26E841D-AF2F-416E-8725-C5B5514C96AC}"/>
    <cellStyle name="Vírgula 3 6 2 2 4 3" xfId="8342" xr:uid="{73EE03BB-08FE-415A-93A7-6F2C84AE1F2B}"/>
    <cellStyle name="Vírgula 3 6 2 2 5" xfId="3602" xr:uid="{7B906C58-6EC8-4118-ADCF-C1EBC0626080}"/>
    <cellStyle name="Vírgula 3 6 2 2 5 2" xfId="9941" xr:uid="{BA2D9FEF-5184-43C7-94EA-3D679D0FDAF7}"/>
    <cellStyle name="Vírgula 3 6 2 2 6" xfId="6773" xr:uid="{760DF05C-01FB-47B1-8C75-405F7305EEE1}"/>
    <cellStyle name="Vírgula 3 6 2 3" xfId="606" xr:uid="{5BF97C2A-7CAA-472E-8FC2-8424F68FDB08}"/>
    <cellStyle name="Vírgula 3 6 2 3 2" xfId="1405" xr:uid="{B0623061-ED59-44B4-B0C1-7684B201A3E2}"/>
    <cellStyle name="Vírgula 3 6 2 3 2 2" xfId="2976" xr:uid="{D2FFABBE-8289-44EA-A81C-55259F2ADDA2}"/>
    <cellStyle name="Vírgula 3 6 2 3 2 2 2" xfId="6146" xr:uid="{6D66BEDE-807E-4175-86B0-D06AB127EB2D}"/>
    <cellStyle name="Vírgula 3 6 2 3 2 2 2 2" xfId="12485" xr:uid="{526D0018-B385-496F-8744-6CB2D1274030}"/>
    <cellStyle name="Vírgula 3 6 2 3 2 2 3" xfId="9317" xr:uid="{DC246063-F440-41BC-8BC1-863C5ED0D581}"/>
    <cellStyle name="Vírgula 3 6 2 3 2 3" xfId="4577" xr:uid="{BCAFA033-0D43-4595-B64C-2041C0E464BA}"/>
    <cellStyle name="Vírgula 3 6 2 3 2 3 2" xfId="10916" xr:uid="{7BEEE1A1-71CB-4DE2-8B3F-1C49898639D7}"/>
    <cellStyle name="Vírgula 3 6 2 3 2 4" xfId="7748" xr:uid="{0BBEC53F-17C0-4928-9235-E8B1258BC8AC}"/>
    <cellStyle name="Vírgula 3 6 2 3 3" xfId="2179" xr:uid="{460AEA56-DF1F-4ACE-A265-3DE6AFFC0EFD}"/>
    <cellStyle name="Vírgula 3 6 2 3 3 2" xfId="5349" xr:uid="{9BE5164B-3F9E-4F63-8F78-ABF34664CBA2}"/>
    <cellStyle name="Vírgula 3 6 2 3 3 2 2" xfId="11688" xr:uid="{3112ACC1-2CB9-4FF3-A048-815B73FDEB3D}"/>
    <cellStyle name="Vírgula 3 6 2 3 3 3" xfId="8520" xr:uid="{1E021555-7271-4263-BBB3-A6DDD08112A0}"/>
    <cellStyle name="Vírgula 3 6 2 3 4" xfId="3780" xr:uid="{45C9BA16-CB56-44C2-8D5D-297357C5611C}"/>
    <cellStyle name="Vírgula 3 6 2 3 4 2" xfId="10119" xr:uid="{97637B82-E096-4641-85B8-AF187B10CD4D}"/>
    <cellStyle name="Vírgula 3 6 2 3 5" xfId="6951" xr:uid="{4B1C2FDE-1E96-418D-81D2-01335D3E3E96}"/>
    <cellStyle name="Vírgula 3 6 2 4" xfId="1024" xr:uid="{9961F0B5-6798-46AF-852B-41D777AD206E}"/>
    <cellStyle name="Vírgula 3 6 2 4 2" xfId="2595" xr:uid="{62BE5989-6399-46B0-8508-D780ED743455}"/>
    <cellStyle name="Vírgula 3 6 2 4 2 2" xfId="5765" xr:uid="{851570D9-A8AE-48F4-9F30-6C33F774EF73}"/>
    <cellStyle name="Vírgula 3 6 2 4 2 2 2" xfId="12104" xr:uid="{A406F0BD-CD9B-40DB-BF49-DA51E77E3B7C}"/>
    <cellStyle name="Vírgula 3 6 2 4 2 3" xfId="8936" xr:uid="{D2E902A7-E788-45CC-8D10-A9C832B70C22}"/>
    <cellStyle name="Vírgula 3 6 2 4 3" xfId="4196" xr:uid="{32B9E737-754D-41E0-B774-92F3CE7A1054}"/>
    <cellStyle name="Vírgula 3 6 2 4 3 2" xfId="10535" xr:uid="{AAB6C299-537B-4D5D-AF26-F9DD3C6914BF}"/>
    <cellStyle name="Vírgula 3 6 2 4 4" xfId="7367" xr:uid="{9A44253F-F4E7-4BC2-A545-E86148668E36}"/>
    <cellStyle name="Vírgula 3 6 2 5" xfId="1798" xr:uid="{05F65720-F409-4F16-88EF-08D896740F0B}"/>
    <cellStyle name="Vírgula 3 6 2 5 2" xfId="4968" xr:uid="{DC90EAAE-4A1B-474A-9EC9-666BA15C1CB8}"/>
    <cellStyle name="Vírgula 3 6 2 5 2 2" xfId="11307" xr:uid="{565B6E44-CDA9-4DA3-94EA-7940FD210D24}"/>
    <cellStyle name="Vírgula 3 6 2 5 3" xfId="8139" xr:uid="{E341F448-727E-4AA2-8370-6F0EC1E71EA2}"/>
    <cellStyle name="Vírgula 3 6 2 6" xfId="3399" xr:uid="{5A77EB89-F475-4F64-9B57-8B23A6D5AF2E}"/>
    <cellStyle name="Vírgula 3 6 2 6 2" xfId="9738" xr:uid="{4A23FE1C-E468-4CAE-808F-7866756398F4}"/>
    <cellStyle name="Vírgula 3 6 2 7" xfId="6570" xr:uid="{FDC6A252-41FE-4513-9B66-EF0F9C98EF45}"/>
    <cellStyle name="Vírgula 3 6 3" xfId="347" xr:uid="{7DFED2E7-B0EE-443A-8790-347041FEDC41}"/>
    <cellStyle name="Vírgula 3 6 3 2" xfId="728" xr:uid="{4FA47F5F-E642-48D5-AEC4-143BCF4C447F}"/>
    <cellStyle name="Vírgula 3 6 3 2 2" xfId="1527" xr:uid="{3EEE8266-FAF5-441B-8869-40ABF5994D79}"/>
    <cellStyle name="Vírgula 3 6 3 2 2 2" xfId="3098" xr:uid="{87123E04-87DA-4235-848E-09B92633CF9B}"/>
    <cellStyle name="Vírgula 3 6 3 2 2 2 2" xfId="6268" xr:uid="{E0179A80-3BF7-4217-BE8D-068A84EE27DA}"/>
    <cellStyle name="Vírgula 3 6 3 2 2 2 2 2" xfId="12607" xr:uid="{5491B900-A87D-4B4B-9B03-7EA0F7F826FA}"/>
    <cellStyle name="Vírgula 3 6 3 2 2 2 3" xfId="9439" xr:uid="{324D7105-E4E1-483B-98FD-666E842CFB39}"/>
    <cellStyle name="Vírgula 3 6 3 2 2 3" xfId="4699" xr:uid="{472E1B12-058B-4957-B2BE-51188C177136}"/>
    <cellStyle name="Vírgula 3 6 3 2 2 3 2" xfId="11038" xr:uid="{76AB6CC6-32F1-42DD-BFA4-8096E2C9AE7A}"/>
    <cellStyle name="Vírgula 3 6 3 2 2 4" xfId="7870" xr:uid="{F7DC5A76-E82F-4E0B-9DAE-283045EF3F10}"/>
    <cellStyle name="Vírgula 3 6 3 2 3" xfId="2301" xr:uid="{8453DF83-3399-47BA-B0F7-72492C0DCB85}"/>
    <cellStyle name="Vírgula 3 6 3 2 3 2" xfId="5471" xr:uid="{E8D085E9-9A2F-43F3-B065-098EB54CFF56}"/>
    <cellStyle name="Vírgula 3 6 3 2 3 2 2" xfId="11810" xr:uid="{4F5B19A7-69B1-4385-AF14-FC36D80FBD82}"/>
    <cellStyle name="Vírgula 3 6 3 2 3 3" xfId="8642" xr:uid="{7027DAF9-FCB1-410D-ADDE-074E45744B00}"/>
    <cellStyle name="Vírgula 3 6 3 2 4" xfId="3902" xr:uid="{A5127C9A-32E2-45AC-AF98-C4BADEAD671D}"/>
    <cellStyle name="Vírgula 3 6 3 2 4 2" xfId="10241" xr:uid="{F3736849-3A7B-47D8-83CF-60539B1F1549}"/>
    <cellStyle name="Vírgula 3 6 3 2 5" xfId="7073" xr:uid="{8D6549BC-8A3B-49D6-939A-D98BAE8A8C55}"/>
    <cellStyle name="Vírgula 3 6 3 3" xfId="1146" xr:uid="{884E6DAE-2916-4580-9718-E7367779F5DB}"/>
    <cellStyle name="Vírgula 3 6 3 3 2" xfId="2717" xr:uid="{E8BBCFA2-985B-4AD6-9112-31DF4F73C07F}"/>
    <cellStyle name="Vírgula 3 6 3 3 2 2" xfId="5887" xr:uid="{A6BDD7DF-C853-403E-9C29-9F6114C32A20}"/>
    <cellStyle name="Vírgula 3 6 3 3 2 2 2" xfId="12226" xr:uid="{4178781D-C639-4F9A-B2C4-18CEE3AC211D}"/>
    <cellStyle name="Vírgula 3 6 3 3 2 3" xfId="9058" xr:uid="{B7D299A5-734A-4C72-BB65-88B27C1CF1A2}"/>
    <cellStyle name="Vírgula 3 6 3 3 3" xfId="4318" xr:uid="{C4BF4EA4-C1F9-4BB5-B16F-532A73642AAE}"/>
    <cellStyle name="Vírgula 3 6 3 3 3 2" xfId="10657" xr:uid="{DF90451E-0D02-4762-9EC8-619D445216F4}"/>
    <cellStyle name="Vírgula 3 6 3 3 4" xfId="7489" xr:uid="{63E387BB-878E-4043-A213-460B211E0F18}"/>
    <cellStyle name="Vírgula 3 6 3 4" xfId="1920" xr:uid="{BA12160A-0707-4C9A-85CB-5862FC87F46B}"/>
    <cellStyle name="Vírgula 3 6 3 4 2" xfId="5090" xr:uid="{D52760E3-337A-40A8-9FB3-1E9E3D45C56B}"/>
    <cellStyle name="Vírgula 3 6 3 4 2 2" xfId="11429" xr:uid="{544C3FB2-B1AC-4BCB-877D-20618B4233C8}"/>
    <cellStyle name="Vírgula 3 6 3 4 3" xfId="8261" xr:uid="{35C2C38F-9B48-4141-AD41-65A7A59089B7}"/>
    <cellStyle name="Vírgula 3 6 3 5" xfId="3521" xr:uid="{908AEA1D-2386-4ADB-B0FE-792299545323}"/>
    <cellStyle name="Vírgula 3 6 3 5 2" xfId="9860" xr:uid="{44C3726B-47F7-493A-B852-661D94020808}"/>
    <cellStyle name="Vírgula 3 6 3 6" xfId="6692" xr:uid="{927C6798-1A75-4F79-80C6-A55F9701777B}"/>
    <cellStyle name="Vírgula 3 6 4" xfId="943" xr:uid="{25ED9ECB-D95D-40CB-8DB6-6340BFE01F23}"/>
    <cellStyle name="Vírgula 3 6 4 2" xfId="2514" xr:uid="{3533A91D-4495-49C0-956F-168D8BB30E66}"/>
    <cellStyle name="Vírgula 3 6 4 2 2" xfId="5684" xr:uid="{F8CD9C8A-72E3-4284-A18B-85B8B29B0815}"/>
    <cellStyle name="Vírgula 3 6 4 2 2 2" xfId="12023" xr:uid="{62F4617D-E55F-497F-BDF9-A83631AEDEB4}"/>
    <cellStyle name="Vírgula 3 6 4 2 3" xfId="8855" xr:uid="{97BBE465-9200-469C-9716-93A429E5E1F5}"/>
    <cellStyle name="Vírgula 3 6 4 3" xfId="4115" xr:uid="{C55640FB-8058-4622-B75F-55E7C1F3CE43}"/>
    <cellStyle name="Vírgula 3 6 4 3 2" xfId="10454" xr:uid="{1F5FA2C8-D855-4CB6-AE5E-27EEAB645565}"/>
    <cellStyle name="Vírgula 3 6 4 4" xfId="7286" xr:uid="{EC171550-E336-44AC-AFD4-10A1F27660D3}"/>
    <cellStyle name="Vírgula 3 6 5" xfId="3318" xr:uid="{E9EC91A4-BE9E-4292-9185-81ED4D6DD178}"/>
    <cellStyle name="Vírgula 3 6 5 2" xfId="9657" xr:uid="{9B9B2D19-78F4-4D35-AF43-B810153ABCB0}"/>
    <cellStyle name="Vírgula 3 6 6" xfId="6489" xr:uid="{1AD25337-515D-4E7F-86F3-FDADDFF41EE2}"/>
    <cellStyle name="Vírgula 3 7" xfId="136" xr:uid="{20A537BD-27A3-475F-ADFE-ADCA39C9B61F}"/>
    <cellStyle name="Vírgula 3 7 2" xfId="217" xr:uid="{C902AB22-74D3-43AB-9A77-643845549C64}"/>
    <cellStyle name="Vírgula 3 7 2 2" xfId="434" xr:uid="{7CFB58E2-A982-4DB9-AE0D-970280D31BC0}"/>
    <cellStyle name="Vírgula 3 7 2 2 2" xfId="815" xr:uid="{2645C270-D36C-4D3E-B49E-67C93BB6211E}"/>
    <cellStyle name="Vírgula 3 7 2 2 2 2" xfId="1614" xr:uid="{05F64CD2-0EB1-4479-BC3B-EDAB72AFE545}"/>
    <cellStyle name="Vírgula 3 7 2 2 2 2 2" xfId="3185" xr:uid="{1436EAE5-78BA-4E26-A918-27380D6E054B}"/>
    <cellStyle name="Vírgula 3 7 2 2 2 2 2 2" xfId="6355" xr:uid="{4A3DED56-1051-491E-9230-7B08211C5738}"/>
    <cellStyle name="Vírgula 3 7 2 2 2 2 2 2 2" xfId="12694" xr:uid="{AD4895F8-8D47-49B3-B66B-D9E4AF0E73E9}"/>
    <cellStyle name="Vírgula 3 7 2 2 2 2 2 3" xfId="9526" xr:uid="{30453CC8-24DB-4800-91A0-EECAF219390E}"/>
    <cellStyle name="Vírgula 3 7 2 2 2 2 3" xfId="4786" xr:uid="{5F1D5D13-D259-4FB6-8E77-F5BFE5DA6E0A}"/>
    <cellStyle name="Vírgula 3 7 2 2 2 2 3 2" xfId="11125" xr:uid="{365BF18E-F6E4-40E9-B67D-B49D28C11EAC}"/>
    <cellStyle name="Vírgula 3 7 2 2 2 2 4" xfId="7957" xr:uid="{7ECD947B-208A-4B52-AF11-398767F0432E}"/>
    <cellStyle name="Vírgula 3 7 2 2 2 3" xfId="2388" xr:uid="{8505A9A0-E10C-4BE5-84E1-94649EB5AFA9}"/>
    <cellStyle name="Vírgula 3 7 2 2 2 3 2" xfId="5558" xr:uid="{3988E5F4-6B44-4FD1-B38D-3889A49CE34C}"/>
    <cellStyle name="Vírgula 3 7 2 2 2 3 2 2" xfId="11897" xr:uid="{20F12C9F-1F97-4A6A-A9A0-DA8B5641308C}"/>
    <cellStyle name="Vírgula 3 7 2 2 2 3 3" xfId="8729" xr:uid="{568C5126-916F-4C4A-B960-5270E46E9A52}"/>
    <cellStyle name="Vírgula 3 7 2 2 2 4" xfId="3989" xr:uid="{7EFD9122-5A81-41F5-B5E7-FD2D2BC26B1A}"/>
    <cellStyle name="Vírgula 3 7 2 2 2 4 2" xfId="10328" xr:uid="{A5434B32-38EA-4A68-931A-58C8BE8D5164}"/>
    <cellStyle name="Vírgula 3 7 2 2 2 5" xfId="7160" xr:uid="{BD3286FA-1B60-4D88-90C6-A2804B098E88}"/>
    <cellStyle name="Vírgula 3 7 2 2 3" xfId="1233" xr:uid="{FAA8A5CF-845E-4C7A-9A34-AE20DCB1F7B7}"/>
    <cellStyle name="Vírgula 3 7 2 2 3 2" xfId="2804" xr:uid="{5D702E56-C49B-48DD-A2E9-323720E54438}"/>
    <cellStyle name="Vírgula 3 7 2 2 3 2 2" xfId="5974" xr:uid="{E1DF8336-CF4F-4AC0-A806-92A8A74364BD}"/>
    <cellStyle name="Vírgula 3 7 2 2 3 2 2 2" xfId="12313" xr:uid="{50E91EB9-D98D-4615-B5A0-9AA00AD1C3C1}"/>
    <cellStyle name="Vírgula 3 7 2 2 3 2 3" xfId="9145" xr:uid="{D0410088-9750-4670-B1E3-31A0EF3A434E}"/>
    <cellStyle name="Vírgula 3 7 2 2 3 3" xfId="4405" xr:uid="{4174FCAA-77C5-4D60-9146-EBC11B59DA3D}"/>
    <cellStyle name="Vírgula 3 7 2 2 3 3 2" xfId="10744" xr:uid="{803450E6-7B35-4E2C-9D36-BA5A122D6679}"/>
    <cellStyle name="Vírgula 3 7 2 2 3 4" xfId="7576" xr:uid="{1CB727EE-7BF1-4440-A002-81A25D45443F}"/>
    <cellStyle name="Vírgula 3 7 2 2 4" xfId="2007" xr:uid="{FF982AAF-1D4C-4EE5-BCEB-408A3FAC5EA4}"/>
    <cellStyle name="Vírgula 3 7 2 2 4 2" xfId="5177" xr:uid="{087C8E64-7830-4DD6-9AB0-0C6EBEC25E92}"/>
    <cellStyle name="Vírgula 3 7 2 2 4 2 2" xfId="11516" xr:uid="{56723D69-88E9-46A4-A265-FBBB57988673}"/>
    <cellStyle name="Vírgula 3 7 2 2 4 3" xfId="8348" xr:uid="{FA0D802A-AFB7-44B0-8C1E-794C8B9400F8}"/>
    <cellStyle name="Vírgula 3 7 2 2 5" xfId="3608" xr:uid="{040C9D8C-67F2-48B3-A3EA-4F6D87BD2D66}"/>
    <cellStyle name="Vírgula 3 7 2 2 5 2" xfId="9947" xr:uid="{00FB4A8A-2569-4636-878A-F94820653F0D}"/>
    <cellStyle name="Vírgula 3 7 2 2 6" xfId="6779" xr:uid="{F805C9F2-7339-4836-8916-AD91BB9272A9}"/>
    <cellStyle name="Vírgula 3 7 2 3" xfId="612" xr:uid="{0F6844E9-EE03-4888-A40D-5E4C9D7F47CD}"/>
    <cellStyle name="Vírgula 3 7 2 3 2" xfId="1411" xr:uid="{6D582426-CC4B-4A9E-ABF2-087C760121A6}"/>
    <cellStyle name="Vírgula 3 7 2 3 2 2" xfId="2982" xr:uid="{C0E8EE98-BEF0-4847-819A-6EA04214FFAE}"/>
    <cellStyle name="Vírgula 3 7 2 3 2 2 2" xfId="6152" xr:uid="{5267E340-EA2A-4B23-B0C0-A7FEE9F6EE31}"/>
    <cellStyle name="Vírgula 3 7 2 3 2 2 2 2" xfId="12491" xr:uid="{FA2763DE-DEA9-4E0A-BF30-441D20FCEEB1}"/>
    <cellStyle name="Vírgula 3 7 2 3 2 2 3" xfId="9323" xr:uid="{7125EB2C-2924-472F-BB53-4AB582E9A5E2}"/>
    <cellStyle name="Vírgula 3 7 2 3 2 3" xfId="4583" xr:uid="{1513E462-635B-4576-A5C4-DE7CF948269A}"/>
    <cellStyle name="Vírgula 3 7 2 3 2 3 2" xfId="10922" xr:uid="{DC17AFEB-A1C9-4D06-8131-1D02325552AD}"/>
    <cellStyle name="Vírgula 3 7 2 3 2 4" xfId="7754" xr:uid="{48AEB3E4-8595-48A8-AB8D-22D31F7A9CE4}"/>
    <cellStyle name="Vírgula 3 7 2 3 3" xfId="2185" xr:uid="{70B06FD8-7E08-4E72-A744-A9C18764CCD4}"/>
    <cellStyle name="Vírgula 3 7 2 3 3 2" xfId="5355" xr:uid="{D9345707-1B37-4585-9DA2-135EBC54B54E}"/>
    <cellStyle name="Vírgula 3 7 2 3 3 2 2" xfId="11694" xr:uid="{77294D6F-32ED-455B-87C5-987E026F4C2C}"/>
    <cellStyle name="Vírgula 3 7 2 3 3 3" xfId="8526" xr:uid="{6C00325C-3486-47A4-87F5-2BF5D3103E4F}"/>
    <cellStyle name="Vírgula 3 7 2 3 4" xfId="3786" xr:uid="{09E59739-E421-410C-A5AF-D455586C96CC}"/>
    <cellStyle name="Vírgula 3 7 2 3 4 2" xfId="10125" xr:uid="{C7841F0F-D6F7-4B9F-8CCE-9EECD9D0113A}"/>
    <cellStyle name="Vírgula 3 7 2 3 5" xfId="6957" xr:uid="{0CDFF565-1B51-44CC-B1D4-0A22C44592CF}"/>
    <cellStyle name="Vírgula 3 7 2 4" xfId="1030" xr:uid="{5CEE3CBA-E8DF-4E46-9284-2F62F10DFF60}"/>
    <cellStyle name="Vírgula 3 7 2 4 2" xfId="2601" xr:uid="{4068F8A8-C3F9-4BE4-A48A-734CE6C6B1E6}"/>
    <cellStyle name="Vírgula 3 7 2 4 2 2" xfId="5771" xr:uid="{C6D71DCF-B20B-4F2D-BD0C-687876D7E957}"/>
    <cellStyle name="Vírgula 3 7 2 4 2 2 2" xfId="12110" xr:uid="{DB7E06CD-3E6D-4D69-8B65-5040A559A214}"/>
    <cellStyle name="Vírgula 3 7 2 4 2 3" xfId="8942" xr:uid="{2F9A5B7E-DE64-45E3-A613-A268C10E32DA}"/>
    <cellStyle name="Vírgula 3 7 2 4 3" xfId="4202" xr:uid="{97213C3C-6850-4C89-B90A-0C8E3CB21D02}"/>
    <cellStyle name="Vírgula 3 7 2 4 3 2" xfId="10541" xr:uid="{7028E531-0051-4061-83FA-31EDC95B404E}"/>
    <cellStyle name="Vírgula 3 7 2 4 4" xfId="7373" xr:uid="{210792B4-A909-4E20-B22A-1E90090CFD1B}"/>
    <cellStyle name="Vírgula 3 7 2 5" xfId="1804" xr:uid="{2CA5AAE8-3409-457D-AAAD-5B365E3EAB0E}"/>
    <cellStyle name="Vírgula 3 7 2 5 2" xfId="4974" xr:uid="{84FE4E77-A228-49DF-933B-FC7B947F6089}"/>
    <cellStyle name="Vírgula 3 7 2 5 2 2" xfId="11313" xr:uid="{2B08BE05-454F-40D8-A028-A1635F4CC484}"/>
    <cellStyle name="Vírgula 3 7 2 5 3" xfId="8145" xr:uid="{64C17F69-E1BB-4597-97D5-F1AE090DFCAA}"/>
    <cellStyle name="Vírgula 3 7 2 6" xfId="3405" xr:uid="{1B50D643-6562-4135-B5BA-09413C282938}"/>
    <cellStyle name="Vírgula 3 7 2 6 2" xfId="9744" xr:uid="{43AF4504-0D85-4379-B161-0F4F5D89E626}"/>
    <cellStyle name="Vírgula 3 7 2 7" xfId="6576" xr:uid="{8DBA37C1-0D88-4D8E-A7B4-57465B43C3B1}"/>
    <cellStyle name="Vírgula 3 7 3" xfId="353" xr:uid="{19767968-6A83-4F4D-83BC-C53AD22BE16A}"/>
    <cellStyle name="Vírgula 3 7 3 2" xfId="734" xr:uid="{E837C296-5D9E-47D8-962A-D92BE95B12F9}"/>
    <cellStyle name="Vírgula 3 7 3 2 2" xfId="1533" xr:uid="{82D42216-AD03-4F8B-AB89-F7C0251842D3}"/>
    <cellStyle name="Vírgula 3 7 3 2 2 2" xfId="3104" xr:uid="{47625847-44C7-4925-B21E-B93C0EA74D96}"/>
    <cellStyle name="Vírgula 3 7 3 2 2 2 2" xfId="6274" xr:uid="{FCD5EDB6-C043-4F7E-B511-89AACB81A245}"/>
    <cellStyle name="Vírgula 3 7 3 2 2 2 2 2" xfId="12613" xr:uid="{BCE5666A-3ED6-4683-A9A4-4F5C9EAEB34F}"/>
    <cellStyle name="Vírgula 3 7 3 2 2 2 3" xfId="9445" xr:uid="{C767B2A4-D9D5-42F8-B78C-1FC9F01C3CC9}"/>
    <cellStyle name="Vírgula 3 7 3 2 2 3" xfId="4705" xr:uid="{38A416FA-5BA1-4FB0-A6E7-EE25C22D707F}"/>
    <cellStyle name="Vírgula 3 7 3 2 2 3 2" xfId="11044" xr:uid="{1B3608A5-D227-4163-ACC0-1DA6404E555E}"/>
    <cellStyle name="Vírgula 3 7 3 2 2 4" xfId="7876" xr:uid="{89E51E26-88B4-4BCD-B950-2D4C89BC6CDA}"/>
    <cellStyle name="Vírgula 3 7 3 2 3" xfId="2307" xr:uid="{469BC8DF-2CEB-4355-AE98-291933D50F68}"/>
    <cellStyle name="Vírgula 3 7 3 2 3 2" xfId="5477" xr:uid="{4FE6676B-9818-4466-86E3-ED6DB1CE375E}"/>
    <cellStyle name="Vírgula 3 7 3 2 3 2 2" xfId="11816" xr:uid="{07228FAC-DDFA-4589-B888-5387FAA051BA}"/>
    <cellStyle name="Vírgula 3 7 3 2 3 3" xfId="8648" xr:uid="{AE07614B-AD7E-4069-A425-52143CE38779}"/>
    <cellStyle name="Vírgula 3 7 3 2 4" xfId="3908" xr:uid="{D73DAE75-12AA-40DC-843D-F6995F2C3DA8}"/>
    <cellStyle name="Vírgula 3 7 3 2 4 2" xfId="10247" xr:uid="{90931195-92E6-4622-9AA7-1ED60ED7A9E9}"/>
    <cellStyle name="Vírgula 3 7 3 2 5" xfId="7079" xr:uid="{D91DA01B-895E-4F4A-AA82-729639F8417C}"/>
    <cellStyle name="Vírgula 3 7 3 3" xfId="1152" xr:uid="{C387EB4E-2539-4DA0-96A9-15760214E9C1}"/>
    <cellStyle name="Vírgula 3 7 3 3 2" xfId="2723" xr:uid="{63684277-6EE8-4D55-8484-1F221D0B5242}"/>
    <cellStyle name="Vírgula 3 7 3 3 2 2" xfId="5893" xr:uid="{C7C5EE0A-65D5-4BE0-984A-2FC827CBC41F}"/>
    <cellStyle name="Vírgula 3 7 3 3 2 2 2" xfId="12232" xr:uid="{10970E63-473A-44CC-B666-2D88E858D02A}"/>
    <cellStyle name="Vírgula 3 7 3 3 2 3" xfId="9064" xr:uid="{2220C714-A6ED-4795-B662-E778F3D604F5}"/>
    <cellStyle name="Vírgula 3 7 3 3 3" xfId="4324" xr:uid="{4A8A14FC-F00D-4371-902D-AA47524F1569}"/>
    <cellStyle name="Vírgula 3 7 3 3 3 2" xfId="10663" xr:uid="{188F7B81-B17A-4B75-BC06-F0F8213B060A}"/>
    <cellStyle name="Vírgula 3 7 3 3 4" xfId="7495" xr:uid="{E3181531-3273-41A9-B674-C86BB2B8C881}"/>
    <cellStyle name="Vírgula 3 7 3 4" xfId="1926" xr:uid="{9AC045EA-7B5B-4C91-99EC-E2B2E79E1E00}"/>
    <cellStyle name="Vírgula 3 7 3 4 2" xfId="5096" xr:uid="{2530D147-A155-4859-ABB2-0942EC10ED7B}"/>
    <cellStyle name="Vírgula 3 7 3 4 2 2" xfId="11435" xr:uid="{CDA72BB8-5F3C-4ED5-9DF3-359E214F2BED}"/>
    <cellStyle name="Vírgula 3 7 3 4 3" xfId="8267" xr:uid="{A1CC5CE6-9C1A-4FD1-80C6-E53E15C60595}"/>
    <cellStyle name="Vírgula 3 7 3 5" xfId="3527" xr:uid="{82A86BCB-D848-460D-B832-62E574CC8AE7}"/>
    <cellStyle name="Vírgula 3 7 3 5 2" xfId="9866" xr:uid="{B6EB26DB-96C7-46C2-AF05-4A473D864983}"/>
    <cellStyle name="Vírgula 3 7 3 6" xfId="6698" xr:uid="{2E2B723B-2316-416A-B4E5-C81485CBEA2E}"/>
    <cellStyle name="Vírgula 3 7 4" xfId="949" xr:uid="{1CE195B3-B90D-4184-BFC7-EA97F261B284}"/>
    <cellStyle name="Vírgula 3 7 4 2" xfId="2520" xr:uid="{8CEE5056-BEFA-40E7-8504-65B3D68BFE38}"/>
    <cellStyle name="Vírgula 3 7 4 2 2" xfId="5690" xr:uid="{0B284561-ED5D-40C9-8B61-AB1EA9DD29AA}"/>
    <cellStyle name="Vírgula 3 7 4 2 2 2" xfId="12029" xr:uid="{A1601E9D-6D38-4C89-B08F-AD1CC387C1C1}"/>
    <cellStyle name="Vírgula 3 7 4 2 3" xfId="8861" xr:uid="{9916811E-2C91-46DD-ABA8-84BF759CED81}"/>
    <cellStyle name="Vírgula 3 7 4 3" xfId="4121" xr:uid="{0A0ABC64-E517-4941-BC03-99E8D791CFA2}"/>
    <cellStyle name="Vírgula 3 7 4 3 2" xfId="10460" xr:uid="{86379398-6105-43E0-AB71-B59C7FA3858E}"/>
    <cellStyle name="Vírgula 3 7 4 4" xfId="7292" xr:uid="{6A76F1B8-2C3A-44D6-99EA-7420AF6CBFC3}"/>
    <cellStyle name="Vírgula 3 7 5" xfId="3324" xr:uid="{1666E70F-8232-45C6-A556-F53565AEA45F}"/>
    <cellStyle name="Vírgula 3 7 5 2" xfId="9663" xr:uid="{D6B84EF2-AE71-4125-B5BB-0A7E6ABA2D14}"/>
    <cellStyle name="Vírgula 3 7 6" xfId="6495" xr:uid="{6E659FF2-2A70-49F3-850F-706F9B73E34B}"/>
    <cellStyle name="Vírgula 3 8" xfId="64" xr:uid="{F481563D-EB68-42E6-B487-00B22FBB8AAE}"/>
    <cellStyle name="Vírgula 3 8 2" xfId="222" xr:uid="{55DF4004-BDE9-4FE5-BAFC-8C11593D7390}"/>
    <cellStyle name="Vírgula 3 8 2 2" xfId="439" xr:uid="{8D84E553-CCCE-49B6-B4E0-75F6A6BBC314}"/>
    <cellStyle name="Vírgula 3 8 2 2 2" xfId="820" xr:uid="{0CCBF93C-1841-47B3-A6F4-2B152BDC0F75}"/>
    <cellStyle name="Vírgula 3 8 2 2 2 2" xfId="1619" xr:uid="{E2BFF43B-0A4E-4331-B594-D30F37C517D6}"/>
    <cellStyle name="Vírgula 3 8 2 2 2 2 2" xfId="3190" xr:uid="{26AA6F01-D4F1-43A1-A83A-5AFCCCF6565B}"/>
    <cellStyle name="Vírgula 3 8 2 2 2 2 2 2" xfId="6360" xr:uid="{36FAED24-F463-4050-8ED2-8DF0C7B463F5}"/>
    <cellStyle name="Vírgula 3 8 2 2 2 2 2 2 2" xfId="12699" xr:uid="{74DA5B6B-873D-486F-B43D-B79F056373C4}"/>
    <cellStyle name="Vírgula 3 8 2 2 2 2 2 3" xfId="9531" xr:uid="{A61DCC5A-44A3-4F1E-9ABE-51104E1DDBCF}"/>
    <cellStyle name="Vírgula 3 8 2 2 2 2 3" xfId="4791" xr:uid="{BE948F78-47D9-4C2C-8E34-3D3E8DFCE96F}"/>
    <cellStyle name="Vírgula 3 8 2 2 2 2 3 2" xfId="11130" xr:uid="{08B5BDD4-31B3-45D7-84CD-116BD2A374F4}"/>
    <cellStyle name="Vírgula 3 8 2 2 2 2 4" xfId="7962" xr:uid="{46D072A8-D088-4650-AE27-A855855CC083}"/>
    <cellStyle name="Vírgula 3 8 2 2 2 3" xfId="2393" xr:uid="{31E2740C-8A94-41ED-B905-181683E3D07A}"/>
    <cellStyle name="Vírgula 3 8 2 2 2 3 2" xfId="5563" xr:uid="{A2567407-F559-4D61-BBC0-BEF9A026414F}"/>
    <cellStyle name="Vírgula 3 8 2 2 2 3 2 2" xfId="11902" xr:uid="{F3DCF2C9-3219-41EE-9E47-75C9AEB8EA80}"/>
    <cellStyle name="Vírgula 3 8 2 2 2 3 3" xfId="8734" xr:uid="{2BB8F8BF-1189-477D-BB86-FB7E9C1F5BF9}"/>
    <cellStyle name="Vírgula 3 8 2 2 2 4" xfId="3994" xr:uid="{620EA205-7F0B-4D5A-B760-ECB8EE77BBD9}"/>
    <cellStyle name="Vírgula 3 8 2 2 2 4 2" xfId="10333" xr:uid="{1A2724AD-F2AA-45D9-AEA0-C50083373C1A}"/>
    <cellStyle name="Vírgula 3 8 2 2 2 5" xfId="7165" xr:uid="{B20E1D66-AFC9-440E-AA70-50EB98101429}"/>
    <cellStyle name="Vírgula 3 8 2 2 3" xfId="1238" xr:uid="{D0B909DD-F08A-4888-9E7A-6F3D696B6B2E}"/>
    <cellStyle name="Vírgula 3 8 2 2 3 2" xfId="2809" xr:uid="{D85B0E60-6590-4D81-B63D-C15774741F03}"/>
    <cellStyle name="Vírgula 3 8 2 2 3 2 2" xfId="5979" xr:uid="{EC74DC1C-2D0C-43EC-BF7D-6C48B907047A}"/>
    <cellStyle name="Vírgula 3 8 2 2 3 2 2 2" xfId="12318" xr:uid="{100AE773-3A44-4033-9CFE-B975EC9388BE}"/>
    <cellStyle name="Vírgula 3 8 2 2 3 2 3" xfId="9150" xr:uid="{7A632BC2-55B7-4A12-BD65-3D2D46FDE410}"/>
    <cellStyle name="Vírgula 3 8 2 2 3 3" xfId="4410" xr:uid="{94B98CBC-6882-4B74-8543-A95C29ECAA19}"/>
    <cellStyle name="Vírgula 3 8 2 2 3 3 2" xfId="10749" xr:uid="{4EEB1EC6-F146-4FC6-BB68-31F089C12B0A}"/>
    <cellStyle name="Vírgula 3 8 2 2 3 4" xfId="7581" xr:uid="{16B8E96E-74A0-4C98-B385-AB8C77CF8BE1}"/>
    <cellStyle name="Vírgula 3 8 2 2 4" xfId="2012" xr:uid="{A34D2F0A-B0C2-42DE-ABB0-D9E39122062A}"/>
    <cellStyle name="Vírgula 3 8 2 2 4 2" xfId="5182" xr:uid="{CA06B0E1-0CEF-451A-A56C-ED70B837EA34}"/>
    <cellStyle name="Vírgula 3 8 2 2 4 2 2" xfId="11521" xr:uid="{BC41625C-89E8-4F75-AB8E-4FB09D94558E}"/>
    <cellStyle name="Vírgula 3 8 2 2 4 3" xfId="8353" xr:uid="{605962F4-96FE-4C2C-A0CC-E0FF889E2609}"/>
    <cellStyle name="Vírgula 3 8 2 2 5" xfId="3613" xr:uid="{2EDBDA2C-499B-421F-A2CA-BD492CD81A6E}"/>
    <cellStyle name="Vírgula 3 8 2 2 5 2" xfId="9952" xr:uid="{1D0D46C2-EC8A-4AF5-A697-B76E667FFF8B}"/>
    <cellStyle name="Vírgula 3 8 2 2 6" xfId="6784" xr:uid="{167D72A9-8444-4467-9825-78011F3C78B3}"/>
    <cellStyle name="Vírgula 3 8 2 3" xfId="617" xr:uid="{6599509D-AE43-42DA-A17D-00478106A744}"/>
    <cellStyle name="Vírgula 3 8 2 3 2" xfId="1416" xr:uid="{20C8A352-9E04-4402-8E10-B16226AA3F3B}"/>
    <cellStyle name="Vírgula 3 8 2 3 2 2" xfId="2987" xr:uid="{7D52F0AE-0B90-474C-8A56-02467C5DC2EF}"/>
    <cellStyle name="Vírgula 3 8 2 3 2 2 2" xfId="6157" xr:uid="{E0B95004-A01C-4BA0-8A32-D45985F14753}"/>
    <cellStyle name="Vírgula 3 8 2 3 2 2 2 2" xfId="12496" xr:uid="{96E8A984-9AFA-454B-BD17-46306C912880}"/>
    <cellStyle name="Vírgula 3 8 2 3 2 2 3" xfId="9328" xr:uid="{4C5CA76D-F081-44C3-9DEA-9DBD6148D352}"/>
    <cellStyle name="Vírgula 3 8 2 3 2 3" xfId="4588" xr:uid="{ED563AD8-0684-4494-A368-7E215C02634C}"/>
    <cellStyle name="Vírgula 3 8 2 3 2 3 2" xfId="10927" xr:uid="{4D2E3709-E654-4273-94F8-98FA0BB6E4EA}"/>
    <cellStyle name="Vírgula 3 8 2 3 2 4" xfId="7759" xr:uid="{B5FCFC4C-990A-42DC-9E6B-0B4CCDB40805}"/>
    <cellStyle name="Vírgula 3 8 2 3 3" xfId="2190" xr:uid="{8C5B468B-B716-4A99-AAB3-89DC92B4CDB4}"/>
    <cellStyle name="Vírgula 3 8 2 3 3 2" xfId="5360" xr:uid="{93291D7C-EACD-42A8-ADDF-1097399DC874}"/>
    <cellStyle name="Vírgula 3 8 2 3 3 2 2" xfId="11699" xr:uid="{91DE41C1-18A4-4BCA-A7FC-F0E840103F41}"/>
    <cellStyle name="Vírgula 3 8 2 3 3 3" xfId="8531" xr:uid="{E5597F66-3B76-40FB-AF84-22AB559037C4}"/>
    <cellStyle name="Vírgula 3 8 2 3 4" xfId="3791" xr:uid="{5509BCF0-2578-4455-A2F8-6A2C3A77DF87}"/>
    <cellStyle name="Vírgula 3 8 2 3 4 2" xfId="10130" xr:uid="{06D27788-472A-403E-82DC-C494A05ADCC9}"/>
    <cellStyle name="Vírgula 3 8 2 3 5" xfId="6962" xr:uid="{8B9CCBBD-6FED-45CB-8708-719E32D9E845}"/>
    <cellStyle name="Vírgula 3 8 2 4" xfId="1035" xr:uid="{264C7D9C-EBAC-44DE-99DD-5F65A96CD205}"/>
    <cellStyle name="Vírgula 3 8 2 4 2" xfId="2606" xr:uid="{53A1F590-9A76-4658-B7DE-F09FAE8AB0DF}"/>
    <cellStyle name="Vírgula 3 8 2 4 2 2" xfId="5776" xr:uid="{02705C15-B816-4D1F-95B6-E1608E0E611C}"/>
    <cellStyle name="Vírgula 3 8 2 4 2 2 2" xfId="12115" xr:uid="{35B36DEF-9F94-4516-BBAB-2A4B43888BAB}"/>
    <cellStyle name="Vírgula 3 8 2 4 2 3" xfId="8947" xr:uid="{6A66B553-3F5C-4315-896A-4192B188C506}"/>
    <cellStyle name="Vírgula 3 8 2 4 3" xfId="4207" xr:uid="{9A53ABD9-398F-48AC-B7D7-F8400B5A8D76}"/>
    <cellStyle name="Vírgula 3 8 2 4 3 2" xfId="10546" xr:uid="{7A1FCA53-5A05-4EF5-8A5A-3508CD4BD194}"/>
    <cellStyle name="Vírgula 3 8 2 4 4" xfId="7378" xr:uid="{0C74679D-82E8-425F-856C-B8B6A5A364B9}"/>
    <cellStyle name="Vírgula 3 8 2 5" xfId="1809" xr:uid="{9FA107B4-A633-44BD-840C-78335D3029F6}"/>
    <cellStyle name="Vírgula 3 8 2 5 2" xfId="4979" xr:uid="{9D188D0F-4190-415A-9816-DB54B2443788}"/>
    <cellStyle name="Vírgula 3 8 2 5 2 2" xfId="11318" xr:uid="{C3DCB0F0-1238-4B6A-9349-7E40F9333A22}"/>
    <cellStyle name="Vírgula 3 8 2 5 3" xfId="8150" xr:uid="{4C4E8858-A346-4C18-B4CA-104E9925F621}"/>
    <cellStyle name="Vírgula 3 8 2 6" xfId="3410" xr:uid="{BC3CD0BF-A3DE-4483-97C1-1096EE50B186}"/>
    <cellStyle name="Vírgula 3 8 2 6 2" xfId="9749" xr:uid="{F54FAE81-D36D-463E-902E-62EB10B12E61}"/>
    <cellStyle name="Vírgula 3 8 2 7" xfId="6581" xr:uid="{C1C7EE0A-3237-441A-A8CE-4952E9BBCA7E}"/>
    <cellStyle name="Vírgula 3 8 3" xfId="288" xr:uid="{493EC627-116F-42F2-B0AA-20967301D84B}"/>
    <cellStyle name="Vírgula 3 8 3 2" xfId="678" xr:uid="{68BA34DC-7EFC-439C-82FF-A5CBAD3DF965}"/>
    <cellStyle name="Vírgula 3 8 3 2 2" xfId="1477" xr:uid="{68E432E8-ED6D-4750-8DE5-533147D62B5C}"/>
    <cellStyle name="Vírgula 3 8 3 2 2 2" xfId="3048" xr:uid="{37202986-2C60-4735-9464-3AFE8ADF0215}"/>
    <cellStyle name="Vírgula 3 8 3 2 2 2 2" xfId="6218" xr:uid="{F1BB5A01-32F4-40F9-8E93-C60A40599BB1}"/>
    <cellStyle name="Vírgula 3 8 3 2 2 2 2 2" xfId="12557" xr:uid="{97E40D0F-E56B-4577-BDAA-6A8F9DC72CF7}"/>
    <cellStyle name="Vírgula 3 8 3 2 2 2 3" xfId="9389" xr:uid="{B0F67E5A-8F0A-4B0A-B479-F8EDCD4F8FDF}"/>
    <cellStyle name="Vírgula 3 8 3 2 2 3" xfId="4649" xr:uid="{EE76910E-0321-4EC3-BB9F-B74E84745791}"/>
    <cellStyle name="Vírgula 3 8 3 2 2 3 2" xfId="10988" xr:uid="{EDA3F451-B7CE-40EF-9280-0C39B1D58C4D}"/>
    <cellStyle name="Vírgula 3 8 3 2 2 4" xfId="7820" xr:uid="{AFCD747B-A0B1-4AD6-B454-FBA88F36977C}"/>
    <cellStyle name="Vírgula 3 8 3 2 3" xfId="2251" xr:uid="{55A79BCE-337A-473A-AD6F-5EC7FB7EC200}"/>
    <cellStyle name="Vírgula 3 8 3 2 3 2" xfId="5421" xr:uid="{941752D9-29E9-455F-97DB-8BEFECC09EB1}"/>
    <cellStyle name="Vírgula 3 8 3 2 3 2 2" xfId="11760" xr:uid="{3F357E09-3236-4B21-AA85-E85F3FCCA876}"/>
    <cellStyle name="Vírgula 3 8 3 2 3 3" xfId="8592" xr:uid="{0A50560E-4967-4DAD-BACC-71E8F13C9A35}"/>
    <cellStyle name="Vírgula 3 8 3 2 4" xfId="3852" xr:uid="{E40A5A78-EBB6-4E07-B170-43FFCF6BAA24}"/>
    <cellStyle name="Vírgula 3 8 3 2 4 2" xfId="10191" xr:uid="{5DBA1609-75B2-4ECE-999F-D977BDAE575E}"/>
    <cellStyle name="Vírgula 3 8 3 2 5" xfId="7023" xr:uid="{83F80F05-6DC8-4934-B280-8B932EF5BC82}"/>
    <cellStyle name="Vírgula 3 8 3 3" xfId="1096" xr:uid="{F5CCB50E-26CE-4D1E-8CB8-569E2F8920F6}"/>
    <cellStyle name="Vírgula 3 8 3 3 2" xfId="2667" xr:uid="{11A00300-EB49-48EF-AF25-540D129A1EE6}"/>
    <cellStyle name="Vírgula 3 8 3 3 2 2" xfId="5837" xr:uid="{E31CBDB6-A945-440E-9C25-ADCB781026A6}"/>
    <cellStyle name="Vírgula 3 8 3 3 2 2 2" xfId="12176" xr:uid="{8AA94919-A0AF-460C-8774-49EBBABE603C}"/>
    <cellStyle name="Vírgula 3 8 3 3 2 3" xfId="9008" xr:uid="{A13F9E4B-2A93-46C1-B0D0-8666C99B0DCB}"/>
    <cellStyle name="Vírgula 3 8 3 3 3" xfId="4268" xr:uid="{17042861-9361-4936-BCA6-672A75CDA612}"/>
    <cellStyle name="Vírgula 3 8 3 3 3 2" xfId="10607" xr:uid="{32F6A350-8EE2-4DEB-872D-C681B1135FF4}"/>
    <cellStyle name="Vírgula 3 8 3 3 4" xfId="7439" xr:uid="{713FCAA7-F294-446E-A1C9-84A82E871ACF}"/>
    <cellStyle name="Vírgula 3 8 3 4" xfId="1870" xr:uid="{151FF38C-E2FD-49B8-8A5E-7D7BEB606A70}"/>
    <cellStyle name="Vírgula 3 8 3 4 2" xfId="5040" xr:uid="{35F893F7-E7BC-40F4-A297-B8320BFE42C9}"/>
    <cellStyle name="Vírgula 3 8 3 4 2 2" xfId="11379" xr:uid="{F03EBFEB-BDAE-457C-AC45-D91EA3003633}"/>
    <cellStyle name="Vírgula 3 8 3 4 3" xfId="8211" xr:uid="{5AA76504-4770-4EDE-8894-842CEB55100C}"/>
    <cellStyle name="Vírgula 3 8 3 5" xfId="3471" xr:uid="{8CB739A3-F352-427B-9F4A-BC937DA272F0}"/>
    <cellStyle name="Vírgula 3 8 3 5 2" xfId="9810" xr:uid="{823431EA-FBE4-4BCB-8103-7147AA007EE0}"/>
    <cellStyle name="Vírgula 3 8 3 6" xfId="6642" xr:uid="{7FF198FE-B1F2-4A46-8569-2B522A62643E}"/>
    <cellStyle name="Vírgula 3 8 4" xfId="495" xr:uid="{B1D5A664-B0C3-4125-993B-537AAF853056}"/>
    <cellStyle name="Vírgula 3 8 4 2" xfId="1294" xr:uid="{AD393972-74C8-4559-AA51-A3A3DEC1BE00}"/>
    <cellStyle name="Vírgula 3 8 4 2 2" xfId="2865" xr:uid="{9E98F4D0-762D-4BA7-A170-377FBF52E14C}"/>
    <cellStyle name="Vírgula 3 8 4 2 2 2" xfId="6035" xr:uid="{4967C574-80EE-4C4F-AE82-6613ED53FB10}"/>
    <cellStyle name="Vírgula 3 8 4 2 2 2 2" xfId="12374" xr:uid="{044524D0-1F16-4D7A-A4FD-2218EF8DECB8}"/>
    <cellStyle name="Vírgula 3 8 4 2 2 3" xfId="9206" xr:uid="{458C832B-593D-42EB-AF41-FFEB90AD5DE5}"/>
    <cellStyle name="Vírgula 3 8 4 2 3" xfId="4466" xr:uid="{DD965E49-E83F-4B79-9287-14101B731E4C}"/>
    <cellStyle name="Vírgula 3 8 4 2 3 2" xfId="10805" xr:uid="{E34FAB99-5A4B-48F3-9D02-8024FC6987D4}"/>
    <cellStyle name="Vírgula 3 8 4 2 4" xfId="7637" xr:uid="{EAB8E1C9-D3A8-4664-96CC-487DB5DF0F18}"/>
    <cellStyle name="Vírgula 3 8 4 3" xfId="2068" xr:uid="{F0194DD3-072F-400B-A9D7-7CAAB0BC1BCB}"/>
    <cellStyle name="Vírgula 3 8 4 3 2" xfId="5238" xr:uid="{DE00D969-856B-428C-8078-5EE20CCED7D6}"/>
    <cellStyle name="Vírgula 3 8 4 3 2 2" xfId="11577" xr:uid="{015B3966-A55A-4221-A7D1-1EE0F55B02C4}"/>
    <cellStyle name="Vírgula 3 8 4 3 3" xfId="8409" xr:uid="{F273C3F8-A600-4D8F-8D7B-931452062C52}"/>
    <cellStyle name="Vírgula 3 8 4 4" xfId="3669" xr:uid="{355C4746-5DCF-41D6-AD92-134CEDD997BE}"/>
    <cellStyle name="Vírgula 3 8 4 4 2" xfId="10008" xr:uid="{FC1A2386-F4C1-469E-AAED-4504FE5D1527}"/>
    <cellStyle name="Vírgula 3 8 4 5" xfId="6840" xr:uid="{13BA44D8-D362-4FE2-ABF4-2A15E77AE38E}"/>
    <cellStyle name="Vírgula 3 8 5" xfId="893" xr:uid="{6FCD6DC3-3149-4B14-BCB9-512822C3FA27}"/>
    <cellStyle name="Vírgula 3 8 5 2" xfId="2464" xr:uid="{2371E8B0-2E02-461F-9FD4-AF3929EFDD74}"/>
    <cellStyle name="Vírgula 3 8 5 2 2" xfId="5634" xr:uid="{C2505C01-F50D-4CAB-AFB1-E2AA09D2D7A4}"/>
    <cellStyle name="Vírgula 3 8 5 2 2 2" xfId="11973" xr:uid="{C87273CB-CC68-474B-BB7D-B0A983B75BB0}"/>
    <cellStyle name="Vírgula 3 8 5 2 3" xfId="8805" xr:uid="{D35678DA-8990-4392-8C9F-0B5F9162BB7C}"/>
    <cellStyle name="Vírgula 3 8 5 3" xfId="4065" xr:uid="{EC07B60E-2891-4355-AAD3-91C0D4E6C662}"/>
    <cellStyle name="Vírgula 3 8 5 3 2" xfId="10404" xr:uid="{C9DF1BF7-0919-4F59-9AF3-12E247FAB39A}"/>
    <cellStyle name="Vírgula 3 8 5 4" xfId="7236" xr:uid="{B30FDF4D-A445-4620-8214-75B85301CA19}"/>
    <cellStyle name="Vírgula 3 8 6" xfId="1690" xr:uid="{D4C09757-D401-4943-B481-72764E9700F0}"/>
    <cellStyle name="Vírgula 3 8 6 2" xfId="4860" xr:uid="{6FEDC2D6-45A1-42C6-A3FC-B08652C3E4CB}"/>
    <cellStyle name="Vírgula 3 8 6 2 2" xfId="11199" xr:uid="{6456EA18-5A35-4890-9043-C2C379928A27}"/>
    <cellStyle name="Vírgula 3 8 6 3" xfId="8031" xr:uid="{A8FCF612-2E3F-4DC1-8CB9-16FBCD01186C}"/>
    <cellStyle name="Vírgula 3 8 7" xfId="3268" xr:uid="{C578E8FB-7D98-456A-A2F6-512BB4F586BC}"/>
    <cellStyle name="Vírgula 3 8 7 2" xfId="9607" xr:uid="{328931D5-5AC8-4AD2-A736-CECEF51CAAFD}"/>
    <cellStyle name="Vírgula 3 8 8" xfId="6439" xr:uid="{B53FC673-9362-491A-8C67-DECBFE61298F}"/>
    <cellStyle name="Vírgula 3 9" xfId="153" xr:uid="{78275044-2733-4E99-8910-B4B2DE979898}"/>
    <cellStyle name="Vírgula 3 9 2" xfId="370" xr:uid="{A77724DF-E7B1-42C9-8DAA-73F43CCA4AAC}"/>
    <cellStyle name="Vírgula 3 9 2 2" xfId="751" xr:uid="{9090BC5A-9C33-4578-85F2-83B828254E5B}"/>
    <cellStyle name="Vírgula 3 9 2 2 2" xfId="1550" xr:uid="{531A5364-42E5-4851-BCA3-43005C3755A4}"/>
    <cellStyle name="Vírgula 3 9 2 2 2 2" xfId="3121" xr:uid="{0D071F36-3C38-4888-9ED6-50EDE6F40039}"/>
    <cellStyle name="Vírgula 3 9 2 2 2 2 2" xfId="6291" xr:uid="{DC5AFF7E-29D3-4969-AB48-0FAF3088A63C}"/>
    <cellStyle name="Vírgula 3 9 2 2 2 2 2 2" xfId="12630" xr:uid="{97401EF4-9477-46D1-9E34-A4ACC9F3F12E}"/>
    <cellStyle name="Vírgula 3 9 2 2 2 2 3" xfId="9462" xr:uid="{C9899E0F-6ABD-4B6A-9740-439B32A46390}"/>
    <cellStyle name="Vírgula 3 9 2 2 2 3" xfId="4722" xr:uid="{4ED88B91-1407-49C4-BF6F-5E6BF667AA45}"/>
    <cellStyle name="Vírgula 3 9 2 2 2 3 2" xfId="11061" xr:uid="{57A4EABE-F218-4EAB-9A66-B046C8E229BA}"/>
    <cellStyle name="Vírgula 3 9 2 2 2 4" xfId="7893" xr:uid="{59CD413D-F41F-4C7F-B1AD-5DAD59440058}"/>
    <cellStyle name="Vírgula 3 9 2 2 3" xfId="2324" xr:uid="{60051727-0A45-45AF-84C0-4D0F27616FD6}"/>
    <cellStyle name="Vírgula 3 9 2 2 3 2" xfId="5494" xr:uid="{C9D36374-E0FA-4988-BA34-5F6B36AE88BA}"/>
    <cellStyle name="Vírgula 3 9 2 2 3 2 2" xfId="11833" xr:uid="{EFCBD322-1989-4823-8F8D-B24374CB9880}"/>
    <cellStyle name="Vírgula 3 9 2 2 3 3" xfId="8665" xr:uid="{C08F8EAC-279D-49D3-9BF8-8C2291D142C4}"/>
    <cellStyle name="Vírgula 3 9 2 2 4" xfId="3925" xr:uid="{98DDF0C9-96EA-475F-8EF9-16313388F0B4}"/>
    <cellStyle name="Vírgula 3 9 2 2 4 2" xfId="10264" xr:uid="{9EA77164-91B9-4A9E-99E7-A5D26AF99335}"/>
    <cellStyle name="Vírgula 3 9 2 2 5" xfId="7096" xr:uid="{6A617DF7-3F28-44A5-9FF1-05538B7FD4E8}"/>
    <cellStyle name="Vírgula 3 9 2 3" xfId="1169" xr:uid="{F3A7ACDB-B839-4FBE-9BE4-391CAECF42B1}"/>
    <cellStyle name="Vírgula 3 9 2 3 2" xfId="2740" xr:uid="{1D0EFC87-F55B-4E4E-B4F2-EA327C2CF0F8}"/>
    <cellStyle name="Vírgula 3 9 2 3 2 2" xfId="5910" xr:uid="{A46E9133-8865-4A2C-8DEA-734F5BD6C056}"/>
    <cellStyle name="Vírgula 3 9 2 3 2 2 2" xfId="12249" xr:uid="{522A4897-83CB-41C9-9839-B804BFC1D0AA}"/>
    <cellStyle name="Vírgula 3 9 2 3 2 3" xfId="9081" xr:uid="{6DDF82E7-6760-423D-8B8B-3E950AE73213}"/>
    <cellStyle name="Vírgula 3 9 2 3 3" xfId="4341" xr:uid="{785BAF59-D188-4C6C-A6E4-ED0CCF7D2103}"/>
    <cellStyle name="Vírgula 3 9 2 3 3 2" xfId="10680" xr:uid="{D4913311-5B21-417C-A336-1ED00999A416}"/>
    <cellStyle name="Vírgula 3 9 2 3 4" xfId="7512" xr:uid="{FB88A165-D42B-4025-8EF6-955CCAB2F724}"/>
    <cellStyle name="Vírgula 3 9 2 4" xfId="1943" xr:uid="{CF78A693-A102-4FF8-91CE-33A320DEF89E}"/>
    <cellStyle name="Vírgula 3 9 2 4 2" xfId="5113" xr:uid="{509A535A-0FCF-46D0-A096-D2B1827F0397}"/>
    <cellStyle name="Vírgula 3 9 2 4 2 2" xfId="11452" xr:uid="{16E132C8-00BF-451A-9FE9-D9E03094CA70}"/>
    <cellStyle name="Vírgula 3 9 2 4 3" xfId="8284" xr:uid="{78C95189-1C68-4EA6-A492-13C74000DB79}"/>
    <cellStyle name="Vírgula 3 9 2 5" xfId="3544" xr:uid="{FE141A93-B296-4EFB-907E-1266574C86A5}"/>
    <cellStyle name="Vírgula 3 9 2 5 2" xfId="9883" xr:uid="{5807B0C1-2A0A-46AE-AE6C-E82093EA8414}"/>
    <cellStyle name="Vírgula 3 9 2 6" xfId="6715" xr:uid="{DDBF9499-57F9-4DFB-9705-663952954EB5}"/>
    <cellStyle name="Vírgula 3 9 3" xfId="548" xr:uid="{1DD819A8-2E24-4EAF-9897-EE5E1FE1412F}"/>
    <cellStyle name="Vírgula 3 9 3 2" xfId="1347" xr:uid="{5C54B161-BBC1-44F1-A9C3-8ABE9657357F}"/>
    <cellStyle name="Vírgula 3 9 3 2 2" xfId="2918" xr:uid="{6E265040-FF53-45C6-A2E8-9D4B270D283F}"/>
    <cellStyle name="Vírgula 3 9 3 2 2 2" xfId="6088" xr:uid="{20C7042D-2056-4D49-8643-739F4A087AF9}"/>
    <cellStyle name="Vírgula 3 9 3 2 2 2 2" xfId="12427" xr:uid="{FA32040E-CC0E-4939-8F11-DB7FCD9B5F31}"/>
    <cellStyle name="Vírgula 3 9 3 2 2 3" xfId="9259" xr:uid="{00091445-4455-408D-9276-68070C6FF630}"/>
    <cellStyle name="Vírgula 3 9 3 2 3" xfId="4519" xr:uid="{45C008BE-CEB3-459E-A597-B32C569D64B7}"/>
    <cellStyle name="Vírgula 3 9 3 2 3 2" xfId="10858" xr:uid="{6AC3390F-DE32-4B71-AFE5-AD4946D5DF28}"/>
    <cellStyle name="Vírgula 3 9 3 2 4" xfId="7690" xr:uid="{33452A8A-56D1-4FD3-8F80-72E6D14E068D}"/>
    <cellStyle name="Vírgula 3 9 3 3" xfId="2121" xr:uid="{D792D990-42A3-4975-A426-AE577B69BAD6}"/>
    <cellStyle name="Vírgula 3 9 3 3 2" xfId="5291" xr:uid="{340C3015-6302-4162-9CD9-B227727AA811}"/>
    <cellStyle name="Vírgula 3 9 3 3 2 2" xfId="11630" xr:uid="{392028F6-F149-42F9-80C7-357E78C4CC61}"/>
    <cellStyle name="Vírgula 3 9 3 3 3" xfId="8462" xr:uid="{FA44E359-CE65-4007-AEEC-C2ADA8F84802}"/>
    <cellStyle name="Vírgula 3 9 3 4" xfId="3722" xr:uid="{64299992-CE84-48BE-A1D2-3CC102CCB5C5}"/>
    <cellStyle name="Vírgula 3 9 3 4 2" xfId="10061" xr:uid="{4A16E351-2789-4B4B-86DC-D636B1BCBCFD}"/>
    <cellStyle name="Vírgula 3 9 3 5" xfId="6893" xr:uid="{7566A56E-E451-4321-9F6E-97F28D092787}"/>
    <cellStyle name="Vírgula 3 9 4" xfId="966" xr:uid="{22C4CE01-3036-4CFA-8B5B-2B7930520E9C}"/>
    <cellStyle name="Vírgula 3 9 4 2" xfId="2537" xr:uid="{9701A77B-5F88-4E0D-8FB5-9919506211D5}"/>
    <cellStyle name="Vírgula 3 9 4 2 2" xfId="5707" xr:uid="{9C39CC20-80A3-4FC9-9FB6-5C93D9B402C6}"/>
    <cellStyle name="Vírgula 3 9 4 2 2 2" xfId="12046" xr:uid="{65EC05F9-E831-46CE-BA3A-7ED37E9CF657}"/>
    <cellStyle name="Vírgula 3 9 4 2 3" xfId="8878" xr:uid="{3A93AA48-C81F-471C-8200-96C0A5B56068}"/>
    <cellStyle name="Vírgula 3 9 4 3" xfId="4138" xr:uid="{BFDD565D-24D5-486F-9203-48F85936711B}"/>
    <cellStyle name="Vírgula 3 9 4 3 2" xfId="10477" xr:uid="{252E4A0F-F0D0-417F-B01C-59F56799776A}"/>
    <cellStyle name="Vírgula 3 9 4 4" xfId="7309" xr:uid="{A66F55B0-56A6-4905-BA46-02CF8212813B}"/>
    <cellStyle name="Vírgula 3 9 5" xfId="1740" xr:uid="{8CDBFAC5-C297-4C6F-BEA6-9E599E7E0F77}"/>
    <cellStyle name="Vírgula 3 9 5 2" xfId="4910" xr:uid="{786E08AE-B878-4D4A-9D1E-AB0C1411A195}"/>
    <cellStyle name="Vírgula 3 9 5 2 2" xfId="11249" xr:uid="{59A0D640-009C-407C-B079-C04740368FF6}"/>
    <cellStyle name="Vírgula 3 9 5 3" xfId="8081" xr:uid="{063C0487-78CE-4BE4-8641-8FE30E0C6024}"/>
    <cellStyle name="Vírgula 3 9 6" xfId="3341" xr:uid="{072B8348-562E-4640-A9C3-BC73CFA9B153}"/>
    <cellStyle name="Vírgula 3 9 6 2" xfId="9680" xr:uid="{C2BDA739-C1F1-4E1C-8E88-CF29898FC2E7}"/>
    <cellStyle name="Vírgula 3 9 7" xfId="6512" xr:uid="{163A533E-715F-4329-9F13-7B517E4E3919}"/>
    <cellStyle name="Vírgula 4" xfId="31" xr:uid="{BCD5F95A-B023-4716-B5D9-1CBDFAB3D996}"/>
    <cellStyle name="Vírgula 4 10" xfId="6406" xr:uid="{097CFB60-C3D2-4064-A62D-7116E51440E2}"/>
    <cellStyle name="Vírgula 4 2" xfId="108" xr:uid="{60006F6A-1CE4-44F9-81DD-337187A49C27}"/>
    <cellStyle name="Vírgula 4 2 2" xfId="190" xr:uid="{DDB44222-1CB6-48D8-AC54-C1DFB1A93897}"/>
    <cellStyle name="Vírgula 4 2 2 2" xfId="407" xr:uid="{A66C9A03-98AE-4912-BD8F-BF3214A86EF2}"/>
    <cellStyle name="Vírgula 4 2 2 2 2" xfId="788" xr:uid="{CC519D1B-8091-49EC-8097-CEA70B05EB91}"/>
    <cellStyle name="Vírgula 4 2 2 2 2 2" xfId="1587" xr:uid="{C1EB386D-1231-466F-8B3A-8F4430A9CB50}"/>
    <cellStyle name="Vírgula 4 2 2 2 2 2 2" xfId="3158" xr:uid="{CEAA41B6-8EE4-4858-BEE9-136BBC20DE11}"/>
    <cellStyle name="Vírgula 4 2 2 2 2 2 2 2" xfId="6328" xr:uid="{8358486B-C206-4FB6-9C25-4FDBB1BE38AB}"/>
    <cellStyle name="Vírgula 4 2 2 2 2 2 2 2 2" xfId="12667" xr:uid="{C4F9F1D9-B19C-447F-8801-192BB9B9E240}"/>
    <cellStyle name="Vírgula 4 2 2 2 2 2 2 3" xfId="9499" xr:uid="{54BC04EC-9E93-48CC-9798-5C24C4EA52BC}"/>
    <cellStyle name="Vírgula 4 2 2 2 2 2 3" xfId="4759" xr:uid="{A6078B25-27C0-4A51-A1A1-73D0EAC7ABBE}"/>
    <cellStyle name="Vírgula 4 2 2 2 2 2 3 2" xfId="11098" xr:uid="{8C5BE3EE-3EAC-4B5E-9036-2A1D6DA6B02C}"/>
    <cellStyle name="Vírgula 4 2 2 2 2 2 4" xfId="7930" xr:uid="{5A9EDD83-21CE-4BCC-B080-AE9A2D165589}"/>
    <cellStyle name="Vírgula 4 2 2 2 2 3" xfId="2361" xr:uid="{80CAE43F-3565-45C6-A4F9-683DF0B74775}"/>
    <cellStyle name="Vírgula 4 2 2 2 2 3 2" xfId="5531" xr:uid="{742FAA4A-45AC-4B5E-9CBC-0BCA408CEAC8}"/>
    <cellStyle name="Vírgula 4 2 2 2 2 3 2 2" xfId="11870" xr:uid="{096958B4-326E-4ED5-8E67-D2AECFC4D30D}"/>
    <cellStyle name="Vírgula 4 2 2 2 2 3 3" xfId="8702" xr:uid="{A1174309-8689-4353-9952-722CCE9E4748}"/>
    <cellStyle name="Vírgula 4 2 2 2 2 4" xfId="3962" xr:uid="{440EA664-A744-4A32-8706-1F6F4B609807}"/>
    <cellStyle name="Vírgula 4 2 2 2 2 4 2" xfId="10301" xr:uid="{B0F069C1-E5CD-44F4-A967-AA3B2B754AC4}"/>
    <cellStyle name="Vírgula 4 2 2 2 2 5" xfId="7133" xr:uid="{14C877F5-8DB3-49E9-A3DF-DE8BA3A3BD20}"/>
    <cellStyle name="Vírgula 4 2 2 2 3" xfId="1206" xr:uid="{F69D093F-C8BC-4E9C-A8FD-B7480F49A23D}"/>
    <cellStyle name="Vírgula 4 2 2 2 3 2" xfId="2777" xr:uid="{B7A9C8F7-D645-4692-ADEE-7FD7AFB67EA2}"/>
    <cellStyle name="Vírgula 4 2 2 2 3 2 2" xfId="5947" xr:uid="{C0FA0980-265C-41AA-A0F5-C802A31603CA}"/>
    <cellStyle name="Vírgula 4 2 2 2 3 2 2 2" xfId="12286" xr:uid="{C07CEE65-8E87-4C49-A041-7FFF6F944447}"/>
    <cellStyle name="Vírgula 4 2 2 2 3 2 3" xfId="9118" xr:uid="{BBDE7510-5F97-4D0A-9A0C-BB3D95B67ADE}"/>
    <cellStyle name="Vírgula 4 2 2 2 3 3" xfId="4378" xr:uid="{64971B97-EEBE-4068-BD76-2D5BF9D0373D}"/>
    <cellStyle name="Vírgula 4 2 2 2 3 3 2" xfId="10717" xr:uid="{D341F15A-2D77-440E-9A12-C16E7033E3EA}"/>
    <cellStyle name="Vírgula 4 2 2 2 3 4" xfId="7549" xr:uid="{F7293FF1-0644-41C0-80B7-42CED81EF48A}"/>
    <cellStyle name="Vírgula 4 2 2 2 4" xfId="1980" xr:uid="{978A3C31-158E-4D41-B547-B9E855D43AB3}"/>
    <cellStyle name="Vírgula 4 2 2 2 4 2" xfId="5150" xr:uid="{14F622CD-9376-4B16-9985-CFC6F962DB67}"/>
    <cellStyle name="Vírgula 4 2 2 2 4 2 2" xfId="11489" xr:uid="{62E8D950-59A3-4354-86EA-3E17E509906F}"/>
    <cellStyle name="Vírgula 4 2 2 2 4 3" xfId="8321" xr:uid="{AE1B26F3-6AAA-49F8-A309-ABEF47ADCF1F}"/>
    <cellStyle name="Vírgula 4 2 2 2 5" xfId="3581" xr:uid="{352FBAFF-B070-4846-B70F-9F60A1CD8D3F}"/>
    <cellStyle name="Vírgula 4 2 2 2 5 2" xfId="9920" xr:uid="{86351C17-0824-4004-83CC-7CB875227062}"/>
    <cellStyle name="Vírgula 4 2 2 2 6" xfId="6752" xr:uid="{154706F4-F36C-4C8F-A24B-D5B03544269A}"/>
    <cellStyle name="Vírgula 4 2 2 3" xfId="585" xr:uid="{3A296FE4-BF41-40E8-BB59-AB710309AE8B}"/>
    <cellStyle name="Vírgula 4 2 2 3 2" xfId="1384" xr:uid="{8DDE6384-605A-4398-9230-ADE177798086}"/>
    <cellStyle name="Vírgula 4 2 2 3 2 2" xfId="2955" xr:uid="{71984F7B-BED3-4809-A012-47B090565184}"/>
    <cellStyle name="Vírgula 4 2 2 3 2 2 2" xfId="6125" xr:uid="{8557429E-2754-4DBD-AFF1-59E2AFEF04AE}"/>
    <cellStyle name="Vírgula 4 2 2 3 2 2 2 2" xfId="12464" xr:uid="{B80E480E-073F-456E-9624-1ED94F1C0AA6}"/>
    <cellStyle name="Vírgula 4 2 2 3 2 2 3" xfId="9296" xr:uid="{BF4675A8-CEBD-4150-AFAB-BF16721A15CE}"/>
    <cellStyle name="Vírgula 4 2 2 3 2 3" xfId="4556" xr:uid="{2A388FDB-0812-41AD-A488-3C3E79DBECC5}"/>
    <cellStyle name="Vírgula 4 2 2 3 2 3 2" xfId="10895" xr:uid="{6FBCADEF-427D-4F90-ACF0-847428CA4DF7}"/>
    <cellStyle name="Vírgula 4 2 2 3 2 4" xfId="7727" xr:uid="{100B3B88-ECFD-46E2-B92F-F4EBDF642B1B}"/>
    <cellStyle name="Vírgula 4 2 2 3 3" xfId="2158" xr:uid="{BD9C3836-945E-45BA-81D4-0C99B4E1079F}"/>
    <cellStyle name="Vírgula 4 2 2 3 3 2" xfId="5328" xr:uid="{1EDB183C-271F-460A-A016-50D08EF03F0B}"/>
    <cellStyle name="Vírgula 4 2 2 3 3 2 2" xfId="11667" xr:uid="{351EC91C-38DE-4650-9E75-319739361833}"/>
    <cellStyle name="Vírgula 4 2 2 3 3 3" xfId="8499" xr:uid="{E2935E23-3B39-4A9F-A620-DF251414BF3C}"/>
    <cellStyle name="Vírgula 4 2 2 3 4" xfId="3759" xr:uid="{8A36E28C-E406-41F8-A253-F83A9514A232}"/>
    <cellStyle name="Vírgula 4 2 2 3 4 2" xfId="10098" xr:uid="{BED5E220-1D69-4F7F-B9DD-BA0D84596189}"/>
    <cellStyle name="Vírgula 4 2 2 3 5" xfId="6930" xr:uid="{52D6D261-9468-4C91-8442-421B3280E0F9}"/>
    <cellStyle name="Vírgula 4 2 2 4" xfId="1003" xr:uid="{A6F7A6F1-B6B0-4B4C-9EC2-7A6FA9B77036}"/>
    <cellStyle name="Vírgula 4 2 2 4 2" xfId="2574" xr:uid="{6DD60168-DD01-4F02-8FC1-6ABFB73A0200}"/>
    <cellStyle name="Vírgula 4 2 2 4 2 2" xfId="5744" xr:uid="{BE1D6220-166A-45B0-BBB4-0B06E67C9592}"/>
    <cellStyle name="Vírgula 4 2 2 4 2 2 2" xfId="12083" xr:uid="{67383450-C4B3-4208-A667-0EB756958AB3}"/>
    <cellStyle name="Vírgula 4 2 2 4 2 3" xfId="8915" xr:uid="{57C9BB54-4484-4975-B45C-AA2805FF0F07}"/>
    <cellStyle name="Vírgula 4 2 2 4 3" xfId="4175" xr:uid="{44582A4E-E94C-4B40-A438-E8987DCC3A91}"/>
    <cellStyle name="Vírgula 4 2 2 4 3 2" xfId="10514" xr:uid="{84215527-A9C2-41F9-ADA3-99064968B42C}"/>
    <cellStyle name="Vírgula 4 2 2 4 4" xfId="7346" xr:uid="{54031A50-BE42-443E-B221-E1437008DF44}"/>
    <cellStyle name="Vírgula 4 2 2 5" xfId="1777" xr:uid="{C108A2E8-73E4-4243-BC06-769A5F97D33D}"/>
    <cellStyle name="Vírgula 4 2 2 5 2" xfId="4947" xr:uid="{8ED42884-7A57-44D1-91C1-A54B439D8207}"/>
    <cellStyle name="Vírgula 4 2 2 5 2 2" xfId="11286" xr:uid="{785E1B0E-30C3-4E20-B293-73297F65F3DD}"/>
    <cellStyle name="Vírgula 4 2 2 5 3" xfId="8118" xr:uid="{9E3B91DC-5973-4515-AE7D-30D6D320165F}"/>
    <cellStyle name="Vírgula 4 2 2 6" xfId="3378" xr:uid="{9A1DC4DB-F5FE-4663-8426-FE16358371EC}"/>
    <cellStyle name="Vírgula 4 2 2 6 2" xfId="9717" xr:uid="{A3CE72D7-E1DE-4B25-A675-1BC75B4A36FB}"/>
    <cellStyle name="Vírgula 4 2 2 7" xfId="6549" xr:uid="{263F7C90-6A01-4D60-B847-3502FD7AD08F}"/>
    <cellStyle name="Vírgula 4 2 3" xfId="325" xr:uid="{92017F3B-46ED-4D38-9055-0C84A7F7928F}"/>
    <cellStyle name="Vírgula 4 2 3 2" xfId="710" xr:uid="{B3063106-8361-4B3D-8283-3C93D7FED9D9}"/>
    <cellStyle name="Vírgula 4 2 3 2 2" xfId="1509" xr:uid="{9B4565B0-4470-48E6-920B-435B71FD2009}"/>
    <cellStyle name="Vírgula 4 2 3 2 2 2" xfId="3080" xr:uid="{3BA51E94-FA9B-4175-83C1-48C151170CD5}"/>
    <cellStyle name="Vírgula 4 2 3 2 2 2 2" xfId="6250" xr:uid="{21AF022D-263E-4AF5-90B0-40C9FD5E381C}"/>
    <cellStyle name="Vírgula 4 2 3 2 2 2 2 2" xfId="12589" xr:uid="{D79EBEA3-65F1-41E8-9127-3493E06A56B2}"/>
    <cellStyle name="Vírgula 4 2 3 2 2 2 3" xfId="9421" xr:uid="{B7984238-ED56-421E-A0A0-9FE74880F9B6}"/>
    <cellStyle name="Vírgula 4 2 3 2 2 3" xfId="4681" xr:uid="{EB386266-254B-4865-9B8F-7CC775F5A539}"/>
    <cellStyle name="Vírgula 4 2 3 2 2 3 2" xfId="11020" xr:uid="{31667702-C4CE-44BB-A62E-025216134C6D}"/>
    <cellStyle name="Vírgula 4 2 3 2 2 4" xfId="7852" xr:uid="{F6372C63-F611-4019-8F9A-CEA83F017FB4}"/>
    <cellStyle name="Vírgula 4 2 3 2 3" xfId="2283" xr:uid="{3D0D7533-A587-4753-A98A-C37C4D2E5F65}"/>
    <cellStyle name="Vírgula 4 2 3 2 3 2" xfId="5453" xr:uid="{5358529A-292E-47D0-B613-F232C522FB98}"/>
    <cellStyle name="Vírgula 4 2 3 2 3 2 2" xfId="11792" xr:uid="{16AC7BD6-2182-4F78-A9FD-C1D5BEBB9242}"/>
    <cellStyle name="Vírgula 4 2 3 2 3 3" xfId="8624" xr:uid="{DFADD319-98AA-4259-B58C-4E98AA372FE7}"/>
    <cellStyle name="Vírgula 4 2 3 2 4" xfId="3884" xr:uid="{76984A46-C9DA-481F-B797-37D516D21A07}"/>
    <cellStyle name="Vírgula 4 2 3 2 4 2" xfId="10223" xr:uid="{00E5225A-978F-446F-84E1-31333ACEE4C1}"/>
    <cellStyle name="Vírgula 4 2 3 2 5" xfId="7055" xr:uid="{17A065AC-7C93-49AC-8B7A-8987944D2B81}"/>
    <cellStyle name="Vírgula 4 2 3 3" xfId="1128" xr:uid="{19E7ED09-7A64-4CB9-8381-AF0A637AA396}"/>
    <cellStyle name="Vírgula 4 2 3 3 2" xfId="2699" xr:uid="{777BF41F-544F-4BFF-A0AC-A2423CDFE9D1}"/>
    <cellStyle name="Vírgula 4 2 3 3 2 2" xfId="5869" xr:uid="{595E19FB-D03F-48AB-B261-1C9693F64D7C}"/>
    <cellStyle name="Vírgula 4 2 3 3 2 2 2" xfId="12208" xr:uid="{E8131886-9F44-4410-BC4A-B076026A74D9}"/>
    <cellStyle name="Vírgula 4 2 3 3 2 3" xfId="9040" xr:uid="{1D7771D1-2638-4220-B941-C1BB16663552}"/>
    <cellStyle name="Vírgula 4 2 3 3 3" xfId="4300" xr:uid="{A8B23029-8083-4F57-9B4C-68B7CF42023E}"/>
    <cellStyle name="Vírgula 4 2 3 3 3 2" xfId="10639" xr:uid="{7C6624C0-1044-472D-9213-3175F1DDA220}"/>
    <cellStyle name="Vírgula 4 2 3 3 4" xfId="7471" xr:uid="{55F473E4-D3CE-4C94-99D0-E25922742C81}"/>
    <cellStyle name="Vírgula 4 2 3 4" xfId="1902" xr:uid="{28358CA1-9D89-48E7-84A2-BD609A333A63}"/>
    <cellStyle name="Vírgula 4 2 3 4 2" xfId="5072" xr:uid="{20950C58-6B69-43D0-8869-9657589C03C9}"/>
    <cellStyle name="Vírgula 4 2 3 4 2 2" xfId="11411" xr:uid="{DE954763-F56E-46C9-8543-59A375EBA610}"/>
    <cellStyle name="Vírgula 4 2 3 4 3" xfId="8243" xr:uid="{F74AFD4D-4244-4C2F-AAFD-169858A1E9F7}"/>
    <cellStyle name="Vírgula 4 2 3 5" xfId="3503" xr:uid="{5FF62D4B-B4D9-4417-8ABB-0316A8905485}"/>
    <cellStyle name="Vírgula 4 2 3 5 2" xfId="9842" xr:uid="{F9D03EA4-8CA4-4D0A-81D5-21900ABAC248}"/>
    <cellStyle name="Vírgula 4 2 3 6" xfId="6674" xr:uid="{2D5714EF-5209-4851-B906-58FC6E83ACD1}"/>
    <cellStyle name="Vírgula 4 2 4" xfId="523" xr:uid="{2DB8A6B5-6E8E-4068-8B1B-57F6B7D8ED84}"/>
    <cellStyle name="Vírgula 4 2 4 2" xfId="1322" xr:uid="{E8E86F6C-413D-4A64-BCFB-FCBC3F35A9E5}"/>
    <cellStyle name="Vírgula 4 2 4 2 2" xfId="2893" xr:uid="{E3E195E1-442C-412E-9818-515C71DE9723}"/>
    <cellStyle name="Vírgula 4 2 4 2 2 2" xfId="6063" xr:uid="{8A948E80-97D9-4CFC-AC59-DEFBABE15D2C}"/>
    <cellStyle name="Vírgula 4 2 4 2 2 2 2" xfId="12402" xr:uid="{0AEE8EC4-76EB-4F6E-A78A-7183DC21B37F}"/>
    <cellStyle name="Vírgula 4 2 4 2 2 3" xfId="9234" xr:uid="{5CCEDD5B-D876-4CC7-BB45-50451E6CDDE0}"/>
    <cellStyle name="Vírgula 4 2 4 2 3" xfId="4494" xr:uid="{EEED3185-5A44-4C5A-B29C-D1DD32849CDE}"/>
    <cellStyle name="Vírgula 4 2 4 2 3 2" xfId="10833" xr:uid="{46AF23A9-89AB-47B7-B89F-C55B98E7CA0E}"/>
    <cellStyle name="Vírgula 4 2 4 2 4" xfId="7665" xr:uid="{46272ABA-615F-4D3E-9D10-2DB14B8ACEC4}"/>
    <cellStyle name="Vírgula 4 2 4 3" xfId="2096" xr:uid="{466F8D7C-26B9-4571-B11D-47DFACA485BB}"/>
    <cellStyle name="Vírgula 4 2 4 3 2" xfId="5266" xr:uid="{387D275A-A4B6-4C04-90F8-12370C9F40B5}"/>
    <cellStyle name="Vírgula 4 2 4 3 2 2" xfId="11605" xr:uid="{021B5AF7-6619-4303-B09D-6191756DDD3A}"/>
    <cellStyle name="Vírgula 4 2 4 3 3" xfId="8437" xr:uid="{2625E087-3508-4269-9FB6-041CB9B76159}"/>
    <cellStyle name="Vírgula 4 2 4 4" xfId="3697" xr:uid="{7B3E7234-F192-4404-80D4-E683ECD017FF}"/>
    <cellStyle name="Vírgula 4 2 4 4 2" xfId="10036" xr:uid="{468D5305-7820-451A-A072-34672B3D866D}"/>
    <cellStyle name="Vírgula 4 2 4 5" xfId="6868" xr:uid="{7FAC23CF-3FA2-4301-B64B-79D502029085}"/>
    <cellStyle name="Vírgula 4 2 5" xfId="925" xr:uid="{DED02C66-5CCB-497F-B5B1-16A872DAE01B}"/>
    <cellStyle name="Vírgula 4 2 5 2" xfId="2496" xr:uid="{C32A7EDE-F4B4-4F21-8EC3-A1EAE57D0E22}"/>
    <cellStyle name="Vírgula 4 2 5 2 2" xfId="5666" xr:uid="{B511C01D-1594-4700-861F-338D8A6BD3AE}"/>
    <cellStyle name="Vírgula 4 2 5 2 2 2" xfId="12005" xr:uid="{C684C6ED-4916-4ED4-812C-1D7487B851DC}"/>
    <cellStyle name="Vírgula 4 2 5 2 3" xfId="8837" xr:uid="{529E00A2-0080-4477-BD93-CF41AADF3CF1}"/>
    <cellStyle name="Vírgula 4 2 5 3" xfId="4097" xr:uid="{0172E5B7-770B-475A-B36C-154D8B489699}"/>
    <cellStyle name="Vírgula 4 2 5 3 2" xfId="10436" xr:uid="{25D3D42F-298D-4243-829C-8A182B5E24BE}"/>
    <cellStyle name="Vírgula 4 2 5 4" xfId="7268" xr:uid="{CB2FFE39-0FBF-461E-A1DF-F42214A11F48}"/>
    <cellStyle name="Vírgula 4 2 6" xfId="1715" xr:uid="{F35DC6E5-FF01-4C06-B3BC-0068772286F3}"/>
    <cellStyle name="Vírgula 4 2 6 2" xfId="4885" xr:uid="{D5AA3A9E-45CB-4978-A304-6B83BD664082}"/>
    <cellStyle name="Vírgula 4 2 6 2 2" xfId="11224" xr:uid="{B25084BF-DF7F-4569-A918-C2AE7F14F454}"/>
    <cellStyle name="Vírgula 4 2 6 3" xfId="8056" xr:uid="{9510C2F1-8EBF-4AF0-96D9-4AE7E9F69E8F}"/>
    <cellStyle name="Vírgula 4 2 7" xfId="3300" xr:uid="{33369D3E-C94E-4159-A34F-EC35D76AEEBA}"/>
    <cellStyle name="Vírgula 4 2 7 2" xfId="9639" xr:uid="{24879F6E-5887-4B15-92A9-4AFC0AAFC531}"/>
    <cellStyle name="Vírgula 4 2 8" xfId="6471" xr:uid="{418F3E5A-DDEF-47EA-9405-71D44CCFF31D}"/>
    <cellStyle name="Vírgula 4 3" xfId="66" xr:uid="{063656DD-8EDD-43D0-B07B-1A1317D4D8C6}"/>
    <cellStyle name="Vírgula 4 3 2" xfId="290" xr:uid="{830AFE3B-7CDC-494E-BC60-F55AAF7E0977}"/>
    <cellStyle name="Vírgula 4 3 2 2" xfId="680" xr:uid="{DE3A2767-CC38-4DCE-9D03-4C70F90DC133}"/>
    <cellStyle name="Vírgula 4 3 2 2 2" xfId="1479" xr:uid="{8430ECA3-8383-4C65-AA9A-E292E53272E8}"/>
    <cellStyle name="Vírgula 4 3 2 2 2 2" xfId="3050" xr:uid="{6001907D-F9BF-41EE-9FF7-43341FF98677}"/>
    <cellStyle name="Vírgula 4 3 2 2 2 2 2" xfId="6220" xr:uid="{8DE3A241-7FAF-4D3C-B255-BA0EDADC3644}"/>
    <cellStyle name="Vírgula 4 3 2 2 2 2 2 2" xfId="12559" xr:uid="{E27145EE-E27D-4AD9-81CE-9237D3AA1031}"/>
    <cellStyle name="Vírgula 4 3 2 2 2 2 3" xfId="9391" xr:uid="{CCC7326F-F976-4784-B1FE-47D573EE9DC1}"/>
    <cellStyle name="Vírgula 4 3 2 2 2 3" xfId="4651" xr:uid="{D0E89481-D746-4EFD-ADF5-8AD23AA44E47}"/>
    <cellStyle name="Vírgula 4 3 2 2 2 3 2" xfId="10990" xr:uid="{F54FE32D-B2A3-4CB3-AC11-9E5465A882F8}"/>
    <cellStyle name="Vírgula 4 3 2 2 2 4" xfId="7822" xr:uid="{CCC195C5-5683-4FCB-979F-88C26B425402}"/>
    <cellStyle name="Vírgula 4 3 2 2 3" xfId="2253" xr:uid="{AABA7D6D-D0EF-4D37-986D-B2B31A91ACC4}"/>
    <cellStyle name="Vírgula 4 3 2 2 3 2" xfId="5423" xr:uid="{018D29C4-4D98-4335-9556-023D1436A372}"/>
    <cellStyle name="Vírgula 4 3 2 2 3 2 2" xfId="11762" xr:uid="{2E499C67-B159-4679-A7AE-3ED75329B3FE}"/>
    <cellStyle name="Vírgula 4 3 2 2 3 3" xfId="8594" xr:uid="{2DE28C3A-F9BE-41B7-89C0-1EED07B041C8}"/>
    <cellStyle name="Vírgula 4 3 2 2 4" xfId="3854" xr:uid="{F2D10C06-CB21-4B79-B0A6-0F5B4C525A57}"/>
    <cellStyle name="Vírgula 4 3 2 2 4 2" xfId="10193" xr:uid="{0A848306-2629-476B-9713-47FB90A93C76}"/>
    <cellStyle name="Vírgula 4 3 2 2 5" xfId="7025" xr:uid="{B2C17D30-17E6-466C-AFEB-11CBF05FCE5D}"/>
    <cellStyle name="Vírgula 4 3 2 3" xfId="1098" xr:uid="{E7267A54-4DD7-4E01-AD09-7CF91AE93F23}"/>
    <cellStyle name="Vírgula 4 3 2 3 2" xfId="2669" xr:uid="{9B067BFC-8C0D-4C1F-96CD-B625BD07725D}"/>
    <cellStyle name="Vírgula 4 3 2 3 2 2" xfId="5839" xr:uid="{FCE6D3AC-DCEF-4E2F-906C-9D4618E31069}"/>
    <cellStyle name="Vírgula 4 3 2 3 2 2 2" xfId="12178" xr:uid="{3F78B138-88E5-461F-A1CB-26F2868544F2}"/>
    <cellStyle name="Vírgula 4 3 2 3 2 3" xfId="9010" xr:uid="{A54A5732-FD1B-42E6-A12F-1ADBC711498C}"/>
    <cellStyle name="Vírgula 4 3 2 3 3" xfId="4270" xr:uid="{E5D3E677-A826-4BC2-BA26-ED71EA1EF32E}"/>
    <cellStyle name="Vírgula 4 3 2 3 3 2" xfId="10609" xr:uid="{71339A40-F611-4750-A08D-A2935498D787}"/>
    <cellStyle name="Vírgula 4 3 2 3 4" xfId="7441" xr:uid="{87519171-D75A-4F3A-B738-71122A3B6B42}"/>
    <cellStyle name="Vírgula 4 3 2 4" xfId="1872" xr:uid="{5B29DE22-1216-486A-9720-901A79507236}"/>
    <cellStyle name="Vírgula 4 3 2 4 2" xfId="5042" xr:uid="{003A56EB-8982-4595-850E-960519532656}"/>
    <cellStyle name="Vírgula 4 3 2 4 2 2" xfId="11381" xr:uid="{BDE13D50-233F-4EFD-A5A0-69C90ACB9CA7}"/>
    <cellStyle name="Vírgula 4 3 2 4 3" xfId="8213" xr:uid="{719A04CF-6A86-4D38-81EC-B73CED18D009}"/>
    <cellStyle name="Vírgula 4 3 2 5" xfId="3473" xr:uid="{101983C7-72CC-4B20-8636-6CF6E28BD3CF}"/>
    <cellStyle name="Vírgula 4 3 2 5 2" xfId="9812" xr:uid="{19DE0359-0A02-4D84-A830-13C52F13182F}"/>
    <cellStyle name="Vírgula 4 3 2 6" xfId="6644" xr:uid="{61A607CA-9E8C-40F5-BC51-AD26AD268567}"/>
    <cellStyle name="Vírgula 4 3 3" xfId="497" xr:uid="{48924C4D-673C-4E56-8F29-F76EB047A68A}"/>
    <cellStyle name="Vírgula 4 3 3 2" xfId="1296" xr:uid="{67E1AA45-E25A-4045-81AC-AA31E5C49556}"/>
    <cellStyle name="Vírgula 4 3 3 2 2" xfId="2867" xr:uid="{0B2E5B1C-5F19-4C4B-B7CE-D7FB05D7D433}"/>
    <cellStyle name="Vírgula 4 3 3 2 2 2" xfId="6037" xr:uid="{C794E892-4A1B-48C3-8126-F7F836216D4A}"/>
    <cellStyle name="Vírgula 4 3 3 2 2 2 2" xfId="12376" xr:uid="{74605F3E-76B0-4794-8DBD-FF1A5F182080}"/>
    <cellStyle name="Vírgula 4 3 3 2 2 3" xfId="9208" xr:uid="{F7D2DA8E-5FC2-4F8E-B6C6-7A3AB648B72B}"/>
    <cellStyle name="Vírgula 4 3 3 2 3" xfId="4468" xr:uid="{A2707CA1-1F31-4C90-86B7-034FAC48CA43}"/>
    <cellStyle name="Vírgula 4 3 3 2 3 2" xfId="10807" xr:uid="{0C3ECD59-48CE-48A3-9132-4F178A84314D}"/>
    <cellStyle name="Vírgula 4 3 3 2 4" xfId="7639" xr:uid="{3A765EC3-F910-44A9-9D03-C437FA228083}"/>
    <cellStyle name="Vírgula 4 3 3 3" xfId="2070" xr:uid="{BCB55307-2FB1-41E6-8DF9-22CDDAC86FAE}"/>
    <cellStyle name="Vírgula 4 3 3 3 2" xfId="5240" xr:uid="{C928F390-7420-4164-87A6-E63552477609}"/>
    <cellStyle name="Vírgula 4 3 3 3 2 2" xfId="11579" xr:uid="{EBE071BB-79EA-4264-8860-DA7F8413F677}"/>
    <cellStyle name="Vírgula 4 3 3 3 3" xfId="8411" xr:uid="{48CAEF19-B24B-4866-91AD-25FBBB8FA98F}"/>
    <cellStyle name="Vírgula 4 3 3 4" xfId="3671" xr:uid="{14CF82E6-6706-4121-BE1B-8751CDF420AF}"/>
    <cellStyle name="Vírgula 4 3 3 4 2" xfId="10010" xr:uid="{D9404884-2169-4DBD-9D84-78F31DB29832}"/>
    <cellStyle name="Vírgula 4 3 3 5" xfId="6842" xr:uid="{6ACEF024-2565-4BFF-8E80-6F78C7FDBAEE}"/>
    <cellStyle name="Vírgula 4 3 4" xfId="895" xr:uid="{33A1CF57-E4D4-4AB1-833C-D521D9275E26}"/>
    <cellStyle name="Vírgula 4 3 4 2" xfId="2466" xr:uid="{3BE82230-646B-42A9-A415-8F4B0320E8D8}"/>
    <cellStyle name="Vírgula 4 3 4 2 2" xfId="5636" xr:uid="{9726DDB0-06BD-42A1-81EB-394C73EB7BAC}"/>
    <cellStyle name="Vírgula 4 3 4 2 2 2" xfId="11975" xr:uid="{3FE7EBAC-4F89-42A6-BF69-28C16949FCAC}"/>
    <cellStyle name="Vírgula 4 3 4 2 3" xfId="8807" xr:uid="{FA4DE520-AE42-4179-9A0C-717B18AA1958}"/>
    <cellStyle name="Vírgula 4 3 4 3" xfId="4067" xr:uid="{BC502711-02EB-46D0-BDAB-437BAFF9C923}"/>
    <cellStyle name="Vírgula 4 3 4 3 2" xfId="10406" xr:uid="{AE81EC2E-39CC-4F9C-84DE-C3F4B32F601B}"/>
    <cellStyle name="Vírgula 4 3 4 4" xfId="7238" xr:uid="{CDD936A4-2529-4650-8F4E-D1E7CD9A774E}"/>
    <cellStyle name="Vírgula 4 3 5" xfId="1692" xr:uid="{85C87C41-279A-4588-BBC5-1DEEDDFF5B86}"/>
    <cellStyle name="Vírgula 4 3 5 2" xfId="4862" xr:uid="{B3D951F3-1075-41ED-87A0-32EBE2553B85}"/>
    <cellStyle name="Vírgula 4 3 5 2 2" xfId="11201" xr:uid="{23D25FC6-BEFE-44B5-8906-EAA6960FF236}"/>
    <cellStyle name="Vírgula 4 3 5 3" xfId="8033" xr:uid="{5762C205-0B3F-43A6-BEBE-0EB31B568004}"/>
    <cellStyle name="Vírgula 4 3 6" xfId="3270" xr:uid="{03BE9DAA-3EDE-4E26-89C3-9EAAE7DBC919}"/>
    <cellStyle name="Vírgula 4 3 6 2" xfId="9609" xr:uid="{46B0EA45-12E7-42E0-8F6C-B4B983A2029A}"/>
    <cellStyle name="Vírgula 4 3 7" xfId="6441" xr:uid="{A68D04C2-EC2E-4513-AA6E-757B0417241B}"/>
    <cellStyle name="Vírgula 4 4" xfId="155" xr:uid="{68388958-E4E7-4517-A46C-D53C5E8B4F9B}"/>
    <cellStyle name="Vírgula 4 4 2" xfId="372" xr:uid="{F8F11810-C380-4ED8-8E75-5D24B6331A13}"/>
    <cellStyle name="Vírgula 4 4 2 2" xfId="753" xr:uid="{E12A0354-2223-4AA2-8511-97D1A4369AD3}"/>
    <cellStyle name="Vírgula 4 4 2 2 2" xfId="1552" xr:uid="{A7B7BC2A-4B71-45CB-97DE-FA6CAC7A8038}"/>
    <cellStyle name="Vírgula 4 4 2 2 2 2" xfId="3123" xr:uid="{20F81534-D16D-4A0F-9AD8-D35F79A670D2}"/>
    <cellStyle name="Vírgula 4 4 2 2 2 2 2" xfId="6293" xr:uid="{CDFF39F5-B0D4-466A-BC95-D640AA44EEC5}"/>
    <cellStyle name="Vírgula 4 4 2 2 2 2 2 2" xfId="12632" xr:uid="{EE30D3FC-EBAB-419D-A047-6EA58840BEB8}"/>
    <cellStyle name="Vírgula 4 4 2 2 2 2 3" xfId="9464" xr:uid="{F0E936AF-2FB4-4280-A664-A0C201B81DF1}"/>
    <cellStyle name="Vírgula 4 4 2 2 2 3" xfId="4724" xr:uid="{C63B1851-1688-4CD8-A181-D98A4F49B137}"/>
    <cellStyle name="Vírgula 4 4 2 2 2 3 2" xfId="11063" xr:uid="{2D02EC98-937A-4ACB-942D-422A31DE9C77}"/>
    <cellStyle name="Vírgula 4 4 2 2 2 4" xfId="7895" xr:uid="{4D132E12-600A-4866-ACEC-BAD894FF04C7}"/>
    <cellStyle name="Vírgula 4 4 2 2 3" xfId="2326" xr:uid="{7521FDAA-BD88-42E4-AF08-95E7726BF374}"/>
    <cellStyle name="Vírgula 4 4 2 2 3 2" xfId="5496" xr:uid="{7B15906E-D38F-419C-AA87-117D7A965B95}"/>
    <cellStyle name="Vírgula 4 4 2 2 3 2 2" xfId="11835" xr:uid="{CFC92A7F-FF85-487A-BD42-ABCA1D2EDC0E}"/>
    <cellStyle name="Vírgula 4 4 2 2 3 3" xfId="8667" xr:uid="{9BBD763A-09DB-486B-B61B-DCB558A57308}"/>
    <cellStyle name="Vírgula 4 4 2 2 4" xfId="3927" xr:uid="{0FA1BE55-B123-4C6F-A39F-A8715BF711A9}"/>
    <cellStyle name="Vírgula 4 4 2 2 4 2" xfId="10266" xr:uid="{308678AE-204D-4CD1-AB13-8891108CE0BA}"/>
    <cellStyle name="Vírgula 4 4 2 2 5" xfId="7098" xr:uid="{3F91C4FC-BD92-4E4E-9A3A-C70625D1FDF0}"/>
    <cellStyle name="Vírgula 4 4 2 3" xfId="1171" xr:uid="{009BE2FB-AF08-4255-B149-1AE641E7FDA6}"/>
    <cellStyle name="Vírgula 4 4 2 3 2" xfId="2742" xr:uid="{CDCE259C-10B5-4749-8F19-1CE511F4D14F}"/>
    <cellStyle name="Vírgula 4 4 2 3 2 2" xfId="5912" xr:uid="{A004B3DB-8D07-4FE6-8666-4B90A4EF5FF4}"/>
    <cellStyle name="Vírgula 4 4 2 3 2 2 2" xfId="12251" xr:uid="{B7DA2F1E-47C5-4A68-8A6B-E599BC08A987}"/>
    <cellStyle name="Vírgula 4 4 2 3 2 3" xfId="9083" xr:uid="{1DBEF25A-B804-46DC-800D-1BB66BB0F9ED}"/>
    <cellStyle name="Vírgula 4 4 2 3 3" xfId="4343" xr:uid="{73FE4A15-94FC-410A-8069-4D827E548622}"/>
    <cellStyle name="Vírgula 4 4 2 3 3 2" xfId="10682" xr:uid="{EC49C5BD-1E51-4CD5-A2E6-3823E51DFBC5}"/>
    <cellStyle name="Vírgula 4 4 2 3 4" xfId="7514" xr:uid="{EDE65638-A526-453F-BB3A-FC497BD7A018}"/>
    <cellStyle name="Vírgula 4 4 2 4" xfId="1945" xr:uid="{3450E172-429F-473A-9483-3CCA86DC08B2}"/>
    <cellStyle name="Vírgula 4 4 2 4 2" xfId="5115" xr:uid="{58057663-E303-4696-BC97-02303B354BD3}"/>
    <cellStyle name="Vírgula 4 4 2 4 2 2" xfId="11454" xr:uid="{3576CCCA-7EB9-4F60-93EB-7ED2C21AEA36}"/>
    <cellStyle name="Vírgula 4 4 2 4 3" xfId="8286" xr:uid="{40ACF7AE-6E92-40B6-A67F-ECCE241D2B6F}"/>
    <cellStyle name="Vírgula 4 4 2 5" xfId="3546" xr:uid="{8EE985CE-451C-491C-B38A-6DF996F7F06F}"/>
    <cellStyle name="Vírgula 4 4 2 5 2" xfId="9885" xr:uid="{78E6A298-5A3A-4E8B-ABEB-B194BABC0FC3}"/>
    <cellStyle name="Vírgula 4 4 2 6" xfId="6717" xr:uid="{E1276D4A-24E8-481B-8D59-A252D7A2CE23}"/>
    <cellStyle name="Vírgula 4 4 3" xfId="550" xr:uid="{FF4AA9FC-CA5D-4F3E-873D-45B0AF31A2F2}"/>
    <cellStyle name="Vírgula 4 4 3 2" xfId="1349" xr:uid="{7704D167-F72D-4F64-97BD-3C14762FC212}"/>
    <cellStyle name="Vírgula 4 4 3 2 2" xfId="2920" xr:uid="{CE0CB9CB-F36D-40DB-864B-7EF5A0ECB2B2}"/>
    <cellStyle name="Vírgula 4 4 3 2 2 2" xfId="6090" xr:uid="{8F0742B9-ADBA-495E-951E-E2059AE608F5}"/>
    <cellStyle name="Vírgula 4 4 3 2 2 2 2" xfId="12429" xr:uid="{824C2EC4-BD36-4718-804E-40BEBECB9FFA}"/>
    <cellStyle name="Vírgula 4 4 3 2 2 3" xfId="9261" xr:uid="{51DE5A64-27AD-4EFC-98A6-9B728B0D8EC4}"/>
    <cellStyle name="Vírgula 4 4 3 2 3" xfId="4521" xr:uid="{C2D1FD15-E7CF-480A-A712-6BCEC5944300}"/>
    <cellStyle name="Vírgula 4 4 3 2 3 2" xfId="10860" xr:uid="{03D79FBA-BBC5-4991-A5F3-D8D64F0862A2}"/>
    <cellStyle name="Vírgula 4 4 3 2 4" xfId="7692" xr:uid="{95E0B709-7312-4967-ABE8-3789BF52DBC3}"/>
    <cellStyle name="Vírgula 4 4 3 3" xfId="2123" xr:uid="{A9301C49-221C-48AC-8745-0AD055A5279E}"/>
    <cellStyle name="Vírgula 4 4 3 3 2" xfId="5293" xr:uid="{19B82A3B-AF44-4BDD-A222-451E46272925}"/>
    <cellStyle name="Vírgula 4 4 3 3 2 2" xfId="11632" xr:uid="{ED3492DF-5747-48E2-B95E-1F38F745F95B}"/>
    <cellStyle name="Vírgula 4 4 3 3 3" xfId="8464" xr:uid="{E36FE876-2DFE-4443-89E1-64EE33BDC653}"/>
    <cellStyle name="Vírgula 4 4 3 4" xfId="3724" xr:uid="{B48AF316-446A-4D0B-B6B4-6C50DF17D987}"/>
    <cellStyle name="Vírgula 4 4 3 4 2" xfId="10063" xr:uid="{5D81469A-65CE-4475-B528-C969F4782E91}"/>
    <cellStyle name="Vírgula 4 4 3 5" xfId="6895" xr:uid="{5970F7CC-A524-4068-AE6D-AF883E0D739F}"/>
    <cellStyle name="Vírgula 4 4 4" xfId="968" xr:uid="{274610E9-CAC3-46F6-9742-AF2E07E22923}"/>
    <cellStyle name="Vírgula 4 4 4 2" xfId="2539" xr:uid="{09BD0978-B184-457B-B7FF-BF7D79CC17E0}"/>
    <cellStyle name="Vírgula 4 4 4 2 2" xfId="5709" xr:uid="{069EF316-8874-43FD-B3FE-CB742A25EC2F}"/>
    <cellStyle name="Vírgula 4 4 4 2 2 2" xfId="12048" xr:uid="{2234D35F-942C-42F9-8ECC-5A91F7614A28}"/>
    <cellStyle name="Vírgula 4 4 4 2 3" xfId="8880" xr:uid="{7A2F679B-D5BB-435E-83D9-563C1BC0B832}"/>
    <cellStyle name="Vírgula 4 4 4 3" xfId="4140" xr:uid="{7123185E-3443-449D-ACBA-F6FE50489EAA}"/>
    <cellStyle name="Vírgula 4 4 4 3 2" xfId="10479" xr:uid="{849A772E-DD70-441A-BDDD-9F43D1DA910D}"/>
    <cellStyle name="Vírgula 4 4 4 4" xfId="7311" xr:uid="{F9562BB4-15E1-4B51-A77F-5ADFC288FB35}"/>
    <cellStyle name="Vírgula 4 4 5" xfId="1742" xr:uid="{295A2497-36CB-487D-9BDB-81FC87FE0B6A}"/>
    <cellStyle name="Vírgula 4 4 5 2" xfId="4912" xr:uid="{184E69BC-881A-45E2-9BE0-255B1F9808B5}"/>
    <cellStyle name="Vírgula 4 4 5 2 2" xfId="11251" xr:uid="{1F110D38-D28E-480A-91AC-85E98B4FDA9E}"/>
    <cellStyle name="Vírgula 4 4 5 3" xfId="8083" xr:uid="{DD35409B-E864-47E0-B9A6-49ADE8755C46}"/>
    <cellStyle name="Vírgula 4 4 6" xfId="3343" xr:uid="{FBA0D13A-3364-46AC-A7D9-005029003550}"/>
    <cellStyle name="Vírgula 4 4 6 2" xfId="9682" xr:uid="{BF0847C5-9453-4795-91A6-5A468E6D7673}"/>
    <cellStyle name="Vírgula 4 4 7" xfId="6514" xr:uid="{DC91C023-B198-433B-8E15-86F1E5580912}"/>
    <cellStyle name="Vírgula 4 5" xfId="255" xr:uid="{13307815-B319-493F-8FA7-362DD4A6CB67}"/>
    <cellStyle name="Vírgula 4 5 2" xfId="645" xr:uid="{CC197C0F-C62A-4493-B113-D68F9C1AD0F1}"/>
    <cellStyle name="Vírgula 4 5 2 2" xfId="1444" xr:uid="{6BBDADDC-2674-4C24-A5D3-6EE86D1BDA03}"/>
    <cellStyle name="Vírgula 4 5 2 2 2" xfId="3015" xr:uid="{6B233CA4-C85C-4EA8-8D78-D6DCCCC9C1C8}"/>
    <cellStyle name="Vírgula 4 5 2 2 2 2" xfId="6185" xr:uid="{FCB7BCED-2A60-4233-ADD3-4CF4BC3E9A81}"/>
    <cellStyle name="Vírgula 4 5 2 2 2 2 2" xfId="12524" xr:uid="{4529C70E-3C4C-43D2-8951-31C5888C7E37}"/>
    <cellStyle name="Vírgula 4 5 2 2 2 3" xfId="9356" xr:uid="{C5E8CD45-2979-46A4-9D87-5A58D226E619}"/>
    <cellStyle name="Vírgula 4 5 2 2 3" xfId="4616" xr:uid="{083AC352-998C-46EA-A705-DC3BAC6C9519}"/>
    <cellStyle name="Vírgula 4 5 2 2 3 2" xfId="10955" xr:uid="{FA8CB6DB-4D19-4F1D-ACD8-019CC480617F}"/>
    <cellStyle name="Vírgula 4 5 2 2 4" xfId="7787" xr:uid="{88FFD831-9AB6-4ABA-9175-E06591CD5CB8}"/>
    <cellStyle name="Vírgula 4 5 2 3" xfId="2218" xr:uid="{3C826FD5-CE48-43E3-9A6F-8671766D3C76}"/>
    <cellStyle name="Vírgula 4 5 2 3 2" xfId="5388" xr:uid="{6680CDA5-8700-4C2F-BA65-3793052078CA}"/>
    <cellStyle name="Vírgula 4 5 2 3 2 2" xfId="11727" xr:uid="{A8B56239-E8DD-472D-BD18-DCDE8046249D}"/>
    <cellStyle name="Vírgula 4 5 2 3 3" xfId="8559" xr:uid="{1B9B4804-C4AF-423B-BD2F-FE836ADBC6BA}"/>
    <cellStyle name="Vírgula 4 5 2 4" xfId="3819" xr:uid="{7F4BD6A3-E6BE-4C7F-8326-95A45E683D89}"/>
    <cellStyle name="Vírgula 4 5 2 4 2" xfId="10158" xr:uid="{5AB17EFD-26BA-41B0-B188-866BF96BCF84}"/>
    <cellStyle name="Vírgula 4 5 2 5" xfId="6990" xr:uid="{C330AD9A-EB37-4BD6-A5E9-67A5BA341AB1}"/>
    <cellStyle name="Vírgula 4 5 3" xfId="1063" xr:uid="{AED8D28C-3496-423C-A98A-1B08A318232D}"/>
    <cellStyle name="Vírgula 4 5 3 2" xfId="2634" xr:uid="{6720F84A-A91D-4C43-B3CE-AB228F1B27C3}"/>
    <cellStyle name="Vírgula 4 5 3 2 2" xfId="5804" xr:uid="{D97BF73F-4E18-4871-9721-8A825621C018}"/>
    <cellStyle name="Vírgula 4 5 3 2 2 2" xfId="12143" xr:uid="{EF8D47BB-B885-4091-845D-CFF87CCA9B21}"/>
    <cellStyle name="Vírgula 4 5 3 2 3" xfId="8975" xr:uid="{3112B46A-98D8-49C9-9097-F446E88AF869}"/>
    <cellStyle name="Vírgula 4 5 3 3" xfId="4235" xr:uid="{504A36E5-B343-4088-8569-2137D1987523}"/>
    <cellStyle name="Vírgula 4 5 3 3 2" xfId="10574" xr:uid="{E147D777-18B1-429C-B450-C4AD0B478381}"/>
    <cellStyle name="Vírgula 4 5 3 4" xfId="7406" xr:uid="{894546F4-F007-4657-97C1-258AC640FEA8}"/>
    <cellStyle name="Vírgula 4 5 4" xfId="1837" xr:uid="{95E54C9C-5179-47F5-AA78-4B07990D3E37}"/>
    <cellStyle name="Vírgula 4 5 4 2" xfId="5007" xr:uid="{907B76FD-466A-4B16-A44A-11ADBDF64146}"/>
    <cellStyle name="Vírgula 4 5 4 2 2" xfId="11346" xr:uid="{8E892566-C3DA-4534-968E-8A8CD0B65C33}"/>
    <cellStyle name="Vírgula 4 5 4 3" xfId="8178" xr:uid="{638F3FFD-25C4-4740-A298-F3B5046E6415}"/>
    <cellStyle name="Vírgula 4 5 5" xfId="3438" xr:uid="{EE3ACDC9-A1C1-4A79-AFB4-05581C73F56F}"/>
    <cellStyle name="Vírgula 4 5 5 2" xfId="9777" xr:uid="{C53DC710-6B4B-448B-A279-7620BD30B57F}"/>
    <cellStyle name="Vírgula 4 5 6" xfId="6609" xr:uid="{F41393CB-CA05-479F-8A99-00A2C8DBE04B}"/>
    <cellStyle name="Vírgula 4 6" xfId="467" xr:uid="{B847E52B-657F-4CF0-9D6D-8CF0951BCC86}"/>
    <cellStyle name="Vírgula 4 6 2" xfId="1266" xr:uid="{056BBF69-DA5E-453C-809B-5CC076F22855}"/>
    <cellStyle name="Vírgula 4 6 2 2" xfId="2837" xr:uid="{F70993F9-7211-4A37-A92A-A259A7AAAC5B}"/>
    <cellStyle name="Vírgula 4 6 2 2 2" xfId="6007" xr:uid="{2334505D-1B7D-4471-A3DB-D30F265D9395}"/>
    <cellStyle name="Vírgula 4 6 2 2 2 2" xfId="12346" xr:uid="{1623FE1C-7048-419F-A6C3-1E1F913B1ED2}"/>
    <cellStyle name="Vírgula 4 6 2 2 3" xfId="9178" xr:uid="{848EFDA9-9469-491D-9C3F-9F087B2EE436}"/>
    <cellStyle name="Vírgula 4 6 2 3" xfId="4438" xr:uid="{CC2F3AD6-84E8-4911-B841-3DADA41E747F}"/>
    <cellStyle name="Vírgula 4 6 2 3 2" xfId="10777" xr:uid="{FE6C10CA-DA06-44A6-99A4-85C94F9673F1}"/>
    <cellStyle name="Vírgula 4 6 2 4" xfId="7609" xr:uid="{5E9EF027-C1A7-4D6C-B4CA-C02D1BB7E280}"/>
    <cellStyle name="Vírgula 4 6 3" xfId="2040" xr:uid="{AC11D967-4C40-4C15-84F6-1475B4651586}"/>
    <cellStyle name="Vírgula 4 6 3 2" xfId="5210" xr:uid="{88207724-FE62-49FB-B2E9-CD89A2939012}"/>
    <cellStyle name="Vírgula 4 6 3 2 2" xfId="11549" xr:uid="{ABC268C1-0057-4EF1-9011-42ACD16D1F8B}"/>
    <cellStyle name="Vírgula 4 6 3 3" xfId="8381" xr:uid="{C518B44C-FADE-4362-A3F6-5F9F2AFDCB3C}"/>
    <cellStyle name="Vírgula 4 6 4" xfId="3641" xr:uid="{05FFDA47-C5D3-455B-996A-C826A13DEE80}"/>
    <cellStyle name="Vírgula 4 6 4 2" xfId="9980" xr:uid="{3E49F2C7-8073-4ED5-ADC2-A9DBF3D46F6D}"/>
    <cellStyle name="Vírgula 4 6 5" xfId="6812" xr:uid="{8CD90B26-FAB0-4163-A1E4-8D1C9E436004}"/>
    <cellStyle name="Vírgula 4 7" xfId="860" xr:uid="{2937F399-5CC2-4474-ACD6-BA53FF8D14DB}"/>
    <cellStyle name="Vírgula 4 7 2" xfId="2431" xr:uid="{9004A4D3-E8B6-4006-BB63-26BC5A3E6DE6}"/>
    <cellStyle name="Vírgula 4 7 2 2" xfId="5601" xr:uid="{F8248A48-1866-4B89-A0DD-855F77C91C9E}"/>
    <cellStyle name="Vírgula 4 7 2 2 2" xfId="11940" xr:uid="{36DA152D-E4A3-445F-9A4E-0BE6C3C588F0}"/>
    <cellStyle name="Vírgula 4 7 2 3" xfId="8772" xr:uid="{02E32835-DF7B-4D14-826C-59E78F1F4F00}"/>
    <cellStyle name="Vírgula 4 7 3" xfId="4032" xr:uid="{0F237EDC-460D-4BED-A46E-139E0EFD9F4B}"/>
    <cellStyle name="Vírgula 4 7 3 2" xfId="10371" xr:uid="{1F5364CA-3D5F-4505-9E90-07B7A67FEC0E}"/>
    <cellStyle name="Vírgula 4 7 4" xfId="7203" xr:uid="{6EF1CFCB-ABB7-4D2D-B3F9-7EE426754F2D}"/>
    <cellStyle name="Vírgula 4 8" xfId="1662" xr:uid="{2B3F5C3D-CDC9-4F02-BE6A-E8C9BBE01BB3}"/>
    <cellStyle name="Vírgula 4 8 2" xfId="4832" xr:uid="{9979ECEE-6144-49EE-87B2-F39E58521564}"/>
    <cellStyle name="Vírgula 4 8 2 2" xfId="11171" xr:uid="{2B03304D-026D-4A97-BEAC-16FA4C046097}"/>
    <cellStyle name="Vírgula 4 8 3" xfId="8003" xr:uid="{4AD176C0-91AA-4AF4-A985-91F9FDA69366}"/>
    <cellStyle name="Vírgula 4 9" xfId="3235" xr:uid="{106774BF-C524-4E53-801A-69977DDFD03E}"/>
    <cellStyle name="Vírgula 4 9 2" xfId="9574" xr:uid="{77DE74AA-57A0-47B9-938A-B0249223ABF6}"/>
    <cellStyle name="Vírgula 5" xfId="32" xr:uid="{606421AE-B3D6-4837-853B-2EAF423A93BA}"/>
    <cellStyle name="Vírgula 5 2" xfId="80" xr:uid="{29B5B990-9133-48E1-B8B9-3014AF3F9570}"/>
    <cellStyle name="Vírgula 5 2 2" xfId="301" xr:uid="{96E7E0AF-C813-403E-9815-8D5F450152C0}"/>
    <cellStyle name="Vírgula 5 2 2 2" xfId="690" xr:uid="{647662F7-D3EA-4B2A-9991-82CD9A913D14}"/>
    <cellStyle name="Vírgula 5 2 2 2 2" xfId="1489" xr:uid="{2492F8F8-45EA-4F82-9E23-1ADD812FF582}"/>
    <cellStyle name="Vírgula 5 2 2 2 2 2" xfId="3060" xr:uid="{BC7D68B5-BF92-4A43-B1E7-5C779391A947}"/>
    <cellStyle name="Vírgula 5 2 2 2 2 2 2" xfId="6230" xr:uid="{1AAF95EE-C1EB-4973-B5D5-F4A9435634F1}"/>
    <cellStyle name="Vírgula 5 2 2 2 2 2 2 2" xfId="12569" xr:uid="{A63B786F-0222-4C25-A832-74B316FA14F2}"/>
    <cellStyle name="Vírgula 5 2 2 2 2 2 3" xfId="9401" xr:uid="{952772F5-519C-4B30-9811-E048A9398C00}"/>
    <cellStyle name="Vírgula 5 2 2 2 2 3" xfId="4661" xr:uid="{D67D208A-DACC-4F16-AAC8-CC87343B5B49}"/>
    <cellStyle name="Vírgula 5 2 2 2 2 3 2" xfId="11000" xr:uid="{4D2583D7-2742-4766-9B16-8C65966E40B2}"/>
    <cellStyle name="Vírgula 5 2 2 2 2 4" xfId="7832" xr:uid="{18E634E0-3A81-42ED-BCB0-115030EBE127}"/>
    <cellStyle name="Vírgula 5 2 2 2 3" xfId="2263" xr:uid="{A59A4E27-0D2C-4C4F-A437-CD937204B459}"/>
    <cellStyle name="Vírgula 5 2 2 2 3 2" xfId="5433" xr:uid="{59B69A0C-F9E1-4FF0-B061-C7D24FAAF75B}"/>
    <cellStyle name="Vírgula 5 2 2 2 3 2 2" xfId="11772" xr:uid="{57229BC7-BABD-4A66-A028-0FC4EE3D50F7}"/>
    <cellStyle name="Vírgula 5 2 2 2 3 3" xfId="8604" xr:uid="{0E667CF4-29DE-46E4-9B0E-28EAE0AF3629}"/>
    <cellStyle name="Vírgula 5 2 2 2 4" xfId="3864" xr:uid="{DC88B433-9883-4397-AB49-B32AF0DA5EE8}"/>
    <cellStyle name="Vírgula 5 2 2 2 4 2" xfId="10203" xr:uid="{64215AE7-AF99-45DE-82DA-D1FB04C41F33}"/>
    <cellStyle name="Vírgula 5 2 2 2 5" xfId="7035" xr:uid="{D7F99F0F-3DB7-40A2-BF78-8D412D6D2040}"/>
    <cellStyle name="Vírgula 5 2 2 3" xfId="1108" xr:uid="{B85075CC-0ECA-437E-B0DD-6198A798C38E}"/>
    <cellStyle name="Vírgula 5 2 2 3 2" xfId="2679" xr:uid="{4E79A190-A3FE-43A0-A3AA-1A13DADB3AEB}"/>
    <cellStyle name="Vírgula 5 2 2 3 2 2" xfId="5849" xr:uid="{3CE95677-6377-456D-8E8A-52A208FACF84}"/>
    <cellStyle name="Vírgula 5 2 2 3 2 2 2" xfId="12188" xr:uid="{85599735-8445-4035-9640-381813ED1F0B}"/>
    <cellStyle name="Vírgula 5 2 2 3 2 3" xfId="9020" xr:uid="{D10A1887-093D-4341-80B0-F14C7F27A332}"/>
    <cellStyle name="Vírgula 5 2 2 3 3" xfId="4280" xr:uid="{5B73F46F-832A-47A7-9306-EF403A3909EF}"/>
    <cellStyle name="Vírgula 5 2 2 3 3 2" xfId="10619" xr:uid="{7A209A38-4F80-43E9-8C52-23FB114C74EB}"/>
    <cellStyle name="Vírgula 5 2 2 3 4" xfId="7451" xr:uid="{A2AE4607-771C-45A9-98B8-A3441C47B33E}"/>
    <cellStyle name="Vírgula 5 2 2 4" xfId="1882" xr:uid="{50833FFD-BBBC-41F1-AA47-167738B85DFD}"/>
    <cellStyle name="Vírgula 5 2 2 4 2" xfId="5052" xr:uid="{3C7C4269-107E-4065-87C3-5D846FCDC6B7}"/>
    <cellStyle name="Vírgula 5 2 2 4 2 2" xfId="11391" xr:uid="{649D12B3-4FB2-49E6-A9F1-D6A73FE03DD2}"/>
    <cellStyle name="Vírgula 5 2 2 4 3" xfId="8223" xr:uid="{FF834799-05B9-4B9B-BAB9-7F5CBB0884F5}"/>
    <cellStyle name="Vírgula 5 2 2 5" xfId="3483" xr:uid="{BAF96BED-D402-4031-B0B6-A3E0A048C03C}"/>
    <cellStyle name="Vírgula 5 2 2 5 2" xfId="9822" xr:uid="{A113A3F9-6030-4BA3-A09B-85950EB01827}"/>
    <cellStyle name="Vírgula 5 2 2 6" xfId="6654" xr:uid="{99018307-8506-46B2-8B55-9355F0E49CFC}"/>
    <cellStyle name="Vírgula 5 2 3" xfId="507" xr:uid="{549C4BF9-7C87-4A67-9209-CF1AE953FA15}"/>
    <cellStyle name="Vírgula 5 2 3 2" xfId="1306" xr:uid="{13CE6EF1-EE52-4608-A5EF-5746C97746EB}"/>
    <cellStyle name="Vírgula 5 2 3 2 2" xfId="2877" xr:uid="{1A5D0C4A-C730-49C1-877F-A36C95BD4626}"/>
    <cellStyle name="Vírgula 5 2 3 2 2 2" xfId="6047" xr:uid="{F3018B6E-1986-4EB7-AF5B-0C6CA6A9763C}"/>
    <cellStyle name="Vírgula 5 2 3 2 2 2 2" xfId="12386" xr:uid="{2A2060BE-DBD6-483F-88C9-56631E121F0C}"/>
    <cellStyle name="Vírgula 5 2 3 2 2 3" xfId="9218" xr:uid="{567B5BC5-728E-4CF8-BD9E-7D470631B3DE}"/>
    <cellStyle name="Vírgula 5 2 3 2 3" xfId="4478" xr:uid="{1B0978EE-58F0-474F-BFD8-74E528A65135}"/>
    <cellStyle name="Vírgula 5 2 3 2 3 2" xfId="10817" xr:uid="{93121687-337C-475D-A71C-30187F1DA9D0}"/>
    <cellStyle name="Vírgula 5 2 3 2 4" xfId="7649" xr:uid="{0C8EA8C8-2583-4D85-8FB9-D95987013D08}"/>
    <cellStyle name="Vírgula 5 2 3 3" xfId="2080" xr:uid="{04F983F3-5D49-45E0-B339-C481DA1E781D}"/>
    <cellStyle name="Vírgula 5 2 3 3 2" xfId="5250" xr:uid="{BE3FFACF-89F7-432D-91B1-D677E6FCCB32}"/>
    <cellStyle name="Vírgula 5 2 3 3 2 2" xfId="11589" xr:uid="{A87F26D2-9027-4842-8583-6B646F1E3CFE}"/>
    <cellStyle name="Vírgula 5 2 3 3 3" xfId="8421" xr:uid="{634B66BF-A1EF-458E-B3C6-CE612F99410E}"/>
    <cellStyle name="Vírgula 5 2 3 4" xfId="3681" xr:uid="{16EB47A0-C2AB-4FB4-8999-36C27FFFB231}"/>
    <cellStyle name="Vírgula 5 2 3 4 2" xfId="10020" xr:uid="{7EEE236C-A31C-42DD-88B4-F74CD2EEFB15}"/>
    <cellStyle name="Vírgula 5 2 3 5" xfId="6852" xr:uid="{8421EBB0-BEDC-41F2-81F8-A7A3646785E1}"/>
    <cellStyle name="Vírgula 5 2 4" xfId="905" xr:uid="{16E34DB1-B186-4206-AE65-0DEFE4198F55}"/>
    <cellStyle name="Vírgula 5 2 4 2" xfId="2476" xr:uid="{80439EC9-5B09-4CB7-9F8A-0434069E4A67}"/>
    <cellStyle name="Vírgula 5 2 4 2 2" xfId="5646" xr:uid="{3295837D-9C98-446E-99A6-70B382C60F4B}"/>
    <cellStyle name="Vírgula 5 2 4 2 2 2" xfId="11985" xr:uid="{88E7295B-7F1F-4F26-9063-0B2B59DAEE51}"/>
    <cellStyle name="Vírgula 5 2 4 2 3" xfId="8817" xr:uid="{63456590-361F-490E-87E0-39870B72C083}"/>
    <cellStyle name="Vírgula 5 2 4 3" xfId="4077" xr:uid="{BF3B3A5C-63B3-4C57-9D84-64B4875CA6D4}"/>
    <cellStyle name="Vírgula 5 2 4 3 2" xfId="10416" xr:uid="{868DF44F-BC6B-4D48-9140-4DB7753DF2CA}"/>
    <cellStyle name="Vírgula 5 2 4 4" xfId="7248" xr:uid="{189C4789-87BC-4330-AE1A-A57493CC1065}"/>
    <cellStyle name="Vírgula 5 2 5" xfId="1701" xr:uid="{A7D7DD61-6A5E-4ACD-A631-8D88E60FF7AB}"/>
    <cellStyle name="Vírgula 5 2 5 2" xfId="4871" xr:uid="{5CAA5617-3FD5-4F00-8093-A20688200C20}"/>
    <cellStyle name="Vírgula 5 2 5 2 2" xfId="11210" xr:uid="{B7C24185-FFD1-4960-85C5-E6F3EBF0BE10}"/>
    <cellStyle name="Vírgula 5 2 5 3" xfId="8042" xr:uid="{9A3C1127-7CAB-4DB5-8EE6-A4FC7F1E5144}"/>
    <cellStyle name="Vírgula 5 2 6" xfId="3280" xr:uid="{5F6BEC62-8E04-430F-BDEE-48AC911A1897}"/>
    <cellStyle name="Vírgula 5 2 6 2" xfId="9619" xr:uid="{7693DA3D-D271-4090-89B9-2BEFD0265231}"/>
    <cellStyle name="Vírgula 5 2 7" xfId="6451" xr:uid="{F9A04050-D53C-4C99-96D0-4626845CC1EB}"/>
    <cellStyle name="Vírgula 5 3" xfId="166" xr:uid="{98673F9B-EE8E-409D-8189-C9F820525509}"/>
    <cellStyle name="Vírgula 5 3 2" xfId="383" xr:uid="{5B56C260-F77B-4E5A-868C-928A93D73C8D}"/>
    <cellStyle name="Vírgula 5 3 2 2" xfId="764" xr:uid="{EF819617-C4FE-4932-BD76-1D52EC4C5D19}"/>
    <cellStyle name="Vírgula 5 3 2 2 2" xfId="1563" xr:uid="{060844B4-CA40-4665-873A-90FA00377664}"/>
    <cellStyle name="Vírgula 5 3 2 2 2 2" xfId="3134" xr:uid="{3BEC4555-DC50-4A24-B4A0-F70371B4C178}"/>
    <cellStyle name="Vírgula 5 3 2 2 2 2 2" xfId="6304" xr:uid="{52B52B50-8739-4FF7-B249-ED4B2EA98347}"/>
    <cellStyle name="Vírgula 5 3 2 2 2 2 2 2" xfId="12643" xr:uid="{368A27FE-9445-4880-BB2C-DB3C080B95AA}"/>
    <cellStyle name="Vírgula 5 3 2 2 2 2 3" xfId="9475" xr:uid="{97241398-25F1-4EB0-9580-89B56E959F92}"/>
    <cellStyle name="Vírgula 5 3 2 2 2 3" xfId="4735" xr:uid="{B1868E19-586F-4D3F-8FFD-A8297805156D}"/>
    <cellStyle name="Vírgula 5 3 2 2 2 3 2" xfId="11074" xr:uid="{CEFBEB91-6672-478B-9EC2-E129003B380A}"/>
    <cellStyle name="Vírgula 5 3 2 2 2 4" xfId="7906" xr:uid="{CB44E8A7-A14C-4F09-A86E-7130C009AA10}"/>
    <cellStyle name="Vírgula 5 3 2 2 3" xfId="2337" xr:uid="{5DE507B7-4949-4271-8559-AAB66C404D32}"/>
    <cellStyle name="Vírgula 5 3 2 2 3 2" xfId="5507" xr:uid="{F0EE1AE4-AF4F-4E9B-ABC4-2E2F6163FBA4}"/>
    <cellStyle name="Vírgula 5 3 2 2 3 2 2" xfId="11846" xr:uid="{A26BB05D-82FB-42BB-B80E-ED687DE1E6DF}"/>
    <cellStyle name="Vírgula 5 3 2 2 3 3" xfId="8678" xr:uid="{36C6A05C-67E7-4795-A77F-95956E99B65F}"/>
    <cellStyle name="Vírgula 5 3 2 2 4" xfId="3938" xr:uid="{188B1499-98FE-4AF1-B14D-10758A10356F}"/>
    <cellStyle name="Vírgula 5 3 2 2 4 2" xfId="10277" xr:uid="{F9514147-E197-482D-B7DC-275E964BF634}"/>
    <cellStyle name="Vírgula 5 3 2 2 5" xfId="7109" xr:uid="{41E20E20-9FA9-4954-AEC5-F63472B58246}"/>
    <cellStyle name="Vírgula 5 3 2 3" xfId="1182" xr:uid="{62013A77-B9A0-4E67-A789-3EEDE0990C7C}"/>
    <cellStyle name="Vírgula 5 3 2 3 2" xfId="2753" xr:uid="{812B2292-5270-473D-97E9-CB0310656176}"/>
    <cellStyle name="Vírgula 5 3 2 3 2 2" xfId="5923" xr:uid="{0EAA7C3B-1661-4AF4-A617-DC1ED2B0CD14}"/>
    <cellStyle name="Vírgula 5 3 2 3 2 2 2" xfId="12262" xr:uid="{7F5071A7-031A-4C16-919C-AB3754CDF814}"/>
    <cellStyle name="Vírgula 5 3 2 3 2 3" xfId="9094" xr:uid="{8D0DD997-8C4F-4883-B083-F60387A39E7D}"/>
    <cellStyle name="Vírgula 5 3 2 3 3" xfId="4354" xr:uid="{811B3BEC-1952-47EF-9083-AF2A5B246AF0}"/>
    <cellStyle name="Vírgula 5 3 2 3 3 2" xfId="10693" xr:uid="{9420B1C4-4ED9-45C3-9C61-2AA979E7B272}"/>
    <cellStyle name="Vírgula 5 3 2 3 4" xfId="7525" xr:uid="{1DCAE1FF-1102-4FD2-9698-1D7D235E1D27}"/>
    <cellStyle name="Vírgula 5 3 2 4" xfId="1956" xr:uid="{4DEEC9CA-BF79-4B05-8A16-70AFCAF6C326}"/>
    <cellStyle name="Vírgula 5 3 2 4 2" xfId="5126" xr:uid="{5E64E3B8-8C9E-43A6-A83B-CD8D8236D96F}"/>
    <cellStyle name="Vírgula 5 3 2 4 2 2" xfId="11465" xr:uid="{19B39D08-71BC-4F5D-AC54-4959F5874862}"/>
    <cellStyle name="Vírgula 5 3 2 4 3" xfId="8297" xr:uid="{5CA817D2-6E75-4D0B-9F39-9DA90F0D66D8}"/>
    <cellStyle name="Vírgula 5 3 2 5" xfId="3557" xr:uid="{9FAD721B-CCD2-44E7-BA76-18F2C71ED784}"/>
    <cellStyle name="Vírgula 5 3 2 5 2" xfId="9896" xr:uid="{BA1E3C32-47CF-4DC0-B8CF-EA43DFA97265}"/>
    <cellStyle name="Vírgula 5 3 2 6" xfId="6728" xr:uid="{F5C93746-296D-4A0F-8B0B-C3856E7A46AE}"/>
    <cellStyle name="Vírgula 5 3 3" xfId="561" xr:uid="{96E3B9AA-FAF6-407A-A0A3-54CA99FF7254}"/>
    <cellStyle name="Vírgula 5 3 3 2" xfId="1360" xr:uid="{10DA36BB-0D29-4A55-8836-F95053CD0158}"/>
    <cellStyle name="Vírgula 5 3 3 2 2" xfId="2931" xr:uid="{FCD09B15-593E-4F57-BAF8-8C0A992EFD6A}"/>
    <cellStyle name="Vírgula 5 3 3 2 2 2" xfId="6101" xr:uid="{ACEAD063-0AC1-412E-8FFF-F8E71078FBF3}"/>
    <cellStyle name="Vírgula 5 3 3 2 2 2 2" xfId="12440" xr:uid="{6075EF48-EA47-497A-89E0-7AC6F00A0B71}"/>
    <cellStyle name="Vírgula 5 3 3 2 2 3" xfId="9272" xr:uid="{AAF02F08-DF86-492E-A366-8BA8083CD510}"/>
    <cellStyle name="Vírgula 5 3 3 2 3" xfId="4532" xr:uid="{6E2FC2A5-4C66-4BE6-9B96-A6ECC04AF942}"/>
    <cellStyle name="Vírgula 5 3 3 2 3 2" xfId="10871" xr:uid="{A458721F-F8CC-4DDC-9274-3D24F84A20FC}"/>
    <cellStyle name="Vírgula 5 3 3 2 4" xfId="7703" xr:uid="{7FD997C9-F53B-4680-A778-0BBC771FE484}"/>
    <cellStyle name="Vírgula 5 3 3 3" xfId="2134" xr:uid="{B559024B-9572-4DEE-9486-462E6478676E}"/>
    <cellStyle name="Vírgula 5 3 3 3 2" xfId="5304" xr:uid="{E2BB49C3-3D2A-4FA4-AEEB-99D1359FF6F1}"/>
    <cellStyle name="Vírgula 5 3 3 3 2 2" xfId="11643" xr:uid="{418AC10B-56A5-4DA8-BDB6-3D64224DADCD}"/>
    <cellStyle name="Vírgula 5 3 3 3 3" xfId="8475" xr:uid="{DF56BB7A-38D4-49A8-86D0-86DD02C02AE0}"/>
    <cellStyle name="Vírgula 5 3 3 4" xfId="3735" xr:uid="{EA3701E2-0C1F-4EB5-900C-7632A650B67F}"/>
    <cellStyle name="Vírgula 5 3 3 4 2" xfId="10074" xr:uid="{722AD7FD-3BAF-474C-A1F3-DCD7C95334DF}"/>
    <cellStyle name="Vírgula 5 3 3 5" xfId="6906" xr:uid="{06CCC590-8CF8-44B5-AB77-BFCCC06AE36A}"/>
    <cellStyle name="Vírgula 5 3 4" xfId="979" xr:uid="{90D02B26-5B3E-4EDB-9DC0-7E540F63FB8F}"/>
    <cellStyle name="Vírgula 5 3 4 2" xfId="2550" xr:uid="{BEC3AEB2-498B-401B-AEAB-BE650A293802}"/>
    <cellStyle name="Vírgula 5 3 4 2 2" xfId="5720" xr:uid="{C55E6ECA-3C6B-4CB2-8C73-0ECBB9B5426C}"/>
    <cellStyle name="Vírgula 5 3 4 2 2 2" xfId="12059" xr:uid="{A534E4CE-DD1F-413D-88AF-E5EA384E2DA5}"/>
    <cellStyle name="Vírgula 5 3 4 2 3" xfId="8891" xr:uid="{362528A4-B271-48F2-9CF4-9B341558B8AD}"/>
    <cellStyle name="Vírgula 5 3 4 3" xfId="4151" xr:uid="{2E453581-A212-4B66-9FBE-5F98CC7356F3}"/>
    <cellStyle name="Vírgula 5 3 4 3 2" xfId="10490" xr:uid="{0DC516F7-98EC-46FB-85F6-1A617AEDBD1A}"/>
    <cellStyle name="Vírgula 5 3 4 4" xfId="7322" xr:uid="{673E9796-48E4-478C-915D-AB6C50619BB7}"/>
    <cellStyle name="Vírgula 5 3 5" xfId="1753" xr:uid="{AD345429-434E-488E-8B53-EB95C4614C17}"/>
    <cellStyle name="Vírgula 5 3 5 2" xfId="4923" xr:uid="{E6F53616-F9CE-4690-BECE-530CC737E99C}"/>
    <cellStyle name="Vírgula 5 3 5 2 2" xfId="11262" xr:uid="{DF75B1DB-F17D-4B14-9DE3-0041F4F85A07}"/>
    <cellStyle name="Vírgula 5 3 5 3" xfId="8094" xr:uid="{2309BA64-3965-4127-BAA7-4D99DE6018E6}"/>
    <cellStyle name="Vírgula 5 3 6" xfId="3354" xr:uid="{D1C1EE06-1AEE-4ABF-928D-9050BBED12AB}"/>
    <cellStyle name="Vírgula 5 3 6 2" xfId="9693" xr:uid="{44E72462-9A33-44E3-9588-180F2908FAB3}"/>
    <cellStyle name="Vírgula 5 3 7" xfId="6525" xr:uid="{6847F94C-59C5-4A4F-9BFD-5D59125F1A83}"/>
    <cellStyle name="Vírgula 5 4" xfId="256" xr:uid="{AABF2464-7684-4151-81DF-0BB6DAB7B68D}"/>
    <cellStyle name="Vírgula 5 4 2" xfId="646" xr:uid="{B9F666EF-9794-470F-AB22-5C34FC8728DB}"/>
    <cellStyle name="Vírgula 5 4 2 2" xfId="1445" xr:uid="{37B25691-85DD-4F5A-962F-36D0CD1A1C21}"/>
    <cellStyle name="Vírgula 5 4 2 2 2" xfId="3016" xr:uid="{EF751EF4-22EC-479F-995B-C9643E1FC5F2}"/>
    <cellStyle name="Vírgula 5 4 2 2 2 2" xfId="6186" xr:uid="{1A516EE2-FCD7-42BA-BD53-D4C78584D8F8}"/>
    <cellStyle name="Vírgula 5 4 2 2 2 2 2" xfId="12525" xr:uid="{D936B29E-227D-4158-94DB-74965FE04227}"/>
    <cellStyle name="Vírgula 5 4 2 2 2 3" xfId="9357" xr:uid="{B42E5A9E-6CC5-4E91-9FC8-4DCBE671D1B5}"/>
    <cellStyle name="Vírgula 5 4 2 2 3" xfId="4617" xr:uid="{3A20E345-2120-4D05-BCAB-9E7819FAE1E7}"/>
    <cellStyle name="Vírgula 5 4 2 2 3 2" xfId="10956" xr:uid="{DD35B4E1-8C34-4D8B-BD10-F79DC4C29809}"/>
    <cellStyle name="Vírgula 5 4 2 2 4" xfId="7788" xr:uid="{7832C578-66D4-4CB3-9227-9803772182D0}"/>
    <cellStyle name="Vírgula 5 4 2 3" xfId="2219" xr:uid="{CC20776F-A9A1-445A-97CB-7E01874A77AA}"/>
    <cellStyle name="Vírgula 5 4 2 3 2" xfId="5389" xr:uid="{0FC0DC71-4817-41A9-BF4C-659C248F5069}"/>
    <cellStyle name="Vírgula 5 4 2 3 2 2" xfId="11728" xr:uid="{44C29E95-0BEE-4442-87BB-5BEB5DB2AA2D}"/>
    <cellStyle name="Vírgula 5 4 2 3 3" xfId="8560" xr:uid="{BE7E5A37-7BC0-41BA-8433-79D10620AC00}"/>
    <cellStyle name="Vírgula 5 4 2 4" xfId="3820" xr:uid="{A81182AB-E8FC-48A7-9940-06E349F82C71}"/>
    <cellStyle name="Vírgula 5 4 2 4 2" xfId="10159" xr:uid="{992CC338-42E9-4D6F-8E15-A286859DEA12}"/>
    <cellStyle name="Vírgula 5 4 2 5" xfId="6991" xr:uid="{9A13E502-512E-4E8F-AE86-33E1C3C828FD}"/>
    <cellStyle name="Vírgula 5 4 3" xfId="1064" xr:uid="{F701C406-656B-4E91-80E0-DCD0263D9BD4}"/>
    <cellStyle name="Vírgula 5 4 3 2" xfId="2635" xr:uid="{3E8EE77A-DD7E-46FE-A9A6-A784DEFF2142}"/>
    <cellStyle name="Vírgula 5 4 3 2 2" xfId="5805" xr:uid="{0151876A-0C40-44CF-91B6-5C30756EA919}"/>
    <cellStyle name="Vírgula 5 4 3 2 2 2" xfId="12144" xr:uid="{C20C9622-000A-4685-9A0E-EB1A38BCBE2F}"/>
    <cellStyle name="Vírgula 5 4 3 2 3" xfId="8976" xr:uid="{436E51A4-C4E5-42F3-988D-000DA846B414}"/>
    <cellStyle name="Vírgula 5 4 3 3" xfId="4236" xr:uid="{458F8C1E-0B6F-4ED8-843B-3E07C08B3CFB}"/>
    <cellStyle name="Vírgula 5 4 3 3 2" xfId="10575" xr:uid="{483EAC2A-1CD8-44F9-9C18-A2A74042A493}"/>
    <cellStyle name="Vírgula 5 4 3 4" xfId="7407" xr:uid="{D4F78A3A-86F0-4004-B2FE-EEBC6338714E}"/>
    <cellStyle name="Vírgula 5 4 4" xfId="1838" xr:uid="{47D0B6D2-F9C0-4627-9579-BB4DAD677FD1}"/>
    <cellStyle name="Vírgula 5 4 4 2" xfId="5008" xr:uid="{F27E6B7A-C03D-41B9-ABB9-73CFE292FFE5}"/>
    <cellStyle name="Vírgula 5 4 4 2 2" xfId="11347" xr:uid="{82B01216-3884-49C9-922D-4E5D62497229}"/>
    <cellStyle name="Vírgula 5 4 4 3" xfId="8179" xr:uid="{C5B15443-23DB-4E4B-A8EE-34EE013BA501}"/>
    <cellStyle name="Vírgula 5 4 5" xfId="3439" xr:uid="{61D119D5-A39A-4006-815C-3156002E4A32}"/>
    <cellStyle name="Vírgula 5 4 5 2" xfId="9778" xr:uid="{66E89949-C54F-49B1-96A0-7FCDEE95A5ED}"/>
    <cellStyle name="Vírgula 5 4 6" xfId="6610" xr:uid="{5419F8A8-84F1-4263-B10E-96430287BB56}"/>
    <cellStyle name="Vírgula 5 5" xfId="861" xr:uid="{35C58593-CC2D-4386-9D4C-C279586C6313}"/>
    <cellStyle name="Vírgula 5 5 2" xfId="2432" xr:uid="{EF8FF397-ECB2-47B0-AEA3-F162A6EFCD5D}"/>
    <cellStyle name="Vírgula 5 5 2 2" xfId="5602" xr:uid="{1DA947F4-6414-4029-94A1-5D6AFC993DFC}"/>
    <cellStyle name="Vírgula 5 5 2 2 2" xfId="11941" xr:uid="{7A4B71BC-18F5-4D2E-B7AF-ADDB0BFB2910}"/>
    <cellStyle name="Vírgula 5 5 2 3" xfId="8773" xr:uid="{494D6EFE-58CC-4784-A6EC-931C4550648F}"/>
    <cellStyle name="Vírgula 5 5 3" xfId="4033" xr:uid="{C4F709AB-A443-4C5D-B6D7-B0CE89B8BB7E}"/>
    <cellStyle name="Vírgula 5 5 3 2" xfId="10372" xr:uid="{9F86A9DE-D9D3-4879-89F8-793EBD838CDB}"/>
    <cellStyle name="Vírgula 5 5 4" xfId="7204" xr:uid="{0326C448-84E4-48F9-96DD-64E7995F3ED3}"/>
    <cellStyle name="Vírgula 5 6" xfId="3236" xr:uid="{700F1743-A15C-4F7E-AEBE-D2655920A9CF}"/>
    <cellStyle name="Vírgula 5 6 2" xfId="9575" xr:uid="{8E58EF6E-E1F8-457E-90A9-B847F2CA8E7E}"/>
    <cellStyle name="Vírgula 5 7" xfId="6407" xr:uid="{4493FE3E-1FC4-4EB7-9F03-9ABFE356DE5F}"/>
    <cellStyle name="Vírgula 6" xfId="40" xr:uid="{72BED2D4-8713-43CE-9417-62F2881E7B5F}"/>
    <cellStyle name="Vírgula 6 2" xfId="100" xr:uid="{B5E9920C-1CF7-41D9-BD2C-25AB8709037A}"/>
    <cellStyle name="Vírgula 6 2 2" xfId="317" xr:uid="{841D0412-5200-4CF5-A8AB-A29CDA173FF3}"/>
    <cellStyle name="Vírgula 6 2 2 2" xfId="704" xr:uid="{38A322BB-FB58-47B3-9FF5-B46D69B655C4}"/>
    <cellStyle name="Vírgula 6 2 2 2 2" xfId="1503" xr:uid="{E2A6776B-774D-45CD-9B69-529BAD4F19DA}"/>
    <cellStyle name="Vírgula 6 2 2 2 2 2" xfId="3074" xr:uid="{6EB4EF97-DFDA-429B-AD5B-F38D8FBF5C8C}"/>
    <cellStyle name="Vírgula 6 2 2 2 2 2 2" xfId="6244" xr:uid="{8753DAA9-BE02-41F1-ABA7-FE6E2878AEF9}"/>
    <cellStyle name="Vírgula 6 2 2 2 2 2 2 2" xfId="12583" xr:uid="{478E894A-3EFC-4785-AAE3-C3E612955A9E}"/>
    <cellStyle name="Vírgula 6 2 2 2 2 2 3" xfId="9415" xr:uid="{4AF63E90-3F3E-46EB-93E6-A12EEBDE0404}"/>
    <cellStyle name="Vírgula 6 2 2 2 2 3" xfId="4675" xr:uid="{A14DCCF3-A94D-489F-9287-8EED95616317}"/>
    <cellStyle name="Vírgula 6 2 2 2 2 3 2" xfId="11014" xr:uid="{B65BC8EA-DC06-4A58-89F0-67DE87498BBC}"/>
    <cellStyle name="Vírgula 6 2 2 2 2 4" xfId="7846" xr:uid="{151A7037-4B68-436E-8B70-BAEDD46CDF33}"/>
    <cellStyle name="Vírgula 6 2 2 2 3" xfId="2277" xr:uid="{2AD4A101-D684-46E1-A381-FAAAA8722EC4}"/>
    <cellStyle name="Vírgula 6 2 2 2 3 2" xfId="5447" xr:uid="{77714C40-77A8-4A09-96BC-4D9F2004E8A9}"/>
    <cellStyle name="Vírgula 6 2 2 2 3 2 2" xfId="11786" xr:uid="{1C5FA811-E670-45BC-979F-4407A59CED8C}"/>
    <cellStyle name="Vírgula 6 2 2 2 3 3" xfId="8618" xr:uid="{C7189174-352D-4F0B-BC38-6A582BBF890D}"/>
    <cellStyle name="Vírgula 6 2 2 2 4" xfId="3878" xr:uid="{0405CB39-7092-4074-8BF1-F9C276444B9B}"/>
    <cellStyle name="Vírgula 6 2 2 2 4 2" xfId="10217" xr:uid="{7E74CD16-A132-4A93-B274-373A07658E46}"/>
    <cellStyle name="Vírgula 6 2 2 2 5" xfId="7049" xr:uid="{E08A0489-8DCF-4E08-9290-855DFED5AE82}"/>
    <cellStyle name="Vírgula 6 2 2 3" xfId="1122" xr:uid="{B0635F49-8E74-444C-8C9C-912918E6A01A}"/>
    <cellStyle name="Vírgula 6 2 2 3 2" xfId="2693" xr:uid="{9F33D2AD-4F0F-4ED6-B15F-6FC8C11A926F}"/>
    <cellStyle name="Vírgula 6 2 2 3 2 2" xfId="5863" xr:uid="{39F678C2-605E-4240-BB65-3A5C1AA1C70E}"/>
    <cellStyle name="Vírgula 6 2 2 3 2 2 2" xfId="12202" xr:uid="{D8CEDD27-8A21-4748-BA82-F122DE57B7E8}"/>
    <cellStyle name="Vírgula 6 2 2 3 2 3" xfId="9034" xr:uid="{4069E71C-C605-4A05-91F1-1FE97EFFF80B}"/>
    <cellStyle name="Vírgula 6 2 2 3 3" xfId="4294" xr:uid="{26D7842F-783C-44DF-88D2-9F9F4DAE151B}"/>
    <cellStyle name="Vírgula 6 2 2 3 3 2" xfId="10633" xr:uid="{1CDACBF2-7C13-4796-AF32-2105DC4BBB48}"/>
    <cellStyle name="Vírgula 6 2 2 3 4" xfId="7465" xr:uid="{70BCE1CB-21B4-4C77-B852-DD831700FCD1}"/>
    <cellStyle name="Vírgula 6 2 2 4" xfId="1896" xr:uid="{286A3C4F-4EBD-4872-91EB-F09A1A75524B}"/>
    <cellStyle name="Vírgula 6 2 2 4 2" xfId="5066" xr:uid="{050D301C-B04F-4127-85CA-665FEC46F253}"/>
    <cellStyle name="Vírgula 6 2 2 4 2 2" xfId="11405" xr:uid="{D8A88472-209D-4B29-BC9C-3E1BB6B1D8D3}"/>
    <cellStyle name="Vírgula 6 2 2 4 3" xfId="8237" xr:uid="{9A4A8BFE-7190-4E3C-B0D0-3E655670D107}"/>
    <cellStyle name="Vírgula 6 2 2 5" xfId="3497" xr:uid="{3D91D8AD-F6DB-432E-9C0A-7704CF01F3D8}"/>
    <cellStyle name="Vírgula 6 2 2 5 2" xfId="9836" xr:uid="{2F87FB18-0FFE-4EAF-8EAD-017B1928A17D}"/>
    <cellStyle name="Vírgula 6 2 2 6" xfId="6668" xr:uid="{EAF65787-4FB3-4796-B32B-87F247EE34D5}"/>
    <cellStyle name="Vírgula 6 2 3" xfId="519" xr:uid="{16102053-0CE9-44D5-8182-9508C27EB788}"/>
    <cellStyle name="Vírgula 6 2 3 2" xfId="1318" xr:uid="{1B9C84D4-7014-4312-B485-BDED85A51BEE}"/>
    <cellStyle name="Vírgula 6 2 3 2 2" xfId="2889" xr:uid="{EE649398-4C6E-4494-A75F-28BBCB19099E}"/>
    <cellStyle name="Vírgula 6 2 3 2 2 2" xfId="6059" xr:uid="{C00FEA9D-07AC-4908-A949-4B465247568A}"/>
    <cellStyle name="Vírgula 6 2 3 2 2 2 2" xfId="12398" xr:uid="{1A1E8EC3-971E-49F9-A81C-0462F4907589}"/>
    <cellStyle name="Vírgula 6 2 3 2 2 3" xfId="9230" xr:uid="{9E569408-C55D-4234-8B8D-F4396AA06552}"/>
    <cellStyle name="Vírgula 6 2 3 2 3" xfId="4490" xr:uid="{A5B25C36-EF73-4E0A-9CB8-8E89664CC843}"/>
    <cellStyle name="Vírgula 6 2 3 2 3 2" xfId="10829" xr:uid="{07B3A402-B455-4ACF-94A1-EDCA2CACD5AC}"/>
    <cellStyle name="Vírgula 6 2 3 2 4" xfId="7661" xr:uid="{426A257A-E94A-4456-8341-BA2524F1C500}"/>
    <cellStyle name="Vírgula 6 2 3 3" xfId="2092" xr:uid="{F210C066-AD94-4547-B853-D35BD8214603}"/>
    <cellStyle name="Vírgula 6 2 3 3 2" xfId="5262" xr:uid="{BF2FA180-0D48-4A4D-A0F6-AF5AC7BF7B28}"/>
    <cellStyle name="Vírgula 6 2 3 3 2 2" xfId="11601" xr:uid="{40330FFB-68AE-406F-98D8-15DBE144021A}"/>
    <cellStyle name="Vírgula 6 2 3 3 3" xfId="8433" xr:uid="{36AB0C76-1D16-48F8-A3F8-1D1428442294}"/>
    <cellStyle name="Vírgula 6 2 3 4" xfId="3693" xr:uid="{C2D261AA-D82D-4F80-BC35-4F0D8BE7B195}"/>
    <cellStyle name="Vírgula 6 2 3 4 2" xfId="10032" xr:uid="{EB6CA6DB-F6FF-40FA-9A57-DE28B8521928}"/>
    <cellStyle name="Vírgula 6 2 3 5" xfId="6864" xr:uid="{F13E44B9-A14C-42B9-B066-5675C27EB1E6}"/>
    <cellStyle name="Vírgula 6 2 4" xfId="919" xr:uid="{C1198408-8A6C-4B9C-B8BA-437AD1CDF57B}"/>
    <cellStyle name="Vírgula 6 2 4 2" xfId="2490" xr:uid="{760138AF-C0A9-44A3-9E91-BDA00DC6F045}"/>
    <cellStyle name="Vírgula 6 2 4 2 2" xfId="5660" xr:uid="{A17C72A6-DAFD-4037-ABB6-35C793CD0F4D}"/>
    <cellStyle name="Vírgula 6 2 4 2 2 2" xfId="11999" xr:uid="{5A6551F1-6EC2-4AB7-8DB6-3A456244F936}"/>
    <cellStyle name="Vírgula 6 2 4 2 3" xfId="8831" xr:uid="{79D9901F-35D8-4A9A-92E0-5865B355C5FB}"/>
    <cellStyle name="Vírgula 6 2 4 3" xfId="4091" xr:uid="{5E378788-B444-4A04-8DD1-3068C35265FE}"/>
    <cellStyle name="Vírgula 6 2 4 3 2" xfId="10430" xr:uid="{F1EFF30A-F244-4B7D-A550-3201DFB70267}"/>
    <cellStyle name="Vírgula 6 2 4 4" xfId="7262" xr:uid="{6EFF3268-3000-40DF-ADA2-46A97B8821B4}"/>
    <cellStyle name="Vírgula 6 2 5" xfId="1712" xr:uid="{C086FB3B-B464-4CE3-B116-B03FFEE99E82}"/>
    <cellStyle name="Vírgula 6 2 5 2" xfId="4882" xr:uid="{FAEE68A6-EB1E-4E49-863A-733EFCFE1C9D}"/>
    <cellStyle name="Vírgula 6 2 5 2 2" xfId="11221" xr:uid="{A22CC661-C5DF-4B09-9924-F4BCDC78BEEE}"/>
    <cellStyle name="Vírgula 6 2 5 3" xfId="8053" xr:uid="{9DEE62E6-8DDA-47EC-8340-0BF2683CF9BA}"/>
    <cellStyle name="Vírgula 6 2 6" xfId="3294" xr:uid="{CDE68844-4583-419A-8C4C-9E22023651B0}"/>
    <cellStyle name="Vírgula 6 2 6 2" xfId="9633" xr:uid="{0FBFB3F0-FF96-4B41-8938-4A94C7C92E43}"/>
    <cellStyle name="Vírgula 6 2 7" xfId="6465" xr:uid="{7F4D58D3-14DC-40FE-AF36-92DF0D6119E6}"/>
    <cellStyle name="Vírgula 6 3" xfId="182" xr:uid="{54F64076-24CD-42A3-8F13-83BC5DB545C9}"/>
    <cellStyle name="Vírgula 6 3 2" xfId="399" xr:uid="{23D2DE98-2084-4ECC-9D1C-7D601ECD48B5}"/>
    <cellStyle name="Vírgula 6 3 2 2" xfId="780" xr:uid="{65C2DC64-0D0C-4DDC-99C7-97240435660A}"/>
    <cellStyle name="Vírgula 6 3 2 2 2" xfId="1579" xr:uid="{11796F27-23A4-41A3-9085-0BD3CBBE4BF3}"/>
    <cellStyle name="Vírgula 6 3 2 2 2 2" xfId="3150" xr:uid="{1FA01D25-208C-4421-BC4C-DC733AC942E2}"/>
    <cellStyle name="Vírgula 6 3 2 2 2 2 2" xfId="6320" xr:uid="{E8F2901B-2E61-4F94-BA4C-56FE1D4E8B70}"/>
    <cellStyle name="Vírgula 6 3 2 2 2 2 2 2" xfId="12659" xr:uid="{730B5E0E-4F55-4A31-8AEA-1239F8872CB3}"/>
    <cellStyle name="Vírgula 6 3 2 2 2 2 3" xfId="9491" xr:uid="{B2EBB620-2063-4151-B5C1-FBBEE3020F1E}"/>
    <cellStyle name="Vírgula 6 3 2 2 2 3" xfId="4751" xr:uid="{070276EF-0ED5-498F-A3E2-876544C4D4FF}"/>
    <cellStyle name="Vírgula 6 3 2 2 2 3 2" xfId="11090" xr:uid="{A8F48D11-3556-4343-B9F6-5C2964C339C7}"/>
    <cellStyle name="Vírgula 6 3 2 2 2 4" xfId="7922" xr:uid="{1C6673E5-59DE-450A-9159-2B1063DFC3EF}"/>
    <cellStyle name="Vírgula 6 3 2 2 3" xfId="2353" xr:uid="{84F5B1DE-5E44-402B-8CD9-0B1165E4B832}"/>
    <cellStyle name="Vírgula 6 3 2 2 3 2" xfId="5523" xr:uid="{6525937C-F33B-480E-A749-DB444427A6D5}"/>
    <cellStyle name="Vírgula 6 3 2 2 3 2 2" xfId="11862" xr:uid="{0CA4D424-FB75-421B-AB8E-6C8F197D588F}"/>
    <cellStyle name="Vírgula 6 3 2 2 3 3" xfId="8694" xr:uid="{64E5A9E6-1D77-4C97-9ADC-1BA75B7467E7}"/>
    <cellStyle name="Vírgula 6 3 2 2 4" xfId="3954" xr:uid="{741166F3-4415-4CEF-8B76-28C531E5641F}"/>
    <cellStyle name="Vírgula 6 3 2 2 4 2" xfId="10293" xr:uid="{B2D28209-D6FF-44EE-A260-C411045171B4}"/>
    <cellStyle name="Vírgula 6 3 2 2 5" xfId="7125" xr:uid="{3DFD8D31-E3E4-48C8-87AF-11544FEAA8C1}"/>
    <cellStyle name="Vírgula 6 3 2 3" xfId="1198" xr:uid="{361979C4-F8B9-40E1-A037-882EE977E7C9}"/>
    <cellStyle name="Vírgula 6 3 2 3 2" xfId="2769" xr:uid="{A34D48F3-D5EE-46CB-9F1B-CEA2100654FD}"/>
    <cellStyle name="Vírgula 6 3 2 3 2 2" xfId="5939" xr:uid="{B7C122DB-B307-4549-9D27-91ABCCDA9AE7}"/>
    <cellStyle name="Vírgula 6 3 2 3 2 2 2" xfId="12278" xr:uid="{87F39713-F851-4E91-8BB4-BD38163F2E46}"/>
    <cellStyle name="Vírgula 6 3 2 3 2 3" xfId="9110" xr:uid="{35719335-66F0-42BC-9B85-84566774DA27}"/>
    <cellStyle name="Vírgula 6 3 2 3 3" xfId="4370" xr:uid="{5284A06B-8FD8-439D-BB3B-63AFB1BA46F6}"/>
    <cellStyle name="Vírgula 6 3 2 3 3 2" xfId="10709" xr:uid="{4052D009-C0AF-43F0-900C-9519718724AD}"/>
    <cellStyle name="Vírgula 6 3 2 3 4" xfId="7541" xr:uid="{B0CDA451-0510-4C3A-BD94-FA96C8479227}"/>
    <cellStyle name="Vírgula 6 3 2 4" xfId="1972" xr:uid="{5D5249DE-2E60-4A4C-842F-487E29C1C760}"/>
    <cellStyle name="Vírgula 6 3 2 4 2" xfId="5142" xr:uid="{DB5E4983-3D73-455F-9D9A-CCC6C3CF79A6}"/>
    <cellStyle name="Vírgula 6 3 2 4 2 2" xfId="11481" xr:uid="{B997311F-24FD-4D0D-A280-0634172488B8}"/>
    <cellStyle name="Vírgula 6 3 2 4 3" xfId="8313" xr:uid="{F43CDE2F-6ECE-4347-95C1-0A4513A36C5A}"/>
    <cellStyle name="Vírgula 6 3 2 5" xfId="3573" xr:uid="{9B253F55-C055-4FFD-906D-FEFC3A977E2B}"/>
    <cellStyle name="Vírgula 6 3 2 5 2" xfId="9912" xr:uid="{45ECC956-D538-4E60-BD60-D3E22A696BEA}"/>
    <cellStyle name="Vírgula 6 3 2 6" xfId="6744" xr:uid="{09ED07A0-7C0A-49E4-8F8B-6E14C4059F90}"/>
    <cellStyle name="Vírgula 6 3 3" xfId="577" xr:uid="{52F130F5-0D13-42C7-BC17-A13C5B07DEDE}"/>
    <cellStyle name="Vírgula 6 3 3 2" xfId="1376" xr:uid="{2906736D-8C8B-48FB-8E42-37B7EC930970}"/>
    <cellStyle name="Vírgula 6 3 3 2 2" xfId="2947" xr:uid="{D73117FE-7C52-424C-80EA-487A6861540E}"/>
    <cellStyle name="Vírgula 6 3 3 2 2 2" xfId="6117" xr:uid="{0DCFF3DC-7B92-495A-8D2A-7D9D315779F2}"/>
    <cellStyle name="Vírgula 6 3 3 2 2 2 2" xfId="12456" xr:uid="{440A82D3-7F71-4351-9F8F-C22199D3B2CB}"/>
    <cellStyle name="Vírgula 6 3 3 2 2 3" xfId="9288" xr:uid="{467D04A1-3BED-44A0-9FC1-D254DA0584BA}"/>
    <cellStyle name="Vírgula 6 3 3 2 3" xfId="4548" xr:uid="{66CA049F-15AF-4A01-836E-574C1C99A9B5}"/>
    <cellStyle name="Vírgula 6 3 3 2 3 2" xfId="10887" xr:uid="{9D7BF5B6-A613-4CD5-B894-A54EF48D5DCF}"/>
    <cellStyle name="Vírgula 6 3 3 2 4" xfId="7719" xr:uid="{8AA21968-F549-429E-8390-0456F022700A}"/>
    <cellStyle name="Vírgula 6 3 3 3" xfId="2150" xr:uid="{EF2ABAF1-A3E5-4367-9CC1-BB524E2B2DE1}"/>
    <cellStyle name="Vírgula 6 3 3 3 2" xfId="5320" xr:uid="{750319E0-E7E5-4297-BA88-010DC1DF01EF}"/>
    <cellStyle name="Vírgula 6 3 3 3 2 2" xfId="11659" xr:uid="{8DF16952-7644-4443-B594-3CAAB1890711}"/>
    <cellStyle name="Vírgula 6 3 3 3 3" xfId="8491" xr:uid="{5C7DD461-6AE2-42FA-A8A7-61C174BE33A6}"/>
    <cellStyle name="Vírgula 6 3 3 4" xfId="3751" xr:uid="{22C46CFA-620F-43F3-810E-0526D804DCDF}"/>
    <cellStyle name="Vírgula 6 3 3 4 2" xfId="10090" xr:uid="{E06B67BA-296F-41C5-A629-93A1964226FC}"/>
    <cellStyle name="Vírgula 6 3 3 5" xfId="6922" xr:uid="{7E9583E6-D7E0-4D60-AD32-3AD997061E42}"/>
    <cellStyle name="Vírgula 6 3 4" xfId="995" xr:uid="{835DD52B-DA64-44B7-BAAF-F6295A196D54}"/>
    <cellStyle name="Vírgula 6 3 4 2" xfId="2566" xr:uid="{B088FD9E-DCC0-448F-9624-31FE14D7C2CB}"/>
    <cellStyle name="Vírgula 6 3 4 2 2" xfId="5736" xr:uid="{0FE358D6-A88C-46A2-89A9-D736110DE6D8}"/>
    <cellStyle name="Vírgula 6 3 4 2 2 2" xfId="12075" xr:uid="{122953C7-4374-47F8-A2F3-F01F45F0F373}"/>
    <cellStyle name="Vírgula 6 3 4 2 3" xfId="8907" xr:uid="{9294E7CB-7B72-418E-8F4E-B02EDD629379}"/>
    <cellStyle name="Vírgula 6 3 4 3" xfId="4167" xr:uid="{48517752-1907-47CB-9861-92AE606AAA4D}"/>
    <cellStyle name="Vírgula 6 3 4 3 2" xfId="10506" xr:uid="{7301E1E7-9C57-4C95-95A4-64397BD92501}"/>
    <cellStyle name="Vírgula 6 3 4 4" xfId="7338" xr:uid="{6F0877C7-E47B-4720-ABDD-2818055E5D43}"/>
    <cellStyle name="Vírgula 6 3 5" xfId="1769" xr:uid="{533422A2-50C9-424D-BA1C-D5F34C51713F}"/>
    <cellStyle name="Vírgula 6 3 5 2" xfId="4939" xr:uid="{6A9FC83B-7640-4034-ACA0-C5D777B5A047}"/>
    <cellStyle name="Vírgula 6 3 5 2 2" xfId="11278" xr:uid="{C762C2F2-AB2B-414E-8959-7304DEC6E396}"/>
    <cellStyle name="Vírgula 6 3 5 3" xfId="8110" xr:uid="{2D714CAF-6097-4A76-BA17-3B825F90E32D}"/>
    <cellStyle name="Vírgula 6 3 6" xfId="3370" xr:uid="{78A0C782-E97A-48AD-A1BF-4F162F0D9AFA}"/>
    <cellStyle name="Vírgula 6 3 6 2" xfId="9709" xr:uid="{1C65F8B0-E9F7-4F7E-BE37-D60D8AD9A0A8}"/>
    <cellStyle name="Vírgula 6 3 7" xfId="6541" xr:uid="{09B1ECB9-F41D-4D8A-BF68-9DE1C24B88EC}"/>
    <cellStyle name="Vírgula 6 4" xfId="264" xr:uid="{B57BE595-C58C-4294-8849-70E3D6778D82}"/>
    <cellStyle name="Vírgula 6 4 2" xfId="654" xr:uid="{71819243-62B0-4D51-AC1C-E750A4072E02}"/>
    <cellStyle name="Vírgula 6 4 2 2" xfId="1453" xr:uid="{021CDEFA-9778-4060-B28C-C370DEC782C9}"/>
    <cellStyle name="Vírgula 6 4 2 2 2" xfId="3024" xr:uid="{91BFE7A8-D271-4E56-A794-22516F0E2AD4}"/>
    <cellStyle name="Vírgula 6 4 2 2 2 2" xfId="6194" xr:uid="{41B342B3-5042-4B98-8C64-DDFD8132FEAE}"/>
    <cellStyle name="Vírgula 6 4 2 2 2 2 2" xfId="12533" xr:uid="{85D7F04D-FAE1-41F7-8136-C6F1A619984E}"/>
    <cellStyle name="Vírgula 6 4 2 2 2 3" xfId="9365" xr:uid="{5E667EF1-FF30-420B-BFD7-EC2266FAF78B}"/>
    <cellStyle name="Vírgula 6 4 2 2 3" xfId="4625" xr:uid="{B7512ACF-D8AC-4976-B695-A7333EDF8A2C}"/>
    <cellStyle name="Vírgula 6 4 2 2 3 2" xfId="10964" xr:uid="{F3A6DF79-5A90-46AC-9058-2FF291605EBC}"/>
    <cellStyle name="Vírgula 6 4 2 2 4" xfId="7796" xr:uid="{BE7E0E14-26DE-4D7C-B6E7-A6F48D2A044C}"/>
    <cellStyle name="Vírgula 6 4 2 3" xfId="2227" xr:uid="{CB715818-350A-49E0-8D36-DFCD0156AC9B}"/>
    <cellStyle name="Vírgula 6 4 2 3 2" xfId="5397" xr:uid="{97B6D613-FE27-4761-8F72-EB5D7AAE6311}"/>
    <cellStyle name="Vírgula 6 4 2 3 2 2" xfId="11736" xr:uid="{E1369226-3CAF-471F-90D0-AE8D1DA2613F}"/>
    <cellStyle name="Vírgula 6 4 2 3 3" xfId="8568" xr:uid="{26309CDE-DD3D-4548-A6D9-CEAE2ACE72DF}"/>
    <cellStyle name="Vírgula 6 4 2 4" xfId="3828" xr:uid="{DE8C6E40-E98D-4635-963A-49909FFBF125}"/>
    <cellStyle name="Vírgula 6 4 2 4 2" xfId="10167" xr:uid="{29347879-EBAA-49CD-90C9-9F0A5CC3AD51}"/>
    <cellStyle name="Vírgula 6 4 2 5" xfId="6999" xr:uid="{4BE849A0-7931-4215-8C86-A304B32879C1}"/>
    <cellStyle name="Vírgula 6 4 3" xfId="1072" xr:uid="{BCBE2F1B-61A1-4153-9DB2-286A29841400}"/>
    <cellStyle name="Vírgula 6 4 3 2" xfId="2643" xr:uid="{F8AA601B-50C9-4B46-B290-1F4C50970819}"/>
    <cellStyle name="Vírgula 6 4 3 2 2" xfId="5813" xr:uid="{6F1B3C4A-F007-47EF-B9DD-078C3B6F25A6}"/>
    <cellStyle name="Vírgula 6 4 3 2 2 2" xfId="12152" xr:uid="{FED7A032-1F5C-4E3E-A997-A0ADEE1E83BC}"/>
    <cellStyle name="Vírgula 6 4 3 2 3" xfId="8984" xr:uid="{D945BE8F-3F37-41A5-B90B-1F166541F86E}"/>
    <cellStyle name="Vírgula 6 4 3 3" xfId="4244" xr:uid="{72A38367-4034-49C9-A57D-CE9F3058B751}"/>
    <cellStyle name="Vírgula 6 4 3 3 2" xfId="10583" xr:uid="{A886DDC4-D4CF-4841-BC9B-E8038AD0915E}"/>
    <cellStyle name="Vírgula 6 4 3 4" xfId="7415" xr:uid="{459DB04A-5A11-46A7-B9A8-497DFB16124B}"/>
    <cellStyle name="Vírgula 6 4 4" xfId="1846" xr:uid="{2F0C5AEF-B2C2-437D-A56A-1326DC1BDC3E}"/>
    <cellStyle name="Vírgula 6 4 4 2" xfId="5016" xr:uid="{3F44BA68-FD9B-47CC-A025-FF2C6B034E7E}"/>
    <cellStyle name="Vírgula 6 4 4 2 2" xfId="11355" xr:uid="{18205840-A7BE-4F7A-9BE6-2B6058C7550F}"/>
    <cellStyle name="Vírgula 6 4 4 3" xfId="8187" xr:uid="{F88E9B9E-650B-448C-B588-BEAF9EAD8984}"/>
    <cellStyle name="Vírgula 6 4 5" xfId="3447" xr:uid="{6666F31F-8192-4C6D-8715-1B4561DD8992}"/>
    <cellStyle name="Vírgula 6 4 5 2" xfId="9786" xr:uid="{E11C6F72-65BA-47E1-8BFA-11D31D9D1649}"/>
    <cellStyle name="Vírgula 6 4 6" xfId="6618" xr:uid="{4736267E-F3AC-4487-8C8D-A8838837AF1F}"/>
    <cellStyle name="Vírgula 6 5" xfId="869" xr:uid="{E2F0307E-3E08-4BC8-AF8F-F0826C0127E7}"/>
    <cellStyle name="Vírgula 6 5 2" xfId="2440" xr:uid="{2DBDB554-559A-4E70-981E-5BEBDB598167}"/>
    <cellStyle name="Vírgula 6 5 2 2" xfId="5610" xr:uid="{7054E6FF-1454-45B7-BD5C-CD1060076558}"/>
    <cellStyle name="Vírgula 6 5 2 2 2" xfId="11949" xr:uid="{6EFE2294-48A8-4175-8D4E-FA97C258E19A}"/>
    <cellStyle name="Vírgula 6 5 2 3" xfId="8781" xr:uid="{F199BF3A-12A9-4B8C-8EA1-F52965002A34}"/>
    <cellStyle name="Vírgula 6 5 3" xfId="4041" xr:uid="{F73E8C92-44A1-4343-95A3-BA28503AAA24}"/>
    <cellStyle name="Vírgula 6 5 3 2" xfId="10380" xr:uid="{D2876838-86EE-48C0-9CE0-891A2218E782}"/>
    <cellStyle name="Vírgula 6 5 4" xfId="7212" xr:uid="{B9EC5B20-F944-44DE-B026-0DADB2872B29}"/>
    <cellStyle name="Vírgula 6 6" xfId="3244" xr:uid="{F5A89BA4-0546-4EDC-B589-E4F96327B136}"/>
    <cellStyle name="Vírgula 6 6 2" xfId="9583" xr:uid="{D041D8E2-4E30-468C-8818-6AE88CCCF621}"/>
    <cellStyle name="Vírgula 6 7" xfId="6415" xr:uid="{A2C93617-8137-4822-97F2-95ABFD867EA3}"/>
    <cellStyle name="Vírgula 7" xfId="51" xr:uid="{4BE921FA-6CE8-46A2-8C03-F743FD18DE5E}"/>
    <cellStyle name="Vírgula 7 2" xfId="135" xr:uid="{44981957-E0BC-4193-9D11-B5E903EDB87E}"/>
    <cellStyle name="Vírgula 7 2 2" xfId="352" xr:uid="{9488B251-051D-4252-B0E1-F91967866A12}"/>
    <cellStyle name="Vírgula 7 2 2 2" xfId="733" xr:uid="{27DA87A7-5778-4424-BD4A-4B56B8CDC492}"/>
    <cellStyle name="Vírgula 7 2 2 2 2" xfId="1532" xr:uid="{BD1616B2-03A6-496B-8720-DAAF5895A069}"/>
    <cellStyle name="Vírgula 7 2 2 2 2 2" xfId="3103" xr:uid="{0B0345FE-5AC0-4711-8DFA-908FB05C371F}"/>
    <cellStyle name="Vírgula 7 2 2 2 2 2 2" xfId="6273" xr:uid="{4F230236-7E11-48CF-BF13-9AA0307A99FD}"/>
    <cellStyle name="Vírgula 7 2 2 2 2 2 2 2" xfId="12612" xr:uid="{208B5F7C-FF56-4EBA-81D1-B14ACF7C7D20}"/>
    <cellStyle name="Vírgula 7 2 2 2 2 2 3" xfId="9444" xr:uid="{FFA10F09-FC39-4AD6-9A40-203C58447DE0}"/>
    <cellStyle name="Vírgula 7 2 2 2 2 3" xfId="4704" xr:uid="{4D98FFC3-B424-4C70-9EEA-7F912A63E089}"/>
    <cellStyle name="Vírgula 7 2 2 2 2 3 2" xfId="11043" xr:uid="{3533A9A9-870A-473A-8116-8F2153D798BE}"/>
    <cellStyle name="Vírgula 7 2 2 2 2 4" xfId="7875" xr:uid="{61558C77-9B58-4EF7-A62E-13621D28991B}"/>
    <cellStyle name="Vírgula 7 2 2 2 3" xfId="2306" xr:uid="{17B8D6E2-7CD7-43AF-90B7-C309EE7070B2}"/>
    <cellStyle name="Vírgula 7 2 2 2 3 2" xfId="5476" xr:uid="{46D808B2-9D54-4A5A-9750-530A7AD5469A}"/>
    <cellStyle name="Vírgula 7 2 2 2 3 2 2" xfId="11815" xr:uid="{5BEC29B2-E7B1-44D3-9FD2-237FE9539E09}"/>
    <cellStyle name="Vírgula 7 2 2 2 3 3" xfId="8647" xr:uid="{C66374BD-D508-4A90-AE92-4820E4A5406B}"/>
    <cellStyle name="Vírgula 7 2 2 2 4" xfId="3907" xr:uid="{458EE23D-2868-44CB-9538-271DF9B6B5BA}"/>
    <cellStyle name="Vírgula 7 2 2 2 4 2" xfId="10246" xr:uid="{F82090C7-600A-45E1-AB52-EE7503812B98}"/>
    <cellStyle name="Vírgula 7 2 2 2 5" xfId="7078" xr:uid="{3785D5A1-2C9A-4D00-9398-44F15515A2A1}"/>
    <cellStyle name="Vírgula 7 2 2 3" xfId="1151" xr:uid="{A908BFFA-6895-4EE5-BBAB-A24DEE6C49B1}"/>
    <cellStyle name="Vírgula 7 2 2 3 2" xfId="2722" xr:uid="{90D0A722-1ABB-435E-A498-237DF1D95AF9}"/>
    <cellStyle name="Vírgula 7 2 2 3 2 2" xfId="5892" xr:uid="{FF004E14-B9DB-4D10-8384-0DCB66AFC1A4}"/>
    <cellStyle name="Vírgula 7 2 2 3 2 2 2" xfId="12231" xr:uid="{774CA19E-EEBB-4F7C-9243-82030872C605}"/>
    <cellStyle name="Vírgula 7 2 2 3 2 3" xfId="9063" xr:uid="{FA512B06-84A3-444B-B8E0-4843341C0D22}"/>
    <cellStyle name="Vírgula 7 2 2 3 3" xfId="4323" xr:uid="{2A45CD13-F4DC-4BAB-A7A5-83FFAEC95998}"/>
    <cellStyle name="Vírgula 7 2 2 3 3 2" xfId="10662" xr:uid="{B83865F2-9B0F-4CE2-AC47-94B0656C301C}"/>
    <cellStyle name="Vírgula 7 2 2 3 4" xfId="7494" xr:uid="{521196A6-E054-42C8-9EB9-AC872779DC1E}"/>
    <cellStyle name="Vírgula 7 2 2 4" xfId="1925" xr:uid="{C521D0D6-D16C-4574-97DA-FFC317F04C6A}"/>
    <cellStyle name="Vírgula 7 2 2 4 2" xfId="5095" xr:uid="{DD182E59-84C4-4E4A-8609-4DBECB8AC835}"/>
    <cellStyle name="Vírgula 7 2 2 4 2 2" xfId="11434" xr:uid="{8E9C9B03-6683-414B-8A04-6FFC81AA64DE}"/>
    <cellStyle name="Vírgula 7 2 2 4 3" xfId="8266" xr:uid="{D302CF3A-DAEC-495A-A0F0-78B8A2895A32}"/>
    <cellStyle name="Vírgula 7 2 2 5" xfId="3526" xr:uid="{AF38261D-E46D-4BF9-9BAF-CCC21A0822FB}"/>
    <cellStyle name="Vírgula 7 2 2 5 2" xfId="9865" xr:uid="{F64BF8B9-C01A-4219-B792-45813F351DCD}"/>
    <cellStyle name="Vírgula 7 2 2 6" xfId="6697" xr:uid="{EAD06FA3-7FEA-4ECD-9E9D-EE668C7EEC01}"/>
    <cellStyle name="Vírgula 7 2 3" xfId="533" xr:uid="{F7780314-BCF2-4FD7-BB5C-9C0813CDCA2E}"/>
    <cellStyle name="Vírgula 7 2 3 2" xfId="1332" xr:uid="{867B0F20-D1D3-4917-9C42-95DBDDC00943}"/>
    <cellStyle name="Vírgula 7 2 3 2 2" xfId="2903" xr:uid="{0D274BAA-E29F-445A-BEBB-A5B26CEDC645}"/>
    <cellStyle name="Vírgula 7 2 3 2 2 2" xfId="6073" xr:uid="{CDF83CA0-E544-4751-8C43-0D667E0AC33B}"/>
    <cellStyle name="Vírgula 7 2 3 2 2 2 2" xfId="12412" xr:uid="{1B0FE769-6403-4A33-A5AE-1C706376B719}"/>
    <cellStyle name="Vírgula 7 2 3 2 2 3" xfId="9244" xr:uid="{0F6DFDE3-5DD3-4391-B1F3-F87ED9699EE3}"/>
    <cellStyle name="Vírgula 7 2 3 2 3" xfId="4504" xr:uid="{18F4127B-F175-4850-B8EE-EB96CA932B32}"/>
    <cellStyle name="Vírgula 7 2 3 2 3 2" xfId="10843" xr:uid="{D7237BB2-8F12-407E-9E3F-0B63F5FC168E}"/>
    <cellStyle name="Vírgula 7 2 3 2 4" xfId="7675" xr:uid="{028A1FD3-9BD1-410B-B2D8-FF1B9E71A9B8}"/>
    <cellStyle name="Vírgula 7 2 3 3" xfId="2106" xr:uid="{F1D4AC5A-8105-4854-8B4B-88C1D5286AE5}"/>
    <cellStyle name="Vírgula 7 2 3 3 2" xfId="5276" xr:uid="{7DBC68BF-B48E-41A4-B353-A1641DC4FEBF}"/>
    <cellStyle name="Vírgula 7 2 3 3 2 2" xfId="11615" xr:uid="{AAE7116B-7076-47E8-BB74-F8B9833311BD}"/>
    <cellStyle name="Vírgula 7 2 3 3 3" xfId="8447" xr:uid="{3F87D049-63C3-415D-AA2B-61ACDB0B278A}"/>
    <cellStyle name="Vírgula 7 2 3 4" xfId="3707" xr:uid="{09F93C7C-979E-4A27-ABAD-306B7782B390}"/>
    <cellStyle name="Vírgula 7 2 3 4 2" xfId="10046" xr:uid="{2A04180B-F506-4FE0-9B10-69F8AB8E14A1}"/>
    <cellStyle name="Vírgula 7 2 3 5" xfId="6878" xr:uid="{94B97D7B-EDF0-437D-B6AB-F618A61AB3A9}"/>
    <cellStyle name="Vírgula 7 2 4" xfId="948" xr:uid="{E0382036-F192-4E43-AAF9-C1EA5BC1BDD3}"/>
    <cellStyle name="Vírgula 7 2 4 2" xfId="2519" xr:uid="{BF1B5883-45B9-4082-AC8F-8A0689CA9437}"/>
    <cellStyle name="Vírgula 7 2 4 2 2" xfId="5689" xr:uid="{E5C2BEBC-454C-45A3-AB82-79428C637C5C}"/>
    <cellStyle name="Vírgula 7 2 4 2 2 2" xfId="12028" xr:uid="{16B5B6BA-EBFE-45BB-B52C-7FC4A740010D}"/>
    <cellStyle name="Vírgula 7 2 4 2 3" xfId="8860" xr:uid="{7F7EF03A-4DA4-4FC8-B00B-A7110F21B6B2}"/>
    <cellStyle name="Vírgula 7 2 4 3" xfId="4120" xr:uid="{23368060-DEC7-4EDD-B969-C8908757B47E}"/>
    <cellStyle name="Vírgula 7 2 4 3 2" xfId="10459" xr:uid="{44E54432-F203-4573-A95B-AE6757671DCB}"/>
    <cellStyle name="Vírgula 7 2 4 4" xfId="7291" xr:uid="{E9D8E77C-C0E2-4D87-B596-033D520E62A2}"/>
    <cellStyle name="Vírgula 7 2 5" xfId="1725" xr:uid="{35D860DB-8DB4-4F11-B4FD-7A5C00350F8A}"/>
    <cellStyle name="Vírgula 7 2 5 2" xfId="4895" xr:uid="{2D60B229-1272-4BD3-875B-73CB45A27446}"/>
    <cellStyle name="Vírgula 7 2 5 2 2" xfId="11234" xr:uid="{FB7725DB-B48E-449A-82F7-BCF51C090BD6}"/>
    <cellStyle name="Vírgula 7 2 5 3" xfId="8066" xr:uid="{7AFE92AE-E057-48F0-847E-9055EE3AC6C3}"/>
    <cellStyle name="Vírgula 7 2 6" xfId="3323" xr:uid="{D8677206-6CC7-46D6-8FE3-68673B1AE64F}"/>
    <cellStyle name="Vírgula 7 2 6 2" xfId="9662" xr:uid="{CFA4AA89-A287-49C3-A3D7-6DD76520C4F3}"/>
    <cellStyle name="Vírgula 7 2 7" xfId="6494" xr:uid="{5D15BE9C-ACA9-4E1A-8D3F-11A13DE1E033}"/>
    <cellStyle name="Vírgula 7 3" xfId="216" xr:uid="{BB26B60F-4B25-4B88-B3B1-B452DE2E3FF9}"/>
    <cellStyle name="Vírgula 7 3 2" xfId="433" xr:uid="{A7EF03F1-D5D8-46FF-8116-733D220D7C05}"/>
    <cellStyle name="Vírgula 7 3 2 2" xfId="814" xr:uid="{87BCEFEA-DA9D-4331-85EE-2F649342D4EE}"/>
    <cellStyle name="Vírgula 7 3 2 2 2" xfId="1613" xr:uid="{1B1668A0-3C4C-4F8B-8E2D-6735235C8153}"/>
    <cellStyle name="Vírgula 7 3 2 2 2 2" xfId="3184" xr:uid="{C545D270-3582-44EB-9FEA-85D7D7EEEA27}"/>
    <cellStyle name="Vírgula 7 3 2 2 2 2 2" xfId="6354" xr:uid="{ED0ABF37-26BD-4D0C-BC8B-0A907B96BFE8}"/>
    <cellStyle name="Vírgula 7 3 2 2 2 2 2 2" xfId="12693" xr:uid="{E910484D-23FD-4ED2-8D11-CEF4F06F959B}"/>
    <cellStyle name="Vírgula 7 3 2 2 2 2 3" xfId="9525" xr:uid="{B2EAC983-02FD-4FEF-975C-6525D7A87D1D}"/>
    <cellStyle name="Vírgula 7 3 2 2 2 3" xfId="4785" xr:uid="{9E5F0722-260B-4ED8-A831-93636C3827CF}"/>
    <cellStyle name="Vírgula 7 3 2 2 2 3 2" xfId="11124" xr:uid="{76F5F77C-7913-435B-9A7D-6DCE64BB4D70}"/>
    <cellStyle name="Vírgula 7 3 2 2 2 4" xfId="7956" xr:uid="{FA6490BB-90DA-4CBC-B6B7-770865DBB44F}"/>
    <cellStyle name="Vírgula 7 3 2 2 3" xfId="2387" xr:uid="{9AC0D0BA-8E06-4920-85C8-BFD47C7C4668}"/>
    <cellStyle name="Vírgula 7 3 2 2 3 2" xfId="5557" xr:uid="{544F7EC1-FD8F-4D08-917E-D3AC657B8315}"/>
    <cellStyle name="Vírgula 7 3 2 2 3 2 2" xfId="11896" xr:uid="{803D9B27-75F6-447B-BCE3-611BAD1ABC4B}"/>
    <cellStyle name="Vírgula 7 3 2 2 3 3" xfId="8728" xr:uid="{ADA4EA11-7EE0-4863-AFDF-D3EAC86343A2}"/>
    <cellStyle name="Vírgula 7 3 2 2 4" xfId="3988" xr:uid="{32332072-C929-4632-813F-5A2B1BD2D5F2}"/>
    <cellStyle name="Vírgula 7 3 2 2 4 2" xfId="10327" xr:uid="{D3CED280-A428-481B-8D4E-28E67E41CEEC}"/>
    <cellStyle name="Vírgula 7 3 2 2 5" xfId="7159" xr:uid="{8CFE362A-FEB3-4679-AFE5-3C22002BBD1E}"/>
    <cellStyle name="Vírgula 7 3 2 3" xfId="1232" xr:uid="{1B5B55BC-1A40-4E1E-B241-F6CAC045A2D4}"/>
    <cellStyle name="Vírgula 7 3 2 3 2" xfId="2803" xr:uid="{D1F8D596-6C41-45F6-AE0E-5EE94AD93E29}"/>
    <cellStyle name="Vírgula 7 3 2 3 2 2" xfId="5973" xr:uid="{986017D0-6B63-4A6F-8C85-06A6A814E0F7}"/>
    <cellStyle name="Vírgula 7 3 2 3 2 2 2" xfId="12312" xr:uid="{1F04167E-851C-4B2E-8D77-217983DD8B1A}"/>
    <cellStyle name="Vírgula 7 3 2 3 2 3" xfId="9144" xr:uid="{0064E459-9B77-4491-ADA7-F5A32136FE31}"/>
    <cellStyle name="Vírgula 7 3 2 3 3" xfId="4404" xr:uid="{315BF971-B8A5-4332-B0A7-6FF62EA3AD4D}"/>
    <cellStyle name="Vírgula 7 3 2 3 3 2" xfId="10743" xr:uid="{B6600F9D-E397-4B22-9D81-EE88C81C8855}"/>
    <cellStyle name="Vírgula 7 3 2 3 4" xfId="7575" xr:uid="{6FD74E11-FBE8-44CC-AE5D-A008A28D300C}"/>
    <cellStyle name="Vírgula 7 3 2 4" xfId="2006" xr:uid="{E69E7FA2-8A5E-43FC-B4F6-798507FE862E}"/>
    <cellStyle name="Vírgula 7 3 2 4 2" xfId="5176" xr:uid="{5B690B23-5440-422D-91CD-A52AAD7BB81D}"/>
    <cellStyle name="Vírgula 7 3 2 4 2 2" xfId="11515" xr:uid="{A47F89DB-2F1E-4004-9E83-1A16BB45C03F}"/>
    <cellStyle name="Vírgula 7 3 2 4 3" xfId="8347" xr:uid="{7B7E6F91-3C4F-43F8-B86F-39A316940E72}"/>
    <cellStyle name="Vírgula 7 3 2 5" xfId="3607" xr:uid="{B805C8DA-05E2-4545-A263-580C8CFA1AC0}"/>
    <cellStyle name="Vírgula 7 3 2 5 2" xfId="9946" xr:uid="{53C53036-9A41-404B-B76C-EC19855C5E3D}"/>
    <cellStyle name="Vírgula 7 3 2 6" xfId="6778" xr:uid="{2A08DEAB-864B-4DB7-B3A0-B197D097B31A}"/>
    <cellStyle name="Vírgula 7 3 3" xfId="611" xr:uid="{9CB69DC0-7759-4606-AC17-332244A55F85}"/>
    <cellStyle name="Vírgula 7 3 3 2" xfId="1410" xr:uid="{21067595-CBD1-4E04-AEE2-E51FC5602B1E}"/>
    <cellStyle name="Vírgula 7 3 3 2 2" xfId="2981" xr:uid="{4AAAE01B-63B6-4B01-BEE1-861921DFF284}"/>
    <cellStyle name="Vírgula 7 3 3 2 2 2" xfId="6151" xr:uid="{6E430271-EBC9-43D0-B2B9-4AD43CE67305}"/>
    <cellStyle name="Vírgula 7 3 3 2 2 2 2" xfId="12490" xr:uid="{9F75F169-CC5C-4DD9-8A69-D362DF59BD62}"/>
    <cellStyle name="Vírgula 7 3 3 2 2 3" xfId="9322" xr:uid="{DF358440-2F65-4D0D-B67E-25242087DC04}"/>
    <cellStyle name="Vírgula 7 3 3 2 3" xfId="4582" xr:uid="{6ADCFE3A-751E-4F2D-83E3-F5205CBF19BC}"/>
    <cellStyle name="Vírgula 7 3 3 2 3 2" xfId="10921" xr:uid="{B1A22EE7-3E15-4DF3-A378-D88413337D65}"/>
    <cellStyle name="Vírgula 7 3 3 2 4" xfId="7753" xr:uid="{63400227-3B3E-41D3-9E68-64491CC772D1}"/>
    <cellStyle name="Vírgula 7 3 3 3" xfId="2184" xr:uid="{B7F7F930-9A06-4BC0-A2AA-135672B920AE}"/>
    <cellStyle name="Vírgula 7 3 3 3 2" xfId="5354" xr:uid="{C246CB89-9148-44F3-9305-EACC6E60C313}"/>
    <cellStyle name="Vírgula 7 3 3 3 2 2" xfId="11693" xr:uid="{46F00930-C20E-407F-B31C-886858C49FB6}"/>
    <cellStyle name="Vírgula 7 3 3 3 3" xfId="8525" xr:uid="{199D93EA-0C68-4468-A9BD-6EB8255738DB}"/>
    <cellStyle name="Vírgula 7 3 3 4" xfId="3785" xr:uid="{00387EDD-7C92-416F-8897-7C5D7E552EC6}"/>
    <cellStyle name="Vírgula 7 3 3 4 2" xfId="10124" xr:uid="{53EACA86-7E3A-4334-9E5D-FBE8FB4BA5AB}"/>
    <cellStyle name="Vírgula 7 3 3 5" xfId="6956" xr:uid="{1495429C-C8AB-4E63-A8BE-F6A9BD3F625C}"/>
    <cellStyle name="Vírgula 7 3 4" xfId="1029" xr:uid="{C70D6422-FDC7-4508-9B5C-F43ED6CC461B}"/>
    <cellStyle name="Vírgula 7 3 4 2" xfId="2600" xr:uid="{B2FEAD0D-8D27-4312-95DF-C9E41269312D}"/>
    <cellStyle name="Vírgula 7 3 4 2 2" xfId="5770" xr:uid="{54A1D42B-9ACA-45C6-A9E1-C45077503379}"/>
    <cellStyle name="Vírgula 7 3 4 2 2 2" xfId="12109" xr:uid="{44D14C64-5ABC-4450-932C-08C9AD863784}"/>
    <cellStyle name="Vírgula 7 3 4 2 3" xfId="8941" xr:uid="{26F97380-AEDE-4E43-AD33-F9483A006D0E}"/>
    <cellStyle name="Vírgula 7 3 4 3" xfId="4201" xr:uid="{6F2D1105-66E8-4CDD-AA06-8CA6A269E546}"/>
    <cellStyle name="Vírgula 7 3 4 3 2" xfId="10540" xr:uid="{151D3835-1DE2-4C20-81BF-28B4B62C079D}"/>
    <cellStyle name="Vírgula 7 3 4 4" xfId="7372" xr:uid="{6F7B74FA-55AA-4804-BC49-26E0F9499746}"/>
    <cellStyle name="Vírgula 7 3 5" xfId="1803" xr:uid="{F2336AA3-0DBC-4C88-9101-AE3C111951E8}"/>
    <cellStyle name="Vírgula 7 3 5 2" xfId="4973" xr:uid="{4CA19B53-A576-4ADC-BAE6-2A8BDD98C989}"/>
    <cellStyle name="Vírgula 7 3 5 2 2" xfId="11312" xr:uid="{1F3793F7-0381-4F03-93F8-9FA9B433480B}"/>
    <cellStyle name="Vírgula 7 3 5 3" xfId="8144" xr:uid="{91CE78B2-6DB5-4135-BC76-0270A1CE574F}"/>
    <cellStyle name="Vírgula 7 3 6" xfId="3404" xr:uid="{EB1982C8-04E3-4B19-8FEF-C1388E9B2BF6}"/>
    <cellStyle name="Vírgula 7 3 6 2" xfId="9743" xr:uid="{46CDBB06-AA80-4D75-ABD9-FD39B683EE91}"/>
    <cellStyle name="Vírgula 7 3 7" xfId="6575" xr:uid="{D9679786-7ACB-4046-8AB9-0181AE161A9E}"/>
    <cellStyle name="Vírgula 7 4" xfId="275" xr:uid="{73828055-DF22-4D41-A888-8A78043AA4BB}"/>
    <cellStyle name="Vírgula 7 4 2" xfId="665" xr:uid="{20E9F769-05A9-4773-AB1D-D6059E2804BF}"/>
    <cellStyle name="Vírgula 7 4 2 2" xfId="1464" xr:uid="{EE7249BB-3FC5-4933-94EB-8A0E8DFDA856}"/>
    <cellStyle name="Vírgula 7 4 2 2 2" xfId="3035" xr:uid="{09EDB479-B69B-4F51-8AF2-F2F3E2CFE62E}"/>
    <cellStyle name="Vírgula 7 4 2 2 2 2" xfId="6205" xr:uid="{6732EC8B-0CEE-4705-B23B-41A3B3DA6A33}"/>
    <cellStyle name="Vírgula 7 4 2 2 2 2 2" xfId="12544" xr:uid="{5A84E045-1F43-4998-AAF3-057A0F5B4E8A}"/>
    <cellStyle name="Vírgula 7 4 2 2 2 3" xfId="9376" xr:uid="{EAF8C929-3F1F-4DD5-AFDD-7A3EBF8EFD43}"/>
    <cellStyle name="Vírgula 7 4 2 2 3" xfId="4636" xr:uid="{E2FEA41B-225E-42A3-B225-6AE08DAA8697}"/>
    <cellStyle name="Vírgula 7 4 2 2 3 2" xfId="10975" xr:uid="{E93349C7-03EC-41CD-A72A-F1D1ECCF15DE}"/>
    <cellStyle name="Vírgula 7 4 2 2 4" xfId="7807" xr:uid="{6A73BAAB-1D8A-44B3-922C-30F11B10B9C7}"/>
    <cellStyle name="Vírgula 7 4 2 3" xfId="2238" xr:uid="{E8B615CE-F3DA-43B2-B247-F00B4285752D}"/>
    <cellStyle name="Vírgula 7 4 2 3 2" xfId="5408" xr:uid="{A12591BB-8FD8-4FBA-A95A-1AB8A0CCED12}"/>
    <cellStyle name="Vírgula 7 4 2 3 2 2" xfId="11747" xr:uid="{36235362-6840-48EF-BE2A-46088FD9B5C3}"/>
    <cellStyle name="Vírgula 7 4 2 3 3" xfId="8579" xr:uid="{C1A7C33A-CF02-4BD4-9F2C-C0F15804CFF0}"/>
    <cellStyle name="Vírgula 7 4 2 4" xfId="3839" xr:uid="{A2EFAEF3-4BFB-4849-B5DE-EB718386E9E0}"/>
    <cellStyle name="Vírgula 7 4 2 4 2" xfId="10178" xr:uid="{6BE07E0F-D1EB-4E9B-9FA0-086FA775B2E7}"/>
    <cellStyle name="Vírgula 7 4 2 5" xfId="7010" xr:uid="{2854ADD6-2D3C-4E5D-AFC7-CDBF0135529F}"/>
    <cellStyle name="Vírgula 7 4 3" xfId="1083" xr:uid="{EDEA0749-CF73-4120-8749-C04416E2FA9B}"/>
    <cellStyle name="Vírgula 7 4 3 2" xfId="2654" xr:uid="{C072282D-C531-41F5-895B-4E6FD5C3F0EA}"/>
    <cellStyle name="Vírgula 7 4 3 2 2" xfId="5824" xr:uid="{DD8B671B-5F04-4A3D-9B57-9AF1A2BD2F80}"/>
    <cellStyle name="Vírgula 7 4 3 2 2 2" xfId="12163" xr:uid="{7A4D4C31-73A7-4C6E-BB0E-32E5C5B716FC}"/>
    <cellStyle name="Vírgula 7 4 3 2 3" xfId="8995" xr:uid="{442ADA8B-4EF4-4341-B011-BA76A1C333B3}"/>
    <cellStyle name="Vírgula 7 4 3 3" xfId="4255" xr:uid="{D5759314-5317-47B0-B957-67A59531F946}"/>
    <cellStyle name="Vírgula 7 4 3 3 2" xfId="10594" xr:uid="{FAED567F-59B6-4B90-A828-A4C57EAF0DC2}"/>
    <cellStyle name="Vírgula 7 4 3 4" xfId="7426" xr:uid="{AE67C6B1-667B-4523-87BA-1B6070FDE45D}"/>
    <cellStyle name="Vírgula 7 4 4" xfId="1857" xr:uid="{AF97C051-E89B-4A3A-95B4-8D696B114C10}"/>
    <cellStyle name="Vírgula 7 4 4 2" xfId="5027" xr:uid="{9BCF5D63-3624-4B76-990C-B88F56444020}"/>
    <cellStyle name="Vírgula 7 4 4 2 2" xfId="11366" xr:uid="{5DD2584F-99CF-4C39-923C-711CF50EF32F}"/>
    <cellStyle name="Vírgula 7 4 4 3" xfId="8198" xr:uid="{1E04705C-8EF9-4A7F-BA3B-564349C1ACFF}"/>
    <cellStyle name="Vírgula 7 4 5" xfId="3458" xr:uid="{1057F221-8E00-46CD-BA64-1818FCA91B4F}"/>
    <cellStyle name="Vírgula 7 4 5 2" xfId="9797" xr:uid="{1139D69F-5CF6-446B-93AB-0098B770CF06}"/>
    <cellStyle name="Vírgula 7 4 6" xfId="6629" xr:uid="{D4D9B58F-3FE3-4EDD-9136-65942AADE7E1}"/>
    <cellStyle name="Vírgula 7 5" xfId="482" xr:uid="{85AE9FA8-4AAD-4260-8BC3-96ED4595A864}"/>
    <cellStyle name="Vírgula 7 5 2" xfId="1281" xr:uid="{BFC1D312-D72A-464B-876E-912C9C7093F4}"/>
    <cellStyle name="Vírgula 7 5 2 2" xfId="2852" xr:uid="{632DA427-52BC-457C-870A-BEAFC547553D}"/>
    <cellStyle name="Vírgula 7 5 2 2 2" xfId="6022" xr:uid="{3E742827-8CED-4669-881A-58CCECDED05C}"/>
    <cellStyle name="Vírgula 7 5 2 2 2 2" xfId="12361" xr:uid="{8415AE46-09E9-4D67-B331-09A0D0D31E8A}"/>
    <cellStyle name="Vírgula 7 5 2 2 3" xfId="9193" xr:uid="{169F229A-4C6A-4A67-B389-5ED6B4C4E565}"/>
    <cellStyle name="Vírgula 7 5 2 3" xfId="4453" xr:uid="{15984C27-5CCB-46A6-8D05-3B50EF031754}"/>
    <cellStyle name="Vírgula 7 5 2 3 2" xfId="10792" xr:uid="{B8212A6E-A3F9-412C-B811-AD590FBC37F4}"/>
    <cellStyle name="Vírgula 7 5 2 4" xfId="7624" xr:uid="{09B5E54F-C36B-4AEE-B844-186C5B522D0A}"/>
    <cellStyle name="Vírgula 7 5 3" xfId="2055" xr:uid="{9E67018B-7491-4A01-840C-E4E3752D68A4}"/>
    <cellStyle name="Vírgula 7 5 3 2" xfId="5225" xr:uid="{6334E37A-0FCB-4AC7-A44E-29DE0AC625B2}"/>
    <cellStyle name="Vírgula 7 5 3 2 2" xfId="11564" xr:uid="{BDD705D0-7CA8-4618-A501-4EE60382251A}"/>
    <cellStyle name="Vírgula 7 5 3 3" xfId="8396" xr:uid="{32D4129D-8529-48D4-9AF7-350B09C96B5B}"/>
    <cellStyle name="Vírgula 7 5 4" xfId="3656" xr:uid="{277BB40B-3A01-4EA7-9E32-A1A2E31B4F4B}"/>
    <cellStyle name="Vírgula 7 5 4 2" xfId="9995" xr:uid="{962EC266-6EED-4E95-A7F9-A6F6471CCB43}"/>
    <cellStyle name="Vírgula 7 5 5" xfId="6827" xr:uid="{34FF220B-2A90-4E8D-A9A3-9A965270EA31}"/>
    <cellStyle name="Vírgula 7 6" xfId="880" xr:uid="{1388F815-A2B4-4CE9-BBCD-947738F4F154}"/>
    <cellStyle name="Vírgula 7 6 2" xfId="2451" xr:uid="{10B48A1F-BADB-4B3E-AAAD-3BB4773CC1AF}"/>
    <cellStyle name="Vírgula 7 6 2 2" xfId="5621" xr:uid="{39111E08-5AE5-44F2-8227-77C49CDECE41}"/>
    <cellStyle name="Vírgula 7 6 2 2 2" xfId="11960" xr:uid="{BF826645-1237-4845-B55B-F980985BA83E}"/>
    <cellStyle name="Vírgula 7 6 2 3" xfId="8792" xr:uid="{896EE581-38A8-4E11-840C-279FD848BEBE}"/>
    <cellStyle name="Vírgula 7 6 3" xfId="4052" xr:uid="{943907C4-8199-4D45-A8BB-42BD968CE64E}"/>
    <cellStyle name="Vírgula 7 6 3 2" xfId="10391" xr:uid="{4F20C73B-B801-4B67-972C-9D42564D7CB2}"/>
    <cellStyle name="Vírgula 7 6 4" xfId="7223" xr:uid="{66491149-06D8-452B-B661-374FC430785D}"/>
    <cellStyle name="Vírgula 7 7" xfId="1677" xr:uid="{94855DFE-2027-4F53-8201-D6524F031AD5}"/>
    <cellStyle name="Vírgula 7 7 2" xfId="4847" xr:uid="{B6114824-3B7F-4B8F-AF3D-ADE95270CD43}"/>
    <cellStyle name="Vírgula 7 7 2 2" xfId="11186" xr:uid="{90E503DE-227D-4A81-BFA1-1B9AF9C73E98}"/>
    <cellStyle name="Vírgula 7 7 3" xfId="8018" xr:uid="{F58028D6-538A-47BA-8260-A4F396985916}"/>
    <cellStyle name="Vírgula 7 8" xfId="3255" xr:uid="{D9A506F4-B1BA-4643-AFD3-E216A000B521}"/>
    <cellStyle name="Vírgula 7 8 2" xfId="9594" xr:uid="{145E9622-C131-4C26-BD01-951645BC7E2E}"/>
    <cellStyle name="Vírgula 7 9" xfId="6426" xr:uid="{FA649BD1-31BC-44AB-BAF1-04106A966900}"/>
    <cellStyle name="Vírgula 8" xfId="53" xr:uid="{4C75D2D0-820C-4D5B-A9B4-966CC720B33F}"/>
    <cellStyle name="Vírgula 8 2" xfId="277" xr:uid="{9E39CFCE-ABE9-4DD7-B1E1-0A3486625A1C}"/>
    <cellStyle name="Vírgula 8 2 2" xfId="667" xr:uid="{17B3594B-16ED-4C9D-BA7A-86BAF01D228D}"/>
    <cellStyle name="Vírgula 8 2 2 2" xfId="1466" xr:uid="{8101FA9E-3F1A-48C8-99EE-13EA6440E465}"/>
    <cellStyle name="Vírgula 8 2 2 2 2" xfId="3037" xr:uid="{6D7E4112-F4F4-4B52-933A-F8C1C4BABBD1}"/>
    <cellStyle name="Vírgula 8 2 2 2 2 2" xfId="6207" xr:uid="{F1BE7BBE-0264-42EA-B34C-59B4E41D414D}"/>
    <cellStyle name="Vírgula 8 2 2 2 2 2 2" xfId="12546" xr:uid="{C036A946-E7ED-49B4-AC38-A331A6ACA0BF}"/>
    <cellStyle name="Vírgula 8 2 2 2 2 3" xfId="9378" xr:uid="{5CF4FB9E-02AC-4B04-8822-2DE51EF96BF4}"/>
    <cellStyle name="Vírgula 8 2 2 2 3" xfId="4638" xr:uid="{D1C29874-53A4-41CF-8AAB-4EC8C0F1B9BC}"/>
    <cellStyle name="Vírgula 8 2 2 2 3 2" xfId="10977" xr:uid="{86D1BBCB-7569-48EE-A9D2-066AC82CFA7D}"/>
    <cellStyle name="Vírgula 8 2 2 2 4" xfId="7809" xr:uid="{2F47B546-D7CA-40FD-B06D-75292A03B40F}"/>
    <cellStyle name="Vírgula 8 2 2 3" xfId="2240" xr:uid="{FF9493A3-7555-4930-A75A-A550C7BE912C}"/>
    <cellStyle name="Vírgula 8 2 2 3 2" xfId="5410" xr:uid="{6E44BC4C-AE69-4B19-855F-0BC086AB7429}"/>
    <cellStyle name="Vírgula 8 2 2 3 2 2" xfId="11749" xr:uid="{A6FFAFEF-DB55-41F2-AA72-7B59D6B2A7D1}"/>
    <cellStyle name="Vírgula 8 2 2 3 3" xfId="8581" xr:uid="{B7AD0E1B-7D83-4A51-B1C6-0D58FB028FE1}"/>
    <cellStyle name="Vírgula 8 2 2 4" xfId="3841" xr:uid="{DF53F191-2772-4A0C-8A5B-3E7CDB63B997}"/>
    <cellStyle name="Vírgula 8 2 2 4 2" xfId="10180" xr:uid="{F600432C-FEA4-4CFF-BD3B-1517DB5E3EC5}"/>
    <cellStyle name="Vírgula 8 2 2 5" xfId="7012" xr:uid="{0CA9A9EB-2993-40D9-BED3-C60BCEFEA867}"/>
    <cellStyle name="Vírgula 8 2 3" xfId="1085" xr:uid="{25DB0CC0-7673-4B55-B6EE-A2ABC9000472}"/>
    <cellStyle name="Vírgula 8 2 3 2" xfId="2656" xr:uid="{057B6C5B-B91D-43AF-AF06-89364642570C}"/>
    <cellStyle name="Vírgula 8 2 3 2 2" xfId="5826" xr:uid="{BD080452-063F-491D-94B5-33B7B5BF681D}"/>
    <cellStyle name="Vírgula 8 2 3 2 2 2" xfId="12165" xr:uid="{0DF1FD06-E659-4161-A9D2-C8A1B2F24D3A}"/>
    <cellStyle name="Vírgula 8 2 3 2 3" xfId="8997" xr:uid="{A3FF68C1-D42D-4E1E-A243-BB66DC0F0C3D}"/>
    <cellStyle name="Vírgula 8 2 3 3" xfId="4257" xr:uid="{18B71164-A660-4732-946A-15F887D69F6D}"/>
    <cellStyle name="Vírgula 8 2 3 3 2" xfId="10596" xr:uid="{03F20640-A243-4191-B5F3-945DB9F9AC53}"/>
    <cellStyle name="Vírgula 8 2 3 4" xfId="7428" xr:uid="{0FB75E77-9B94-4778-9314-CD8F9714CDD4}"/>
    <cellStyle name="Vírgula 8 2 4" xfId="1859" xr:uid="{BB292E54-851D-4819-9539-259EBE1B8084}"/>
    <cellStyle name="Vírgula 8 2 4 2" xfId="5029" xr:uid="{424A3E8E-64FA-4614-81EA-EC108D0B1C3F}"/>
    <cellStyle name="Vírgula 8 2 4 2 2" xfId="11368" xr:uid="{41DC0E09-25CD-4D5B-971A-BB7936BB7B57}"/>
    <cellStyle name="Vírgula 8 2 4 3" xfId="8200" xr:uid="{5300DFED-D644-4C25-8E3A-5CDC2E08F6D3}"/>
    <cellStyle name="Vírgula 8 2 5" xfId="3460" xr:uid="{54ED5FB8-92BF-47BD-94B6-AD783E1F9912}"/>
    <cellStyle name="Vírgula 8 2 5 2" xfId="9799" xr:uid="{419349C7-7AC6-4254-8938-8D8FFA0F5B2D}"/>
    <cellStyle name="Vírgula 8 2 6" xfId="6631" xr:uid="{A76B6392-6A4B-4BDE-92AD-B64EFA23414A}"/>
    <cellStyle name="Vírgula 8 3" xfId="484" xr:uid="{0B7C4BC2-9457-4C04-A06E-4B096E7E3EDB}"/>
    <cellStyle name="Vírgula 8 3 2" xfId="1283" xr:uid="{828F5AE1-4B16-4C7E-A9B4-6D23322D5440}"/>
    <cellStyle name="Vírgula 8 3 2 2" xfId="2854" xr:uid="{0D63A220-8E24-46C3-A084-5334453677BF}"/>
    <cellStyle name="Vírgula 8 3 2 2 2" xfId="6024" xr:uid="{0D29F927-88C3-4A0E-9537-16DAE1E7B5BF}"/>
    <cellStyle name="Vírgula 8 3 2 2 2 2" xfId="12363" xr:uid="{042CEAE6-8B25-447D-9D80-4D60C620CF46}"/>
    <cellStyle name="Vírgula 8 3 2 2 3" xfId="9195" xr:uid="{8D06B1F2-DB5F-4BC5-B769-D550F6A28ADC}"/>
    <cellStyle name="Vírgula 8 3 2 3" xfId="4455" xr:uid="{2C75796C-D7CE-48A6-8562-4A0A4962653B}"/>
    <cellStyle name="Vírgula 8 3 2 3 2" xfId="10794" xr:uid="{CCFFB6AD-CE3C-4C92-A5A6-F153490AACEE}"/>
    <cellStyle name="Vírgula 8 3 2 4" xfId="7626" xr:uid="{E9E3F1A1-2073-47F7-97CD-2311154E05EF}"/>
    <cellStyle name="Vírgula 8 3 3" xfId="2057" xr:uid="{F3CAC6D4-7E55-4196-92B6-1589EB509A5D}"/>
    <cellStyle name="Vírgula 8 3 3 2" xfId="5227" xr:uid="{B5982E71-4BF8-4F4E-B4F2-161FCF46AE68}"/>
    <cellStyle name="Vírgula 8 3 3 2 2" xfId="11566" xr:uid="{C7AFA790-07BD-474F-B773-ED6B4EFACAF6}"/>
    <cellStyle name="Vírgula 8 3 3 3" xfId="8398" xr:uid="{DB7D35C4-85EF-4E7F-AE78-9D36C2B0E5AD}"/>
    <cellStyle name="Vírgula 8 3 4" xfId="3658" xr:uid="{D47579DF-5311-4274-AB00-154DD9983BAE}"/>
    <cellStyle name="Vírgula 8 3 4 2" xfId="9997" xr:uid="{2117B193-AA2F-45D4-9ECA-2C625F3A3D37}"/>
    <cellStyle name="Vírgula 8 3 5" xfId="6829" xr:uid="{52D214B6-166C-4BFF-A044-215DF22F0AA2}"/>
    <cellStyle name="Vírgula 8 4" xfId="882" xr:uid="{1EDE54C9-F116-4935-912C-A352D352749F}"/>
    <cellStyle name="Vírgula 8 4 2" xfId="2453" xr:uid="{CACA918D-40D8-4512-8D58-C206B35B0F01}"/>
    <cellStyle name="Vírgula 8 4 2 2" xfId="5623" xr:uid="{5F7F219B-F5B4-4E5C-BF3A-E0913F41E879}"/>
    <cellStyle name="Vírgula 8 4 2 2 2" xfId="11962" xr:uid="{16168D10-209D-4CA1-9FF8-D114D460EC93}"/>
    <cellStyle name="Vírgula 8 4 2 3" xfId="8794" xr:uid="{7ED227F7-6AEE-4E8F-9B0F-31B220723C2C}"/>
    <cellStyle name="Vírgula 8 4 3" xfId="4054" xr:uid="{75B4E623-D560-4828-8C5A-05E387859DDD}"/>
    <cellStyle name="Vírgula 8 4 3 2" xfId="10393" xr:uid="{C4246D5E-62B2-4823-9850-5D3C334FD821}"/>
    <cellStyle name="Vírgula 8 4 4" xfId="7225" xr:uid="{4CE9550D-08A8-4451-A38F-8007A481564F}"/>
    <cellStyle name="Vírgula 8 5" xfId="1679" xr:uid="{C8E09A91-9933-4F7F-B2AD-14BFAAC02199}"/>
    <cellStyle name="Vírgula 8 5 2" xfId="4849" xr:uid="{25840F7D-7094-46FC-9B4E-C64C5F387C8D}"/>
    <cellStyle name="Vírgula 8 5 2 2" xfId="11188" xr:uid="{1C0B2917-5748-4CA8-A921-9C2CDC27D2AB}"/>
    <cellStyle name="Vírgula 8 5 3" xfId="8020" xr:uid="{C8FF153D-96D5-4865-82B0-6A79AFA1F7B0}"/>
    <cellStyle name="Vírgula 8 6" xfId="3257" xr:uid="{C66F21DC-B370-4AC2-A746-ABFD9C10C2D9}"/>
    <cellStyle name="Vírgula 8 6 2" xfId="9596" xr:uid="{577C83F9-E5F8-4A5C-9BE2-8A153A2AC464}"/>
    <cellStyle name="Vírgula 8 7" xfId="6428" xr:uid="{2232FFFA-0E94-4CB8-B45E-A9C82CE4D287}"/>
    <cellStyle name="Vírgula 9" xfId="124" xr:uid="{A24528C4-0510-462A-859E-2F99C0DCC9AA}"/>
    <cellStyle name="Vírgula 9 2" xfId="341" xr:uid="{EF6F59A6-9B2D-4C87-9F8F-71CC87E93D03}"/>
    <cellStyle name="Vírgula 9 2 2" xfId="722" xr:uid="{3D66AE2C-A632-4043-B27B-BBB7EA7F3EAF}"/>
    <cellStyle name="Vírgula 9 2 2 2" xfId="1521" xr:uid="{9E6BB52B-1E29-4B0A-98D3-5DD51EFB636C}"/>
    <cellStyle name="Vírgula 9 2 2 2 2" xfId="3092" xr:uid="{A39910D0-473E-4F6F-BFA9-576778FE3171}"/>
    <cellStyle name="Vírgula 9 2 2 2 2 2" xfId="6262" xr:uid="{A59D5F4F-AF1A-48D7-ADC4-B7CA36DA8771}"/>
    <cellStyle name="Vírgula 9 2 2 2 2 2 2" xfId="12601" xr:uid="{20325E82-0F3E-433B-AE22-B3205CA1C79B}"/>
    <cellStyle name="Vírgula 9 2 2 2 2 3" xfId="9433" xr:uid="{1BA89626-B945-4AFA-9F1C-C7125A1DBD75}"/>
    <cellStyle name="Vírgula 9 2 2 2 3" xfId="4693" xr:uid="{BDB92208-1D59-4CB6-8D43-F0B7120D1365}"/>
    <cellStyle name="Vírgula 9 2 2 2 3 2" xfId="11032" xr:uid="{B3B3A08F-420E-435F-B5A4-788CD81CC1C8}"/>
    <cellStyle name="Vírgula 9 2 2 2 4" xfId="7864" xr:uid="{8BFF04CB-0A53-4523-8E1C-84976977170B}"/>
    <cellStyle name="Vírgula 9 2 2 3" xfId="2295" xr:uid="{1E6802BB-5D42-4296-A8EF-837B88D89CA3}"/>
    <cellStyle name="Vírgula 9 2 2 3 2" xfId="5465" xr:uid="{3CFBDD6D-EEC9-4698-9F86-FEADCC8E4A88}"/>
    <cellStyle name="Vírgula 9 2 2 3 2 2" xfId="11804" xr:uid="{60770FE6-30D5-4A54-9D63-1798A6022AB6}"/>
    <cellStyle name="Vírgula 9 2 2 3 3" xfId="8636" xr:uid="{A77D2648-E69E-4B06-9D6A-C57169AD4A8F}"/>
    <cellStyle name="Vírgula 9 2 2 4" xfId="3896" xr:uid="{CCD23D14-CE75-4457-9521-A327D8C0B4B9}"/>
    <cellStyle name="Vírgula 9 2 2 4 2" xfId="10235" xr:uid="{D34BA398-255A-4784-86FC-340B612BB64C}"/>
    <cellStyle name="Vírgula 9 2 2 5" xfId="7067" xr:uid="{9385A5BD-545E-46CB-837E-B97B9D70ABD6}"/>
    <cellStyle name="Vírgula 9 2 3" xfId="1140" xr:uid="{97E9CA94-3CC6-44D0-B0D3-C38F22F78EB1}"/>
    <cellStyle name="Vírgula 9 2 3 2" xfId="2711" xr:uid="{87C2AD12-136D-46F9-80DA-6702949C4C4A}"/>
    <cellStyle name="Vírgula 9 2 3 2 2" xfId="5881" xr:uid="{BF4C479A-7DFB-4A55-9C13-A6A33E697247}"/>
    <cellStyle name="Vírgula 9 2 3 2 2 2" xfId="12220" xr:uid="{A1C4534B-4AA6-4268-8404-CBCCD5807AB5}"/>
    <cellStyle name="Vírgula 9 2 3 2 3" xfId="9052" xr:uid="{8ECFB6ED-2DD8-4BC0-AE23-BB9B5B9D1A9D}"/>
    <cellStyle name="Vírgula 9 2 3 3" xfId="4312" xr:uid="{60B2253D-0924-40F8-9475-C3F4A619870D}"/>
    <cellStyle name="Vírgula 9 2 3 3 2" xfId="10651" xr:uid="{40C1AEFC-4AB4-4D7A-BB8D-947824588A45}"/>
    <cellStyle name="Vírgula 9 2 3 4" xfId="7483" xr:uid="{D86D6B3C-835E-4AD5-B4CC-D4412A5151D7}"/>
    <cellStyle name="Vírgula 9 2 4" xfId="1914" xr:uid="{F57B45C3-655F-48BF-8E7B-5DEB258D2509}"/>
    <cellStyle name="Vírgula 9 2 4 2" xfId="5084" xr:uid="{C1EA9507-4E38-4E6A-82A2-1A10C5CDFBBC}"/>
    <cellStyle name="Vírgula 9 2 4 2 2" xfId="11423" xr:uid="{936330F4-ED2A-4626-87D0-A54C1918B11C}"/>
    <cellStyle name="Vírgula 9 2 4 3" xfId="8255" xr:uid="{4A4A2EDD-D35B-4039-95D5-1B5166B14491}"/>
    <cellStyle name="Vírgula 9 2 5" xfId="3515" xr:uid="{6A0DA312-973B-4135-9DAF-618E0D5330A1}"/>
    <cellStyle name="Vírgula 9 2 5 2" xfId="9854" xr:uid="{04B525F4-76B1-49B8-B8D7-8EA1046D5718}"/>
    <cellStyle name="Vírgula 9 2 6" xfId="6686" xr:uid="{21770D19-CD4E-4BE5-9424-32800B7551F2}"/>
    <cellStyle name="Vírgula 9 3" xfId="528" xr:uid="{D05FF25D-D39E-4CEB-9B64-DC8A98C701E5}"/>
    <cellStyle name="Vírgula 9 3 2" xfId="1327" xr:uid="{5D9C42ED-5A9D-4787-9670-F812EF7CC198}"/>
    <cellStyle name="Vírgula 9 3 2 2" xfId="2898" xr:uid="{36435B1B-D7F3-4744-9EBC-9837A7745DFB}"/>
    <cellStyle name="Vírgula 9 3 2 2 2" xfId="6068" xr:uid="{8CD01436-40BB-4F78-B396-F7651BA9D761}"/>
    <cellStyle name="Vírgula 9 3 2 2 2 2" xfId="12407" xr:uid="{3E5544C8-699E-45B8-8A12-E8150CA05929}"/>
    <cellStyle name="Vírgula 9 3 2 2 3" xfId="9239" xr:uid="{D5AC3945-79F8-49EA-80A1-C46E3214165A}"/>
    <cellStyle name="Vírgula 9 3 2 3" xfId="4499" xr:uid="{B781C995-09F1-41F3-9400-879BCF17526D}"/>
    <cellStyle name="Vírgula 9 3 2 3 2" xfId="10838" xr:uid="{ED176BAF-9017-4DA5-8AA1-CC4FFCECFB18}"/>
    <cellStyle name="Vírgula 9 3 2 4" xfId="7670" xr:uid="{B45B1C75-DC8F-438D-B500-4D9AEB1A492D}"/>
    <cellStyle name="Vírgula 9 3 3" xfId="2101" xr:uid="{48EBFC92-E305-45AC-9F39-7ED353B60EEC}"/>
    <cellStyle name="Vírgula 9 3 3 2" xfId="5271" xr:uid="{9DDA32EB-C2EE-4B2C-8BDE-A46017E679F7}"/>
    <cellStyle name="Vírgula 9 3 3 2 2" xfId="11610" xr:uid="{5D266753-3487-498C-A8FA-9C292C4AAE60}"/>
    <cellStyle name="Vírgula 9 3 3 3" xfId="8442" xr:uid="{9D8DF7DB-03A1-42B6-85C1-7477B3CF458A}"/>
    <cellStyle name="Vírgula 9 3 4" xfId="3702" xr:uid="{6EE9028A-FEEF-4E9E-A64D-F36CDDC9FCDA}"/>
    <cellStyle name="Vírgula 9 3 4 2" xfId="10041" xr:uid="{B13DC0A0-D17B-40EA-B394-0B19FA81DD62}"/>
    <cellStyle name="Vírgula 9 3 5" xfId="6873" xr:uid="{E3EE7E8F-73D6-42BC-93EF-7D264E3F033C}"/>
    <cellStyle name="Vírgula 9 4" xfId="937" xr:uid="{87EE7738-9D6B-433D-B226-04A7558E2E68}"/>
    <cellStyle name="Vírgula 9 4 2" xfId="2508" xr:uid="{A42524DC-48AD-4D28-88F5-23D1DBC10013}"/>
    <cellStyle name="Vírgula 9 4 2 2" xfId="5678" xr:uid="{DAEDE67F-94B6-413E-8B27-1542A9B908C5}"/>
    <cellStyle name="Vírgula 9 4 2 2 2" xfId="12017" xr:uid="{D101A46F-24E4-4409-9E3F-465482B6352D}"/>
    <cellStyle name="Vírgula 9 4 2 3" xfId="8849" xr:uid="{D67BC0B3-45A3-4C19-84DE-21A8C30846CA}"/>
    <cellStyle name="Vírgula 9 4 3" xfId="4109" xr:uid="{64069C47-DC3E-4D42-8EC0-4BCA397BC0FC}"/>
    <cellStyle name="Vírgula 9 4 3 2" xfId="10448" xr:uid="{A58705D6-B953-43C3-ADEF-A28D7D2F3763}"/>
    <cellStyle name="Vírgula 9 4 4" xfId="7280" xr:uid="{2E17CCD2-9862-4388-BF59-648394D1BE78}"/>
    <cellStyle name="Vírgula 9 5" xfId="1720" xr:uid="{9436E195-8815-406D-AF6B-6FFAA2313EAD}"/>
    <cellStyle name="Vírgula 9 5 2" xfId="4890" xr:uid="{3AC2CA75-2785-400F-8624-5334C2790E26}"/>
    <cellStyle name="Vírgula 9 5 2 2" xfId="11229" xr:uid="{9FB00912-370C-4526-A6B1-A26F8071526A}"/>
    <cellStyle name="Vírgula 9 5 3" xfId="8061" xr:uid="{EC03D528-22B9-4D96-B146-98DFE17D0E0A}"/>
    <cellStyle name="Vírgula 9 6" xfId="3312" xr:uid="{503BA2F2-0BC9-4799-8D3B-284730ED8F5F}"/>
    <cellStyle name="Vírgula 9 6 2" xfId="9651" xr:uid="{C49E6164-7486-4E8B-84C1-26019F9F511F}"/>
    <cellStyle name="Vírgula 9 7" xfId="6483" xr:uid="{243CF305-3120-44E8-B986-227866008D3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A81"/>
      <color rgb="FFFFD918"/>
      <color rgb="FFFFEE9B"/>
      <color rgb="FF0000FF"/>
      <color rgb="FF00CDC8"/>
      <color rgb="FF0DFFFF"/>
      <color rgb="FFFFA365"/>
      <color rgb="FFFF6600"/>
      <color rgb="FFE8D1FF"/>
      <color rgb="FFF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microsoft.com/office/2006/relationships/attachedToolbars" Target="attachedToolbars.bin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1</xdr:row>
      <xdr:rowOff>200025</xdr:rowOff>
    </xdr:from>
    <xdr:to>
      <xdr:col>3</xdr:col>
      <xdr:colOff>1485900</xdr:colOff>
      <xdr:row>10</xdr:row>
      <xdr:rowOff>188283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4AF5C907-640C-1A7D-B4FE-9A9C3E8D63FD}"/>
            </a:ext>
          </a:extLst>
        </xdr:cNvPr>
        <xdr:cNvGrpSpPr/>
      </xdr:nvGrpSpPr>
      <xdr:grpSpPr>
        <a:xfrm>
          <a:off x="83821" y="373380"/>
          <a:ext cx="4008119" cy="1849443"/>
          <a:chOff x="76201" y="371475"/>
          <a:chExt cx="4000499" cy="1845633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CE1B543F-F0BF-8CED-D553-69A3BE9D2272}"/>
              </a:ext>
            </a:extLst>
          </xdr:cNvPr>
          <xdr:cNvGrpSpPr/>
        </xdr:nvGrpSpPr>
        <xdr:grpSpPr>
          <a:xfrm>
            <a:off x="76201" y="371475"/>
            <a:ext cx="4000499" cy="1845633"/>
            <a:chOff x="85726" y="4295775"/>
            <a:chExt cx="4000499" cy="1845633"/>
          </a:xfrm>
        </xdr:grpSpPr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22B96C3D-C5C3-0FDC-CBA3-014F4A422606}"/>
                </a:ext>
              </a:extLst>
            </xdr:cNvPr>
            <xdr:cNvSpPr txBox="1"/>
          </xdr:nvSpPr>
          <xdr:spPr>
            <a:xfrm>
              <a:off x="1704975" y="4295775"/>
              <a:ext cx="2381250" cy="1845633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14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14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D62355EF-E087-F89B-9EE0-7A038C1231B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6" y="4448175"/>
              <a:ext cx="1562100" cy="1562100"/>
            </a:xfrm>
            <a:prstGeom prst="rect">
              <a:avLst/>
            </a:prstGeom>
          </xdr:spPr>
        </xdr:pic>
      </xdr:grpSp>
      <xdr:sp macro="" textlink="$T$6">
        <xdr:nvSpPr>
          <xdr:cNvPr id="6" name="CaixaDeTexto 5">
            <a:extLst>
              <a:ext uri="{FF2B5EF4-FFF2-40B4-BE49-F238E27FC236}">
                <a16:creationId xmlns:a16="http://schemas.microsoft.com/office/drawing/2014/main" id="{6704C83C-AA9E-51AF-DF88-0DCC2C175A5E}"/>
              </a:ext>
            </a:extLst>
          </xdr:cNvPr>
          <xdr:cNvSpPr txBox="1"/>
        </xdr:nvSpPr>
        <xdr:spPr>
          <a:xfrm>
            <a:off x="2438400" y="1895475"/>
            <a:ext cx="85658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fld id="{75EEE434-36A4-4EB6-8EF8-55075A75096F}" type="TxLink">
              <a:rPr lang="en-US" sz="1400" b="1" i="0" u="none" strike="noStrike">
                <a:solidFill>
                  <a:srgbClr val="000000"/>
                </a:solidFill>
                <a:latin typeface="+mn-lt"/>
                <a:cs typeface="Arial"/>
              </a:rPr>
              <a:pPr algn="ctr"/>
              <a:t> 1,92663 </a:t>
            </a:fld>
            <a:endParaRPr lang="pt-BR" sz="1100" b="1">
              <a:latin typeface="+mn-lt"/>
            </a:endParaRPr>
          </a:p>
        </xdr:txBody>
      </xdr:sp>
      <xdr:sp macro="" textlink="$T$4">
        <xdr:nvSpPr>
          <xdr:cNvPr id="7" name="CaixaDeTexto 6">
            <a:extLst>
              <a:ext uri="{FF2B5EF4-FFF2-40B4-BE49-F238E27FC236}">
                <a16:creationId xmlns:a16="http://schemas.microsoft.com/office/drawing/2014/main" id="{55890729-71D9-4576-84E8-60E967917957}"/>
              </a:ext>
            </a:extLst>
          </xdr:cNvPr>
          <xdr:cNvSpPr txBox="1"/>
        </xdr:nvSpPr>
        <xdr:spPr>
          <a:xfrm>
            <a:off x="2362200" y="590550"/>
            <a:ext cx="1009650" cy="3333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marL="0" indent="0" algn="ctr"/>
            <a:fld id="{6260E2F0-68BD-4755-A10B-0FD566CFB11F}" type="TxLink">
              <a:rPr lang="en-US" sz="16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rPr>
              <a:pPr marL="0" indent="0" algn="ctr"/>
              <a:t> 50.000,00 </a:t>
            </a:fld>
            <a:endParaRPr lang="pt-BR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4</xdr:col>
      <xdr:colOff>1419225</xdr:colOff>
      <xdr:row>13</xdr:row>
      <xdr:rowOff>16311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1FA9A4E0-B62F-4ED7-88DD-487046F3BD17}"/>
            </a:ext>
          </a:extLst>
        </xdr:cNvPr>
        <xdr:cNvGrpSpPr/>
      </xdr:nvGrpSpPr>
      <xdr:grpSpPr>
        <a:xfrm>
          <a:off x="0" y="275977"/>
          <a:ext cx="4518329" cy="2242179"/>
          <a:chOff x="0" y="333375"/>
          <a:chExt cx="4505325" cy="221658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B744383-7245-3E25-C4D8-AEA49D5BD5F5}"/>
              </a:ext>
            </a:extLst>
          </xdr:cNvPr>
          <xdr:cNvGrpSpPr/>
        </xdr:nvGrpSpPr>
        <xdr:grpSpPr>
          <a:xfrm>
            <a:off x="2114551" y="391229"/>
            <a:ext cx="2390774" cy="2158732"/>
            <a:chOff x="1461519" y="371475"/>
            <a:chExt cx="2615182" cy="2292966"/>
          </a:xfrm>
        </xdr:grpSpPr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74654B5A-8697-0AE8-5A4B-0034ED4F6265}"/>
                </a:ext>
              </a:extLst>
            </xdr:cNvPr>
            <xdr:cNvSpPr txBox="1"/>
          </xdr:nvSpPr>
          <xdr:spPr>
            <a:xfrm>
              <a:off x="1461519" y="371475"/>
              <a:ext cx="2615182" cy="229296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O$6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6C1990E8-1419-4CA7-68EF-EA44CCCBD740}"/>
                </a:ext>
              </a:extLst>
            </xdr:cNvPr>
            <xdr:cNvSpPr txBox="1"/>
          </xdr:nvSpPr>
          <xdr:spPr>
            <a:xfrm>
              <a:off x="2344628" y="2297261"/>
              <a:ext cx="856581" cy="3114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C20138EA-FED0-4ACA-9824-FD9F4FAD122A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O$4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9294866B-65AE-687B-A347-B27D885138E9}"/>
                </a:ext>
              </a:extLst>
            </xdr:cNvPr>
            <xdr:cNvSpPr txBox="1"/>
          </xdr:nvSpPr>
          <xdr:spPr>
            <a:xfrm>
              <a:off x="2285120" y="1171199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CFE31461-8BBC-4371-BFFA-028C3AEEFC5E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75.000,00 </a:t>
              </a:fld>
              <a:endParaRPr lang="pt-BR" sz="32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B2C4F12-9C54-D09A-CBC7-907A64C91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265043</xdr:colOff>
      <xdr:row>2</xdr:row>
      <xdr:rowOff>157366</xdr:rowOff>
    </xdr:from>
    <xdr:to>
      <xdr:col>4</xdr:col>
      <xdr:colOff>701757</xdr:colOff>
      <xdr:row>4</xdr:row>
      <xdr:rowOff>90225</xdr:rowOff>
    </xdr:to>
    <xdr:sp macro="" textlink="$O$2">
      <xdr:nvSpPr>
        <xdr:cNvPr id="2" name="CaixaDeTexto 1">
          <a:extLst>
            <a:ext uri="{FF2B5EF4-FFF2-40B4-BE49-F238E27FC236}">
              <a16:creationId xmlns:a16="http://schemas.microsoft.com/office/drawing/2014/main" id="{0879AB10-3018-439B-A7F7-F23162496575}"/>
            </a:ext>
          </a:extLst>
        </xdr:cNvPr>
        <xdr:cNvSpPr txBox="1"/>
      </xdr:nvSpPr>
      <xdr:spPr>
        <a:xfrm>
          <a:off x="2874065" y="538366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7BC8CBA2-2A46-4052-B596-5CA94F68884D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500.000,00 </a:t>
          </a:fld>
          <a:endParaRPr lang="pt-BR" sz="54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142875</xdr:rowOff>
    </xdr:from>
    <xdr:to>
      <xdr:col>4</xdr:col>
      <xdr:colOff>1419225</xdr:colOff>
      <xdr:row>13</xdr:row>
      <xdr:rowOff>89107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3888E6B-38CB-F100-E4FD-75BF174E6C1E}"/>
            </a:ext>
          </a:extLst>
        </xdr:cNvPr>
        <xdr:cNvGrpSpPr/>
      </xdr:nvGrpSpPr>
      <xdr:grpSpPr>
        <a:xfrm>
          <a:off x="0" y="336937"/>
          <a:ext cx="4518329" cy="2248300"/>
          <a:chOff x="0" y="333375"/>
          <a:chExt cx="4505325" cy="2232232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92B5E6D0-91F6-02D9-F136-29FE4F34109F}"/>
              </a:ext>
            </a:extLst>
          </xdr:cNvPr>
          <xdr:cNvGrpSpPr/>
        </xdr:nvGrpSpPr>
        <xdr:grpSpPr>
          <a:xfrm>
            <a:off x="2114551" y="391229"/>
            <a:ext cx="2390774" cy="2174378"/>
            <a:chOff x="1461519" y="371475"/>
            <a:chExt cx="2615182" cy="2309584"/>
          </a:xfrm>
        </xdr:grpSpPr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8E401D66-8CA6-ABFF-8A00-16223FCA2A08}"/>
                </a:ext>
              </a:extLst>
            </xdr:cNvPr>
            <xdr:cNvSpPr txBox="1"/>
          </xdr:nvSpPr>
          <xdr:spPr>
            <a:xfrm>
              <a:off x="1461519" y="371475"/>
              <a:ext cx="2615182" cy="2309584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 algn="ctr"/>
              <a:r>
                <a:rPr lang="pt-BR" sz="1400" b="1" baseline="0"/>
                <a:t>LUCRO LÍQUIDO</a:t>
              </a:r>
            </a:p>
            <a:p>
              <a:pPr algn="ctr"/>
              <a:endParaRPr lang="pt-BR" sz="1400" b="1" baseline="0"/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DE LUCROS</a:t>
              </a:r>
            </a:p>
            <a:p>
              <a:endParaRPr lang="pt-BR" sz="1400" b="1" baseline="0"/>
            </a:p>
            <a:p>
              <a:endParaRPr lang="pt-BR" sz="700" b="1" baseline="0"/>
            </a:p>
            <a:p>
              <a:pPr algn="ctr"/>
              <a:r>
                <a:rPr lang="pt-BR" sz="1400" b="1" baseline="0"/>
                <a:t>TOTAL DE QUOTAS</a:t>
              </a:r>
            </a:p>
            <a:p>
              <a:pPr algn="ctr"/>
              <a:r>
                <a:rPr lang="pt-BR" sz="1400" b="1" baseline="0"/>
                <a:t>25.952</a:t>
              </a:r>
            </a:p>
            <a:p>
              <a:pPr algn="ctr"/>
              <a:endParaRPr lang="pt-BR" sz="700" b="1" baseline="0"/>
            </a:p>
            <a:p>
              <a:pPr algn="ctr"/>
              <a:r>
                <a:rPr lang="pt-BR" sz="1400" b="1" baseline="0"/>
                <a:t>AJUSTE MENSAL POR QUOTA</a:t>
              </a:r>
            </a:p>
            <a:p>
              <a:pPr algn="ctr"/>
              <a:endParaRPr lang="pt-BR" sz="1400" b="1" baseline="0"/>
            </a:p>
          </xdr:txBody>
        </xdr:sp>
        <xdr:sp macro="" textlink="$V$7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5B0AA871-C7FB-88F3-ED23-511D8D5AC77E}"/>
                </a:ext>
              </a:extLst>
            </xdr:cNvPr>
            <xdr:cNvSpPr txBox="1"/>
          </xdr:nvSpPr>
          <xdr:spPr>
            <a:xfrm>
              <a:off x="2344628" y="2306064"/>
              <a:ext cx="85658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29653F5A-AC42-4A11-8633-C98724FFBD36}" type="TxLink">
                <a:rPr lang="en-US" sz="1400" b="1" i="0" u="none" strike="noStrike">
                  <a:solidFill>
                    <a:srgbClr val="000000"/>
                  </a:solidFill>
                  <a:latin typeface="+mn-lt"/>
                  <a:cs typeface="Arial"/>
                </a:rPr>
                <a:pPr algn="ctr"/>
                <a:t> 2,88995 </a:t>
              </a:fld>
              <a:endParaRPr lang="pt-BR" sz="1800" b="1">
                <a:latin typeface="+mn-lt"/>
              </a:endParaRPr>
            </a:p>
          </xdr:txBody>
        </xdr:sp>
        <xdr:sp macro="" textlink="$V$3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E10FB0B4-7BB4-7D85-A1E2-6DECA6AA8C9F}"/>
                </a:ext>
              </a:extLst>
            </xdr:cNvPr>
            <xdr:cNvSpPr txBox="1"/>
          </xdr:nvSpPr>
          <xdr:spPr>
            <a:xfrm>
              <a:off x="2258010" y="590550"/>
              <a:ext cx="1009650" cy="333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marL="0" indent="0" algn="ctr"/>
              <a:fld id="{07399298-F4B0-4EFE-8F46-C656F042E786}" type="TxLink">
                <a:rPr lang="en-US" sz="1600" b="1" i="0" u="none" strike="noStrike">
                  <a:solidFill>
                    <a:srgbClr val="000000"/>
                  </a:solidFill>
                  <a:latin typeface="+mn-lt"/>
                  <a:ea typeface="+mn-ea"/>
                  <a:cs typeface="Arial"/>
                </a:rPr>
                <a:pPr marL="0" indent="0" algn="ctr"/>
                <a:t> 500.000,00 </a:t>
              </a:fld>
              <a:endParaRPr lang="pt-BR" sz="5400" b="1" i="0" u="none" strike="noStrike">
                <a:solidFill>
                  <a:srgbClr val="000000"/>
                </a:solidFill>
                <a:latin typeface="+mn-lt"/>
                <a:ea typeface="+mn-ea"/>
                <a:cs typeface="Arial"/>
              </a:endParaRPr>
            </a:p>
          </xdr:txBody>
        </xdr:sp>
      </xdr:grpSp>
      <xdr:pic>
        <xdr:nvPicPr>
          <xdr:cNvPr id="25" name="Imagem 24">
            <a:extLst>
              <a:ext uri="{FF2B5EF4-FFF2-40B4-BE49-F238E27FC236}">
                <a16:creationId xmlns:a16="http://schemas.microsoft.com/office/drawing/2014/main" id="{EA0C2B73-CC9C-A563-32AC-26D0662430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33375"/>
            <a:ext cx="1962150" cy="1962150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231913</xdr:colOff>
      <xdr:row>5</xdr:row>
      <xdr:rowOff>157372</xdr:rowOff>
    </xdr:from>
    <xdr:to>
      <xdr:col>4</xdr:col>
      <xdr:colOff>668627</xdr:colOff>
      <xdr:row>7</xdr:row>
      <xdr:rowOff>90231</xdr:rowOff>
    </xdr:to>
    <xdr:sp macro="" textlink="$V$5">
      <xdr:nvSpPr>
        <xdr:cNvPr id="2" name="CaixaDeTexto 1">
          <a:extLst>
            <a:ext uri="{FF2B5EF4-FFF2-40B4-BE49-F238E27FC236}">
              <a16:creationId xmlns:a16="http://schemas.microsoft.com/office/drawing/2014/main" id="{BA4B96B2-54C8-41C5-B890-6464C24155F9}"/>
            </a:ext>
          </a:extLst>
        </xdr:cNvPr>
        <xdr:cNvSpPr txBox="1"/>
      </xdr:nvSpPr>
      <xdr:spPr>
        <a:xfrm>
          <a:off x="2840935" y="1109872"/>
          <a:ext cx="925388" cy="3138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 algn="ctr"/>
          <a:fld id="{AEA405DB-EF46-48F0-B96B-ABE667B98B5F}" type="TxLink">
            <a:rPr lang="en-US" sz="1600" b="1" i="0" u="none" strike="noStrike">
              <a:solidFill>
                <a:srgbClr val="000000"/>
              </a:solidFill>
              <a:latin typeface="+mn-lt"/>
              <a:ea typeface="+mn-ea"/>
              <a:cs typeface="Arial"/>
            </a:rPr>
            <a:pPr marL="0" indent="0" algn="ctr"/>
            <a:t> 75.000,00 </a:t>
          </a:fld>
          <a:endParaRPr lang="pt-BR" sz="3200" b="1" i="0" u="none" strike="noStrike">
            <a:solidFill>
              <a:srgbClr val="000000"/>
            </a:solidFill>
            <a:latin typeface="+mn-lt"/>
            <a:ea typeface="+mn-ea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cl\Dados%20de%20aplicativos\Hummingbird\DM\Temp\DOCUME~1\mrs\CONFIG~1\Temp\ZGTemp\Equip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.xlsx" TargetMode="External"/><Relationship Id="rId1" Type="http://schemas.openxmlformats.org/officeDocument/2006/relationships/externalLinkPath" Target="Or&#231;a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s\Or&#231;amento%202022%20-%2001%20-%20JANEI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ERENTE%20DE%20PROJETOS/Dashboards/Painel%20Gerencial/Or&#231;amento%202022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SUCUMB&#202;NCIA.xlsx" TargetMode="External"/><Relationship Id="rId1" Type="http://schemas.openxmlformats.org/officeDocument/2006/relationships/externalLinkPath" Target="SUCUMB&#202;NCI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Or&#231;amento%202024%20Final.xlsx" TargetMode="External"/><Relationship Id="rId1" Type="http://schemas.openxmlformats.org/officeDocument/2006/relationships/externalLinkPath" Target="Or&#231;amento%202024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JETOS\Dashboards\Painel%20Gerencial\Or&#231;amento%202021%20Final.xlsx" TargetMode="External"/><Relationship Id="rId1" Type="http://schemas.openxmlformats.org/officeDocument/2006/relationships/externalLinkPath" Target="file:///S:\PROJETOS\Dashboards\Painel%20Gerencial\Or&#231;amento%202021%20Final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LUXO%20DE%20CAIXA.xlsx" TargetMode="External"/><Relationship Id="rId1" Type="http://schemas.openxmlformats.org/officeDocument/2006/relationships/externalLinkPath" Target="FLUXO%20DE%20CAIXA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FATURAMENTO.xlsx" TargetMode="External"/><Relationship Id="rId1" Type="http://schemas.openxmlformats.org/officeDocument/2006/relationships/externalLinkPath" Target="FATURAMENTO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Brsrvfs\arquivos\PROJETOS\Dashboards\Painel%20Gerencial\RAIO%20X%20GR&#193;FICOS.xlsx" TargetMode="External"/><Relationship Id="rId1" Type="http://schemas.openxmlformats.org/officeDocument/2006/relationships/externalLinkPath" Target="RAIO%20X%20GR&#193;F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2">
          <cell r="BY2">
            <v>1</v>
          </cell>
        </row>
        <row r="3">
          <cell r="E3" t="str">
            <v>NÍVEL EM JAN</v>
          </cell>
          <cell r="BY3" t="str">
            <v>JAN</v>
          </cell>
        </row>
        <row r="4">
          <cell r="E4" t="str">
            <v>Sócio</v>
          </cell>
          <cell r="BY4">
            <v>46800</v>
          </cell>
        </row>
        <row r="5">
          <cell r="E5" t="str">
            <v>B4</v>
          </cell>
          <cell r="BY5">
            <v>42900</v>
          </cell>
        </row>
        <row r="6">
          <cell r="E6" t="str">
            <v>B3</v>
          </cell>
          <cell r="BY6">
            <v>40040</v>
          </cell>
        </row>
        <row r="7">
          <cell r="E7" t="str">
            <v>B3</v>
          </cell>
          <cell r="BY7">
            <v>40040</v>
          </cell>
        </row>
        <row r="8">
          <cell r="E8" t="str">
            <v>Estagiário</v>
          </cell>
          <cell r="BY8">
            <v>6500</v>
          </cell>
        </row>
        <row r="9">
          <cell r="E9" t="str">
            <v>B0</v>
          </cell>
          <cell r="BY9">
            <v>21450</v>
          </cell>
        </row>
        <row r="10">
          <cell r="BY10">
            <v>197730</v>
          </cell>
        </row>
        <row r="12">
          <cell r="BY12">
            <v>-1285.2449999999999</v>
          </cell>
        </row>
        <row r="13">
          <cell r="BY13">
            <v>-5931.9</v>
          </cell>
        </row>
        <row r="14">
          <cell r="BY14">
            <v>-15818.4</v>
          </cell>
        </row>
        <row r="15">
          <cell r="BY15">
            <v>-5694.6239999999998</v>
          </cell>
        </row>
        <row r="16">
          <cell r="BY16">
            <v>-28730.168999999998</v>
          </cell>
        </row>
        <row r="18">
          <cell r="BY18">
            <v>168999.83100000001</v>
          </cell>
        </row>
        <row r="20">
          <cell r="E20" t="str">
            <v>Sócio</v>
          </cell>
          <cell r="BY20">
            <v>-20000</v>
          </cell>
        </row>
        <row r="21">
          <cell r="E21" t="str">
            <v>B4</v>
          </cell>
          <cell r="BY21">
            <v>-13749.879000000001</v>
          </cell>
        </row>
        <row r="22">
          <cell r="E22" t="str">
            <v>B3</v>
          </cell>
          <cell r="BY22">
            <v>-11977.966</v>
          </cell>
        </row>
        <row r="23">
          <cell r="E23" t="str">
            <v>B3</v>
          </cell>
          <cell r="BY23">
            <v>-11977.966</v>
          </cell>
        </row>
        <row r="24">
          <cell r="E24" t="str">
            <v>Estagiário</v>
          </cell>
          <cell r="BY24">
            <v>-1344.33</v>
          </cell>
        </row>
        <row r="25">
          <cell r="E25" t="str">
            <v>B0</v>
          </cell>
          <cell r="BY25">
            <v>-3897.62</v>
          </cell>
        </row>
        <row r="26">
          <cell r="BY26">
            <v>-61603.431000000004</v>
          </cell>
        </row>
        <row r="52">
          <cell r="BY52">
            <v>0</v>
          </cell>
        </row>
        <row r="54">
          <cell r="BY54">
            <v>107396.4</v>
          </cell>
        </row>
        <row r="56">
          <cell r="E56" t="str">
            <v>Sócio</v>
          </cell>
          <cell r="BY56">
            <v>46800</v>
          </cell>
        </row>
        <row r="57">
          <cell r="E57" t="str">
            <v>B2</v>
          </cell>
          <cell r="BY57">
            <v>34320</v>
          </cell>
        </row>
        <row r="58">
          <cell r="E58" t="str">
            <v>B2</v>
          </cell>
          <cell r="BY58">
            <v>34320</v>
          </cell>
        </row>
        <row r="59">
          <cell r="E59" t="str">
            <v>B0</v>
          </cell>
          <cell r="BY59">
            <v>21450</v>
          </cell>
        </row>
        <row r="60">
          <cell r="E60" t="str">
            <v>B0</v>
          </cell>
          <cell r="BY60">
            <v>21450</v>
          </cell>
        </row>
        <row r="61">
          <cell r="E61" t="str">
            <v>Estagiário</v>
          </cell>
          <cell r="BY61">
            <v>6500</v>
          </cell>
        </row>
        <row r="62">
          <cell r="E62" t="str">
            <v>Estagiário</v>
          </cell>
          <cell r="BY62">
            <v>6500</v>
          </cell>
        </row>
        <row r="63">
          <cell r="BY63">
            <v>171340</v>
          </cell>
        </row>
        <row r="65">
          <cell r="BY65">
            <v>-1113.71</v>
          </cell>
        </row>
        <row r="66">
          <cell r="BY66">
            <v>-5140.2</v>
          </cell>
        </row>
        <row r="67">
          <cell r="BY67">
            <v>-13707.2</v>
          </cell>
        </row>
        <row r="68">
          <cell r="BY68">
            <v>-4934.5919999999996</v>
          </cell>
        </row>
        <row r="69">
          <cell r="BY69">
            <v>-24895.702000000001</v>
          </cell>
        </row>
        <row r="71">
          <cell r="BY71">
            <v>146444.29800000001</v>
          </cell>
        </row>
        <row r="73">
          <cell r="BY73">
            <v>-20000</v>
          </cell>
        </row>
        <row r="74">
          <cell r="BY74">
            <v>-9533.4096000000009</v>
          </cell>
        </row>
        <row r="75">
          <cell r="BY75">
            <v>-9533.4096000000009</v>
          </cell>
        </row>
        <row r="76">
          <cell r="BY76">
            <v>-3897.62</v>
          </cell>
        </row>
        <row r="77">
          <cell r="BY77">
            <v>-3897.62</v>
          </cell>
        </row>
        <row r="78">
          <cell r="BY78">
            <v>-1344.33</v>
          </cell>
        </row>
        <row r="79">
          <cell r="BY79">
            <v>-1344.33</v>
          </cell>
        </row>
        <row r="80">
          <cell r="BY80">
            <v>-49550.719200000007</v>
          </cell>
        </row>
        <row r="106">
          <cell r="BY106">
            <v>0</v>
          </cell>
        </row>
        <row r="108">
          <cell r="BY108">
            <v>96893.578800000003</v>
          </cell>
        </row>
        <row r="110">
          <cell r="E110" t="str">
            <v>Sócio</v>
          </cell>
          <cell r="BY110">
            <v>46800</v>
          </cell>
        </row>
        <row r="111">
          <cell r="E111" t="str">
            <v>B3</v>
          </cell>
          <cell r="BY111">
            <v>40040</v>
          </cell>
        </row>
        <row r="112">
          <cell r="E112" t="str">
            <v>B0</v>
          </cell>
          <cell r="BY112">
            <v>21450</v>
          </cell>
        </row>
        <row r="113">
          <cell r="E113" t="str">
            <v>B0</v>
          </cell>
          <cell r="BY113">
            <v>21450</v>
          </cell>
        </row>
        <row r="114">
          <cell r="E114" t="str">
            <v>Estagiário</v>
          </cell>
          <cell r="BY114">
            <v>6500</v>
          </cell>
        </row>
        <row r="115">
          <cell r="BY115">
            <v>136240</v>
          </cell>
        </row>
        <row r="117">
          <cell r="BY117">
            <v>-885.56</v>
          </cell>
        </row>
        <row r="118">
          <cell r="BY118">
            <v>-4087.2</v>
          </cell>
        </row>
        <row r="119">
          <cell r="BY119">
            <v>-10899.2</v>
          </cell>
        </row>
        <row r="120">
          <cell r="BY120">
            <v>-3923.712</v>
          </cell>
        </row>
        <row r="121">
          <cell r="BY121">
            <v>-19795.672000000002</v>
          </cell>
        </row>
        <row r="123">
          <cell r="BY123">
            <v>116444.32799999999</v>
          </cell>
        </row>
        <row r="125">
          <cell r="BY125">
            <v>-20000</v>
          </cell>
        </row>
        <row r="126">
          <cell r="BY126">
            <v>-11977.966</v>
          </cell>
        </row>
        <row r="127">
          <cell r="BY127">
            <v>-3897.62</v>
          </cell>
        </row>
        <row r="128">
          <cell r="BY128">
            <v>-3897.62</v>
          </cell>
        </row>
        <row r="129">
          <cell r="BY129">
            <v>-1344.33</v>
          </cell>
        </row>
        <row r="130">
          <cell r="BY130">
            <v>-41117.536000000007</v>
          </cell>
        </row>
        <row r="156">
          <cell r="BY156">
            <v>0</v>
          </cell>
        </row>
        <row r="158">
          <cell r="BY158">
            <v>75326.791999999987</v>
          </cell>
        </row>
        <row r="160">
          <cell r="E160" t="str">
            <v>Sócio Diretor</v>
          </cell>
          <cell r="BY160">
            <v>22360</v>
          </cell>
        </row>
        <row r="161">
          <cell r="E161" t="str">
            <v>B3</v>
          </cell>
          <cell r="BY161">
            <v>40040</v>
          </cell>
        </row>
        <row r="162">
          <cell r="E162" t="str">
            <v>B0</v>
          </cell>
          <cell r="BY162">
            <v>21450</v>
          </cell>
        </row>
        <row r="163">
          <cell r="E163" t="str">
            <v>B0</v>
          </cell>
          <cell r="BY163">
            <v>21450</v>
          </cell>
        </row>
        <row r="164">
          <cell r="E164" t="str">
            <v>B0</v>
          </cell>
          <cell r="BY164">
            <v>21450</v>
          </cell>
        </row>
        <row r="165">
          <cell r="E165" t="str">
            <v>Estagiário</v>
          </cell>
          <cell r="BY165">
            <v>6500</v>
          </cell>
        </row>
        <row r="166">
          <cell r="BY166">
            <v>133250</v>
          </cell>
        </row>
        <row r="168">
          <cell r="BY168">
            <v>-866.125</v>
          </cell>
        </row>
        <row r="169">
          <cell r="BY169">
            <v>-3997.5</v>
          </cell>
        </row>
        <row r="170">
          <cell r="BY170">
            <v>-10660</v>
          </cell>
        </row>
        <row r="171">
          <cell r="BY171">
            <v>-3837.6</v>
          </cell>
        </row>
        <row r="172">
          <cell r="BY172">
            <v>-19361.224999999999</v>
          </cell>
        </row>
        <row r="174">
          <cell r="BY174">
            <v>113888.77499999999</v>
          </cell>
        </row>
        <row r="176">
          <cell r="BY176">
            <v>-9555.5460000000003</v>
          </cell>
        </row>
        <row r="177">
          <cell r="BY177">
            <v>-11977.966</v>
          </cell>
        </row>
        <row r="178">
          <cell r="BY178">
            <v>-3897.62</v>
          </cell>
        </row>
        <row r="179">
          <cell r="BY179">
            <v>-3897.62</v>
          </cell>
        </row>
        <row r="180">
          <cell r="BY180">
            <v>-3897.62</v>
          </cell>
        </row>
        <row r="181">
          <cell r="BY181">
            <v>-1344.33</v>
          </cell>
        </row>
        <row r="182">
          <cell r="BY182">
            <v>-34570.702000000005</v>
          </cell>
        </row>
        <row r="208">
          <cell r="BY208">
            <v>0</v>
          </cell>
        </row>
        <row r="210">
          <cell r="BY210">
            <v>79318.072999999989</v>
          </cell>
        </row>
        <row r="212">
          <cell r="E212" t="str">
            <v>Sócio</v>
          </cell>
          <cell r="BY212">
            <v>46800</v>
          </cell>
        </row>
        <row r="213">
          <cell r="BY213">
            <v>46800</v>
          </cell>
        </row>
        <row r="215">
          <cell r="BY215">
            <v>-304.2</v>
          </cell>
        </row>
        <row r="216">
          <cell r="BY216">
            <v>-1404</v>
          </cell>
        </row>
        <row r="217">
          <cell r="BY217">
            <v>-3744</v>
          </cell>
        </row>
        <row r="218">
          <cell r="BY218">
            <v>-1347.84</v>
          </cell>
        </row>
        <row r="219">
          <cell r="BY219">
            <v>-6800.04</v>
          </cell>
        </row>
        <row r="221">
          <cell r="BY221">
            <v>39999.96</v>
          </cell>
        </row>
        <row r="223">
          <cell r="BY223">
            <v>-20000</v>
          </cell>
        </row>
        <row r="224">
          <cell r="BY224">
            <v>-20000</v>
          </cell>
        </row>
        <row r="250">
          <cell r="BY250">
            <v>0</v>
          </cell>
        </row>
        <row r="252">
          <cell r="BY252">
            <v>19999.96</v>
          </cell>
        </row>
        <row r="254">
          <cell r="E254" t="str">
            <v>B4</v>
          </cell>
          <cell r="BY254">
            <v>42900</v>
          </cell>
        </row>
        <row r="255">
          <cell r="E255" t="str">
            <v>Estagiário</v>
          </cell>
          <cell r="BY255">
            <v>6500</v>
          </cell>
        </row>
        <row r="256">
          <cell r="BY256">
            <v>49400</v>
          </cell>
        </row>
        <row r="258">
          <cell r="BY258">
            <v>-321.10000000000002</v>
          </cell>
        </row>
        <row r="259">
          <cell r="BY259">
            <v>-1482</v>
          </cell>
        </row>
        <row r="260">
          <cell r="BY260">
            <v>-3952</v>
          </cell>
        </row>
        <row r="261">
          <cell r="BY261">
            <v>-1422.72</v>
          </cell>
        </row>
        <row r="262">
          <cell r="BY262">
            <v>-7177.82</v>
          </cell>
        </row>
        <row r="264">
          <cell r="BY264">
            <v>42222.18</v>
          </cell>
        </row>
        <row r="266">
          <cell r="BY266">
            <v>-13749.879000000001</v>
          </cell>
        </row>
        <row r="267">
          <cell r="BY267">
            <v>-1344.33</v>
          </cell>
        </row>
        <row r="268">
          <cell r="BY268">
            <v>-15094.209000000001</v>
          </cell>
        </row>
        <row r="294">
          <cell r="BY294">
            <v>0</v>
          </cell>
        </row>
        <row r="296">
          <cell r="BY296">
            <v>27127.970999999998</v>
          </cell>
        </row>
        <row r="298">
          <cell r="E298" t="str">
            <v>B4</v>
          </cell>
          <cell r="BY298">
            <v>42900</v>
          </cell>
        </row>
        <row r="299">
          <cell r="BY299">
            <v>42900</v>
          </cell>
        </row>
        <row r="301">
          <cell r="BY301">
            <v>-278.85000000000002</v>
          </cell>
        </row>
        <row r="302">
          <cell r="BY302">
            <v>-1287</v>
          </cell>
        </row>
        <row r="303">
          <cell r="BY303">
            <v>-3432</v>
          </cell>
        </row>
        <row r="304">
          <cell r="BY304">
            <v>-1235.52</v>
          </cell>
        </row>
        <row r="305">
          <cell r="BY305">
            <v>-6233.37</v>
          </cell>
        </row>
        <row r="307">
          <cell r="BY307">
            <v>36666.629999999997</v>
          </cell>
        </row>
        <row r="309">
          <cell r="E309" t="str">
            <v>B3</v>
          </cell>
          <cell r="BY309">
            <v>-13749.879000000001</v>
          </cell>
        </row>
        <row r="310">
          <cell r="BY310">
            <v>-13749.879000000001</v>
          </cell>
        </row>
        <row r="336">
          <cell r="BY336">
            <v>0</v>
          </cell>
        </row>
        <row r="338">
          <cell r="BY338">
            <v>22916.750999999997</v>
          </cell>
        </row>
        <row r="340">
          <cell r="E340" t="str">
            <v>B5</v>
          </cell>
          <cell r="BY340">
            <v>45760</v>
          </cell>
        </row>
        <row r="341">
          <cell r="E341" t="str">
            <v>B2</v>
          </cell>
          <cell r="BY341">
            <v>34320</v>
          </cell>
        </row>
        <row r="342">
          <cell r="E342" t="str">
            <v>B1</v>
          </cell>
          <cell r="BY342">
            <v>28600</v>
          </cell>
        </row>
        <row r="343">
          <cell r="E343" t="str">
            <v>Estagiário</v>
          </cell>
          <cell r="BY343">
            <v>6500</v>
          </cell>
        </row>
        <row r="344">
          <cell r="E344" t="str">
            <v>B0</v>
          </cell>
          <cell r="BY344">
            <v>21450</v>
          </cell>
        </row>
        <row r="345">
          <cell r="E345" t="str">
            <v>Estagiário</v>
          </cell>
          <cell r="BY345">
            <v>6500</v>
          </cell>
        </row>
        <row r="346">
          <cell r="BY346">
            <v>143130</v>
          </cell>
        </row>
        <row r="348">
          <cell r="BY348">
            <v>-930.34500000000003</v>
          </cell>
        </row>
        <row r="349">
          <cell r="BY349">
            <v>-4293.8999999999996</v>
          </cell>
        </row>
        <row r="350">
          <cell r="BY350">
            <v>-11450.4</v>
          </cell>
        </row>
        <row r="351">
          <cell r="BY351">
            <v>-4122.1440000000002</v>
          </cell>
        </row>
        <row r="352">
          <cell r="BY352">
            <v>-20796.789000000001</v>
          </cell>
        </row>
        <row r="354">
          <cell r="BY354">
            <v>122333.211</v>
          </cell>
        </row>
        <row r="356">
          <cell r="BY356">
            <v>-15644.428800000002</v>
          </cell>
        </row>
        <row r="357">
          <cell r="BY357">
            <v>-9533.4096000000009</v>
          </cell>
        </row>
        <row r="358">
          <cell r="BY358">
            <v>-7333.3260000000009</v>
          </cell>
        </row>
        <row r="359">
          <cell r="BY359">
            <v>-1344.33</v>
          </cell>
        </row>
        <row r="360">
          <cell r="BY360">
            <v>-3897.62</v>
          </cell>
        </row>
        <row r="361">
          <cell r="BY361">
            <v>-1344.33</v>
          </cell>
        </row>
        <row r="362">
          <cell r="BY362">
            <v>-39097.444400000008</v>
          </cell>
        </row>
        <row r="364">
          <cell r="E364" t="str">
            <v>B5</v>
          </cell>
        </row>
        <row r="365">
          <cell r="E365" t="str">
            <v>B5</v>
          </cell>
        </row>
        <row r="366">
          <cell r="E366" t="str">
            <v>B5</v>
          </cell>
        </row>
        <row r="367">
          <cell r="E367" t="str">
            <v>B5</v>
          </cell>
        </row>
        <row r="368">
          <cell r="E368" t="str">
            <v>B5</v>
          </cell>
        </row>
        <row r="369">
          <cell r="E369" t="str">
            <v>B5</v>
          </cell>
        </row>
        <row r="370">
          <cell r="E370" t="str">
            <v>B5</v>
          </cell>
        </row>
        <row r="371">
          <cell r="E371" t="str">
            <v>B5</v>
          </cell>
        </row>
        <row r="372">
          <cell r="E372" t="str">
            <v>B5</v>
          </cell>
        </row>
        <row r="373">
          <cell r="E373" t="str">
            <v>B5</v>
          </cell>
        </row>
        <row r="374">
          <cell r="E374" t="str">
            <v>B5</v>
          </cell>
        </row>
        <row r="375">
          <cell r="E375" t="str">
            <v>B5</v>
          </cell>
        </row>
        <row r="376">
          <cell r="E376" t="str">
            <v>B5</v>
          </cell>
        </row>
        <row r="377">
          <cell r="E377" t="str">
            <v>B5</v>
          </cell>
        </row>
        <row r="378">
          <cell r="E378" t="str">
            <v>B5</v>
          </cell>
        </row>
        <row r="379">
          <cell r="E379" t="str">
            <v>B5</v>
          </cell>
        </row>
        <row r="380">
          <cell r="E380" t="str">
            <v>B5</v>
          </cell>
        </row>
        <row r="381">
          <cell r="E381" t="str">
            <v>B5</v>
          </cell>
        </row>
        <row r="382">
          <cell r="E382" t="str">
            <v>B5</v>
          </cell>
        </row>
        <row r="383">
          <cell r="E383" t="str">
            <v>B5</v>
          </cell>
        </row>
        <row r="384">
          <cell r="E384" t="str">
            <v>B5</v>
          </cell>
        </row>
        <row r="385">
          <cell r="E385" t="str">
            <v>B5</v>
          </cell>
        </row>
        <row r="386">
          <cell r="E386" t="str">
            <v>B5</v>
          </cell>
        </row>
        <row r="387">
          <cell r="E387" t="str">
            <v>B5</v>
          </cell>
        </row>
        <row r="388">
          <cell r="BY388">
            <v>0</v>
          </cell>
        </row>
        <row r="390">
          <cell r="BY390">
            <v>83235.766599999988</v>
          </cell>
        </row>
        <row r="392">
          <cell r="E392" t="str">
            <v>B5</v>
          </cell>
          <cell r="BY392">
            <v>45760</v>
          </cell>
        </row>
        <row r="393">
          <cell r="E393" t="str">
            <v>B1</v>
          </cell>
          <cell r="BY393">
            <v>28600</v>
          </cell>
        </row>
        <row r="394">
          <cell r="E394" t="str">
            <v>Estagiário</v>
          </cell>
          <cell r="BY394">
            <v>6500</v>
          </cell>
        </row>
        <row r="395">
          <cell r="BY395">
            <v>80860</v>
          </cell>
        </row>
        <row r="397">
          <cell r="E397" t="str">
            <v>B5</v>
          </cell>
          <cell r="BY397">
            <v>-525.59</v>
          </cell>
        </row>
        <row r="398">
          <cell r="E398" t="str">
            <v>B5</v>
          </cell>
          <cell r="BY398">
            <v>-2425.8000000000002</v>
          </cell>
        </row>
        <row r="399">
          <cell r="E399" t="str">
            <v>B5</v>
          </cell>
          <cell r="BY399">
            <v>-6468.8</v>
          </cell>
        </row>
        <row r="400">
          <cell r="E400" t="str">
            <v>B5</v>
          </cell>
          <cell r="BY400">
            <v>-2328.768</v>
          </cell>
        </row>
        <row r="401">
          <cell r="BY401">
            <v>-11748.958000000001</v>
          </cell>
        </row>
        <row r="403">
          <cell r="BY403">
            <v>69111.042000000001</v>
          </cell>
        </row>
        <row r="405">
          <cell r="BY405">
            <v>-15644.428800000002</v>
          </cell>
        </row>
        <row r="406">
          <cell r="BY406">
            <v>-7333.3260000000009</v>
          </cell>
        </row>
        <row r="407">
          <cell r="BY407">
            <v>-1344.33</v>
          </cell>
        </row>
        <row r="408">
          <cell r="BY408">
            <v>-24322.084800000004</v>
          </cell>
        </row>
        <row r="410">
          <cell r="E410" t="str">
            <v>B5</v>
          </cell>
        </row>
        <row r="411">
          <cell r="E411" t="str">
            <v>B5</v>
          </cell>
        </row>
        <row r="412">
          <cell r="E412" t="str">
            <v>B5</v>
          </cell>
        </row>
        <row r="413">
          <cell r="E413" t="str">
            <v>B5</v>
          </cell>
        </row>
        <row r="414">
          <cell r="E414" t="str">
            <v>B5</v>
          </cell>
        </row>
        <row r="415">
          <cell r="E415" t="str">
            <v>B5</v>
          </cell>
        </row>
        <row r="416">
          <cell r="E416" t="str">
            <v>B5</v>
          </cell>
        </row>
        <row r="417">
          <cell r="E417" t="str">
            <v>B5</v>
          </cell>
        </row>
        <row r="418">
          <cell r="E418" t="str">
            <v>B5</v>
          </cell>
        </row>
        <row r="419">
          <cell r="E419" t="str">
            <v>B5</v>
          </cell>
        </row>
        <row r="420">
          <cell r="E420" t="str">
            <v>B5</v>
          </cell>
        </row>
        <row r="421">
          <cell r="E421" t="str">
            <v>B5</v>
          </cell>
        </row>
        <row r="422">
          <cell r="E422" t="str">
            <v>B5</v>
          </cell>
        </row>
        <row r="423">
          <cell r="E423" t="str">
            <v>B5</v>
          </cell>
        </row>
        <row r="424">
          <cell r="E424" t="str">
            <v>B5</v>
          </cell>
        </row>
        <row r="425">
          <cell r="E425" t="str">
            <v>B5</v>
          </cell>
        </row>
        <row r="426">
          <cell r="E426" t="str">
            <v>B5</v>
          </cell>
        </row>
        <row r="427">
          <cell r="E427" t="str">
            <v>B5</v>
          </cell>
        </row>
        <row r="428">
          <cell r="E428" t="str">
            <v>B5</v>
          </cell>
        </row>
        <row r="429">
          <cell r="E429" t="str">
            <v>B5</v>
          </cell>
        </row>
        <row r="430">
          <cell r="E430" t="str">
            <v>B5</v>
          </cell>
        </row>
        <row r="431">
          <cell r="E431" t="str">
            <v>B5</v>
          </cell>
        </row>
        <row r="432">
          <cell r="E432" t="str">
            <v>B5</v>
          </cell>
        </row>
        <row r="433">
          <cell r="E433" t="str">
            <v>B5</v>
          </cell>
        </row>
        <row r="434">
          <cell r="BY434">
            <v>0</v>
          </cell>
        </row>
        <row r="436">
          <cell r="BY436">
            <v>44788.957199999997</v>
          </cell>
        </row>
        <row r="438">
          <cell r="E438" t="str">
            <v>Sócio</v>
          </cell>
          <cell r="BY438">
            <v>46800</v>
          </cell>
        </row>
        <row r="439">
          <cell r="E439" t="str">
            <v>B3</v>
          </cell>
          <cell r="BY439">
            <v>40040</v>
          </cell>
        </row>
        <row r="440">
          <cell r="E440" t="str">
            <v>B2</v>
          </cell>
          <cell r="BY440">
            <v>34320</v>
          </cell>
        </row>
        <row r="441">
          <cell r="E441" t="str">
            <v>B0</v>
          </cell>
          <cell r="BY441">
            <v>21450</v>
          </cell>
        </row>
        <row r="442">
          <cell r="E442" t="str">
            <v>B0</v>
          </cell>
          <cell r="BY442">
            <v>21450</v>
          </cell>
        </row>
        <row r="443">
          <cell r="E443" t="str">
            <v>Estagiário</v>
          </cell>
          <cell r="BY443">
            <v>6500</v>
          </cell>
        </row>
        <row r="444">
          <cell r="BY444">
            <v>170560</v>
          </cell>
        </row>
        <row r="446">
          <cell r="E446" t="str">
            <v>B0</v>
          </cell>
          <cell r="BY446">
            <v>-1108.6400000000001</v>
          </cell>
        </row>
        <row r="447">
          <cell r="E447" t="str">
            <v>B0</v>
          </cell>
          <cell r="BY447">
            <v>-5116.8</v>
          </cell>
        </row>
        <row r="448">
          <cell r="E448" t="str">
            <v>B0</v>
          </cell>
          <cell r="BY448">
            <v>-13644.8</v>
          </cell>
        </row>
        <row r="449">
          <cell r="E449" t="str">
            <v>B0</v>
          </cell>
          <cell r="BY449">
            <v>-4912.1279999999997</v>
          </cell>
        </row>
        <row r="450">
          <cell r="BY450">
            <v>-24782.368000000002</v>
          </cell>
        </row>
        <row r="452">
          <cell r="BY452">
            <v>145777.63199999998</v>
          </cell>
        </row>
        <row r="454">
          <cell r="E454" t="str">
            <v>B3</v>
          </cell>
          <cell r="BY454">
            <v>-20000</v>
          </cell>
        </row>
        <row r="455">
          <cell r="E455" t="str">
            <v>B3</v>
          </cell>
          <cell r="BY455">
            <v>-11977.966</v>
          </cell>
        </row>
        <row r="456">
          <cell r="E456" t="str">
            <v>B3</v>
          </cell>
          <cell r="BY456">
            <v>-9533.4096000000009</v>
          </cell>
        </row>
        <row r="457">
          <cell r="E457" t="str">
            <v>B3</v>
          </cell>
          <cell r="BY457">
            <v>-3897.62</v>
          </cell>
        </row>
        <row r="458">
          <cell r="E458" t="str">
            <v>B3</v>
          </cell>
          <cell r="BY458">
            <v>-3897.62</v>
          </cell>
        </row>
        <row r="459">
          <cell r="E459" t="str">
            <v>B3</v>
          </cell>
          <cell r="BY459">
            <v>-1344.33</v>
          </cell>
        </row>
        <row r="460">
          <cell r="BY460">
            <v>-50650.945600000006</v>
          </cell>
        </row>
        <row r="462">
          <cell r="E462" t="str">
            <v>B3</v>
          </cell>
        </row>
        <row r="463">
          <cell r="E463" t="str">
            <v>B3</v>
          </cell>
        </row>
        <row r="464">
          <cell r="E464" t="str">
            <v>B3</v>
          </cell>
        </row>
        <row r="465">
          <cell r="E465" t="str">
            <v>B3</v>
          </cell>
        </row>
        <row r="466">
          <cell r="E466" t="str">
            <v>B3</v>
          </cell>
        </row>
        <row r="467">
          <cell r="E467" t="str">
            <v>B3</v>
          </cell>
        </row>
        <row r="468">
          <cell r="E468" t="str">
            <v>B3</v>
          </cell>
        </row>
        <row r="469">
          <cell r="E469" t="str">
            <v>B3</v>
          </cell>
        </row>
        <row r="470">
          <cell r="E470" t="str">
            <v>B3</v>
          </cell>
        </row>
        <row r="471">
          <cell r="E471" t="str">
            <v>B3</v>
          </cell>
        </row>
        <row r="472">
          <cell r="E472" t="str">
            <v>B3</v>
          </cell>
        </row>
        <row r="473">
          <cell r="E473" t="str">
            <v>B3</v>
          </cell>
        </row>
        <row r="474">
          <cell r="E474" t="str">
            <v>B3</v>
          </cell>
        </row>
        <row r="475">
          <cell r="E475" t="str">
            <v>B3</v>
          </cell>
        </row>
        <row r="476">
          <cell r="E476" t="str">
            <v>B3</v>
          </cell>
        </row>
        <row r="477">
          <cell r="E477" t="str">
            <v>B3</v>
          </cell>
        </row>
        <row r="478">
          <cell r="E478" t="str">
            <v>B3</v>
          </cell>
        </row>
        <row r="479">
          <cell r="E479" t="str">
            <v>B3</v>
          </cell>
        </row>
        <row r="480">
          <cell r="E480" t="str">
            <v>B3</v>
          </cell>
        </row>
        <row r="481">
          <cell r="E481" t="str">
            <v>B3</v>
          </cell>
        </row>
        <row r="482">
          <cell r="E482" t="str">
            <v>B3</v>
          </cell>
        </row>
        <row r="483">
          <cell r="E483" t="str">
            <v>B3</v>
          </cell>
        </row>
        <row r="484">
          <cell r="E484" t="str">
            <v>B3</v>
          </cell>
        </row>
        <row r="485">
          <cell r="E485" t="str">
            <v>B3</v>
          </cell>
        </row>
        <row r="486">
          <cell r="BY486">
            <v>0</v>
          </cell>
        </row>
        <row r="488">
          <cell r="BY488">
            <v>95126.686399999977</v>
          </cell>
        </row>
        <row r="490">
          <cell r="E490" t="str">
            <v>SÓCIO SR</v>
          </cell>
          <cell r="BY490">
            <v>72800</v>
          </cell>
        </row>
        <row r="491">
          <cell r="E491" t="str">
            <v>B4</v>
          </cell>
          <cell r="BY491">
            <v>42900</v>
          </cell>
        </row>
        <row r="492">
          <cell r="E492" t="str">
            <v>B0</v>
          </cell>
          <cell r="BY492">
            <v>21450</v>
          </cell>
        </row>
        <row r="493">
          <cell r="E493" t="str">
            <v>B1</v>
          </cell>
          <cell r="BY493">
            <v>28600</v>
          </cell>
        </row>
        <row r="494">
          <cell r="E494" t="str">
            <v>Estagiário</v>
          </cell>
          <cell r="BY494">
            <v>6500</v>
          </cell>
        </row>
        <row r="495">
          <cell r="BY495">
            <v>172250</v>
          </cell>
        </row>
        <row r="497">
          <cell r="E497" t="str">
            <v>Sócio</v>
          </cell>
          <cell r="BY497">
            <v>-1119.625</v>
          </cell>
        </row>
        <row r="498">
          <cell r="E498" t="str">
            <v>Sócio</v>
          </cell>
          <cell r="BY498">
            <v>-5167.5</v>
          </cell>
        </row>
        <row r="499">
          <cell r="E499" t="str">
            <v>Sócio</v>
          </cell>
          <cell r="BY499">
            <v>-13780</v>
          </cell>
        </row>
        <row r="500">
          <cell r="E500" t="str">
            <v>Sócio</v>
          </cell>
          <cell r="BY500">
            <v>-4960.8</v>
          </cell>
        </row>
        <row r="501">
          <cell r="BY501">
            <v>-25027.924999999999</v>
          </cell>
        </row>
        <row r="503">
          <cell r="BY503">
            <v>147222.07500000001</v>
          </cell>
        </row>
        <row r="505">
          <cell r="E505" t="str">
            <v>Sócio</v>
          </cell>
          <cell r="BY505">
            <v>-31111.08</v>
          </cell>
        </row>
        <row r="506">
          <cell r="E506" t="str">
            <v>Sócio</v>
          </cell>
          <cell r="BY506">
            <v>-13749.879000000001</v>
          </cell>
        </row>
        <row r="507">
          <cell r="E507" t="str">
            <v>Sócio</v>
          </cell>
          <cell r="BY507">
            <v>-3897.62</v>
          </cell>
        </row>
        <row r="508">
          <cell r="E508" t="str">
            <v>Sócio</v>
          </cell>
          <cell r="BY508">
            <v>-7333.3260000000009</v>
          </cell>
        </row>
        <row r="509">
          <cell r="E509" t="str">
            <v>Sócio</v>
          </cell>
          <cell r="BY509">
            <v>-1344.33</v>
          </cell>
        </row>
        <row r="510">
          <cell r="BY510">
            <v>-57436.235000000008</v>
          </cell>
        </row>
        <row r="512">
          <cell r="E512" t="str">
            <v>Sócio</v>
          </cell>
        </row>
        <row r="513">
          <cell r="E513" t="str">
            <v>Sócio</v>
          </cell>
        </row>
        <row r="514">
          <cell r="E514" t="str">
            <v>Sócio</v>
          </cell>
        </row>
        <row r="515">
          <cell r="E515" t="str">
            <v>Sócio</v>
          </cell>
        </row>
        <row r="516">
          <cell r="E516" t="str">
            <v>Sócio</v>
          </cell>
        </row>
        <row r="517">
          <cell r="E517" t="str">
            <v>Sócio</v>
          </cell>
        </row>
        <row r="518">
          <cell r="E518" t="str">
            <v>Sócio</v>
          </cell>
        </row>
        <row r="519">
          <cell r="E519" t="str">
            <v>Sócio</v>
          </cell>
        </row>
        <row r="520">
          <cell r="E520" t="str">
            <v>Sócio</v>
          </cell>
        </row>
        <row r="521">
          <cell r="E521" t="str">
            <v>Sócio</v>
          </cell>
        </row>
        <row r="522">
          <cell r="E522" t="str">
            <v>Sócio</v>
          </cell>
        </row>
        <row r="523">
          <cell r="E523" t="str">
            <v>Sócio</v>
          </cell>
        </row>
        <row r="524">
          <cell r="E524" t="str">
            <v>Sócio</v>
          </cell>
        </row>
        <row r="525">
          <cell r="E525" t="str">
            <v>Sócio</v>
          </cell>
        </row>
        <row r="526">
          <cell r="E526" t="str">
            <v>Sócio</v>
          </cell>
        </row>
        <row r="527">
          <cell r="E527" t="str">
            <v>Sócio</v>
          </cell>
        </row>
        <row r="528">
          <cell r="E528" t="str">
            <v>Sócio</v>
          </cell>
        </row>
        <row r="529">
          <cell r="E529" t="str">
            <v>Sócio</v>
          </cell>
        </row>
        <row r="530">
          <cell r="E530" t="str">
            <v>Sócio</v>
          </cell>
        </row>
        <row r="531">
          <cell r="E531" t="str">
            <v>Sócio</v>
          </cell>
        </row>
        <row r="532">
          <cell r="E532" t="str">
            <v>Sócio</v>
          </cell>
        </row>
        <row r="533">
          <cell r="E533" t="str">
            <v>Sócio</v>
          </cell>
        </row>
        <row r="534">
          <cell r="E534" t="str">
            <v>Sócio</v>
          </cell>
        </row>
        <row r="535">
          <cell r="E535" t="str">
            <v>Sócio</v>
          </cell>
        </row>
        <row r="536">
          <cell r="BY536">
            <v>0</v>
          </cell>
        </row>
        <row r="538">
          <cell r="BY538">
            <v>-57436.235000000008</v>
          </cell>
        </row>
        <row r="540">
          <cell r="E540" t="str">
            <v>B4</v>
          </cell>
          <cell r="BY540">
            <v>42900</v>
          </cell>
        </row>
        <row r="541">
          <cell r="E541" t="str">
            <v>B3</v>
          </cell>
          <cell r="BY541">
            <v>40040</v>
          </cell>
        </row>
        <row r="542">
          <cell r="E542" t="str">
            <v>B0</v>
          </cell>
          <cell r="BY542">
            <v>21450</v>
          </cell>
        </row>
        <row r="543">
          <cell r="E543" t="str">
            <v>Estagiário</v>
          </cell>
          <cell r="BY543">
            <v>6500</v>
          </cell>
        </row>
        <row r="544">
          <cell r="E544" t="str">
            <v>B0</v>
          </cell>
          <cell r="BY544">
            <v>21450</v>
          </cell>
        </row>
        <row r="545">
          <cell r="BY545">
            <v>132340</v>
          </cell>
        </row>
        <row r="547">
          <cell r="E547" t="str">
            <v>Estagiário</v>
          </cell>
          <cell r="BY547">
            <v>-860.21</v>
          </cell>
        </row>
        <row r="548">
          <cell r="E548" t="str">
            <v>Estagiário</v>
          </cell>
          <cell r="BY548">
            <v>-3970.2</v>
          </cell>
        </row>
        <row r="549">
          <cell r="E549" t="str">
            <v>Estagiário</v>
          </cell>
          <cell r="BY549">
            <v>-10587.2</v>
          </cell>
        </row>
        <row r="550">
          <cell r="E550" t="str">
            <v>Estagiário</v>
          </cell>
          <cell r="BY550">
            <v>-3811.3919999999998</v>
          </cell>
        </row>
        <row r="551">
          <cell r="BY551">
            <v>-19229.002</v>
          </cell>
        </row>
        <row r="553">
          <cell r="BY553">
            <v>113110.99799999999</v>
          </cell>
        </row>
        <row r="555">
          <cell r="E555" t="str">
            <v>Estagiário</v>
          </cell>
          <cell r="BY555">
            <v>-13749.879000000001</v>
          </cell>
        </row>
        <row r="556">
          <cell r="E556" t="str">
            <v>Estagiário</v>
          </cell>
          <cell r="BY556">
            <v>-11977.966</v>
          </cell>
        </row>
        <row r="557">
          <cell r="E557" t="str">
            <v>Estagiário</v>
          </cell>
          <cell r="BY557">
            <v>-3897.62</v>
          </cell>
        </row>
        <row r="558">
          <cell r="E558" t="str">
            <v>Estagiário</v>
          </cell>
          <cell r="BY558">
            <v>-3897.62</v>
          </cell>
        </row>
        <row r="559">
          <cell r="BY559">
            <v>-33523.084999999999</v>
          </cell>
        </row>
        <row r="561">
          <cell r="E561" t="str">
            <v>Sócio</v>
          </cell>
        </row>
        <row r="562">
          <cell r="E562" t="str">
            <v>Sócio</v>
          </cell>
        </row>
        <row r="563">
          <cell r="E563" t="str">
            <v>Sócio</v>
          </cell>
        </row>
        <row r="564">
          <cell r="E564" t="str">
            <v>Sócio</v>
          </cell>
        </row>
        <row r="565">
          <cell r="E565" t="str">
            <v>Sócio</v>
          </cell>
        </row>
        <row r="566">
          <cell r="E566" t="str">
            <v>Sócio</v>
          </cell>
        </row>
        <row r="567">
          <cell r="E567" t="str">
            <v>Sócio</v>
          </cell>
        </row>
        <row r="568">
          <cell r="E568" t="str">
            <v>Sócio</v>
          </cell>
        </row>
        <row r="569">
          <cell r="E569" t="str">
            <v>Sócio</v>
          </cell>
        </row>
        <row r="570">
          <cell r="E570" t="str">
            <v>Sócio</v>
          </cell>
        </row>
        <row r="571">
          <cell r="E571" t="str">
            <v>Sócio</v>
          </cell>
        </row>
        <row r="572">
          <cell r="E572" t="str">
            <v>Sócio</v>
          </cell>
        </row>
        <row r="573">
          <cell r="E573" t="str">
            <v>Sócio</v>
          </cell>
        </row>
        <row r="574">
          <cell r="E574" t="str">
            <v>Sócio</v>
          </cell>
        </row>
        <row r="575">
          <cell r="E575" t="str">
            <v>Sócio</v>
          </cell>
        </row>
        <row r="576">
          <cell r="E576" t="str">
            <v>Sócio</v>
          </cell>
        </row>
        <row r="577">
          <cell r="E577" t="str">
            <v>Sócio</v>
          </cell>
        </row>
        <row r="578">
          <cell r="E578" t="str">
            <v>Sócio</v>
          </cell>
        </row>
        <row r="579">
          <cell r="E579" t="str">
            <v>Sócio</v>
          </cell>
        </row>
        <row r="580">
          <cell r="E580" t="str">
            <v>Sócio</v>
          </cell>
        </row>
        <row r="581">
          <cell r="E581" t="str">
            <v>Sócio</v>
          </cell>
        </row>
        <row r="582">
          <cell r="E582" t="str">
            <v>Sócio</v>
          </cell>
        </row>
        <row r="583">
          <cell r="E583" t="str">
            <v>Sócio</v>
          </cell>
        </row>
        <row r="584">
          <cell r="E584" t="str">
            <v>Sócio</v>
          </cell>
        </row>
        <row r="585">
          <cell r="BY585">
            <v>0</v>
          </cell>
        </row>
        <row r="587">
          <cell r="BY587">
            <v>79587.913</v>
          </cell>
        </row>
        <row r="589">
          <cell r="E589" t="str">
            <v>Sócio</v>
          </cell>
          <cell r="BY589">
            <v>46800</v>
          </cell>
        </row>
        <row r="590">
          <cell r="BY590">
            <v>46800</v>
          </cell>
        </row>
        <row r="592">
          <cell r="E592" t="str">
            <v>Sócio</v>
          </cell>
          <cell r="BY592">
            <v>-304.2</v>
          </cell>
        </row>
        <row r="593">
          <cell r="E593" t="str">
            <v>Sócio</v>
          </cell>
          <cell r="BY593">
            <v>-1404</v>
          </cell>
        </row>
        <row r="594">
          <cell r="E594" t="str">
            <v>Sócio</v>
          </cell>
          <cell r="BY594">
            <v>-3744</v>
          </cell>
        </row>
        <row r="595">
          <cell r="E595" t="str">
            <v>Sócio</v>
          </cell>
          <cell r="BY595">
            <v>-1347.84</v>
          </cell>
        </row>
        <row r="596">
          <cell r="BY596">
            <v>-6800.04</v>
          </cell>
        </row>
        <row r="598">
          <cell r="BY598">
            <v>39999.96</v>
          </cell>
        </row>
        <row r="600">
          <cell r="BY600">
            <v>-20000</v>
          </cell>
        </row>
        <row r="601">
          <cell r="BY601">
            <v>-20000</v>
          </cell>
        </row>
        <row r="603">
          <cell r="E603" t="str">
            <v>Sócio</v>
          </cell>
        </row>
        <row r="604">
          <cell r="E604" t="str">
            <v>Sócio</v>
          </cell>
        </row>
        <row r="605">
          <cell r="E605" t="str">
            <v>Sócio</v>
          </cell>
        </row>
        <row r="606">
          <cell r="E606" t="str">
            <v>Sócio</v>
          </cell>
        </row>
        <row r="607">
          <cell r="E607" t="str">
            <v>Sócio</v>
          </cell>
        </row>
        <row r="608">
          <cell r="E608" t="str">
            <v>Sócio</v>
          </cell>
        </row>
        <row r="609">
          <cell r="E609" t="str">
            <v>Sócio</v>
          </cell>
        </row>
        <row r="610">
          <cell r="E610" t="str">
            <v>Sócio</v>
          </cell>
        </row>
        <row r="611">
          <cell r="E611" t="str">
            <v>Sócio</v>
          </cell>
        </row>
        <row r="612">
          <cell r="E612" t="str">
            <v>Sócio</v>
          </cell>
        </row>
        <row r="613">
          <cell r="E613" t="str">
            <v>Sócio</v>
          </cell>
        </row>
        <row r="614">
          <cell r="E614" t="str">
            <v>Sócio</v>
          </cell>
        </row>
        <row r="615">
          <cell r="E615" t="str">
            <v>Sócio</v>
          </cell>
        </row>
        <row r="616">
          <cell r="E616" t="str">
            <v>Sócio</v>
          </cell>
        </row>
        <row r="617">
          <cell r="E617" t="str">
            <v>Sócio</v>
          </cell>
        </row>
        <row r="618">
          <cell r="E618" t="str">
            <v>Sócio</v>
          </cell>
        </row>
        <row r="619">
          <cell r="E619" t="str">
            <v>Sócio</v>
          </cell>
        </row>
        <row r="620">
          <cell r="E620" t="str">
            <v>Sócio</v>
          </cell>
        </row>
        <row r="621">
          <cell r="E621" t="str">
            <v>Sócio</v>
          </cell>
        </row>
        <row r="622">
          <cell r="E622" t="str">
            <v>Sócio</v>
          </cell>
        </row>
        <row r="623">
          <cell r="E623" t="str">
            <v>Sócio</v>
          </cell>
        </row>
        <row r="624">
          <cell r="E624" t="str">
            <v>Sócio</v>
          </cell>
        </row>
        <row r="625">
          <cell r="E625" t="str">
            <v>Sócio</v>
          </cell>
        </row>
        <row r="626">
          <cell r="E626" t="str">
            <v>Sócio</v>
          </cell>
        </row>
        <row r="627">
          <cell r="BY627">
            <v>0</v>
          </cell>
        </row>
        <row r="629">
          <cell r="BY629">
            <v>19999.96</v>
          </cell>
        </row>
        <row r="631">
          <cell r="E631" t="str">
            <v>Sócio Sr</v>
          </cell>
          <cell r="BY631">
            <v>72800</v>
          </cell>
        </row>
        <row r="632">
          <cell r="BY632">
            <v>72800</v>
          </cell>
        </row>
        <row r="634">
          <cell r="E634" t="str">
            <v>Sócio</v>
          </cell>
          <cell r="BY634">
            <v>-473.2</v>
          </cell>
        </row>
        <row r="635">
          <cell r="E635" t="str">
            <v>Sócio</v>
          </cell>
          <cell r="BY635">
            <v>-2184</v>
          </cell>
        </row>
        <row r="636">
          <cell r="E636" t="str">
            <v>Sócio</v>
          </cell>
          <cell r="BY636">
            <v>-5824</v>
          </cell>
        </row>
        <row r="637">
          <cell r="E637" t="str">
            <v>Sócio</v>
          </cell>
          <cell r="BY637">
            <v>-2096.64</v>
          </cell>
        </row>
        <row r="638">
          <cell r="BY638">
            <v>-10577.84</v>
          </cell>
        </row>
        <row r="640">
          <cell r="BY640">
            <v>62222.16</v>
          </cell>
        </row>
        <row r="642">
          <cell r="E642" t="str">
            <v>Sócio</v>
          </cell>
          <cell r="BY642">
            <v>-31111.08</v>
          </cell>
        </row>
        <row r="643">
          <cell r="BY643">
            <v>-31111.08</v>
          </cell>
        </row>
        <row r="645">
          <cell r="E645" t="str">
            <v>Sócio</v>
          </cell>
        </row>
        <row r="646">
          <cell r="E646" t="str">
            <v>Sócio</v>
          </cell>
        </row>
        <row r="647">
          <cell r="E647" t="str">
            <v>Sócio</v>
          </cell>
        </row>
        <row r="648">
          <cell r="E648" t="str">
            <v>Sócio</v>
          </cell>
        </row>
        <row r="649">
          <cell r="E649" t="str">
            <v>Sócio</v>
          </cell>
        </row>
        <row r="650">
          <cell r="E650" t="str">
            <v>Sócio</v>
          </cell>
        </row>
        <row r="651">
          <cell r="E651" t="str">
            <v>Sócio</v>
          </cell>
        </row>
        <row r="652">
          <cell r="E652" t="str">
            <v>Sócio</v>
          </cell>
        </row>
        <row r="653">
          <cell r="E653" t="str">
            <v>Sócio</v>
          </cell>
        </row>
        <row r="654">
          <cell r="E654" t="str">
            <v>Sócio</v>
          </cell>
        </row>
        <row r="655">
          <cell r="E655" t="str">
            <v>Sócio</v>
          </cell>
        </row>
        <row r="656">
          <cell r="E656" t="str">
            <v>Sócio</v>
          </cell>
        </row>
        <row r="657">
          <cell r="E657" t="str">
            <v>Sócio</v>
          </cell>
        </row>
        <row r="658">
          <cell r="E658" t="str">
            <v>Sócio</v>
          </cell>
        </row>
        <row r="659">
          <cell r="E659" t="str">
            <v>Sócio</v>
          </cell>
        </row>
        <row r="660">
          <cell r="E660" t="str">
            <v>Sócio</v>
          </cell>
        </row>
        <row r="661">
          <cell r="E661" t="str">
            <v>Sócio</v>
          </cell>
        </row>
        <row r="662">
          <cell r="E662" t="str">
            <v>Sócio</v>
          </cell>
        </row>
        <row r="663">
          <cell r="E663" t="str">
            <v>Sócio</v>
          </cell>
        </row>
        <row r="664">
          <cell r="E664" t="str">
            <v>Sócio</v>
          </cell>
        </row>
        <row r="665">
          <cell r="E665" t="str">
            <v>Sócio</v>
          </cell>
        </row>
        <row r="666">
          <cell r="E666" t="str">
            <v>Sócio</v>
          </cell>
        </row>
        <row r="667">
          <cell r="E667" t="str">
            <v>Sócio</v>
          </cell>
        </row>
        <row r="668">
          <cell r="E668" t="str">
            <v>Sócio</v>
          </cell>
        </row>
        <row r="669">
          <cell r="BY669">
            <v>0</v>
          </cell>
        </row>
        <row r="671">
          <cell r="BY671">
            <v>31111.08</v>
          </cell>
        </row>
        <row r="673">
          <cell r="E673" t="str">
            <v>Sócio</v>
          </cell>
          <cell r="BY673">
            <v>46800</v>
          </cell>
        </row>
        <row r="674">
          <cell r="E674" t="str">
            <v>B2</v>
          </cell>
          <cell r="BY674">
            <v>34320</v>
          </cell>
        </row>
        <row r="675">
          <cell r="E675" t="str">
            <v>B0</v>
          </cell>
          <cell r="BY675">
            <v>21450</v>
          </cell>
        </row>
        <row r="676">
          <cell r="E676" t="str">
            <v>B0</v>
          </cell>
          <cell r="BY676">
            <v>21450</v>
          </cell>
        </row>
        <row r="677">
          <cell r="E677" t="str">
            <v>B0</v>
          </cell>
          <cell r="BY677">
            <v>21450</v>
          </cell>
        </row>
        <row r="678">
          <cell r="E678" t="str">
            <v>Estagiário</v>
          </cell>
          <cell r="BY678">
            <v>6500</v>
          </cell>
        </row>
        <row r="679">
          <cell r="E679" t="str">
            <v>Estagiário</v>
          </cell>
          <cell r="BY679">
            <v>6500</v>
          </cell>
        </row>
        <row r="680">
          <cell r="E680" t="str">
            <v>Estagiário</v>
          </cell>
          <cell r="BY680">
            <v>6500</v>
          </cell>
        </row>
        <row r="681">
          <cell r="BY681">
            <v>164970</v>
          </cell>
        </row>
        <row r="683">
          <cell r="E683" t="str">
            <v>Sócio</v>
          </cell>
          <cell r="BY683">
            <v>-1072.3050000000001</v>
          </cell>
        </row>
        <row r="684">
          <cell r="E684" t="str">
            <v>Sócio</v>
          </cell>
          <cell r="BY684">
            <v>-4949.1000000000004</v>
          </cell>
        </row>
        <row r="685">
          <cell r="E685" t="str">
            <v>Sócio</v>
          </cell>
          <cell r="BY685">
            <v>-13197.6</v>
          </cell>
        </row>
        <row r="686">
          <cell r="E686" t="str">
            <v>Sócio</v>
          </cell>
          <cell r="BY686">
            <v>-4751.1359999999995</v>
          </cell>
        </row>
        <row r="687">
          <cell r="BY687">
            <v>-23970.141</v>
          </cell>
        </row>
        <row r="689">
          <cell r="BY689">
            <v>140999.859</v>
          </cell>
        </row>
        <row r="691">
          <cell r="E691" t="str">
            <v>Sócio</v>
          </cell>
          <cell r="BY691">
            <v>-20000</v>
          </cell>
        </row>
        <row r="692">
          <cell r="E692" t="str">
            <v>B2</v>
          </cell>
          <cell r="BY692">
            <v>-9533.4096000000009</v>
          </cell>
        </row>
        <row r="693">
          <cell r="E693" t="str">
            <v>B0</v>
          </cell>
          <cell r="BY693">
            <v>-3897.62</v>
          </cell>
        </row>
        <row r="694">
          <cell r="E694" t="str">
            <v>B0</v>
          </cell>
          <cell r="BY694">
            <v>-3897.62</v>
          </cell>
        </row>
        <row r="695">
          <cell r="E695" t="str">
            <v>B0</v>
          </cell>
          <cell r="BY695">
            <v>-3897.62</v>
          </cell>
        </row>
        <row r="696">
          <cell r="E696" t="str">
            <v>Estagiário</v>
          </cell>
          <cell r="BY696">
            <v>-1344.33</v>
          </cell>
        </row>
        <row r="697">
          <cell r="E697" t="str">
            <v>Estagiário</v>
          </cell>
          <cell r="BY697">
            <v>-1344.33</v>
          </cell>
        </row>
        <row r="698">
          <cell r="E698" t="str">
            <v>Estagiário</v>
          </cell>
          <cell r="BY698">
            <v>-1344.33</v>
          </cell>
        </row>
        <row r="699">
          <cell r="BY699">
            <v>-45259.259600000012</v>
          </cell>
        </row>
        <row r="701">
          <cell r="E701" t="str">
            <v>Sócio</v>
          </cell>
        </row>
        <row r="702">
          <cell r="E702" t="str">
            <v>Sócio</v>
          </cell>
        </row>
        <row r="703">
          <cell r="E703" t="str">
            <v>Sócio</v>
          </cell>
        </row>
        <row r="704">
          <cell r="E704" t="str">
            <v>Sócio</v>
          </cell>
        </row>
        <row r="705">
          <cell r="E705" t="str">
            <v>Sócio</v>
          </cell>
        </row>
        <row r="706">
          <cell r="E706" t="str">
            <v>Sócio</v>
          </cell>
        </row>
        <row r="707">
          <cell r="E707" t="str">
            <v>Sócio</v>
          </cell>
        </row>
        <row r="708">
          <cell r="E708" t="str">
            <v>Sócio</v>
          </cell>
        </row>
        <row r="709">
          <cell r="E709" t="str">
            <v>Sócio</v>
          </cell>
        </row>
        <row r="710">
          <cell r="E710" t="str">
            <v>Sócio</v>
          </cell>
        </row>
        <row r="711">
          <cell r="E711" t="str">
            <v>Sócio</v>
          </cell>
        </row>
        <row r="712">
          <cell r="E712" t="str">
            <v>Sócio</v>
          </cell>
        </row>
        <row r="713">
          <cell r="E713" t="str">
            <v>Sócio</v>
          </cell>
        </row>
        <row r="714">
          <cell r="E714" t="str">
            <v>Sócio</v>
          </cell>
        </row>
        <row r="715">
          <cell r="E715" t="str">
            <v>Sócio</v>
          </cell>
        </row>
        <row r="716">
          <cell r="E716" t="str">
            <v>Sócio</v>
          </cell>
        </row>
        <row r="717">
          <cell r="E717" t="str">
            <v>Sócio</v>
          </cell>
        </row>
        <row r="718">
          <cell r="E718" t="str">
            <v>Sócio</v>
          </cell>
        </row>
        <row r="719">
          <cell r="E719" t="str">
            <v>Sócio</v>
          </cell>
        </row>
        <row r="720">
          <cell r="E720" t="str">
            <v>Sócio</v>
          </cell>
        </row>
        <row r="721">
          <cell r="E721" t="str">
            <v>Sócio</v>
          </cell>
        </row>
        <row r="722">
          <cell r="E722" t="str">
            <v>Sócio</v>
          </cell>
        </row>
        <row r="723">
          <cell r="E723" t="str">
            <v>Sócio</v>
          </cell>
        </row>
        <row r="724">
          <cell r="E724" t="str">
            <v>Sócio</v>
          </cell>
        </row>
        <row r="725">
          <cell r="BY725">
            <v>0</v>
          </cell>
        </row>
        <row r="727">
          <cell r="BY727">
            <v>95740.599399999977</v>
          </cell>
        </row>
        <row r="729">
          <cell r="E729" t="str">
            <v>LLZ</v>
          </cell>
          <cell r="BY729">
            <v>65000</v>
          </cell>
        </row>
        <row r="730">
          <cell r="E730" t="str">
            <v>B1</v>
          </cell>
          <cell r="BY730">
            <v>28600</v>
          </cell>
        </row>
        <row r="731">
          <cell r="E731" t="str">
            <v>Estagiário</v>
          </cell>
          <cell r="BY731">
            <v>6500</v>
          </cell>
        </row>
        <row r="732">
          <cell r="BY732">
            <v>100100</v>
          </cell>
        </row>
        <row r="734">
          <cell r="E734" t="str">
            <v>Sócio</v>
          </cell>
          <cell r="BY734">
            <v>-650.65</v>
          </cell>
        </row>
        <row r="735">
          <cell r="E735" t="str">
            <v>Sócio</v>
          </cell>
          <cell r="BY735">
            <v>-3003</v>
          </cell>
        </row>
        <row r="736">
          <cell r="E736" t="str">
            <v>Sócio</v>
          </cell>
          <cell r="BY736">
            <v>-8008</v>
          </cell>
        </row>
        <row r="737">
          <cell r="E737" t="str">
            <v>Sócio</v>
          </cell>
          <cell r="BY737">
            <v>-2882.88</v>
          </cell>
        </row>
        <row r="738">
          <cell r="BY738">
            <v>-14544.53</v>
          </cell>
        </row>
        <row r="740">
          <cell r="BY740">
            <v>85555.47</v>
          </cell>
        </row>
        <row r="742">
          <cell r="E742" t="str">
            <v>Sócio</v>
          </cell>
          <cell r="BY742">
            <v>-27778</v>
          </cell>
        </row>
        <row r="743">
          <cell r="E743" t="str">
            <v>B1</v>
          </cell>
          <cell r="BY743">
            <v>-7333.3260000000009</v>
          </cell>
        </row>
        <row r="744">
          <cell r="E744" t="str">
            <v>Estagiário</v>
          </cell>
          <cell r="BY744">
            <v>-1344.33</v>
          </cell>
        </row>
        <row r="745">
          <cell r="BY745">
            <v>-36455.656000000003</v>
          </cell>
        </row>
        <row r="747">
          <cell r="E747" t="str">
            <v>Sócio</v>
          </cell>
        </row>
        <row r="748">
          <cell r="E748" t="str">
            <v>Sócio</v>
          </cell>
        </row>
        <row r="749">
          <cell r="E749" t="str">
            <v>Sócio</v>
          </cell>
        </row>
        <row r="750">
          <cell r="E750" t="str">
            <v>Sócio</v>
          </cell>
        </row>
        <row r="751">
          <cell r="E751" t="str">
            <v>Sócio</v>
          </cell>
        </row>
        <row r="752">
          <cell r="E752" t="str">
            <v>Sócio</v>
          </cell>
        </row>
        <row r="753">
          <cell r="E753" t="str">
            <v>Sócio</v>
          </cell>
        </row>
        <row r="754">
          <cell r="E754" t="str">
            <v>Sócio</v>
          </cell>
        </row>
        <row r="755">
          <cell r="E755" t="str">
            <v>Sócio</v>
          </cell>
        </row>
        <row r="756">
          <cell r="E756" t="str">
            <v>Sócio</v>
          </cell>
        </row>
        <row r="757">
          <cell r="E757" t="str">
            <v>Sócio</v>
          </cell>
        </row>
        <row r="758">
          <cell r="E758" t="str">
            <v>Sócio</v>
          </cell>
        </row>
        <row r="759">
          <cell r="E759" t="str">
            <v>Sócio</v>
          </cell>
        </row>
        <row r="760">
          <cell r="E760" t="str">
            <v>Sócio</v>
          </cell>
        </row>
        <row r="761">
          <cell r="E761" t="str">
            <v>Sócio</v>
          </cell>
        </row>
        <row r="762">
          <cell r="E762" t="str">
            <v>Sócio</v>
          </cell>
        </row>
        <row r="763">
          <cell r="E763" t="str">
            <v>Sócio</v>
          </cell>
        </row>
        <row r="764">
          <cell r="E764" t="str">
            <v>Sócio</v>
          </cell>
        </row>
        <row r="765">
          <cell r="E765" t="str">
            <v>Sócio</v>
          </cell>
        </row>
        <row r="766">
          <cell r="E766" t="str">
            <v>Sócio</v>
          </cell>
        </row>
        <row r="767">
          <cell r="E767" t="str">
            <v>Sócio</v>
          </cell>
        </row>
        <row r="768">
          <cell r="E768" t="str">
            <v>Sócio</v>
          </cell>
        </row>
        <row r="769">
          <cell r="E769" t="str">
            <v>Sócio</v>
          </cell>
        </row>
        <row r="770">
          <cell r="E770" t="str">
            <v>Sócio</v>
          </cell>
        </row>
        <row r="771">
          <cell r="BY771">
            <v>0</v>
          </cell>
        </row>
        <row r="773">
          <cell r="BY773">
            <v>49099.813999999998</v>
          </cell>
        </row>
        <row r="775">
          <cell r="E775" t="str">
            <v>B4</v>
          </cell>
          <cell r="BY775">
            <v>42900</v>
          </cell>
        </row>
        <row r="776">
          <cell r="E776" t="str">
            <v>B0</v>
          </cell>
          <cell r="BY776">
            <v>21450</v>
          </cell>
        </row>
        <row r="777">
          <cell r="E777" t="str">
            <v>B1</v>
          </cell>
          <cell r="BY777">
            <v>28600</v>
          </cell>
        </row>
        <row r="778">
          <cell r="E778" t="str">
            <v>Estagiário</v>
          </cell>
          <cell r="BY778">
            <v>6500</v>
          </cell>
        </row>
        <row r="779">
          <cell r="BY779">
            <v>99450</v>
          </cell>
        </row>
        <row r="781">
          <cell r="E781" t="str">
            <v>Sócio</v>
          </cell>
          <cell r="BY781">
            <v>-646.42499999999995</v>
          </cell>
        </row>
        <row r="782">
          <cell r="E782" t="str">
            <v>Sócio</v>
          </cell>
          <cell r="BY782">
            <v>-2983.5</v>
          </cell>
        </row>
        <row r="783">
          <cell r="E783" t="str">
            <v>Sócio</v>
          </cell>
          <cell r="BY783">
            <v>-7956</v>
          </cell>
        </row>
        <row r="784">
          <cell r="E784" t="str">
            <v>Sócio</v>
          </cell>
          <cell r="BY784">
            <v>-2864.16</v>
          </cell>
        </row>
        <row r="785">
          <cell r="BY785">
            <v>-14450.084999999999</v>
          </cell>
        </row>
        <row r="787">
          <cell r="BY787">
            <v>84999.915000000008</v>
          </cell>
        </row>
        <row r="789">
          <cell r="E789" t="str">
            <v>B4</v>
          </cell>
          <cell r="BY789">
            <v>-13749.879000000001</v>
          </cell>
        </row>
        <row r="790">
          <cell r="E790" t="str">
            <v>B0</v>
          </cell>
          <cell r="BY790">
            <v>-3897.62</v>
          </cell>
        </row>
        <row r="791">
          <cell r="E791" t="str">
            <v>B1</v>
          </cell>
          <cell r="BY791">
            <v>-7333.3260000000009</v>
          </cell>
        </row>
        <row r="792">
          <cell r="E792" t="str">
            <v>Estagiário</v>
          </cell>
          <cell r="BY792">
            <v>-1344.33</v>
          </cell>
        </row>
        <row r="793">
          <cell r="BY793">
            <v>-26325.154999999999</v>
          </cell>
        </row>
        <row r="795">
          <cell r="E795" t="str">
            <v>Sócio</v>
          </cell>
        </row>
        <row r="796">
          <cell r="E796" t="str">
            <v>Sócio</v>
          </cell>
        </row>
        <row r="797">
          <cell r="E797" t="str">
            <v>Sócio</v>
          </cell>
        </row>
        <row r="798">
          <cell r="E798" t="str">
            <v>Sócio</v>
          </cell>
        </row>
        <row r="799">
          <cell r="E799" t="str">
            <v>Sócio</v>
          </cell>
        </row>
        <row r="800">
          <cell r="E800" t="str">
            <v>Sócio</v>
          </cell>
        </row>
        <row r="801">
          <cell r="E801" t="str">
            <v>Sócio</v>
          </cell>
        </row>
        <row r="802">
          <cell r="E802" t="str">
            <v>Sócio</v>
          </cell>
        </row>
        <row r="803">
          <cell r="E803" t="str">
            <v>Sócio</v>
          </cell>
        </row>
        <row r="804">
          <cell r="E804" t="str">
            <v>Sócio</v>
          </cell>
        </row>
        <row r="805">
          <cell r="E805" t="str">
            <v>Sócio</v>
          </cell>
        </row>
        <row r="806">
          <cell r="E806" t="str">
            <v>Sócio</v>
          </cell>
        </row>
        <row r="807">
          <cell r="E807" t="str">
            <v>Sócio</v>
          </cell>
        </row>
        <row r="808">
          <cell r="E808" t="str">
            <v>Sócio</v>
          </cell>
        </row>
        <row r="809">
          <cell r="E809" t="str">
            <v>Sócio</v>
          </cell>
        </row>
        <row r="810">
          <cell r="E810" t="str">
            <v>Sócio</v>
          </cell>
        </row>
        <row r="811">
          <cell r="E811" t="str">
            <v>Sócio</v>
          </cell>
        </row>
        <row r="812">
          <cell r="E812" t="str">
            <v>Sócio</v>
          </cell>
        </row>
        <row r="813">
          <cell r="E813" t="str">
            <v>Sócio</v>
          </cell>
        </row>
        <row r="814">
          <cell r="E814" t="str">
            <v>Sócio</v>
          </cell>
        </row>
        <row r="815">
          <cell r="E815" t="str">
            <v>Sócio</v>
          </cell>
        </row>
        <row r="816">
          <cell r="E816" t="str">
            <v>Sócio</v>
          </cell>
        </row>
        <row r="817">
          <cell r="E817" t="str">
            <v>Sócio</v>
          </cell>
        </row>
        <row r="818">
          <cell r="E818" t="str">
            <v>Sócio</v>
          </cell>
        </row>
        <row r="819">
          <cell r="BY819">
            <v>0</v>
          </cell>
        </row>
        <row r="821">
          <cell r="BY821">
            <v>58674.76</v>
          </cell>
        </row>
        <row r="823">
          <cell r="E823" t="str">
            <v>B0</v>
          </cell>
          <cell r="BY823">
            <v>21450</v>
          </cell>
        </row>
        <row r="824">
          <cell r="E824" t="str">
            <v>Sócio</v>
          </cell>
          <cell r="BY824">
            <v>46800</v>
          </cell>
        </row>
        <row r="825">
          <cell r="E825" t="str">
            <v>B4</v>
          </cell>
          <cell r="BY825">
            <v>42900</v>
          </cell>
        </row>
        <row r="826">
          <cell r="E826" t="str">
            <v>B2</v>
          </cell>
          <cell r="BY826">
            <v>34320</v>
          </cell>
        </row>
        <row r="827">
          <cell r="E827" t="str">
            <v>B3</v>
          </cell>
          <cell r="BY827">
            <v>40040</v>
          </cell>
        </row>
        <row r="828">
          <cell r="E828" t="str">
            <v>Estagiário</v>
          </cell>
          <cell r="BY828">
            <v>6500</v>
          </cell>
        </row>
        <row r="829">
          <cell r="E829" t="str">
            <v>Estagiário</v>
          </cell>
          <cell r="BY829">
            <v>6500</v>
          </cell>
        </row>
        <row r="830">
          <cell r="BY830">
            <v>198510</v>
          </cell>
        </row>
        <row r="832">
          <cell r="E832" t="str">
            <v>Sócio</v>
          </cell>
          <cell r="BY832">
            <v>-1290.3150000000001</v>
          </cell>
        </row>
        <row r="833">
          <cell r="E833" t="str">
            <v>Sócio</v>
          </cell>
          <cell r="BY833">
            <v>-5955.3</v>
          </cell>
        </row>
        <row r="834">
          <cell r="E834" t="str">
            <v>Sócio</v>
          </cell>
          <cell r="BY834">
            <v>-15880.8</v>
          </cell>
        </row>
        <row r="835">
          <cell r="E835" t="str">
            <v>Sócio</v>
          </cell>
          <cell r="BY835">
            <v>-5717.0879999999997</v>
          </cell>
        </row>
        <row r="836">
          <cell r="BY836">
            <v>-28843.503000000001</v>
          </cell>
        </row>
        <row r="838">
          <cell r="BY838">
            <v>169666.497</v>
          </cell>
        </row>
        <row r="840">
          <cell r="E840" t="str">
            <v>B0</v>
          </cell>
          <cell r="BY840">
            <v>-3897.62</v>
          </cell>
        </row>
        <row r="841">
          <cell r="E841" t="str">
            <v>Sócio</v>
          </cell>
          <cell r="BY841">
            <v>-20000</v>
          </cell>
        </row>
        <row r="842">
          <cell r="E842" t="str">
            <v>B4</v>
          </cell>
          <cell r="BY842">
            <v>-13749.879000000001</v>
          </cell>
        </row>
        <row r="843">
          <cell r="E843" t="str">
            <v>B2</v>
          </cell>
          <cell r="BY843">
            <v>-9533.4096000000009</v>
          </cell>
        </row>
        <row r="844">
          <cell r="E844" t="str">
            <v>B3</v>
          </cell>
          <cell r="BY844">
            <v>-11977.966</v>
          </cell>
        </row>
        <row r="845">
          <cell r="E845" t="str">
            <v>Estagiário</v>
          </cell>
          <cell r="BY845">
            <v>-1344.33</v>
          </cell>
        </row>
        <row r="846">
          <cell r="E846" t="str">
            <v>Estagiário</v>
          </cell>
          <cell r="BY846">
            <v>-1344.33</v>
          </cell>
        </row>
        <row r="847">
          <cell r="BY847">
            <v>-61847.534599999999</v>
          </cell>
        </row>
        <row r="849">
          <cell r="E849" t="str">
            <v>Sócio</v>
          </cell>
        </row>
        <row r="850">
          <cell r="E850" t="str">
            <v>Sócio</v>
          </cell>
        </row>
        <row r="851">
          <cell r="E851" t="str">
            <v>Sócio</v>
          </cell>
        </row>
        <row r="852">
          <cell r="E852" t="str">
            <v>Sócio</v>
          </cell>
        </row>
        <row r="853">
          <cell r="E853" t="str">
            <v>Sócio</v>
          </cell>
        </row>
        <row r="854">
          <cell r="E854" t="str">
            <v>Sócio</v>
          </cell>
        </row>
        <row r="855">
          <cell r="E855" t="str">
            <v>Sócio</v>
          </cell>
        </row>
        <row r="856">
          <cell r="E856" t="str">
            <v>Sócio</v>
          </cell>
        </row>
        <row r="857">
          <cell r="E857" t="str">
            <v>Sócio</v>
          </cell>
        </row>
        <row r="858">
          <cell r="E858" t="str">
            <v>Sócio</v>
          </cell>
        </row>
        <row r="859">
          <cell r="E859" t="str">
            <v>Sócio</v>
          </cell>
        </row>
        <row r="860">
          <cell r="E860" t="str">
            <v>Sócio</v>
          </cell>
        </row>
        <row r="861">
          <cell r="E861" t="str">
            <v>Sócio</v>
          </cell>
        </row>
        <row r="862">
          <cell r="E862" t="str">
            <v>Sócio</v>
          </cell>
        </row>
        <row r="863">
          <cell r="E863" t="str">
            <v>Sócio</v>
          </cell>
        </row>
        <row r="864">
          <cell r="E864" t="str">
            <v>Sócio</v>
          </cell>
        </row>
        <row r="865">
          <cell r="E865" t="str">
            <v>Sócio</v>
          </cell>
        </row>
        <row r="866">
          <cell r="E866" t="str">
            <v>Sócio</v>
          </cell>
        </row>
        <row r="867">
          <cell r="E867" t="str">
            <v>Sócio</v>
          </cell>
        </row>
        <row r="868">
          <cell r="E868" t="str">
            <v>Sócio</v>
          </cell>
        </row>
        <row r="869">
          <cell r="E869" t="str">
            <v>Sócio</v>
          </cell>
        </row>
        <row r="870">
          <cell r="E870" t="str">
            <v>Sócio</v>
          </cell>
        </row>
        <row r="871">
          <cell r="E871" t="str">
            <v>Sócio</v>
          </cell>
        </row>
        <row r="872">
          <cell r="E872" t="str">
            <v>Sócio</v>
          </cell>
        </row>
        <row r="873">
          <cell r="BY873">
            <v>0</v>
          </cell>
        </row>
        <row r="875">
          <cell r="BY875">
            <v>107818.9624</v>
          </cell>
        </row>
        <row r="877">
          <cell r="E877" t="str">
            <v>MAL</v>
          </cell>
          <cell r="BY877">
            <v>84500</v>
          </cell>
        </row>
        <row r="878">
          <cell r="E878" t="str">
            <v>B3</v>
          </cell>
          <cell r="BY878">
            <v>40040</v>
          </cell>
        </row>
        <row r="879">
          <cell r="E879" t="str">
            <v>B2</v>
          </cell>
          <cell r="BY879">
            <v>34320</v>
          </cell>
        </row>
        <row r="880">
          <cell r="E880" t="str">
            <v>B0</v>
          </cell>
          <cell r="BY880">
            <v>21450</v>
          </cell>
        </row>
        <row r="881">
          <cell r="E881" t="str">
            <v>Estagiário</v>
          </cell>
          <cell r="BY881">
            <v>6500</v>
          </cell>
        </row>
        <row r="882">
          <cell r="E882" t="str">
            <v>Estagiário</v>
          </cell>
          <cell r="BY882">
            <v>6500</v>
          </cell>
        </row>
        <row r="883">
          <cell r="E883" t="str">
            <v>Estagiário</v>
          </cell>
          <cell r="BY883">
            <v>6500</v>
          </cell>
        </row>
        <row r="884">
          <cell r="BY884">
            <v>199810</v>
          </cell>
        </row>
        <row r="886">
          <cell r="E886" t="str">
            <v>Sócio</v>
          </cell>
          <cell r="BY886">
            <v>-1298.7650000000001</v>
          </cell>
        </row>
        <row r="887">
          <cell r="E887" t="str">
            <v>Sócio</v>
          </cell>
          <cell r="BY887">
            <v>-5994.3</v>
          </cell>
        </row>
        <row r="888">
          <cell r="E888" t="str">
            <v>Sócio</v>
          </cell>
          <cell r="BY888">
            <v>-15984.8</v>
          </cell>
        </row>
        <row r="889">
          <cell r="E889" t="str">
            <v>Sócio</v>
          </cell>
          <cell r="BY889">
            <v>-5754.5280000000002</v>
          </cell>
        </row>
        <row r="890">
          <cell r="BY890">
            <v>-29032.393000000004</v>
          </cell>
        </row>
        <row r="892">
          <cell r="BY892">
            <v>170777.60699999999</v>
          </cell>
        </row>
        <row r="894">
          <cell r="E894" t="str">
            <v>Sócio</v>
          </cell>
          <cell r="BY894">
            <v>-36111.074999999997</v>
          </cell>
        </row>
        <row r="895">
          <cell r="E895" t="str">
            <v>B3</v>
          </cell>
          <cell r="BY895">
            <v>-11977.966</v>
          </cell>
        </row>
        <row r="896">
          <cell r="E896" t="str">
            <v>B2</v>
          </cell>
          <cell r="BY896">
            <v>-9533.4096000000009</v>
          </cell>
        </row>
        <row r="897">
          <cell r="E897" t="str">
            <v>B0</v>
          </cell>
          <cell r="BY897">
            <v>-3897.62</v>
          </cell>
        </row>
        <row r="898">
          <cell r="E898" t="str">
            <v>Estagiário</v>
          </cell>
          <cell r="BY898">
            <v>-1344.33</v>
          </cell>
        </row>
        <row r="899">
          <cell r="E899" t="str">
            <v>Estagiário</v>
          </cell>
          <cell r="BY899">
            <v>-1344.33</v>
          </cell>
        </row>
        <row r="900">
          <cell r="E900" t="str">
            <v>Estagiário</v>
          </cell>
          <cell r="BY900">
            <v>-1344.33</v>
          </cell>
        </row>
        <row r="901">
          <cell r="BY901">
            <v>-65553.060599999997</v>
          </cell>
        </row>
        <row r="903">
          <cell r="E903" t="str">
            <v>Sócio</v>
          </cell>
        </row>
        <row r="904">
          <cell r="E904" t="str">
            <v>Sócio</v>
          </cell>
        </row>
        <row r="905">
          <cell r="E905" t="str">
            <v>Sócio</v>
          </cell>
        </row>
        <row r="906">
          <cell r="E906" t="str">
            <v>Sócio</v>
          </cell>
        </row>
        <row r="907">
          <cell r="E907" t="str">
            <v>Sócio</v>
          </cell>
        </row>
        <row r="908">
          <cell r="E908" t="str">
            <v>Sócio</v>
          </cell>
        </row>
        <row r="909">
          <cell r="E909" t="str">
            <v>Sócio</v>
          </cell>
        </row>
        <row r="910">
          <cell r="E910" t="str">
            <v>Sócio</v>
          </cell>
        </row>
        <row r="911">
          <cell r="E911" t="str">
            <v>Sócio</v>
          </cell>
        </row>
        <row r="912">
          <cell r="E912" t="str">
            <v>Sócio</v>
          </cell>
        </row>
        <row r="913">
          <cell r="E913" t="str">
            <v>Sócio</v>
          </cell>
        </row>
        <row r="914">
          <cell r="E914" t="str">
            <v>Sócio</v>
          </cell>
        </row>
        <row r="915">
          <cell r="E915" t="str">
            <v>Sócio</v>
          </cell>
        </row>
        <row r="916">
          <cell r="E916" t="str">
            <v>Sócio</v>
          </cell>
        </row>
        <row r="917">
          <cell r="E917" t="str">
            <v>Sócio</v>
          </cell>
        </row>
        <row r="918">
          <cell r="E918" t="str">
            <v>Sócio</v>
          </cell>
        </row>
        <row r="919">
          <cell r="E919" t="str">
            <v>Sócio</v>
          </cell>
        </row>
        <row r="920">
          <cell r="E920" t="str">
            <v>Sócio</v>
          </cell>
        </row>
        <row r="921">
          <cell r="E921" t="str">
            <v>Sócio</v>
          </cell>
        </row>
        <row r="922">
          <cell r="E922" t="str">
            <v>Sócio</v>
          </cell>
        </row>
        <row r="923">
          <cell r="E923" t="str">
            <v>Sócio</v>
          </cell>
        </row>
        <row r="924">
          <cell r="E924" t="str">
            <v>Sócio</v>
          </cell>
        </row>
        <row r="925">
          <cell r="E925" t="str">
            <v>Sócio</v>
          </cell>
        </row>
        <row r="926">
          <cell r="E926" t="str">
            <v>Sócio</v>
          </cell>
        </row>
        <row r="927">
          <cell r="BY927">
            <v>0</v>
          </cell>
        </row>
        <row r="929">
          <cell r="BY929">
            <v>105224.54639999999</v>
          </cell>
        </row>
        <row r="931">
          <cell r="E931" t="str">
            <v>B3</v>
          </cell>
          <cell r="BY931">
            <v>40040</v>
          </cell>
        </row>
        <row r="932">
          <cell r="E932" t="str">
            <v>B2</v>
          </cell>
          <cell r="BY932">
            <v>34320</v>
          </cell>
        </row>
        <row r="933">
          <cell r="E933" t="str">
            <v>Estagiário</v>
          </cell>
          <cell r="BY933">
            <v>6500</v>
          </cell>
        </row>
        <row r="934">
          <cell r="BY934">
            <v>80860</v>
          </cell>
        </row>
        <row r="936">
          <cell r="E936" t="str">
            <v>Sócio</v>
          </cell>
          <cell r="BY936">
            <v>-525.59</v>
          </cell>
        </row>
        <row r="937">
          <cell r="E937" t="str">
            <v>Sócio</v>
          </cell>
          <cell r="BY937">
            <v>-2425.8000000000002</v>
          </cell>
        </row>
        <row r="938">
          <cell r="E938" t="str">
            <v>Sócio</v>
          </cell>
          <cell r="BY938">
            <v>-6468.8</v>
          </cell>
        </row>
        <row r="939">
          <cell r="E939" t="str">
            <v>Sócio</v>
          </cell>
          <cell r="BY939">
            <v>-2328.768</v>
          </cell>
        </row>
        <row r="940">
          <cell r="BY940">
            <v>-11748.958000000001</v>
          </cell>
        </row>
        <row r="942">
          <cell r="BY942">
            <v>69111.042000000001</v>
          </cell>
        </row>
        <row r="944">
          <cell r="E944" t="str">
            <v>B3</v>
          </cell>
          <cell r="BY944">
            <v>-11977.966</v>
          </cell>
        </row>
        <row r="945">
          <cell r="E945" t="str">
            <v>B2</v>
          </cell>
          <cell r="BY945">
            <v>-9533.4096000000009</v>
          </cell>
        </row>
        <row r="946">
          <cell r="E946" t="str">
            <v>Estagiário</v>
          </cell>
          <cell r="BY946">
            <v>-1344.33</v>
          </cell>
        </row>
        <row r="947">
          <cell r="BY947">
            <v>-22855.705600000001</v>
          </cell>
        </row>
        <row r="949">
          <cell r="E949" t="str">
            <v>Sócio</v>
          </cell>
        </row>
        <row r="950">
          <cell r="E950" t="str">
            <v>Sócio</v>
          </cell>
        </row>
        <row r="951">
          <cell r="E951" t="str">
            <v>Sócio</v>
          </cell>
        </row>
        <row r="952">
          <cell r="E952" t="str">
            <v>Sócio</v>
          </cell>
        </row>
        <row r="953">
          <cell r="E953" t="str">
            <v>Sócio</v>
          </cell>
        </row>
        <row r="954">
          <cell r="E954" t="str">
            <v>Sócio</v>
          </cell>
        </row>
        <row r="955">
          <cell r="E955" t="str">
            <v>Sócio</v>
          </cell>
        </row>
        <row r="956">
          <cell r="E956" t="str">
            <v>Sócio</v>
          </cell>
        </row>
        <row r="957">
          <cell r="E957" t="str">
            <v>Sócio</v>
          </cell>
        </row>
        <row r="958">
          <cell r="E958" t="str">
            <v>Sócio</v>
          </cell>
        </row>
        <row r="959">
          <cell r="E959" t="str">
            <v>Sócio</v>
          </cell>
        </row>
        <row r="960">
          <cell r="E960" t="str">
            <v>Sócio</v>
          </cell>
        </row>
        <row r="961">
          <cell r="E961" t="str">
            <v>Sócio</v>
          </cell>
        </row>
        <row r="962">
          <cell r="E962" t="str">
            <v>Sócio</v>
          </cell>
        </row>
        <row r="963">
          <cell r="E963" t="str">
            <v>Sócio</v>
          </cell>
        </row>
        <row r="964">
          <cell r="E964" t="str">
            <v>Sócio</v>
          </cell>
        </row>
        <row r="965">
          <cell r="E965" t="str">
            <v>Sócio</v>
          </cell>
        </row>
        <row r="966">
          <cell r="E966" t="str">
            <v>Sócio</v>
          </cell>
        </row>
        <row r="967">
          <cell r="E967" t="str">
            <v>Sócio</v>
          </cell>
        </row>
        <row r="968">
          <cell r="E968" t="str">
            <v>Sócio</v>
          </cell>
        </row>
        <row r="969">
          <cell r="E969" t="str">
            <v>Sócio</v>
          </cell>
        </row>
        <row r="970">
          <cell r="E970" t="str">
            <v>Sócio</v>
          </cell>
        </row>
        <row r="971">
          <cell r="E971" t="str">
            <v>Sócio</v>
          </cell>
        </row>
        <row r="972">
          <cell r="E972" t="str">
            <v>Sócio</v>
          </cell>
        </row>
        <row r="973">
          <cell r="BY973">
            <v>0</v>
          </cell>
        </row>
        <row r="975">
          <cell r="BY975">
            <v>-25281.5056</v>
          </cell>
        </row>
        <row r="977">
          <cell r="E977" t="str">
            <v>B5</v>
          </cell>
          <cell r="BY977">
            <v>45760</v>
          </cell>
        </row>
        <row r="978">
          <cell r="E978" t="str">
            <v>B1</v>
          </cell>
          <cell r="BY978">
            <v>28600</v>
          </cell>
        </row>
        <row r="979">
          <cell r="E979" t="str">
            <v>B1</v>
          </cell>
          <cell r="BY979">
            <v>28600</v>
          </cell>
        </row>
        <row r="980">
          <cell r="E980" t="str">
            <v>B0</v>
          </cell>
          <cell r="BY980">
            <v>21450</v>
          </cell>
        </row>
        <row r="981">
          <cell r="E981" t="str">
            <v>Estagiário</v>
          </cell>
          <cell r="BY981">
            <v>6500</v>
          </cell>
        </row>
        <row r="982">
          <cell r="BY982">
            <v>130910</v>
          </cell>
        </row>
        <row r="984">
          <cell r="E984" t="str">
            <v>Sócio</v>
          </cell>
          <cell r="BY984">
            <v>-850.91499999999996</v>
          </cell>
        </row>
        <row r="985">
          <cell r="E985" t="str">
            <v>Sócio</v>
          </cell>
          <cell r="BY985">
            <v>-3927.3</v>
          </cell>
        </row>
        <row r="986">
          <cell r="E986" t="str">
            <v>Sócio</v>
          </cell>
          <cell r="BY986">
            <v>-10472.799999999999</v>
          </cell>
        </row>
        <row r="987">
          <cell r="E987" t="str">
            <v>Sócio</v>
          </cell>
          <cell r="BY987">
            <v>-3770.2080000000001</v>
          </cell>
        </row>
        <row r="988">
          <cell r="BY988">
            <v>-19021.223000000002</v>
          </cell>
        </row>
        <row r="990">
          <cell r="BY990">
            <v>111888.777</v>
          </cell>
        </row>
        <row r="992">
          <cell r="E992" t="str">
            <v>B5</v>
          </cell>
          <cell r="BY992">
            <v>-15644.428800000002</v>
          </cell>
        </row>
        <row r="993">
          <cell r="E993" t="str">
            <v>B1</v>
          </cell>
          <cell r="BY993">
            <v>-7333.3260000000009</v>
          </cell>
        </row>
        <row r="994">
          <cell r="E994" t="str">
            <v>B1</v>
          </cell>
          <cell r="BY994">
            <v>-7333.3260000000009</v>
          </cell>
        </row>
        <row r="995">
          <cell r="E995" t="str">
            <v>B0</v>
          </cell>
          <cell r="BY995">
            <v>-3897.62</v>
          </cell>
        </row>
        <row r="996">
          <cell r="E996" t="str">
            <v>Estagiário</v>
          </cell>
          <cell r="BY996">
            <v>-1344.33</v>
          </cell>
        </row>
        <row r="997">
          <cell r="BY997">
            <v>-35553.030800000008</v>
          </cell>
        </row>
        <row r="999">
          <cell r="E999" t="str">
            <v>Sócio</v>
          </cell>
        </row>
        <row r="1000">
          <cell r="E1000" t="str">
            <v>Sócio</v>
          </cell>
        </row>
        <row r="1001">
          <cell r="E1001" t="str">
            <v>Sócio</v>
          </cell>
        </row>
        <row r="1002">
          <cell r="E1002" t="str">
            <v>Sócio</v>
          </cell>
        </row>
        <row r="1003">
          <cell r="E1003" t="str">
            <v>Sócio</v>
          </cell>
        </row>
        <row r="1004">
          <cell r="E1004" t="str">
            <v>Sócio</v>
          </cell>
        </row>
        <row r="1005">
          <cell r="E1005" t="str">
            <v>Sócio</v>
          </cell>
        </row>
        <row r="1006">
          <cell r="E1006" t="str">
            <v>Sócio</v>
          </cell>
        </row>
        <row r="1007">
          <cell r="E1007" t="str">
            <v>Sócio</v>
          </cell>
        </row>
        <row r="1008">
          <cell r="E1008" t="str">
            <v>Sócio</v>
          </cell>
        </row>
        <row r="1009">
          <cell r="E1009" t="str">
            <v>Sócio</v>
          </cell>
        </row>
        <row r="1010">
          <cell r="E1010" t="str">
            <v>Sócio</v>
          </cell>
        </row>
        <row r="1011">
          <cell r="E1011" t="str">
            <v>Sócio</v>
          </cell>
        </row>
        <row r="1012">
          <cell r="E1012" t="str">
            <v>Sócio</v>
          </cell>
        </row>
        <row r="1013">
          <cell r="E1013" t="str">
            <v>Sócio</v>
          </cell>
        </row>
        <row r="1014">
          <cell r="E1014" t="str">
            <v>Sócio</v>
          </cell>
        </row>
        <row r="1015">
          <cell r="E1015" t="str">
            <v>Sócio</v>
          </cell>
        </row>
        <row r="1016">
          <cell r="E1016" t="str">
            <v>Sócio</v>
          </cell>
        </row>
        <row r="1017">
          <cell r="E1017" t="str">
            <v>Sócio</v>
          </cell>
        </row>
        <row r="1018">
          <cell r="E1018" t="str">
            <v>Sócio</v>
          </cell>
        </row>
        <row r="1019">
          <cell r="E1019" t="str">
            <v>Sócio</v>
          </cell>
        </row>
        <row r="1020">
          <cell r="E1020" t="str">
            <v>Sócio</v>
          </cell>
        </row>
        <row r="1021">
          <cell r="E1021" t="str">
            <v>Sócio</v>
          </cell>
        </row>
        <row r="1022">
          <cell r="E1022" t="str">
            <v>Sócio</v>
          </cell>
        </row>
        <row r="1023">
          <cell r="BY1023">
            <v>0</v>
          </cell>
        </row>
        <row r="1025">
          <cell r="BY1025">
            <v>76335.746199999994</v>
          </cell>
        </row>
        <row r="1027">
          <cell r="E1027" t="str">
            <v>Sócio</v>
          </cell>
          <cell r="BY1027">
            <v>46800</v>
          </cell>
        </row>
        <row r="1028">
          <cell r="E1028" t="str">
            <v>B1</v>
          </cell>
          <cell r="BY1028">
            <v>28600</v>
          </cell>
        </row>
        <row r="1029">
          <cell r="E1029" t="str">
            <v>B1</v>
          </cell>
          <cell r="BY1029">
            <v>28600</v>
          </cell>
        </row>
        <row r="1030">
          <cell r="BY1030">
            <v>104000</v>
          </cell>
        </row>
        <row r="1032">
          <cell r="E1032" t="str">
            <v>Sócio</v>
          </cell>
          <cell r="BY1032">
            <v>-676</v>
          </cell>
        </row>
        <row r="1033">
          <cell r="E1033" t="str">
            <v>Sócio</v>
          </cell>
          <cell r="BY1033">
            <v>-3120</v>
          </cell>
        </row>
        <row r="1034">
          <cell r="E1034" t="str">
            <v>Sócio</v>
          </cell>
          <cell r="BY1034">
            <v>-8320</v>
          </cell>
        </row>
        <row r="1035">
          <cell r="E1035" t="str">
            <v>Sócio</v>
          </cell>
          <cell r="BY1035">
            <v>-2995.2</v>
          </cell>
        </row>
        <row r="1036">
          <cell r="BY1036">
            <v>-15111.2</v>
          </cell>
        </row>
        <row r="1038">
          <cell r="BY1038">
            <v>88888.8</v>
          </cell>
        </row>
        <row r="1040">
          <cell r="E1040" t="str">
            <v>Sócio</v>
          </cell>
          <cell r="BY1040">
            <v>-20000</v>
          </cell>
        </row>
        <row r="1041">
          <cell r="E1041" t="str">
            <v>B1</v>
          </cell>
          <cell r="BY1041">
            <v>-7333.3260000000009</v>
          </cell>
        </row>
        <row r="1042">
          <cell r="E1042" t="str">
            <v>B1</v>
          </cell>
          <cell r="BY1042">
            <v>-7333.3260000000009</v>
          </cell>
        </row>
        <row r="1043">
          <cell r="BY1043">
            <v>-34666.652000000002</v>
          </cell>
        </row>
        <row r="1045">
          <cell r="E1045" t="str">
            <v>Sócio</v>
          </cell>
        </row>
        <row r="1046">
          <cell r="E1046" t="str">
            <v>Sócio</v>
          </cell>
        </row>
        <row r="1047">
          <cell r="E1047" t="str">
            <v>Sócio</v>
          </cell>
        </row>
        <row r="1048">
          <cell r="E1048" t="str">
            <v>Sócio</v>
          </cell>
        </row>
        <row r="1049">
          <cell r="E1049" t="str">
            <v>Sócio</v>
          </cell>
        </row>
        <row r="1050">
          <cell r="E1050" t="str">
            <v>Sócio</v>
          </cell>
        </row>
        <row r="1051">
          <cell r="E1051" t="str">
            <v>Sócio</v>
          </cell>
        </row>
        <row r="1052">
          <cell r="E1052" t="str">
            <v>Sócio</v>
          </cell>
        </row>
        <row r="1053">
          <cell r="E1053" t="str">
            <v>Sócio</v>
          </cell>
        </row>
        <row r="1054">
          <cell r="E1054" t="str">
            <v>Sócio</v>
          </cell>
        </row>
        <row r="1055">
          <cell r="E1055" t="str">
            <v>Sócio</v>
          </cell>
        </row>
        <row r="1056">
          <cell r="E1056" t="str">
            <v>Sócio</v>
          </cell>
        </row>
        <row r="1057">
          <cell r="E1057" t="str">
            <v>Sócio</v>
          </cell>
        </row>
        <row r="1058">
          <cell r="E1058" t="str">
            <v>Sócio</v>
          </cell>
        </row>
        <row r="1059">
          <cell r="E1059" t="str">
            <v>Sócio</v>
          </cell>
        </row>
        <row r="1060">
          <cell r="E1060" t="str">
            <v>Sócio</v>
          </cell>
        </row>
        <row r="1061">
          <cell r="E1061" t="str">
            <v>Sócio</v>
          </cell>
        </row>
        <row r="1062">
          <cell r="E1062" t="str">
            <v>Sócio</v>
          </cell>
        </row>
        <row r="1063">
          <cell r="E1063" t="str">
            <v>Sócio</v>
          </cell>
        </row>
        <row r="1064">
          <cell r="E1064" t="str">
            <v>Sócio</v>
          </cell>
        </row>
        <row r="1065">
          <cell r="E1065" t="str">
            <v>Sócio</v>
          </cell>
        </row>
        <row r="1066">
          <cell r="E1066" t="str">
            <v>Sócio</v>
          </cell>
        </row>
        <row r="1067">
          <cell r="E1067" t="str">
            <v>Sócio</v>
          </cell>
        </row>
        <row r="1068">
          <cell r="E1068" t="str">
            <v>Sócio</v>
          </cell>
        </row>
        <row r="1069">
          <cell r="BY1069">
            <v>0</v>
          </cell>
        </row>
        <row r="1071">
          <cell r="BY1071">
            <v>54222.148000000001</v>
          </cell>
        </row>
        <row r="1073">
          <cell r="E1073" t="str">
            <v>Sócio Sr</v>
          </cell>
          <cell r="BY1073">
            <v>72800</v>
          </cell>
        </row>
        <row r="1074">
          <cell r="BY1074">
            <v>72800</v>
          </cell>
        </row>
        <row r="1076">
          <cell r="E1076" t="str">
            <v>Sócio</v>
          </cell>
          <cell r="BY1076">
            <v>-473.2</v>
          </cell>
        </row>
        <row r="1077">
          <cell r="E1077" t="str">
            <v>Sócio</v>
          </cell>
          <cell r="BY1077">
            <v>-2184</v>
          </cell>
        </row>
        <row r="1078">
          <cell r="E1078" t="str">
            <v>Sócio</v>
          </cell>
          <cell r="BY1078">
            <v>-5824</v>
          </cell>
        </row>
        <row r="1079">
          <cell r="E1079" t="str">
            <v>Sócio</v>
          </cell>
          <cell r="BY1079">
            <v>-2096.64</v>
          </cell>
        </row>
        <row r="1080">
          <cell r="BY1080">
            <v>-10577.84</v>
          </cell>
        </row>
        <row r="1082">
          <cell r="BY1082">
            <v>62222.16</v>
          </cell>
        </row>
        <row r="1084">
          <cell r="E1084" t="str">
            <v>Sócio</v>
          </cell>
          <cell r="BY1084">
            <v>-31111.08</v>
          </cell>
        </row>
        <row r="1085">
          <cell r="BY1085">
            <v>-31111.08</v>
          </cell>
        </row>
        <row r="1087">
          <cell r="E1087" t="str">
            <v>Sócio</v>
          </cell>
        </row>
        <row r="1088">
          <cell r="E1088" t="str">
            <v>Sócio</v>
          </cell>
        </row>
        <row r="1089">
          <cell r="E1089" t="str">
            <v>Sócio</v>
          </cell>
        </row>
        <row r="1090">
          <cell r="E1090" t="str">
            <v>Sócio</v>
          </cell>
        </row>
        <row r="1091">
          <cell r="E1091" t="str">
            <v>Sócio</v>
          </cell>
        </row>
        <row r="1092">
          <cell r="E1092" t="str">
            <v>Sócio</v>
          </cell>
        </row>
        <row r="1093">
          <cell r="E1093" t="str">
            <v>Sócio</v>
          </cell>
        </row>
        <row r="1094">
          <cell r="E1094" t="str">
            <v>Sócio</v>
          </cell>
        </row>
        <row r="1095">
          <cell r="E1095" t="str">
            <v>Sócio</v>
          </cell>
        </row>
        <row r="1096">
          <cell r="E1096" t="str">
            <v>Sócio</v>
          </cell>
        </row>
        <row r="1097">
          <cell r="E1097" t="str">
            <v>Sócio</v>
          </cell>
        </row>
        <row r="1098">
          <cell r="E1098" t="str">
            <v>Sócio</v>
          </cell>
        </row>
        <row r="1099">
          <cell r="E1099" t="str">
            <v>Sócio</v>
          </cell>
        </row>
        <row r="1100">
          <cell r="E1100" t="str">
            <v>Sócio</v>
          </cell>
        </row>
        <row r="1101">
          <cell r="E1101" t="str">
            <v>Sócio</v>
          </cell>
        </row>
        <row r="1102">
          <cell r="E1102" t="str">
            <v>Sócio</v>
          </cell>
        </row>
        <row r="1103">
          <cell r="E1103" t="str">
            <v>Sócio</v>
          </cell>
        </row>
        <row r="1104">
          <cell r="E1104" t="str">
            <v>Sócio</v>
          </cell>
        </row>
        <row r="1105">
          <cell r="E1105" t="str">
            <v>Sócio</v>
          </cell>
        </row>
        <row r="1106">
          <cell r="E1106" t="str">
            <v>Sócio</v>
          </cell>
        </row>
        <row r="1107">
          <cell r="E1107" t="str">
            <v>Sócio</v>
          </cell>
        </row>
        <row r="1108">
          <cell r="E1108" t="str">
            <v>Sócio</v>
          </cell>
        </row>
        <row r="1109">
          <cell r="E1109" t="str">
            <v>Sócio</v>
          </cell>
        </row>
        <row r="1110">
          <cell r="E1110" t="str">
            <v>Sócio</v>
          </cell>
        </row>
        <row r="1111">
          <cell r="BY1111">
            <v>0</v>
          </cell>
        </row>
        <row r="1113">
          <cell r="BY1113">
            <v>31111.08</v>
          </cell>
        </row>
        <row r="1115">
          <cell r="E1115" t="str">
            <v>Sócio Sr</v>
          </cell>
          <cell r="BY1115">
            <v>72800</v>
          </cell>
        </row>
        <row r="1116">
          <cell r="E1116" t="str">
            <v>B2</v>
          </cell>
          <cell r="BY1116">
            <v>34320</v>
          </cell>
        </row>
        <row r="1117">
          <cell r="E1117" t="str">
            <v>B2</v>
          </cell>
          <cell r="BY1117">
            <v>34320</v>
          </cell>
        </row>
        <row r="1118">
          <cell r="E1118" t="str">
            <v>B2</v>
          </cell>
          <cell r="BY1118">
            <v>34320</v>
          </cell>
        </row>
        <row r="1119">
          <cell r="E1119" t="str">
            <v>Estagiário</v>
          </cell>
          <cell r="BY1119">
            <v>6500</v>
          </cell>
        </row>
        <row r="1120">
          <cell r="E1120" t="str">
            <v>B0</v>
          </cell>
          <cell r="BY1120">
            <v>21450</v>
          </cell>
        </row>
        <row r="1121">
          <cell r="E1121" t="str">
            <v>Estagiário</v>
          </cell>
          <cell r="BY1121">
            <v>6500</v>
          </cell>
        </row>
        <row r="1122">
          <cell r="BY1122">
            <v>210210</v>
          </cell>
        </row>
        <row r="1124">
          <cell r="E1124" t="str">
            <v>Sócio</v>
          </cell>
          <cell r="BY1124">
            <v>-1366.365</v>
          </cell>
        </row>
        <row r="1125">
          <cell r="E1125" t="str">
            <v>Sócio</v>
          </cell>
          <cell r="BY1125">
            <v>-6306.3</v>
          </cell>
        </row>
        <row r="1126">
          <cell r="E1126" t="str">
            <v>Sócio</v>
          </cell>
          <cell r="BY1126">
            <v>-16816.8</v>
          </cell>
        </row>
        <row r="1127">
          <cell r="E1127" t="str">
            <v>Sócio</v>
          </cell>
          <cell r="BY1127">
            <v>-6054.0479999999998</v>
          </cell>
        </row>
        <row r="1128">
          <cell r="BY1128">
            <v>-30543.512999999999</v>
          </cell>
        </row>
        <row r="1130">
          <cell r="BY1130">
            <v>179666.48699999999</v>
          </cell>
        </row>
        <row r="1132">
          <cell r="E1132" t="str">
            <v>Sócio</v>
          </cell>
          <cell r="BY1132">
            <v>-31111.08</v>
          </cell>
        </row>
        <row r="1133">
          <cell r="E1133" t="str">
            <v>B2</v>
          </cell>
          <cell r="BY1133">
            <v>-9533.4096000000009</v>
          </cell>
        </row>
        <row r="1134">
          <cell r="E1134" t="str">
            <v>B2</v>
          </cell>
          <cell r="BY1134">
            <v>-9533.4096000000009</v>
          </cell>
        </row>
        <row r="1135">
          <cell r="E1135" t="str">
            <v>B2</v>
          </cell>
          <cell r="BY1135">
            <v>-9533.4096000000009</v>
          </cell>
        </row>
        <row r="1136">
          <cell r="E1136" t="str">
            <v>Estagiário</v>
          </cell>
          <cell r="BY1136">
            <v>-1344.33</v>
          </cell>
        </row>
        <row r="1137">
          <cell r="E1137" t="str">
            <v>Estagiário</v>
          </cell>
          <cell r="BY1137">
            <v>-3897.62</v>
          </cell>
        </row>
        <row r="1138">
          <cell r="E1138" t="str">
            <v>Estagiário</v>
          </cell>
          <cell r="BY1138">
            <v>-1344.33</v>
          </cell>
        </row>
        <row r="1139">
          <cell r="BY1139">
            <v>-66297.588799999998</v>
          </cell>
        </row>
        <row r="1141">
          <cell r="E1141" t="str">
            <v>Sócio</v>
          </cell>
        </row>
        <row r="1142">
          <cell r="E1142" t="str">
            <v>Sócio</v>
          </cell>
        </row>
        <row r="1143">
          <cell r="E1143" t="str">
            <v>Sócio</v>
          </cell>
        </row>
        <row r="1144">
          <cell r="E1144" t="str">
            <v>Sócio</v>
          </cell>
        </row>
        <row r="1145">
          <cell r="E1145" t="str">
            <v>Sócio</v>
          </cell>
        </row>
        <row r="1146">
          <cell r="E1146" t="str">
            <v>Sócio</v>
          </cell>
        </row>
        <row r="1147">
          <cell r="E1147" t="str">
            <v>Sócio</v>
          </cell>
        </row>
        <row r="1148">
          <cell r="E1148" t="str">
            <v>Sócio</v>
          </cell>
        </row>
        <row r="1149">
          <cell r="E1149" t="str">
            <v>Sócio</v>
          </cell>
        </row>
        <row r="1150">
          <cell r="E1150" t="str">
            <v>Sócio</v>
          </cell>
        </row>
        <row r="1151">
          <cell r="E1151" t="str">
            <v>Sócio</v>
          </cell>
        </row>
        <row r="1152">
          <cell r="E1152" t="str">
            <v>Sócio</v>
          </cell>
        </row>
        <row r="1153">
          <cell r="E1153" t="str">
            <v>Sócio</v>
          </cell>
        </row>
        <row r="1154">
          <cell r="E1154" t="str">
            <v>Sócio</v>
          </cell>
        </row>
        <row r="1155">
          <cell r="E1155" t="str">
            <v>Sócio</v>
          </cell>
        </row>
        <row r="1156">
          <cell r="E1156" t="str">
            <v>Sócio</v>
          </cell>
        </row>
        <row r="1157">
          <cell r="E1157" t="str">
            <v>Sócio</v>
          </cell>
        </row>
        <row r="1158">
          <cell r="E1158" t="str">
            <v>Sócio</v>
          </cell>
        </row>
        <row r="1159">
          <cell r="E1159" t="str">
            <v>Sócio</v>
          </cell>
        </row>
        <row r="1160">
          <cell r="E1160" t="str">
            <v>Sócio</v>
          </cell>
        </row>
        <row r="1161">
          <cell r="E1161" t="str">
            <v>Sócio</v>
          </cell>
        </row>
        <row r="1162">
          <cell r="E1162" t="str">
            <v>Sócio</v>
          </cell>
        </row>
        <row r="1163">
          <cell r="E1163" t="str">
            <v>Sócio</v>
          </cell>
        </row>
        <row r="1164">
          <cell r="E1164" t="str">
            <v>Sócio</v>
          </cell>
        </row>
        <row r="1165">
          <cell r="BY1165">
            <v>0</v>
          </cell>
        </row>
        <row r="1167">
          <cell r="BY1167">
            <v>113368.8982</v>
          </cell>
        </row>
        <row r="1169">
          <cell r="E1169" t="str">
            <v>Classe N</v>
          </cell>
          <cell r="BY1169">
            <v>80080</v>
          </cell>
        </row>
        <row r="1170">
          <cell r="E1170" t="str">
            <v>Estagiário</v>
          </cell>
          <cell r="BY1170">
            <v>6500</v>
          </cell>
        </row>
        <row r="1171">
          <cell r="E1171" t="str">
            <v>B0</v>
          </cell>
          <cell r="BY1171">
            <v>21450</v>
          </cell>
        </row>
        <row r="1172">
          <cell r="E1172" t="str">
            <v>B0</v>
          </cell>
          <cell r="BY1172">
            <v>21450</v>
          </cell>
        </row>
        <row r="1173">
          <cell r="BY1173">
            <v>129480</v>
          </cell>
        </row>
        <row r="1175">
          <cell r="E1175" t="str">
            <v>Sócio</v>
          </cell>
          <cell r="BY1175">
            <v>-841.62</v>
          </cell>
        </row>
        <row r="1176">
          <cell r="E1176" t="str">
            <v>Sócio</v>
          </cell>
          <cell r="BY1176">
            <v>-3884.4</v>
          </cell>
        </row>
        <row r="1177">
          <cell r="E1177" t="str">
            <v>Sócio</v>
          </cell>
          <cell r="BY1177">
            <v>-10358.4</v>
          </cell>
        </row>
        <row r="1178">
          <cell r="E1178" t="str">
            <v>Sócio</v>
          </cell>
          <cell r="BY1178">
            <v>-3729.0239999999999</v>
          </cell>
        </row>
        <row r="1179">
          <cell r="BY1179">
            <v>-18813.444</v>
          </cell>
        </row>
        <row r="1181">
          <cell r="BY1181">
            <v>110666.556</v>
          </cell>
        </row>
        <row r="1183">
          <cell r="E1183" t="str">
            <v>Classe N</v>
          </cell>
          <cell r="BY1183">
            <v>-34222.188000000002</v>
          </cell>
        </row>
        <row r="1184">
          <cell r="E1184" t="str">
            <v>Estagiário</v>
          </cell>
          <cell r="BY1184">
            <v>-1344.33</v>
          </cell>
        </row>
        <row r="1185">
          <cell r="E1185" t="str">
            <v>B0</v>
          </cell>
          <cell r="BY1185">
            <v>-3897.62</v>
          </cell>
        </row>
        <row r="1186">
          <cell r="E1186" t="str">
            <v>B0</v>
          </cell>
          <cell r="BY1186">
            <v>-3897.62</v>
          </cell>
        </row>
        <row r="1187">
          <cell r="BY1187">
            <v>-43361.758000000009</v>
          </cell>
        </row>
        <row r="1189">
          <cell r="E1189" t="str">
            <v>Sócio</v>
          </cell>
        </row>
        <row r="1190">
          <cell r="E1190" t="str">
            <v>Sócio</v>
          </cell>
        </row>
        <row r="1191">
          <cell r="E1191" t="str">
            <v>Sócio</v>
          </cell>
        </row>
        <row r="1192">
          <cell r="E1192" t="str">
            <v>Sócio</v>
          </cell>
        </row>
        <row r="1193">
          <cell r="E1193" t="str">
            <v>Sócio</v>
          </cell>
        </row>
        <row r="1194">
          <cell r="E1194" t="str">
            <v>Sócio</v>
          </cell>
        </row>
        <row r="1195">
          <cell r="E1195" t="str">
            <v>Sócio</v>
          </cell>
        </row>
        <row r="1196">
          <cell r="E1196" t="str">
            <v>Sócio</v>
          </cell>
        </row>
        <row r="1197">
          <cell r="E1197" t="str">
            <v>Sócio</v>
          </cell>
        </row>
        <row r="1198">
          <cell r="E1198" t="str">
            <v>Sócio</v>
          </cell>
        </row>
        <row r="1199">
          <cell r="E1199" t="str">
            <v>Sócio</v>
          </cell>
        </row>
        <row r="1200">
          <cell r="E1200" t="str">
            <v>Sócio</v>
          </cell>
        </row>
        <row r="1201">
          <cell r="E1201" t="str">
            <v>Sócio</v>
          </cell>
        </row>
        <row r="1202">
          <cell r="E1202" t="str">
            <v>Sócio</v>
          </cell>
        </row>
        <row r="1203">
          <cell r="E1203" t="str">
            <v>Sócio</v>
          </cell>
        </row>
        <row r="1204">
          <cell r="E1204" t="str">
            <v>Sócio</v>
          </cell>
        </row>
        <row r="1205">
          <cell r="E1205" t="str">
            <v>Sócio</v>
          </cell>
        </row>
        <row r="1206">
          <cell r="E1206" t="str">
            <v>Sócio</v>
          </cell>
        </row>
        <row r="1207">
          <cell r="E1207" t="str">
            <v>Sócio</v>
          </cell>
        </row>
        <row r="1208">
          <cell r="E1208" t="str">
            <v>Sócio</v>
          </cell>
        </row>
        <row r="1209">
          <cell r="E1209" t="str">
            <v>Sócio</v>
          </cell>
        </row>
        <row r="1210">
          <cell r="E1210" t="str">
            <v>Sócio</v>
          </cell>
        </row>
        <row r="1211">
          <cell r="E1211" t="str">
            <v>Sócio</v>
          </cell>
        </row>
        <row r="1212">
          <cell r="E1212" t="str">
            <v>Sócio</v>
          </cell>
        </row>
        <row r="1213">
          <cell r="BY1213">
            <v>0</v>
          </cell>
        </row>
        <row r="1215">
          <cell r="BY1215">
            <v>67304.797999999981</v>
          </cell>
        </row>
        <row r="1217">
          <cell r="E1217" t="str">
            <v>B3</v>
          </cell>
          <cell r="BY1217">
            <v>40040</v>
          </cell>
        </row>
        <row r="1218">
          <cell r="BY1218">
            <v>40040</v>
          </cell>
        </row>
        <row r="1220">
          <cell r="E1220" t="str">
            <v>Sócio</v>
          </cell>
          <cell r="BY1220">
            <v>-260.26</v>
          </cell>
        </row>
        <row r="1221">
          <cell r="E1221" t="str">
            <v>Sócio</v>
          </cell>
          <cell r="BY1221">
            <v>-1201.2</v>
          </cell>
        </row>
        <row r="1222">
          <cell r="E1222" t="str">
            <v>Sócio</v>
          </cell>
          <cell r="BY1222">
            <v>-3203.2</v>
          </cell>
        </row>
        <row r="1223">
          <cell r="E1223" t="str">
            <v>Sócio</v>
          </cell>
          <cell r="BY1223">
            <v>-1153.152</v>
          </cell>
        </row>
        <row r="1224">
          <cell r="BY1224">
            <v>-5817.8119999999999</v>
          </cell>
        </row>
        <row r="1226">
          <cell r="BY1226">
            <v>34222.188000000002</v>
          </cell>
        </row>
        <row r="1228">
          <cell r="E1228" t="str">
            <v>B3</v>
          </cell>
          <cell r="BY1228">
            <v>-11977.966</v>
          </cell>
        </row>
        <row r="1229">
          <cell r="BY1229">
            <v>-11977.966</v>
          </cell>
        </row>
        <row r="1231">
          <cell r="E1231" t="str">
            <v>Sócio</v>
          </cell>
        </row>
        <row r="1232">
          <cell r="E1232" t="str">
            <v>Sócio</v>
          </cell>
        </row>
        <row r="1233">
          <cell r="E1233" t="str">
            <v>Sócio</v>
          </cell>
        </row>
        <row r="1234">
          <cell r="E1234" t="str">
            <v>Sócio</v>
          </cell>
        </row>
        <row r="1235">
          <cell r="E1235" t="str">
            <v>Sócio</v>
          </cell>
        </row>
        <row r="1236">
          <cell r="E1236" t="str">
            <v>Sócio</v>
          </cell>
        </row>
        <row r="1237">
          <cell r="E1237" t="str">
            <v>Sócio</v>
          </cell>
        </row>
        <row r="1238">
          <cell r="E1238" t="str">
            <v>Sócio</v>
          </cell>
        </row>
        <row r="1239">
          <cell r="E1239" t="str">
            <v>Sócio</v>
          </cell>
        </row>
        <row r="1240">
          <cell r="E1240" t="str">
            <v>Sócio</v>
          </cell>
        </row>
        <row r="1241">
          <cell r="E1241" t="str">
            <v>Sócio</v>
          </cell>
        </row>
        <row r="1242">
          <cell r="E1242" t="str">
            <v>Sócio</v>
          </cell>
        </row>
        <row r="1243">
          <cell r="E1243" t="str">
            <v>Sócio</v>
          </cell>
        </row>
        <row r="1244">
          <cell r="E1244" t="str">
            <v>Sócio</v>
          </cell>
        </row>
        <row r="1245">
          <cell r="E1245" t="str">
            <v>Sócio</v>
          </cell>
        </row>
        <row r="1246">
          <cell r="E1246" t="str">
            <v>Sócio</v>
          </cell>
        </row>
        <row r="1247">
          <cell r="E1247" t="str">
            <v>Sócio</v>
          </cell>
        </row>
        <row r="1248">
          <cell r="E1248" t="str">
            <v>Sócio</v>
          </cell>
        </row>
        <row r="1249">
          <cell r="E1249" t="str">
            <v>Sócio</v>
          </cell>
        </row>
        <row r="1250">
          <cell r="E1250" t="str">
            <v>Sócio</v>
          </cell>
        </row>
        <row r="1251">
          <cell r="E1251" t="str">
            <v>Sócio</v>
          </cell>
        </row>
        <row r="1252">
          <cell r="E1252" t="str">
            <v>Sócio</v>
          </cell>
        </row>
        <row r="1253">
          <cell r="E1253" t="str">
            <v>Sócio</v>
          </cell>
        </row>
        <row r="1254">
          <cell r="E1254" t="str">
            <v>Sócio</v>
          </cell>
        </row>
        <row r="1255">
          <cell r="BY1255">
            <v>0</v>
          </cell>
        </row>
        <row r="1257">
          <cell r="BY1257">
            <v>22244.222000000002</v>
          </cell>
        </row>
        <row r="1259">
          <cell r="E1259" t="str">
            <v>B3</v>
          </cell>
          <cell r="BY1259">
            <v>40040</v>
          </cell>
        </row>
        <row r="1260">
          <cell r="E1260" t="str">
            <v>B0</v>
          </cell>
          <cell r="BY1260">
            <v>21450</v>
          </cell>
        </row>
        <row r="1261">
          <cell r="E1261" t="str">
            <v>Estagiário</v>
          </cell>
          <cell r="BY1261">
            <v>6500</v>
          </cell>
        </row>
        <row r="1262">
          <cell r="E1262" t="str">
            <v>B0</v>
          </cell>
          <cell r="BY1262">
            <v>21450</v>
          </cell>
        </row>
        <row r="1263">
          <cell r="BY1263">
            <v>89440</v>
          </cell>
        </row>
        <row r="1265">
          <cell r="E1265" t="str">
            <v>Sócio</v>
          </cell>
          <cell r="BY1265">
            <v>-581.36</v>
          </cell>
        </row>
        <row r="1266">
          <cell r="E1266" t="str">
            <v>Sócio</v>
          </cell>
          <cell r="BY1266">
            <v>-2683.2</v>
          </cell>
        </row>
        <row r="1267">
          <cell r="E1267" t="str">
            <v>Sócio</v>
          </cell>
          <cell r="BY1267">
            <v>-7155.2</v>
          </cell>
        </row>
        <row r="1268">
          <cell r="E1268" t="str">
            <v>Sócio</v>
          </cell>
          <cell r="BY1268">
            <v>-2575.8719999999998</v>
          </cell>
        </row>
        <row r="1269">
          <cell r="BY1269">
            <v>-12995.632</v>
          </cell>
        </row>
        <row r="1271">
          <cell r="BY1271">
            <v>76444.368000000002</v>
          </cell>
        </row>
        <row r="1273">
          <cell r="E1273" t="str">
            <v>B3</v>
          </cell>
          <cell r="BY1273">
            <v>-11977.966</v>
          </cell>
        </row>
        <row r="1274">
          <cell r="E1274" t="str">
            <v>B0</v>
          </cell>
          <cell r="BY1274">
            <v>-3897.62</v>
          </cell>
        </row>
        <row r="1275">
          <cell r="E1275" t="str">
            <v>Estagiário</v>
          </cell>
          <cell r="BY1275">
            <v>-1344.33</v>
          </cell>
        </row>
        <row r="1276">
          <cell r="E1276" t="str">
            <v>B0</v>
          </cell>
          <cell r="BY1276">
            <v>-3897.62</v>
          </cell>
        </row>
        <row r="1277">
          <cell r="BY1277">
            <v>-21117.535999999996</v>
          </cell>
        </row>
        <row r="1279">
          <cell r="E1279" t="str">
            <v>Sócio</v>
          </cell>
        </row>
        <row r="1280">
          <cell r="E1280" t="str">
            <v>Sócio</v>
          </cell>
        </row>
        <row r="1281">
          <cell r="E1281" t="str">
            <v>Sócio</v>
          </cell>
        </row>
        <row r="1282">
          <cell r="E1282" t="str">
            <v>Sócio</v>
          </cell>
        </row>
        <row r="1283">
          <cell r="E1283" t="str">
            <v>Sócio</v>
          </cell>
        </row>
        <row r="1284">
          <cell r="E1284" t="str">
            <v>Sócio</v>
          </cell>
        </row>
        <row r="1285">
          <cell r="E1285" t="str">
            <v>Sócio</v>
          </cell>
        </row>
        <row r="1286">
          <cell r="E1286" t="str">
            <v>Sócio</v>
          </cell>
        </row>
        <row r="1287">
          <cell r="E1287" t="str">
            <v>Sócio</v>
          </cell>
        </row>
        <row r="1288">
          <cell r="E1288" t="str">
            <v>Sócio</v>
          </cell>
        </row>
        <row r="1289">
          <cell r="E1289" t="str">
            <v>Sócio</v>
          </cell>
        </row>
        <row r="1290">
          <cell r="E1290" t="str">
            <v>Sócio</v>
          </cell>
        </row>
        <row r="1291">
          <cell r="E1291" t="str">
            <v>Sócio</v>
          </cell>
        </row>
        <row r="1292">
          <cell r="E1292" t="str">
            <v>Sócio</v>
          </cell>
        </row>
        <row r="1293">
          <cell r="E1293" t="str">
            <v>Sócio</v>
          </cell>
        </row>
        <row r="1294">
          <cell r="E1294" t="str">
            <v>Sócio</v>
          </cell>
        </row>
        <row r="1295">
          <cell r="E1295" t="str">
            <v>Sócio</v>
          </cell>
        </row>
        <row r="1296">
          <cell r="E1296" t="str">
            <v>Sócio</v>
          </cell>
        </row>
        <row r="1297">
          <cell r="E1297" t="str">
            <v>Sócio</v>
          </cell>
        </row>
        <row r="1298">
          <cell r="E1298" t="str">
            <v>Sócio</v>
          </cell>
        </row>
        <row r="1299">
          <cell r="E1299" t="str">
            <v>Sócio</v>
          </cell>
        </row>
        <row r="1300">
          <cell r="E1300" t="str">
            <v>Sócio</v>
          </cell>
        </row>
        <row r="1301">
          <cell r="E1301" t="str">
            <v>Sócio</v>
          </cell>
        </row>
        <row r="1302">
          <cell r="E1302" t="str">
            <v>Sócio</v>
          </cell>
        </row>
        <row r="1303">
          <cell r="BY1303">
            <v>0</v>
          </cell>
        </row>
        <row r="1305">
          <cell r="BY1305">
            <v>55326.832000000009</v>
          </cell>
        </row>
        <row r="1307">
          <cell r="E1307" t="str">
            <v>B2</v>
          </cell>
          <cell r="BY1307">
            <v>34320</v>
          </cell>
        </row>
        <row r="1308">
          <cell r="E1308" t="str">
            <v>B0</v>
          </cell>
          <cell r="BY1308">
            <v>21450</v>
          </cell>
        </row>
        <row r="1309">
          <cell r="E1309" t="str">
            <v>Estagiário</v>
          </cell>
          <cell r="BY1309">
            <v>6500</v>
          </cell>
        </row>
        <row r="1310">
          <cell r="BY1310">
            <v>62270</v>
          </cell>
        </row>
        <row r="1312">
          <cell r="E1312" t="str">
            <v>Sócio</v>
          </cell>
          <cell r="BY1312">
            <v>-404.755</v>
          </cell>
        </row>
        <row r="1313">
          <cell r="E1313" t="str">
            <v>Sócio</v>
          </cell>
          <cell r="BY1313">
            <v>-1868.1</v>
          </cell>
        </row>
        <row r="1314">
          <cell r="E1314" t="str">
            <v>Sócio</v>
          </cell>
          <cell r="BY1314">
            <v>-4981.6000000000004</v>
          </cell>
        </row>
        <row r="1315">
          <cell r="E1315" t="str">
            <v>Sócio</v>
          </cell>
          <cell r="BY1315">
            <v>-1793.376</v>
          </cell>
        </row>
        <row r="1316">
          <cell r="BY1316">
            <v>-9047.8310000000001</v>
          </cell>
        </row>
        <row r="1318">
          <cell r="BY1318">
            <v>53222.169000000002</v>
          </cell>
        </row>
        <row r="1320">
          <cell r="E1320" t="str">
            <v>B2</v>
          </cell>
          <cell r="BY1320">
            <v>-9533.4096000000009</v>
          </cell>
        </row>
        <row r="1321">
          <cell r="E1321" t="str">
            <v>B0</v>
          </cell>
          <cell r="BY1321">
            <v>-3897.62</v>
          </cell>
        </row>
        <row r="1322">
          <cell r="E1322" t="str">
            <v>Estagiário</v>
          </cell>
          <cell r="BY1322">
            <v>-1344.33</v>
          </cell>
        </row>
        <row r="1323">
          <cell r="BY1323">
            <v>-14775.359600000002</v>
          </cell>
        </row>
        <row r="1325">
          <cell r="E1325" t="str">
            <v>Sócio</v>
          </cell>
        </row>
        <row r="1326">
          <cell r="E1326" t="str">
            <v>Sócio</v>
          </cell>
        </row>
        <row r="1327">
          <cell r="E1327" t="str">
            <v>Sócio</v>
          </cell>
        </row>
        <row r="1328">
          <cell r="E1328" t="str">
            <v>Sócio</v>
          </cell>
        </row>
        <row r="1329">
          <cell r="E1329" t="str">
            <v>Sócio</v>
          </cell>
        </row>
        <row r="1330">
          <cell r="E1330" t="str">
            <v>Sócio</v>
          </cell>
        </row>
        <row r="1331">
          <cell r="E1331" t="str">
            <v>Sócio</v>
          </cell>
        </row>
        <row r="1332">
          <cell r="E1332" t="str">
            <v>Sócio</v>
          </cell>
        </row>
        <row r="1333">
          <cell r="E1333" t="str">
            <v>Sócio</v>
          </cell>
        </row>
        <row r="1334">
          <cell r="E1334" t="str">
            <v>Sócio</v>
          </cell>
        </row>
        <row r="1335">
          <cell r="E1335" t="str">
            <v>Sócio</v>
          </cell>
        </row>
        <row r="1336">
          <cell r="E1336" t="str">
            <v>Sócio</v>
          </cell>
        </row>
        <row r="1337">
          <cell r="E1337" t="str">
            <v>Sócio</v>
          </cell>
        </row>
        <row r="1338">
          <cell r="E1338" t="str">
            <v>Sócio</v>
          </cell>
        </row>
        <row r="1339">
          <cell r="E1339" t="str">
            <v>Sócio</v>
          </cell>
        </row>
        <row r="1340">
          <cell r="E1340" t="str">
            <v>Sócio</v>
          </cell>
        </row>
        <row r="1341">
          <cell r="E1341" t="str">
            <v>Sócio</v>
          </cell>
        </row>
        <row r="1342">
          <cell r="E1342" t="str">
            <v>Sócio</v>
          </cell>
        </row>
        <row r="1343">
          <cell r="E1343" t="str">
            <v>Sócio</v>
          </cell>
        </row>
        <row r="1344">
          <cell r="E1344" t="str">
            <v>Sócio</v>
          </cell>
        </row>
        <row r="1345">
          <cell r="E1345" t="str">
            <v>Sócio</v>
          </cell>
        </row>
        <row r="1346">
          <cell r="E1346" t="str">
            <v>Sócio</v>
          </cell>
        </row>
        <row r="1347">
          <cell r="E1347" t="str">
            <v>Sócio</v>
          </cell>
        </row>
        <row r="1348">
          <cell r="E1348" t="str">
            <v>Sócio</v>
          </cell>
        </row>
        <row r="1349">
          <cell r="BY1349">
            <v>0</v>
          </cell>
        </row>
        <row r="1351">
          <cell r="BY1351">
            <v>38446.809399999998</v>
          </cell>
        </row>
        <row r="1353">
          <cell r="E1353" t="str">
            <v>B2</v>
          </cell>
          <cell r="BY1353">
            <v>34320</v>
          </cell>
        </row>
        <row r="1354">
          <cell r="E1354" t="str">
            <v>Estagiário</v>
          </cell>
          <cell r="BY1354">
            <v>6500</v>
          </cell>
        </row>
        <row r="1355">
          <cell r="E1355" t="str">
            <v>Estagiário</v>
          </cell>
          <cell r="BY1355">
            <v>6500</v>
          </cell>
        </row>
        <row r="1356">
          <cell r="E1356" t="str">
            <v>Estagiário</v>
          </cell>
          <cell r="BY1356">
            <v>6500</v>
          </cell>
        </row>
        <row r="1357">
          <cell r="E1357" t="str">
            <v>B0</v>
          </cell>
          <cell r="BY1357">
            <v>21450</v>
          </cell>
        </row>
        <row r="1358">
          <cell r="BY1358">
            <v>75270</v>
          </cell>
        </row>
        <row r="1360">
          <cell r="E1360" t="str">
            <v>Sócio</v>
          </cell>
          <cell r="BY1360">
            <v>-489.255</v>
          </cell>
        </row>
        <row r="1361">
          <cell r="E1361" t="str">
            <v>Sócio</v>
          </cell>
          <cell r="BY1361">
            <v>-2258.1</v>
          </cell>
        </row>
        <row r="1362">
          <cell r="E1362" t="str">
            <v>Sócio</v>
          </cell>
          <cell r="BY1362">
            <v>-6021.6</v>
          </cell>
        </row>
        <row r="1363">
          <cell r="E1363" t="str">
            <v>Sócio</v>
          </cell>
          <cell r="BY1363">
            <v>-2167.7759999999998</v>
          </cell>
        </row>
        <row r="1364">
          <cell r="BY1364">
            <v>-10936.731</v>
          </cell>
        </row>
        <row r="1366">
          <cell r="BY1366">
            <v>64333.269</v>
          </cell>
        </row>
        <row r="1368">
          <cell r="E1368" t="str">
            <v>B2</v>
          </cell>
          <cell r="BY1368">
            <v>-9533.4096000000009</v>
          </cell>
        </row>
        <row r="1369">
          <cell r="E1369" t="str">
            <v>Estagiário</v>
          </cell>
          <cell r="BY1369">
            <v>-1344.33</v>
          </cell>
        </row>
        <row r="1370">
          <cell r="E1370" t="str">
            <v>Estagiário</v>
          </cell>
          <cell r="BY1370">
            <v>-1344.33</v>
          </cell>
        </row>
        <row r="1371">
          <cell r="E1371" t="str">
            <v>Estagiário</v>
          </cell>
          <cell r="BY1371">
            <v>-1344.33</v>
          </cell>
        </row>
        <row r="1372">
          <cell r="E1372" t="str">
            <v>B0</v>
          </cell>
          <cell r="BY1372">
            <v>-3897.62</v>
          </cell>
        </row>
        <row r="1373">
          <cell r="BY1373">
            <v>-17464.0196</v>
          </cell>
        </row>
        <row r="1375">
          <cell r="E1375" t="str">
            <v>Sócio</v>
          </cell>
        </row>
        <row r="1376">
          <cell r="E1376" t="str">
            <v>Sócio</v>
          </cell>
        </row>
        <row r="1377">
          <cell r="E1377" t="str">
            <v>Sócio</v>
          </cell>
        </row>
        <row r="1378">
          <cell r="E1378" t="str">
            <v>Sócio</v>
          </cell>
        </row>
        <row r="1379">
          <cell r="E1379" t="str">
            <v>Sócio</v>
          </cell>
        </row>
        <row r="1380">
          <cell r="E1380" t="str">
            <v>Sócio</v>
          </cell>
        </row>
        <row r="1381">
          <cell r="E1381" t="str">
            <v>Sócio</v>
          </cell>
        </row>
        <row r="1382">
          <cell r="E1382" t="str">
            <v>Sócio</v>
          </cell>
        </row>
        <row r="1383">
          <cell r="E1383" t="str">
            <v>Sócio</v>
          </cell>
        </row>
        <row r="1384">
          <cell r="E1384" t="str">
            <v>Sócio</v>
          </cell>
        </row>
        <row r="1385">
          <cell r="E1385" t="str">
            <v>Sócio</v>
          </cell>
        </row>
        <row r="1386">
          <cell r="E1386" t="str">
            <v>Sócio</v>
          </cell>
        </row>
        <row r="1387">
          <cell r="E1387" t="str">
            <v>Sócio</v>
          </cell>
        </row>
        <row r="1388">
          <cell r="E1388" t="str">
            <v>Sócio</v>
          </cell>
        </row>
        <row r="1389">
          <cell r="E1389" t="str">
            <v>Sócio</v>
          </cell>
        </row>
        <row r="1390">
          <cell r="E1390" t="str">
            <v>Sócio</v>
          </cell>
        </row>
        <row r="1391">
          <cell r="E1391" t="str">
            <v>Sócio</v>
          </cell>
        </row>
        <row r="1392">
          <cell r="E1392" t="str">
            <v>Sócio</v>
          </cell>
        </row>
        <row r="1393">
          <cell r="E1393" t="str">
            <v>Sócio</v>
          </cell>
        </row>
        <row r="1394">
          <cell r="E1394" t="str">
            <v>Sócio</v>
          </cell>
        </row>
        <row r="1395">
          <cell r="E1395" t="str">
            <v>Sócio</v>
          </cell>
        </row>
        <row r="1396">
          <cell r="E1396" t="str">
            <v>Sócio</v>
          </cell>
        </row>
        <row r="1397">
          <cell r="E1397" t="str">
            <v>Sócio</v>
          </cell>
        </row>
        <row r="1398">
          <cell r="E1398" t="str">
            <v>Sócio</v>
          </cell>
        </row>
        <row r="1399">
          <cell r="BY1399">
            <v>0</v>
          </cell>
        </row>
        <row r="1401">
          <cell r="BY1401">
            <v>46869.249400000001</v>
          </cell>
        </row>
        <row r="1403">
          <cell r="E1403" t="str">
            <v>B4</v>
          </cell>
          <cell r="BY1403">
            <v>42900</v>
          </cell>
        </row>
        <row r="1404">
          <cell r="E1404" t="str">
            <v>B2</v>
          </cell>
          <cell r="BY1404">
            <v>34320</v>
          </cell>
        </row>
        <row r="1405">
          <cell r="E1405" t="str">
            <v>Estagiário</v>
          </cell>
          <cell r="BY1405">
            <v>6500</v>
          </cell>
        </row>
        <row r="1406">
          <cell r="E1406" t="str">
            <v>Estagiário</v>
          </cell>
          <cell r="BY1406">
            <v>6500</v>
          </cell>
        </row>
        <row r="1407">
          <cell r="E1407" t="str">
            <v>Estagiário</v>
          </cell>
          <cell r="BY1407">
            <v>6500</v>
          </cell>
        </row>
        <row r="1408">
          <cell r="E1408" t="str">
            <v>Estagiário</v>
          </cell>
          <cell r="BY1408">
            <v>6500</v>
          </cell>
        </row>
        <row r="1409">
          <cell r="BY1409">
            <v>103220</v>
          </cell>
        </row>
        <row r="1411">
          <cell r="BY1411">
            <v>-670.93</v>
          </cell>
        </row>
        <row r="1412">
          <cell r="BY1412">
            <v>-3096.6</v>
          </cell>
        </row>
        <row r="1413">
          <cell r="BY1413">
            <v>-8257.6</v>
          </cell>
        </row>
        <row r="1414">
          <cell r="BY1414">
            <v>-2972.7359999999999</v>
          </cell>
        </row>
        <row r="1415">
          <cell r="BY1415">
            <v>-14997.866000000002</v>
          </cell>
        </row>
        <row r="1417">
          <cell r="BY1417">
            <v>88222.133999999991</v>
          </cell>
        </row>
        <row r="1419">
          <cell r="E1419" t="str">
            <v>B4</v>
          </cell>
          <cell r="BY1419">
            <v>-13749.879000000001</v>
          </cell>
        </row>
        <row r="1420">
          <cell r="E1420" t="str">
            <v>B2</v>
          </cell>
          <cell r="BY1420">
            <v>-9533.4096000000009</v>
          </cell>
        </row>
        <row r="1421">
          <cell r="E1421" t="str">
            <v>Estagiário</v>
          </cell>
          <cell r="BY1421">
            <v>-1344.33</v>
          </cell>
        </row>
        <row r="1422">
          <cell r="E1422" t="str">
            <v>Estagiário</v>
          </cell>
          <cell r="BY1422">
            <v>-1344.33</v>
          </cell>
        </row>
        <row r="1423">
          <cell r="E1423" t="str">
            <v>Estagiário</v>
          </cell>
          <cell r="BY1423">
            <v>-1344.33</v>
          </cell>
        </row>
        <row r="1424">
          <cell r="E1424" t="str">
            <v>Estagiário</v>
          </cell>
          <cell r="BY1424">
            <v>-1344.33</v>
          </cell>
        </row>
        <row r="1425">
          <cell r="BY1425">
            <v>-28660.608600000007</v>
          </cell>
        </row>
        <row r="1427">
          <cell r="E1427" t="str">
            <v>Sócio</v>
          </cell>
        </row>
        <row r="1428">
          <cell r="E1428" t="str">
            <v>Sócio</v>
          </cell>
        </row>
        <row r="1429">
          <cell r="E1429" t="str">
            <v>Sócio</v>
          </cell>
        </row>
        <row r="1430">
          <cell r="E1430" t="str">
            <v>Sócio</v>
          </cell>
        </row>
        <row r="1431">
          <cell r="E1431" t="str">
            <v>Sócio</v>
          </cell>
        </row>
        <row r="1432">
          <cell r="E1432" t="str">
            <v>Sócio</v>
          </cell>
        </row>
        <row r="1433">
          <cell r="E1433" t="str">
            <v>Sócio</v>
          </cell>
        </row>
        <row r="1434">
          <cell r="E1434" t="str">
            <v>Sócio</v>
          </cell>
        </row>
        <row r="1435">
          <cell r="E1435" t="str">
            <v>Sócio</v>
          </cell>
        </row>
        <row r="1436">
          <cell r="E1436" t="str">
            <v>Sócio</v>
          </cell>
        </row>
        <row r="1437">
          <cell r="E1437" t="str">
            <v>Sócio</v>
          </cell>
        </row>
        <row r="1438">
          <cell r="E1438" t="str">
            <v>Sócio</v>
          </cell>
        </row>
        <row r="1439">
          <cell r="E1439" t="str">
            <v>Sócio</v>
          </cell>
        </row>
        <row r="1440">
          <cell r="E1440" t="str">
            <v>Sócio</v>
          </cell>
        </row>
        <row r="1441">
          <cell r="E1441" t="str">
            <v>Sócio</v>
          </cell>
        </row>
        <row r="1442">
          <cell r="E1442" t="str">
            <v>Sócio</v>
          </cell>
        </row>
        <row r="1443">
          <cell r="E1443" t="str">
            <v>Sócio</v>
          </cell>
        </row>
        <row r="1444">
          <cell r="E1444" t="str">
            <v>Sócio</v>
          </cell>
        </row>
        <row r="1445">
          <cell r="E1445" t="str">
            <v>Sócio</v>
          </cell>
        </row>
        <row r="1446">
          <cell r="E1446" t="str">
            <v>Sócio</v>
          </cell>
        </row>
        <row r="1447">
          <cell r="E1447" t="str">
            <v>Sócio</v>
          </cell>
        </row>
        <row r="1448">
          <cell r="E1448" t="str">
            <v>Sócio</v>
          </cell>
        </row>
        <row r="1449">
          <cell r="E1449" t="str">
            <v>Sócio</v>
          </cell>
        </row>
        <row r="1450">
          <cell r="E1450" t="str">
            <v>Sócio</v>
          </cell>
        </row>
        <row r="1451">
          <cell r="BY1451">
            <v>0</v>
          </cell>
        </row>
        <row r="1453">
          <cell r="BY1453">
            <v>59561.525399999984</v>
          </cell>
        </row>
        <row r="1455">
          <cell r="E1455" t="str">
            <v>B5</v>
          </cell>
          <cell r="BY1455">
            <v>45760</v>
          </cell>
        </row>
        <row r="1456">
          <cell r="BY1456">
            <v>45760</v>
          </cell>
        </row>
        <row r="1458">
          <cell r="E1458" t="str">
            <v>Sócio</v>
          </cell>
          <cell r="BY1458">
            <v>-297.44</v>
          </cell>
        </row>
        <row r="1459">
          <cell r="E1459" t="str">
            <v>Sócio</v>
          </cell>
          <cell r="BY1459">
            <v>-1372.8</v>
          </cell>
        </row>
        <row r="1460">
          <cell r="E1460" t="str">
            <v>Sócio</v>
          </cell>
          <cell r="BY1460">
            <v>-3660.8</v>
          </cell>
        </row>
        <row r="1461">
          <cell r="E1461" t="str">
            <v>Sócio</v>
          </cell>
          <cell r="BY1461">
            <v>-1317.8879999999999</v>
          </cell>
        </row>
        <row r="1462">
          <cell r="BY1462">
            <v>-6648.9279999999999</v>
          </cell>
        </row>
        <row r="1464">
          <cell r="BY1464">
            <v>39111.072</v>
          </cell>
        </row>
        <row r="1466">
          <cell r="E1466" t="str">
            <v>B5</v>
          </cell>
          <cell r="BY1466">
            <v>-15644.428800000002</v>
          </cell>
        </row>
        <row r="1467">
          <cell r="BY1467">
            <v>-15644.428800000002</v>
          </cell>
        </row>
        <row r="1469">
          <cell r="E1469" t="str">
            <v>Sócio</v>
          </cell>
        </row>
        <row r="1470">
          <cell r="E1470" t="str">
            <v>Sócio</v>
          </cell>
        </row>
        <row r="1471">
          <cell r="E1471" t="str">
            <v>Sócio</v>
          </cell>
        </row>
        <row r="1472">
          <cell r="E1472" t="str">
            <v>Sócio</v>
          </cell>
        </row>
        <row r="1473">
          <cell r="E1473" t="str">
            <v>Sócio</v>
          </cell>
        </row>
        <row r="1474">
          <cell r="E1474" t="str">
            <v>Sócio</v>
          </cell>
        </row>
        <row r="1475">
          <cell r="E1475" t="str">
            <v>Sócio</v>
          </cell>
        </row>
        <row r="1476">
          <cell r="E1476" t="str">
            <v>Sócio</v>
          </cell>
        </row>
        <row r="1477">
          <cell r="E1477" t="str">
            <v>Sócio</v>
          </cell>
        </row>
        <row r="1478">
          <cell r="E1478" t="str">
            <v>Sócio</v>
          </cell>
        </row>
        <row r="1479">
          <cell r="E1479" t="str">
            <v>Sócio</v>
          </cell>
        </row>
        <row r="1480">
          <cell r="E1480" t="str">
            <v>Sócio</v>
          </cell>
        </row>
        <row r="1481">
          <cell r="E1481" t="str">
            <v>Sócio</v>
          </cell>
        </row>
        <row r="1482">
          <cell r="E1482" t="str">
            <v>Sócio</v>
          </cell>
        </row>
        <row r="1483">
          <cell r="E1483" t="str">
            <v>Sócio</v>
          </cell>
        </row>
        <row r="1484">
          <cell r="E1484" t="str">
            <v>Sócio</v>
          </cell>
        </row>
        <row r="1485">
          <cell r="E1485" t="str">
            <v>Sócio</v>
          </cell>
        </row>
        <row r="1486">
          <cell r="E1486" t="str">
            <v>Sócio</v>
          </cell>
        </row>
        <row r="1487">
          <cell r="E1487" t="str">
            <v>Sócio</v>
          </cell>
        </row>
        <row r="1488">
          <cell r="E1488" t="str">
            <v>Sócio</v>
          </cell>
        </row>
        <row r="1489">
          <cell r="E1489" t="str">
            <v>Sócio</v>
          </cell>
        </row>
        <row r="1490">
          <cell r="E1490" t="str">
            <v>Sócio</v>
          </cell>
        </row>
        <row r="1491">
          <cell r="E1491" t="str">
            <v>Sócio</v>
          </cell>
        </row>
        <row r="1492">
          <cell r="E1492" t="str">
            <v>Sócio</v>
          </cell>
        </row>
        <row r="1493">
          <cell r="BY1493">
            <v>0</v>
          </cell>
        </row>
        <row r="1495">
          <cell r="BY1495">
            <v>23466.643199999999</v>
          </cell>
        </row>
        <row r="1497">
          <cell r="E1497" t="str">
            <v>B3</v>
          </cell>
          <cell r="BY1497">
            <v>40040</v>
          </cell>
        </row>
        <row r="1498">
          <cell r="E1498" t="str">
            <v>B1</v>
          </cell>
          <cell r="BY1498">
            <v>28600</v>
          </cell>
        </row>
        <row r="1499">
          <cell r="E1499" t="str">
            <v>B0</v>
          </cell>
          <cell r="BY1499">
            <v>21450</v>
          </cell>
        </row>
        <row r="1500">
          <cell r="E1500" t="str">
            <v>Estagiário</v>
          </cell>
          <cell r="BY1500">
            <v>6500</v>
          </cell>
        </row>
        <row r="1501">
          <cell r="E1501" t="str">
            <v>Estagiário</v>
          </cell>
          <cell r="BY1501">
            <v>6500</v>
          </cell>
        </row>
        <row r="1502">
          <cell r="BY1502">
            <v>103090</v>
          </cell>
        </row>
        <row r="1504">
          <cell r="E1504" t="str">
            <v>Sócio</v>
          </cell>
          <cell r="BY1504">
            <v>-670.08500000000004</v>
          </cell>
        </row>
        <row r="1505">
          <cell r="E1505" t="str">
            <v>Sócio</v>
          </cell>
          <cell r="BY1505">
            <v>-3092.7</v>
          </cell>
        </row>
        <row r="1506">
          <cell r="E1506" t="str">
            <v>Sócio</v>
          </cell>
          <cell r="BY1506">
            <v>-8247.2000000000007</v>
          </cell>
        </row>
        <row r="1507">
          <cell r="E1507" t="str">
            <v>Sócio</v>
          </cell>
          <cell r="BY1507">
            <v>-2968.9919999999997</v>
          </cell>
        </row>
        <row r="1508">
          <cell r="BY1508">
            <v>-14978.977000000001</v>
          </cell>
        </row>
        <row r="1510">
          <cell r="BY1510">
            <v>88111.023000000001</v>
          </cell>
        </row>
        <row r="1512">
          <cell r="E1512" t="str">
            <v>B3</v>
          </cell>
          <cell r="BY1512">
            <v>-11977.966</v>
          </cell>
        </row>
        <row r="1513">
          <cell r="E1513" t="str">
            <v>B1</v>
          </cell>
          <cell r="BY1513">
            <v>-7333.3260000000009</v>
          </cell>
        </row>
        <row r="1514">
          <cell r="E1514" t="str">
            <v>B0</v>
          </cell>
          <cell r="BY1514">
            <v>-3897.62</v>
          </cell>
        </row>
        <row r="1515">
          <cell r="E1515" t="str">
            <v>Estagiário</v>
          </cell>
          <cell r="BY1515">
            <v>-1344.33</v>
          </cell>
        </row>
        <row r="1516">
          <cell r="E1516" t="str">
            <v>Estagiário</v>
          </cell>
          <cell r="BY1516">
            <v>-1344.33</v>
          </cell>
        </row>
        <row r="1517">
          <cell r="BY1517">
            <v>-25897.572</v>
          </cell>
        </row>
        <row r="1519">
          <cell r="E1519" t="str">
            <v>Sócio</v>
          </cell>
        </row>
        <row r="1520">
          <cell r="E1520" t="str">
            <v>Sócio</v>
          </cell>
        </row>
        <row r="1521">
          <cell r="E1521" t="str">
            <v>Sócio</v>
          </cell>
        </row>
        <row r="1522">
          <cell r="E1522" t="str">
            <v>Sócio</v>
          </cell>
        </row>
        <row r="1523">
          <cell r="E1523" t="str">
            <v>Sócio</v>
          </cell>
        </row>
        <row r="1524">
          <cell r="E1524" t="str">
            <v>Sócio</v>
          </cell>
        </row>
        <row r="1525">
          <cell r="E1525" t="str">
            <v>Sócio</v>
          </cell>
        </row>
        <row r="1526">
          <cell r="E1526" t="str">
            <v>Sócio</v>
          </cell>
        </row>
        <row r="1527">
          <cell r="E1527" t="str">
            <v>Sócio</v>
          </cell>
        </row>
        <row r="1528">
          <cell r="E1528" t="str">
            <v>Sócio</v>
          </cell>
        </row>
        <row r="1529">
          <cell r="E1529" t="str">
            <v>Sócio</v>
          </cell>
        </row>
        <row r="1530">
          <cell r="E1530" t="str">
            <v>Sócio</v>
          </cell>
        </row>
        <row r="1531">
          <cell r="E1531" t="str">
            <v>Sócio</v>
          </cell>
        </row>
        <row r="1532">
          <cell r="E1532" t="str">
            <v>Sócio</v>
          </cell>
        </row>
        <row r="1533">
          <cell r="E1533" t="str">
            <v>Sócio</v>
          </cell>
        </row>
        <row r="1534">
          <cell r="E1534" t="str">
            <v>Sócio</v>
          </cell>
        </row>
        <row r="1535">
          <cell r="E1535" t="str">
            <v>Sócio</v>
          </cell>
        </row>
        <row r="1536">
          <cell r="E1536" t="str">
            <v>Sócio</v>
          </cell>
        </row>
        <row r="1537">
          <cell r="E1537" t="str">
            <v>Sócio</v>
          </cell>
        </row>
        <row r="1538">
          <cell r="E1538" t="str">
            <v>Sócio</v>
          </cell>
        </row>
        <row r="1539">
          <cell r="E1539" t="str">
            <v>Sócio</v>
          </cell>
        </row>
        <row r="1540">
          <cell r="E1540" t="str">
            <v>Sócio</v>
          </cell>
        </row>
        <row r="1541">
          <cell r="E1541" t="str">
            <v>Sócio</v>
          </cell>
        </row>
        <row r="1542">
          <cell r="E1542" t="str">
            <v>Sócio</v>
          </cell>
        </row>
        <row r="1543">
          <cell r="BY1543">
            <v>0</v>
          </cell>
        </row>
        <row r="1545">
          <cell r="BY1545">
            <v>62213.451000000001</v>
          </cell>
        </row>
        <row r="1547">
          <cell r="E1547" t="str">
            <v>B5</v>
          </cell>
          <cell r="BY1547">
            <v>45760</v>
          </cell>
        </row>
        <row r="1548">
          <cell r="E1548" t="str">
            <v>B2</v>
          </cell>
          <cell r="BY1548">
            <v>34320</v>
          </cell>
        </row>
        <row r="1549">
          <cell r="E1549" t="str">
            <v>Estagiário</v>
          </cell>
          <cell r="BY1549">
            <v>6500</v>
          </cell>
        </row>
        <row r="1550">
          <cell r="E1550" t="str">
            <v>B0</v>
          </cell>
          <cell r="BY1550">
            <v>21450</v>
          </cell>
        </row>
        <row r="1551">
          <cell r="BY1551">
            <v>108030</v>
          </cell>
        </row>
        <row r="1553">
          <cell r="E1553" t="str">
            <v>Sócio</v>
          </cell>
          <cell r="BY1553">
            <v>-702.19500000000005</v>
          </cell>
        </row>
        <row r="1554">
          <cell r="E1554" t="str">
            <v>Sócio</v>
          </cell>
          <cell r="BY1554">
            <v>-3240.9</v>
          </cell>
        </row>
        <row r="1555">
          <cell r="E1555" t="str">
            <v>Sócio</v>
          </cell>
          <cell r="BY1555">
            <v>-8642.4</v>
          </cell>
        </row>
        <row r="1556">
          <cell r="E1556" t="str">
            <v>Sócio</v>
          </cell>
          <cell r="BY1556">
            <v>-3111.2640000000001</v>
          </cell>
        </row>
        <row r="1557">
          <cell r="BY1557">
            <v>-15696.758999999998</v>
          </cell>
        </row>
        <row r="1559">
          <cell r="BY1559">
            <v>92333.241000000009</v>
          </cell>
        </row>
        <row r="1561">
          <cell r="E1561" t="str">
            <v>B5</v>
          </cell>
          <cell r="BY1561">
            <v>-15644.428800000002</v>
          </cell>
        </row>
        <row r="1562">
          <cell r="E1562" t="str">
            <v>B2</v>
          </cell>
          <cell r="BY1562">
            <v>-9533.4096000000009</v>
          </cell>
        </row>
        <row r="1563">
          <cell r="E1563" t="str">
            <v>Estagiário</v>
          </cell>
          <cell r="BY1563">
            <v>-1344.33</v>
          </cell>
        </row>
        <row r="1564">
          <cell r="E1564" t="str">
            <v>B0</v>
          </cell>
          <cell r="BY1564">
            <v>-3897.62</v>
          </cell>
        </row>
        <row r="1565">
          <cell r="BY1565">
            <v>-30419.788400000001</v>
          </cell>
        </row>
        <row r="1567">
          <cell r="E1567" t="str">
            <v>Sócio</v>
          </cell>
        </row>
        <row r="1568">
          <cell r="E1568" t="str">
            <v>Sócio</v>
          </cell>
        </row>
        <row r="1569">
          <cell r="E1569" t="str">
            <v>Sócio</v>
          </cell>
        </row>
        <row r="1570">
          <cell r="E1570" t="str">
            <v>Sócio</v>
          </cell>
        </row>
        <row r="1571">
          <cell r="E1571" t="str">
            <v>Sócio</v>
          </cell>
        </row>
        <row r="1572">
          <cell r="E1572" t="str">
            <v>Sócio</v>
          </cell>
        </row>
        <row r="1573">
          <cell r="E1573" t="str">
            <v>Sócio</v>
          </cell>
        </row>
        <row r="1574">
          <cell r="E1574" t="str">
            <v>Sócio</v>
          </cell>
        </row>
        <row r="1575">
          <cell r="E1575" t="str">
            <v>Sócio</v>
          </cell>
        </row>
        <row r="1576">
          <cell r="E1576" t="str">
            <v>Sócio</v>
          </cell>
        </row>
        <row r="1577">
          <cell r="E1577" t="str">
            <v>Sócio</v>
          </cell>
        </row>
        <row r="1578">
          <cell r="E1578" t="str">
            <v>Sócio</v>
          </cell>
        </row>
        <row r="1579">
          <cell r="E1579" t="str">
            <v>Sócio</v>
          </cell>
        </row>
        <row r="1580">
          <cell r="E1580" t="str">
            <v>Sócio</v>
          </cell>
        </row>
        <row r="1581">
          <cell r="E1581" t="str">
            <v>Sócio</v>
          </cell>
        </row>
        <row r="1582">
          <cell r="E1582" t="str">
            <v>Sócio</v>
          </cell>
        </row>
        <row r="1583">
          <cell r="E1583" t="str">
            <v>Sócio</v>
          </cell>
        </row>
        <row r="1584">
          <cell r="E1584" t="str">
            <v>Sócio</v>
          </cell>
        </row>
        <row r="1585">
          <cell r="E1585" t="str">
            <v>Sócio</v>
          </cell>
        </row>
        <row r="1586">
          <cell r="E1586" t="str">
            <v>Sócio</v>
          </cell>
        </row>
        <row r="1587">
          <cell r="E1587" t="str">
            <v>Sócio</v>
          </cell>
        </row>
        <row r="1588">
          <cell r="E1588" t="str">
            <v>Sócio</v>
          </cell>
        </row>
        <row r="1589">
          <cell r="E1589" t="str">
            <v>Sócio</v>
          </cell>
        </row>
        <row r="1590">
          <cell r="E1590" t="str">
            <v>Sócio</v>
          </cell>
        </row>
        <row r="1591">
          <cell r="BY1591">
            <v>0</v>
          </cell>
        </row>
        <row r="1593">
          <cell r="BY1593">
            <v>61913.452600000004</v>
          </cell>
        </row>
        <row r="1595">
          <cell r="E1595" t="str">
            <v>B3</v>
          </cell>
          <cell r="BY1595">
            <v>40040</v>
          </cell>
        </row>
        <row r="1596">
          <cell r="E1596" t="str">
            <v>B0</v>
          </cell>
          <cell r="BY1596">
            <v>21450</v>
          </cell>
        </row>
        <row r="1597">
          <cell r="E1597" t="str">
            <v>B0</v>
          </cell>
          <cell r="BY1597">
            <v>21450</v>
          </cell>
        </row>
        <row r="1598">
          <cell r="E1598" t="str">
            <v>Estagiário</v>
          </cell>
          <cell r="BY1598">
            <v>6500</v>
          </cell>
        </row>
        <row r="1599">
          <cell r="BY1599">
            <v>89440</v>
          </cell>
        </row>
        <row r="1601">
          <cell r="E1601" t="str">
            <v>Sócio</v>
          </cell>
          <cell r="BY1601">
            <v>-581.36</v>
          </cell>
        </row>
        <row r="1602">
          <cell r="E1602" t="str">
            <v>Sócio</v>
          </cell>
          <cell r="BY1602">
            <v>-2683.2</v>
          </cell>
        </row>
        <row r="1603">
          <cell r="E1603" t="str">
            <v>Sócio</v>
          </cell>
          <cell r="BY1603">
            <v>-7155.2</v>
          </cell>
        </row>
        <row r="1604">
          <cell r="E1604" t="str">
            <v>Sócio</v>
          </cell>
          <cell r="BY1604">
            <v>-2575.8719999999998</v>
          </cell>
        </row>
        <row r="1605">
          <cell r="BY1605">
            <v>-12995.632</v>
          </cell>
        </row>
        <row r="1607">
          <cell r="BY1607">
            <v>76444.368000000002</v>
          </cell>
        </row>
        <row r="1609">
          <cell r="E1609" t="str">
            <v>B3</v>
          </cell>
          <cell r="BY1609">
            <v>-11977.966</v>
          </cell>
        </row>
        <row r="1610">
          <cell r="E1610" t="str">
            <v>B0</v>
          </cell>
          <cell r="BY1610">
            <v>-3897.62</v>
          </cell>
        </row>
        <row r="1611">
          <cell r="E1611" t="str">
            <v>B0</v>
          </cell>
          <cell r="BY1611">
            <v>-3897.62</v>
          </cell>
        </row>
        <row r="1612">
          <cell r="E1612" t="str">
            <v>Estagiário</v>
          </cell>
          <cell r="BY1612">
            <v>-1344.33</v>
          </cell>
        </row>
        <row r="1613">
          <cell r="BY1613">
            <v>-21117.536</v>
          </cell>
        </row>
        <row r="1615">
          <cell r="E1615" t="str">
            <v>Sócio</v>
          </cell>
        </row>
        <row r="1616">
          <cell r="E1616" t="str">
            <v>Sócio</v>
          </cell>
        </row>
        <row r="1617">
          <cell r="E1617" t="str">
            <v>Sócio</v>
          </cell>
        </row>
        <row r="1618">
          <cell r="E1618" t="str">
            <v>Sócio</v>
          </cell>
        </row>
        <row r="1619">
          <cell r="E1619" t="str">
            <v>Sócio</v>
          </cell>
        </row>
        <row r="1620">
          <cell r="E1620" t="str">
            <v>Sócio</v>
          </cell>
        </row>
        <row r="1621">
          <cell r="E1621" t="str">
            <v>Sócio</v>
          </cell>
        </row>
        <row r="1622">
          <cell r="E1622" t="str">
            <v>Sócio</v>
          </cell>
        </row>
        <row r="1623">
          <cell r="E1623" t="str">
            <v>Sócio</v>
          </cell>
        </row>
        <row r="1624">
          <cell r="E1624" t="str">
            <v>Sócio</v>
          </cell>
        </row>
        <row r="1625">
          <cell r="E1625" t="str">
            <v>Sócio</v>
          </cell>
        </row>
        <row r="1626">
          <cell r="E1626" t="str">
            <v>Sócio</v>
          </cell>
        </row>
        <row r="1627">
          <cell r="E1627" t="str">
            <v>Sócio</v>
          </cell>
        </row>
        <row r="1628">
          <cell r="E1628" t="str">
            <v>Sócio</v>
          </cell>
        </row>
        <row r="1629">
          <cell r="E1629" t="str">
            <v>Sócio</v>
          </cell>
        </row>
        <row r="1630">
          <cell r="E1630" t="str">
            <v>Sócio</v>
          </cell>
        </row>
        <row r="1631">
          <cell r="E1631" t="str">
            <v>Sócio</v>
          </cell>
        </row>
        <row r="1632">
          <cell r="E1632" t="str">
            <v>Sócio</v>
          </cell>
        </row>
        <row r="1633">
          <cell r="E1633" t="str">
            <v>Sócio</v>
          </cell>
        </row>
        <row r="1634">
          <cell r="E1634" t="str">
            <v>Sócio</v>
          </cell>
        </row>
        <row r="1635">
          <cell r="E1635" t="str">
            <v>Sócio</v>
          </cell>
        </row>
        <row r="1636">
          <cell r="E1636" t="str">
            <v>Sócio</v>
          </cell>
        </row>
        <row r="1637">
          <cell r="E1637" t="str">
            <v>Sócio</v>
          </cell>
        </row>
        <row r="1638">
          <cell r="E1638" t="str">
            <v>Sócio</v>
          </cell>
        </row>
        <row r="1639">
          <cell r="BY1639">
            <v>0</v>
          </cell>
        </row>
        <row r="1641">
          <cell r="BY1641">
            <v>55326.832000000002</v>
          </cell>
        </row>
        <row r="1643">
          <cell r="E1643" t="str">
            <v>B5</v>
          </cell>
          <cell r="BY1643">
            <v>45760</v>
          </cell>
        </row>
        <row r="1644">
          <cell r="E1644" t="str">
            <v>B1</v>
          </cell>
          <cell r="BY1644">
            <v>28600</v>
          </cell>
        </row>
        <row r="1645">
          <cell r="E1645" t="str">
            <v>Estagiário</v>
          </cell>
          <cell r="BY1645">
            <v>6500</v>
          </cell>
        </row>
        <row r="1646">
          <cell r="E1646" t="str">
            <v>B0</v>
          </cell>
          <cell r="BY1646">
            <v>21450</v>
          </cell>
        </row>
        <row r="1647">
          <cell r="E1647" t="str">
            <v>Estagiário</v>
          </cell>
          <cell r="BY1647">
            <v>6500</v>
          </cell>
        </row>
        <row r="1648">
          <cell r="BY1648">
            <v>108810</v>
          </cell>
        </row>
        <row r="1650">
          <cell r="E1650" t="str">
            <v>Sócio</v>
          </cell>
          <cell r="BY1650">
            <v>-707.26499999999999</v>
          </cell>
        </row>
        <row r="1651">
          <cell r="E1651" t="str">
            <v>Sócio</v>
          </cell>
          <cell r="BY1651">
            <v>-3264.3</v>
          </cell>
        </row>
        <row r="1652">
          <cell r="E1652" t="str">
            <v>Sócio</v>
          </cell>
          <cell r="BY1652">
            <v>-8704.7999999999993</v>
          </cell>
        </row>
        <row r="1653">
          <cell r="E1653" t="str">
            <v>Sócio</v>
          </cell>
          <cell r="BY1653">
            <v>-3133.7280000000001</v>
          </cell>
        </row>
        <row r="1654">
          <cell r="BY1654">
            <v>-15810.092999999997</v>
          </cell>
        </row>
        <row r="1656">
          <cell r="BY1656">
            <v>92999.907000000007</v>
          </cell>
        </row>
        <row r="1658">
          <cell r="E1658" t="str">
            <v>B5</v>
          </cell>
          <cell r="BY1658">
            <v>-15644.428800000002</v>
          </cell>
        </row>
        <row r="1659">
          <cell r="E1659" t="str">
            <v>B1</v>
          </cell>
          <cell r="BY1659">
            <v>-7333.3260000000009</v>
          </cell>
        </row>
        <row r="1660">
          <cell r="E1660" t="str">
            <v>Estagiário</v>
          </cell>
          <cell r="BY1660">
            <v>-1344.33</v>
          </cell>
        </row>
        <row r="1661">
          <cell r="E1661" t="str">
            <v>B0</v>
          </cell>
          <cell r="BY1661">
            <v>-3897.62</v>
          </cell>
        </row>
        <row r="1662">
          <cell r="E1662" t="str">
            <v>Estagiário</v>
          </cell>
          <cell r="BY1662">
            <v>-1344.33</v>
          </cell>
        </row>
        <row r="1663">
          <cell r="BY1663">
            <v>-29564.034800000001</v>
          </cell>
        </row>
        <row r="1665">
          <cell r="E1665" t="str">
            <v>Sócio</v>
          </cell>
        </row>
        <row r="1666">
          <cell r="E1666" t="str">
            <v>Sócio</v>
          </cell>
        </row>
        <row r="1667">
          <cell r="E1667" t="str">
            <v>Sócio</v>
          </cell>
        </row>
        <row r="1668">
          <cell r="E1668" t="str">
            <v>Sócio</v>
          </cell>
        </row>
        <row r="1669">
          <cell r="E1669" t="str">
            <v>Sócio</v>
          </cell>
        </row>
        <row r="1670">
          <cell r="E1670" t="str">
            <v>Sócio</v>
          </cell>
        </row>
        <row r="1671">
          <cell r="E1671" t="str">
            <v>Sócio</v>
          </cell>
        </row>
        <row r="1672">
          <cell r="E1672" t="str">
            <v>Sócio</v>
          </cell>
        </row>
        <row r="1673">
          <cell r="E1673" t="str">
            <v>Sócio</v>
          </cell>
        </row>
        <row r="1674">
          <cell r="E1674" t="str">
            <v>Sócio</v>
          </cell>
        </row>
        <row r="1675">
          <cell r="E1675" t="str">
            <v>Sócio</v>
          </cell>
        </row>
        <row r="1676">
          <cell r="E1676" t="str">
            <v>Sócio</v>
          </cell>
        </row>
        <row r="1677">
          <cell r="E1677" t="str">
            <v>Sócio</v>
          </cell>
        </row>
        <row r="1678">
          <cell r="E1678" t="str">
            <v>Sócio</v>
          </cell>
        </row>
        <row r="1679">
          <cell r="E1679" t="str">
            <v>Sócio</v>
          </cell>
        </row>
        <row r="1680">
          <cell r="E1680" t="str">
            <v>Sócio</v>
          </cell>
        </row>
        <row r="1681">
          <cell r="E1681" t="str">
            <v>Sócio</v>
          </cell>
        </row>
        <row r="1682">
          <cell r="E1682" t="str">
            <v>Sócio</v>
          </cell>
        </row>
        <row r="1683">
          <cell r="E1683" t="str">
            <v>Sócio</v>
          </cell>
        </row>
        <row r="1684">
          <cell r="E1684" t="str">
            <v>Sócio</v>
          </cell>
        </row>
        <row r="1685">
          <cell r="E1685" t="str">
            <v>Sócio</v>
          </cell>
        </row>
        <row r="1686">
          <cell r="E1686" t="str">
            <v>Sócio</v>
          </cell>
        </row>
        <row r="1687">
          <cell r="E1687" t="str">
            <v>Sócio</v>
          </cell>
        </row>
        <row r="1688">
          <cell r="E1688" t="str">
            <v>Sócio</v>
          </cell>
        </row>
        <row r="1689">
          <cell r="BY1689">
            <v>0</v>
          </cell>
        </row>
        <row r="1691">
          <cell r="BY1691">
            <v>63435.872200000005</v>
          </cell>
        </row>
        <row r="1693">
          <cell r="E1693" t="str">
            <v>B2</v>
          </cell>
          <cell r="BY1693">
            <v>34320</v>
          </cell>
        </row>
        <row r="1694">
          <cell r="E1694" t="str">
            <v>B0</v>
          </cell>
          <cell r="BY1694">
            <v>21450</v>
          </cell>
        </row>
        <row r="1695">
          <cell r="E1695" t="str">
            <v>B0</v>
          </cell>
          <cell r="BY1695">
            <v>21450</v>
          </cell>
        </row>
        <row r="1696">
          <cell r="E1696" t="str">
            <v>Estagiário</v>
          </cell>
          <cell r="BY1696">
            <v>6500</v>
          </cell>
        </row>
        <row r="1697">
          <cell r="BY1697">
            <v>83720</v>
          </cell>
        </row>
        <row r="1699">
          <cell r="E1699" t="str">
            <v>Sócio</v>
          </cell>
          <cell r="BY1699">
            <v>-544.17999999999995</v>
          </cell>
        </row>
        <row r="1700">
          <cell r="E1700" t="str">
            <v>Sócio</v>
          </cell>
          <cell r="BY1700">
            <v>-2511.6</v>
          </cell>
        </row>
        <row r="1701">
          <cell r="E1701" t="str">
            <v>Sócio</v>
          </cell>
          <cell r="BY1701">
            <v>-6697.6</v>
          </cell>
        </row>
        <row r="1702">
          <cell r="E1702" t="str">
            <v>Sócio</v>
          </cell>
          <cell r="BY1702">
            <v>-2411.136</v>
          </cell>
        </row>
        <row r="1703">
          <cell r="BY1703">
            <v>-12164.516000000001</v>
          </cell>
        </row>
        <row r="1705">
          <cell r="BY1705">
            <v>71555.483999999997</v>
          </cell>
        </row>
        <row r="1707">
          <cell r="E1707" t="str">
            <v>B2</v>
          </cell>
          <cell r="BY1707">
            <v>-9533.4096000000009</v>
          </cell>
        </row>
        <row r="1708">
          <cell r="E1708" t="str">
            <v>B0</v>
          </cell>
          <cell r="BY1708">
            <v>-3897.62</v>
          </cell>
        </row>
        <row r="1709">
          <cell r="E1709" t="str">
            <v>B0</v>
          </cell>
          <cell r="BY1709">
            <v>-3897.62</v>
          </cell>
        </row>
        <row r="1710">
          <cell r="E1710" t="str">
            <v>Estagiário</v>
          </cell>
          <cell r="BY1710">
            <v>-1344.33</v>
          </cell>
        </row>
        <row r="1711">
          <cell r="BY1711">
            <v>-18672.979599999999</v>
          </cell>
        </row>
        <row r="1713">
          <cell r="E1713" t="str">
            <v>Sócio</v>
          </cell>
        </row>
        <row r="1714">
          <cell r="E1714" t="str">
            <v>Sócio</v>
          </cell>
        </row>
        <row r="1715">
          <cell r="E1715" t="str">
            <v>Sócio</v>
          </cell>
        </row>
        <row r="1716">
          <cell r="E1716" t="str">
            <v>Sócio</v>
          </cell>
        </row>
        <row r="1717">
          <cell r="E1717" t="str">
            <v>Sócio</v>
          </cell>
        </row>
        <row r="1718">
          <cell r="E1718" t="str">
            <v>Sócio</v>
          </cell>
        </row>
        <row r="1719">
          <cell r="E1719" t="str">
            <v>Sócio</v>
          </cell>
        </row>
        <row r="1720">
          <cell r="E1720" t="str">
            <v>Sócio</v>
          </cell>
        </row>
        <row r="1721">
          <cell r="E1721" t="str">
            <v>Sócio</v>
          </cell>
        </row>
        <row r="1722">
          <cell r="E1722" t="str">
            <v>Sócio</v>
          </cell>
        </row>
        <row r="1723">
          <cell r="E1723" t="str">
            <v>Sócio</v>
          </cell>
        </row>
        <row r="1724">
          <cell r="E1724" t="str">
            <v>Sócio</v>
          </cell>
        </row>
        <row r="1725">
          <cell r="E1725" t="str">
            <v>Sócio</v>
          </cell>
        </row>
        <row r="1726">
          <cell r="E1726" t="str">
            <v>Sócio</v>
          </cell>
        </row>
        <row r="1727">
          <cell r="E1727" t="str">
            <v>Sócio</v>
          </cell>
        </row>
        <row r="1728">
          <cell r="E1728" t="str">
            <v>Sócio</v>
          </cell>
        </row>
        <row r="1729">
          <cell r="E1729" t="str">
            <v>Sócio</v>
          </cell>
        </row>
        <row r="1730">
          <cell r="E1730" t="str">
            <v>Sócio</v>
          </cell>
        </row>
        <row r="1731">
          <cell r="E1731" t="str">
            <v>Sócio</v>
          </cell>
        </row>
        <row r="1732">
          <cell r="E1732" t="str">
            <v>Sócio</v>
          </cell>
        </row>
        <row r="1733">
          <cell r="E1733" t="str">
            <v>Sócio</v>
          </cell>
        </row>
        <row r="1734">
          <cell r="E1734" t="str">
            <v>Sócio</v>
          </cell>
        </row>
        <row r="1735">
          <cell r="E1735" t="str">
            <v>Sócio</v>
          </cell>
        </row>
        <row r="1736">
          <cell r="E1736" t="str">
            <v>Sócio</v>
          </cell>
        </row>
        <row r="1737">
          <cell r="BY1737">
            <v>0</v>
          </cell>
        </row>
        <row r="1739">
          <cell r="BY1739">
            <v>52882.504399999998</v>
          </cell>
        </row>
        <row r="1741">
          <cell r="E1741" t="str">
            <v>B3</v>
          </cell>
          <cell r="BY1741">
            <v>40040</v>
          </cell>
        </row>
        <row r="1742">
          <cell r="E1742" t="str">
            <v>B0</v>
          </cell>
          <cell r="BY1742">
            <v>21450</v>
          </cell>
        </row>
        <row r="1743">
          <cell r="E1743" t="str">
            <v>Estagiário</v>
          </cell>
          <cell r="BY1743">
            <v>6500</v>
          </cell>
        </row>
        <row r="1744">
          <cell r="BY1744">
            <v>67990</v>
          </cell>
        </row>
        <row r="1746">
          <cell r="E1746" t="str">
            <v>Sócio</v>
          </cell>
          <cell r="BY1746">
            <v>-441.935</v>
          </cell>
        </row>
        <row r="1747">
          <cell r="E1747" t="str">
            <v>Sócio</v>
          </cell>
          <cell r="BY1747">
            <v>-2039.7</v>
          </cell>
        </row>
        <row r="1748">
          <cell r="E1748" t="str">
            <v>Sócio</v>
          </cell>
          <cell r="BY1748">
            <v>-5439.2</v>
          </cell>
        </row>
        <row r="1749">
          <cell r="E1749" t="str">
            <v>Sócio</v>
          </cell>
          <cell r="BY1749">
            <v>-1958.1119999999999</v>
          </cell>
        </row>
        <row r="1750">
          <cell r="BY1750">
            <v>-9878.9469999999983</v>
          </cell>
        </row>
        <row r="1752">
          <cell r="BY1752">
            <v>58111.053</v>
          </cell>
        </row>
        <row r="1754">
          <cell r="E1754" t="str">
            <v>B3</v>
          </cell>
          <cell r="BY1754">
            <v>-11977.966</v>
          </cell>
        </row>
        <row r="1755">
          <cell r="E1755" t="str">
            <v>B0</v>
          </cell>
          <cell r="BY1755">
            <v>-3897.62</v>
          </cell>
        </row>
        <row r="1756">
          <cell r="E1756" t="str">
            <v>Estagiário</v>
          </cell>
          <cell r="BY1756">
            <v>-1344.33</v>
          </cell>
        </row>
        <row r="1757">
          <cell r="BY1757">
            <v>-17219.915999999997</v>
          </cell>
        </row>
        <row r="1759">
          <cell r="E1759" t="str">
            <v>Sócio</v>
          </cell>
        </row>
        <row r="1760">
          <cell r="E1760" t="str">
            <v>Sócio</v>
          </cell>
        </row>
        <row r="1761">
          <cell r="E1761" t="str">
            <v>Sócio</v>
          </cell>
        </row>
        <row r="1762">
          <cell r="E1762" t="str">
            <v>Sócio</v>
          </cell>
        </row>
        <row r="1763">
          <cell r="E1763" t="str">
            <v>Sócio</v>
          </cell>
        </row>
        <row r="1764">
          <cell r="E1764" t="str">
            <v>Sócio</v>
          </cell>
        </row>
        <row r="1765">
          <cell r="E1765" t="str">
            <v>Sócio</v>
          </cell>
        </row>
        <row r="1766">
          <cell r="E1766" t="str">
            <v>Sócio</v>
          </cell>
        </row>
        <row r="1767">
          <cell r="E1767" t="str">
            <v>Sócio</v>
          </cell>
        </row>
        <row r="1768">
          <cell r="E1768" t="str">
            <v>Sócio</v>
          </cell>
        </row>
        <row r="1769">
          <cell r="E1769" t="str">
            <v>Sócio</v>
          </cell>
        </row>
        <row r="1770">
          <cell r="E1770" t="str">
            <v>Sócio</v>
          </cell>
        </row>
        <row r="1771">
          <cell r="E1771" t="str">
            <v>Sócio</v>
          </cell>
        </row>
        <row r="1772">
          <cell r="E1772" t="str">
            <v>Sócio</v>
          </cell>
        </row>
        <row r="1773">
          <cell r="E1773" t="str">
            <v>Sócio</v>
          </cell>
        </row>
        <row r="1774">
          <cell r="E1774" t="str">
            <v>Sócio</v>
          </cell>
        </row>
        <row r="1775">
          <cell r="E1775" t="str">
            <v>Sócio</v>
          </cell>
        </row>
        <row r="1776">
          <cell r="E1776" t="str">
            <v>Sócio</v>
          </cell>
        </row>
        <row r="1777">
          <cell r="E1777" t="str">
            <v>Sócio</v>
          </cell>
        </row>
        <row r="1778">
          <cell r="E1778" t="str">
            <v>Sócio</v>
          </cell>
        </row>
        <row r="1779">
          <cell r="E1779" t="str">
            <v>Sócio</v>
          </cell>
        </row>
        <row r="1780">
          <cell r="E1780" t="str">
            <v>Sócio</v>
          </cell>
        </row>
        <row r="1781">
          <cell r="E1781" t="str">
            <v>Sócio</v>
          </cell>
        </row>
        <row r="1782">
          <cell r="E1782" t="str">
            <v>Sócio</v>
          </cell>
        </row>
        <row r="1783">
          <cell r="BY1783">
            <v>0</v>
          </cell>
        </row>
        <row r="1785">
          <cell r="BY1785">
            <v>40891.137000000002</v>
          </cell>
        </row>
        <row r="1787">
          <cell r="E1787" t="str">
            <v>B4</v>
          </cell>
          <cell r="BY1787">
            <v>42900</v>
          </cell>
        </row>
        <row r="1788">
          <cell r="E1788" t="str">
            <v>Estagiário</v>
          </cell>
          <cell r="BY1788">
            <v>6500</v>
          </cell>
        </row>
        <row r="1789">
          <cell r="BY1789">
            <v>49400</v>
          </cell>
        </row>
        <row r="1791">
          <cell r="E1791" t="str">
            <v>Sócio</v>
          </cell>
          <cell r="BY1791">
            <v>-321.10000000000002</v>
          </cell>
        </row>
        <row r="1792">
          <cell r="E1792" t="str">
            <v>Sócio</v>
          </cell>
          <cell r="BY1792">
            <v>-1482</v>
          </cell>
        </row>
        <row r="1793">
          <cell r="E1793" t="str">
            <v>Sócio</v>
          </cell>
          <cell r="BY1793">
            <v>-3952</v>
          </cell>
        </row>
        <row r="1794">
          <cell r="E1794" t="str">
            <v>Sócio</v>
          </cell>
          <cell r="BY1794">
            <v>-1422.72</v>
          </cell>
        </row>
        <row r="1795">
          <cell r="BY1795">
            <v>-7177.82</v>
          </cell>
        </row>
        <row r="1797">
          <cell r="BY1797">
            <v>42222.18</v>
          </cell>
        </row>
        <row r="1799">
          <cell r="E1799" t="str">
            <v>B4</v>
          </cell>
          <cell r="BY1799">
            <v>-13749.879000000001</v>
          </cell>
        </row>
        <row r="1800">
          <cell r="E1800" t="str">
            <v>Estagiário</v>
          </cell>
          <cell r="BY1800">
            <v>-1344.33</v>
          </cell>
        </row>
        <row r="1801">
          <cell r="BY1801">
            <v>-15094.209000000001</v>
          </cell>
        </row>
        <row r="1803">
          <cell r="E1803" t="str">
            <v>Sócio</v>
          </cell>
        </row>
        <row r="1804">
          <cell r="E1804" t="str">
            <v>Sócio</v>
          </cell>
        </row>
        <row r="1805">
          <cell r="E1805" t="str">
            <v>Sócio</v>
          </cell>
        </row>
        <row r="1806">
          <cell r="E1806" t="str">
            <v>Sócio</v>
          </cell>
        </row>
        <row r="1807">
          <cell r="E1807" t="str">
            <v>Sócio</v>
          </cell>
        </row>
        <row r="1808">
          <cell r="E1808" t="str">
            <v>Sócio</v>
          </cell>
        </row>
        <row r="1809">
          <cell r="E1809" t="str">
            <v>Sócio</v>
          </cell>
        </row>
        <row r="1810">
          <cell r="E1810" t="str">
            <v>Sócio</v>
          </cell>
        </row>
        <row r="1811">
          <cell r="E1811" t="str">
            <v>Sócio</v>
          </cell>
        </row>
        <row r="1812">
          <cell r="E1812" t="str">
            <v>Sócio</v>
          </cell>
        </row>
        <row r="1813">
          <cell r="E1813" t="str">
            <v>Sócio</v>
          </cell>
        </row>
        <row r="1814">
          <cell r="E1814" t="str">
            <v>Sócio</v>
          </cell>
        </row>
        <row r="1815">
          <cell r="E1815" t="str">
            <v>Sócio</v>
          </cell>
        </row>
        <row r="1816">
          <cell r="E1816" t="str">
            <v>Sócio</v>
          </cell>
        </row>
        <row r="1817">
          <cell r="E1817" t="str">
            <v>Sócio</v>
          </cell>
        </row>
        <row r="1818">
          <cell r="E1818" t="str">
            <v>Sócio</v>
          </cell>
        </row>
        <row r="1819">
          <cell r="E1819" t="str">
            <v>Sócio</v>
          </cell>
        </row>
        <row r="1820">
          <cell r="E1820" t="str">
            <v>Sócio</v>
          </cell>
        </row>
        <row r="1821">
          <cell r="E1821" t="str">
            <v>Sócio</v>
          </cell>
        </row>
        <row r="1822">
          <cell r="E1822" t="str">
            <v>Sócio</v>
          </cell>
        </row>
        <row r="1823">
          <cell r="E1823" t="str">
            <v>Sócio</v>
          </cell>
        </row>
        <row r="1824">
          <cell r="E1824" t="str">
            <v>Sócio</v>
          </cell>
        </row>
        <row r="1825">
          <cell r="E1825" t="str">
            <v>Sócio</v>
          </cell>
        </row>
        <row r="1826">
          <cell r="E1826" t="str">
            <v>Sócio</v>
          </cell>
        </row>
        <row r="1827">
          <cell r="BY1827">
            <v>0</v>
          </cell>
        </row>
        <row r="1829">
          <cell r="BY1829">
            <v>27127.970999999998</v>
          </cell>
        </row>
        <row r="1831">
          <cell r="E1831" t="str">
            <v>B5</v>
          </cell>
          <cell r="BY1831">
            <v>45760</v>
          </cell>
        </row>
        <row r="1832">
          <cell r="E1832" t="str">
            <v>B3</v>
          </cell>
          <cell r="BY1832">
            <v>40040</v>
          </cell>
        </row>
        <row r="1833">
          <cell r="E1833" t="str">
            <v>B2</v>
          </cell>
          <cell r="BY1833">
            <v>34320</v>
          </cell>
        </row>
        <row r="1834">
          <cell r="E1834" t="str">
            <v>B0</v>
          </cell>
          <cell r="BY1834">
            <v>21450</v>
          </cell>
        </row>
        <row r="1835">
          <cell r="E1835" t="str">
            <v>B0</v>
          </cell>
          <cell r="BY1835">
            <v>21450</v>
          </cell>
        </row>
        <row r="1836">
          <cell r="E1836" t="str">
            <v>Estagiário</v>
          </cell>
          <cell r="BY1836">
            <v>6500</v>
          </cell>
        </row>
        <row r="1837">
          <cell r="E1837" t="str">
            <v>Estagiário</v>
          </cell>
          <cell r="BY1837">
            <v>6500</v>
          </cell>
        </row>
        <row r="1838">
          <cell r="BY1838">
            <v>176020</v>
          </cell>
        </row>
        <row r="1840">
          <cell r="E1840" t="str">
            <v>Sócio</v>
          </cell>
          <cell r="BY1840">
            <v>-1144.1300000000001</v>
          </cell>
        </row>
        <row r="1841">
          <cell r="E1841" t="str">
            <v>Sócio</v>
          </cell>
          <cell r="BY1841">
            <v>-5280.6</v>
          </cell>
        </row>
        <row r="1842">
          <cell r="E1842" t="str">
            <v>Sócio</v>
          </cell>
          <cell r="BY1842">
            <v>-14081.6</v>
          </cell>
        </row>
        <row r="1843">
          <cell r="E1843" t="str">
            <v>Sócio</v>
          </cell>
          <cell r="BY1843">
            <v>-5069.3760000000002</v>
          </cell>
        </row>
        <row r="1844">
          <cell r="BY1844">
            <v>-25575.706000000002</v>
          </cell>
        </row>
        <row r="1846">
          <cell r="BY1846">
            <v>150444.29399999999</v>
          </cell>
        </row>
        <row r="1848">
          <cell r="E1848" t="str">
            <v>B5</v>
          </cell>
          <cell r="BY1848">
            <v>-15644.428800000002</v>
          </cell>
        </row>
        <row r="1849">
          <cell r="E1849" t="str">
            <v>B3</v>
          </cell>
          <cell r="BY1849">
            <v>-11977.966</v>
          </cell>
        </row>
        <row r="1850">
          <cell r="E1850" t="str">
            <v>B2</v>
          </cell>
          <cell r="BY1850">
            <v>-9533.4096000000009</v>
          </cell>
        </row>
        <row r="1851">
          <cell r="E1851" t="str">
            <v>B0</v>
          </cell>
          <cell r="BY1851">
            <v>-3897.62</v>
          </cell>
        </row>
        <row r="1852">
          <cell r="E1852" t="str">
            <v>B0</v>
          </cell>
          <cell r="BY1852">
            <v>-3897.62</v>
          </cell>
        </row>
        <row r="1853">
          <cell r="E1853" t="str">
            <v>Estagiário</v>
          </cell>
          <cell r="BY1853">
            <v>-1344.33</v>
          </cell>
        </row>
        <row r="1854">
          <cell r="E1854" t="str">
            <v>Estagiário</v>
          </cell>
          <cell r="BY1854">
            <v>-1344.33</v>
          </cell>
        </row>
        <row r="1855">
          <cell r="BY1855">
            <v>-47639.70440000001</v>
          </cell>
        </row>
        <row r="1857">
          <cell r="E1857" t="str">
            <v>Sócio</v>
          </cell>
        </row>
        <row r="1858">
          <cell r="E1858" t="str">
            <v>Sócio</v>
          </cell>
        </row>
        <row r="1859">
          <cell r="E1859" t="str">
            <v>Sócio</v>
          </cell>
        </row>
        <row r="1860">
          <cell r="E1860" t="str">
            <v>Sócio</v>
          </cell>
        </row>
        <row r="1861">
          <cell r="E1861" t="str">
            <v>Sócio</v>
          </cell>
        </row>
        <row r="1862">
          <cell r="E1862" t="str">
            <v>Sócio</v>
          </cell>
        </row>
        <row r="1863">
          <cell r="E1863" t="str">
            <v>Sócio</v>
          </cell>
        </row>
        <row r="1864">
          <cell r="E1864" t="str">
            <v>Sócio</v>
          </cell>
        </row>
        <row r="1865">
          <cell r="E1865" t="str">
            <v>Sócio</v>
          </cell>
        </row>
        <row r="1866">
          <cell r="E1866" t="str">
            <v>Sócio</v>
          </cell>
        </row>
        <row r="1867">
          <cell r="E1867" t="str">
            <v>Sócio</v>
          </cell>
        </row>
        <row r="1868">
          <cell r="E1868" t="str">
            <v>Sócio</v>
          </cell>
        </row>
        <row r="1869">
          <cell r="E1869" t="str">
            <v>Sócio</v>
          </cell>
        </row>
        <row r="1870">
          <cell r="E1870" t="str">
            <v>Sócio</v>
          </cell>
        </row>
        <row r="1871">
          <cell r="E1871" t="str">
            <v>Sócio</v>
          </cell>
        </row>
        <row r="1872">
          <cell r="E1872" t="str">
            <v>Sócio</v>
          </cell>
        </row>
        <row r="1873">
          <cell r="E1873" t="str">
            <v>Sócio</v>
          </cell>
        </row>
        <row r="1874">
          <cell r="E1874" t="str">
            <v>Sócio</v>
          </cell>
        </row>
        <row r="1875">
          <cell r="E1875" t="str">
            <v>Sócio</v>
          </cell>
        </row>
        <row r="1876">
          <cell r="E1876" t="str">
            <v>Sócio</v>
          </cell>
        </row>
        <row r="1877">
          <cell r="E1877" t="str">
            <v>Sócio</v>
          </cell>
        </row>
        <row r="1878">
          <cell r="E1878" t="str">
            <v>Sócio</v>
          </cell>
        </row>
        <row r="1879">
          <cell r="E1879" t="str">
            <v>Sócio</v>
          </cell>
        </row>
        <row r="1880">
          <cell r="E1880" t="str">
            <v>Sócio</v>
          </cell>
        </row>
        <row r="1881">
          <cell r="BY1881">
            <v>0</v>
          </cell>
        </row>
        <row r="1883">
          <cell r="BY1883">
            <v>102804.58959999998</v>
          </cell>
        </row>
        <row r="1885">
          <cell r="E1885" t="str">
            <v>B3</v>
          </cell>
          <cell r="BY1885">
            <v>40040</v>
          </cell>
        </row>
        <row r="1886">
          <cell r="E1886" t="str">
            <v>B0</v>
          </cell>
          <cell r="BY1886">
            <v>21450</v>
          </cell>
        </row>
        <row r="1887">
          <cell r="BY1887">
            <v>61490</v>
          </cell>
        </row>
        <row r="1889">
          <cell r="E1889" t="str">
            <v>Sócio</v>
          </cell>
          <cell r="BY1889">
            <v>-399.685</v>
          </cell>
        </row>
        <row r="1890">
          <cell r="E1890" t="str">
            <v>Sócio</v>
          </cell>
          <cell r="BY1890">
            <v>-1844.7</v>
          </cell>
        </row>
        <row r="1891">
          <cell r="E1891" t="str">
            <v>Sócio</v>
          </cell>
          <cell r="BY1891">
            <v>-4919.2</v>
          </cell>
        </row>
        <row r="1892">
          <cell r="E1892" t="str">
            <v>Sócio</v>
          </cell>
          <cell r="BY1892">
            <v>-1770.912</v>
          </cell>
        </row>
        <row r="1893">
          <cell r="BY1893">
            <v>-8934.4969999999994</v>
          </cell>
        </row>
        <row r="1895">
          <cell r="BY1895">
            <v>52555.502999999997</v>
          </cell>
        </row>
        <row r="1897">
          <cell r="E1897" t="str">
            <v>B3</v>
          </cell>
          <cell r="BY1897">
            <v>-11977.966</v>
          </cell>
        </row>
        <row r="1898">
          <cell r="E1898" t="str">
            <v>B0</v>
          </cell>
          <cell r="BY1898">
            <v>-3897.62</v>
          </cell>
        </row>
        <row r="1899">
          <cell r="BY1899">
            <v>-15875.585999999999</v>
          </cell>
        </row>
        <row r="1901">
          <cell r="E1901" t="str">
            <v>Sócio</v>
          </cell>
        </row>
        <row r="1902">
          <cell r="E1902" t="str">
            <v>Sócio</v>
          </cell>
        </row>
        <row r="1903">
          <cell r="E1903" t="str">
            <v>Sócio</v>
          </cell>
        </row>
        <row r="1904">
          <cell r="E1904" t="str">
            <v>Sócio</v>
          </cell>
        </row>
        <row r="1905">
          <cell r="E1905" t="str">
            <v>Sócio</v>
          </cell>
        </row>
        <row r="1906">
          <cell r="E1906" t="str">
            <v>Sócio</v>
          </cell>
        </row>
        <row r="1907">
          <cell r="E1907" t="str">
            <v>Sócio</v>
          </cell>
        </row>
        <row r="1908">
          <cell r="E1908" t="str">
            <v>Sócio</v>
          </cell>
        </row>
        <row r="1909">
          <cell r="E1909" t="str">
            <v>Sócio</v>
          </cell>
        </row>
        <row r="1910">
          <cell r="E1910" t="str">
            <v>Sócio</v>
          </cell>
        </row>
        <row r="1911">
          <cell r="E1911" t="str">
            <v>Sócio</v>
          </cell>
        </row>
        <row r="1912">
          <cell r="E1912" t="str">
            <v>Sócio</v>
          </cell>
        </row>
        <row r="1913">
          <cell r="E1913" t="str">
            <v>Sócio</v>
          </cell>
        </row>
        <row r="1914">
          <cell r="E1914" t="str">
            <v>Sócio</v>
          </cell>
        </row>
        <row r="1915">
          <cell r="E1915" t="str">
            <v>Sócio</v>
          </cell>
        </row>
        <row r="1916">
          <cell r="E1916" t="str">
            <v>Sócio</v>
          </cell>
        </row>
        <row r="1917">
          <cell r="E1917" t="str">
            <v>Sócio</v>
          </cell>
        </row>
        <row r="1918">
          <cell r="E1918" t="str">
            <v>Sócio</v>
          </cell>
        </row>
        <row r="1919">
          <cell r="E1919" t="str">
            <v>Sócio</v>
          </cell>
        </row>
        <row r="1920">
          <cell r="E1920" t="str">
            <v>Sócio</v>
          </cell>
        </row>
        <row r="1921">
          <cell r="E1921" t="str">
            <v>Sócio</v>
          </cell>
        </row>
        <row r="1922">
          <cell r="E1922" t="str">
            <v>Sócio</v>
          </cell>
        </row>
        <row r="1923">
          <cell r="E1923" t="str">
            <v>Sócio</v>
          </cell>
        </row>
        <row r="1924">
          <cell r="E1924" t="str">
            <v>Sócio</v>
          </cell>
        </row>
        <row r="1925">
          <cell r="BY1925">
            <v>0</v>
          </cell>
        </row>
        <row r="1927">
          <cell r="BY1927">
            <v>36679.917000000001</v>
          </cell>
        </row>
        <row r="1929">
          <cell r="E1929" t="str">
            <v>Sócio</v>
          </cell>
          <cell r="BY1929">
            <v>46800</v>
          </cell>
        </row>
        <row r="1930">
          <cell r="E1930" t="str">
            <v>B2</v>
          </cell>
          <cell r="BY1930">
            <v>34320</v>
          </cell>
        </row>
        <row r="1931">
          <cell r="E1931" t="str">
            <v>B0</v>
          </cell>
          <cell r="BY1931">
            <v>21450</v>
          </cell>
        </row>
        <row r="1932">
          <cell r="E1932" t="str">
            <v>Estagiário</v>
          </cell>
          <cell r="BY1932">
            <v>6500</v>
          </cell>
        </row>
        <row r="1933">
          <cell r="BY1933">
            <v>109070</v>
          </cell>
        </row>
        <row r="1935">
          <cell r="E1935" t="str">
            <v>Sócio</v>
          </cell>
          <cell r="BY1935">
            <v>-708.95500000000004</v>
          </cell>
        </row>
        <row r="1936">
          <cell r="E1936" t="str">
            <v>Sócio</v>
          </cell>
          <cell r="BY1936">
            <v>-3272.1</v>
          </cell>
        </row>
        <row r="1937">
          <cell r="E1937" t="str">
            <v>Sócio</v>
          </cell>
          <cell r="BY1937">
            <v>-8725.6</v>
          </cell>
        </row>
        <row r="1938">
          <cell r="E1938" t="str">
            <v>Sócio</v>
          </cell>
          <cell r="BY1938">
            <v>-3141.2159999999999</v>
          </cell>
        </row>
        <row r="1939">
          <cell r="BY1939">
            <v>-15847.871000000001</v>
          </cell>
        </row>
        <row r="1941">
          <cell r="BY1941">
            <v>93222.129000000001</v>
          </cell>
        </row>
        <row r="1943">
          <cell r="E1943" t="str">
            <v>Sócio</v>
          </cell>
          <cell r="BY1943">
            <v>-20000</v>
          </cell>
        </row>
        <row r="1944">
          <cell r="E1944" t="str">
            <v>B2</v>
          </cell>
          <cell r="BY1944">
            <v>-9533.4096000000009</v>
          </cell>
        </row>
        <row r="1945">
          <cell r="E1945" t="str">
            <v>B0</v>
          </cell>
          <cell r="BY1945">
            <v>-3897.62</v>
          </cell>
        </row>
        <row r="1946">
          <cell r="E1946" t="str">
            <v>Estagiário</v>
          </cell>
          <cell r="BY1946">
            <v>-1344.33</v>
          </cell>
        </row>
        <row r="1947">
          <cell r="BY1947">
            <v>-34775.359600000003</v>
          </cell>
        </row>
        <row r="1949">
          <cell r="E1949" t="str">
            <v>Sócio</v>
          </cell>
        </row>
        <row r="1950">
          <cell r="E1950" t="str">
            <v>Sócio</v>
          </cell>
        </row>
        <row r="1951">
          <cell r="E1951" t="str">
            <v>Sócio</v>
          </cell>
        </row>
        <row r="1952">
          <cell r="E1952" t="str">
            <v>Sócio</v>
          </cell>
        </row>
        <row r="1953">
          <cell r="E1953" t="str">
            <v>Sócio</v>
          </cell>
        </row>
        <row r="1954">
          <cell r="E1954" t="str">
            <v>Sócio</v>
          </cell>
        </row>
        <row r="1955">
          <cell r="E1955" t="str">
            <v>Sócio</v>
          </cell>
        </row>
        <row r="1956">
          <cell r="E1956" t="str">
            <v>Sócio</v>
          </cell>
        </row>
        <row r="1957">
          <cell r="E1957" t="str">
            <v>Sócio</v>
          </cell>
        </row>
        <row r="1958">
          <cell r="E1958" t="str">
            <v>Sócio</v>
          </cell>
        </row>
        <row r="1959">
          <cell r="E1959" t="str">
            <v>Sócio</v>
          </cell>
        </row>
        <row r="1960">
          <cell r="E1960" t="str">
            <v>Sócio</v>
          </cell>
        </row>
        <row r="1961">
          <cell r="E1961" t="str">
            <v>Sócio</v>
          </cell>
        </row>
        <row r="1962">
          <cell r="E1962" t="str">
            <v>Sócio</v>
          </cell>
        </row>
        <row r="1963">
          <cell r="E1963" t="str">
            <v>Sócio</v>
          </cell>
        </row>
        <row r="1964">
          <cell r="E1964" t="str">
            <v>Sócio</v>
          </cell>
        </row>
        <row r="1965">
          <cell r="E1965" t="str">
            <v>Sócio</v>
          </cell>
        </row>
        <row r="1966">
          <cell r="E1966" t="str">
            <v>Sócio</v>
          </cell>
        </row>
        <row r="1967">
          <cell r="E1967" t="str">
            <v>Sócio</v>
          </cell>
        </row>
        <row r="1968">
          <cell r="E1968" t="str">
            <v>Sócio</v>
          </cell>
        </row>
        <row r="1969">
          <cell r="E1969" t="str">
            <v>Sócio</v>
          </cell>
        </row>
        <row r="1970">
          <cell r="E1970" t="str">
            <v>Sócio</v>
          </cell>
        </row>
        <row r="1971">
          <cell r="E1971" t="str">
            <v>Sócio</v>
          </cell>
        </row>
        <row r="1972">
          <cell r="E1972" t="str">
            <v>Sócio</v>
          </cell>
        </row>
        <row r="1973">
          <cell r="BY1973">
            <v>0</v>
          </cell>
        </row>
        <row r="1975">
          <cell r="BY1975">
            <v>58446.769399999997</v>
          </cell>
        </row>
        <row r="1977">
          <cell r="E1977" t="str">
            <v>Sócio</v>
          </cell>
          <cell r="BY1977">
            <v>46800</v>
          </cell>
        </row>
        <row r="1978">
          <cell r="E1978" t="str">
            <v>B2</v>
          </cell>
          <cell r="BY1978">
            <v>34320</v>
          </cell>
        </row>
        <row r="1979">
          <cell r="E1979" t="str">
            <v>B2</v>
          </cell>
          <cell r="BY1979">
            <v>34320</v>
          </cell>
        </row>
        <row r="1980">
          <cell r="E1980" t="str">
            <v>B0</v>
          </cell>
          <cell r="BY1980">
            <v>21450</v>
          </cell>
        </row>
        <row r="1981">
          <cell r="E1981" t="str">
            <v>Estagiário</v>
          </cell>
          <cell r="BY1981">
            <v>6500</v>
          </cell>
        </row>
        <row r="1982">
          <cell r="E1982" t="str">
            <v>B0</v>
          </cell>
          <cell r="BY1982">
            <v>21450</v>
          </cell>
        </row>
        <row r="1983">
          <cell r="E1983" t="str">
            <v>Estagiário</v>
          </cell>
          <cell r="BY1983">
            <v>6500</v>
          </cell>
        </row>
        <row r="1984">
          <cell r="BY1984">
            <v>171340</v>
          </cell>
        </row>
        <row r="1986">
          <cell r="E1986" t="str">
            <v>Sócio</v>
          </cell>
          <cell r="BY1986">
            <v>-1113.71</v>
          </cell>
        </row>
        <row r="1987">
          <cell r="E1987" t="str">
            <v>Sócio</v>
          </cell>
          <cell r="BY1987">
            <v>-5140.2</v>
          </cell>
        </row>
        <row r="1988">
          <cell r="E1988" t="str">
            <v>Sócio</v>
          </cell>
          <cell r="BY1988">
            <v>-13707.2</v>
          </cell>
        </row>
        <row r="1989">
          <cell r="E1989" t="str">
            <v>Sócio</v>
          </cell>
          <cell r="BY1989">
            <v>-4934.5919999999996</v>
          </cell>
        </row>
        <row r="1990">
          <cell r="BY1990">
            <v>-24895.702000000001</v>
          </cell>
        </row>
        <row r="1992">
          <cell r="BY1992">
            <v>146444.29800000001</v>
          </cell>
        </row>
        <row r="1994">
          <cell r="E1994" t="str">
            <v>Sócio</v>
          </cell>
          <cell r="BY1994">
            <v>-20000</v>
          </cell>
        </row>
        <row r="1995">
          <cell r="E1995" t="str">
            <v>B2</v>
          </cell>
          <cell r="BY1995">
            <v>-9533.4096000000009</v>
          </cell>
        </row>
        <row r="1996">
          <cell r="E1996" t="str">
            <v>B2</v>
          </cell>
          <cell r="BY1996">
            <v>-9533.4096000000009</v>
          </cell>
        </row>
        <row r="1997">
          <cell r="E1997" t="str">
            <v>B0</v>
          </cell>
          <cell r="BY1997">
            <v>-3897.62</v>
          </cell>
        </row>
        <row r="1998">
          <cell r="E1998" t="str">
            <v>Estagiário</v>
          </cell>
          <cell r="BY1998">
            <v>-1344.33</v>
          </cell>
        </row>
        <row r="1999">
          <cell r="E1999" t="str">
            <v>Estagiário</v>
          </cell>
          <cell r="BY1999">
            <v>-3897.62</v>
          </cell>
        </row>
        <row r="2000">
          <cell r="BY2000">
            <v>-48206.389200000005</v>
          </cell>
        </row>
        <row r="2002">
          <cell r="E2002" t="str">
            <v>Sócio</v>
          </cell>
        </row>
        <row r="2003">
          <cell r="E2003" t="str">
            <v>Sócio</v>
          </cell>
        </row>
        <row r="2004">
          <cell r="E2004" t="str">
            <v>Sócio</v>
          </cell>
        </row>
        <row r="2005">
          <cell r="E2005" t="str">
            <v>Sócio</v>
          </cell>
        </row>
        <row r="2006">
          <cell r="E2006" t="str">
            <v>Sócio</v>
          </cell>
        </row>
        <row r="2007">
          <cell r="E2007" t="str">
            <v>Sócio</v>
          </cell>
        </row>
        <row r="2008">
          <cell r="E2008" t="str">
            <v>Sócio</v>
          </cell>
        </row>
        <row r="2009">
          <cell r="E2009" t="str">
            <v>Sócio</v>
          </cell>
        </row>
        <row r="2010">
          <cell r="E2010" t="str">
            <v>Sócio</v>
          </cell>
        </row>
        <row r="2011">
          <cell r="E2011" t="str">
            <v>Sócio</v>
          </cell>
        </row>
        <row r="2012">
          <cell r="E2012" t="str">
            <v>Sócio</v>
          </cell>
        </row>
        <row r="2013">
          <cell r="E2013" t="str">
            <v>Sócio</v>
          </cell>
        </row>
        <row r="2014">
          <cell r="E2014" t="str">
            <v>Sócio</v>
          </cell>
        </row>
        <row r="2015">
          <cell r="E2015" t="str">
            <v>Sócio</v>
          </cell>
        </row>
        <row r="2016">
          <cell r="E2016" t="str">
            <v>Sócio</v>
          </cell>
        </row>
        <row r="2017">
          <cell r="E2017" t="str">
            <v>Sócio</v>
          </cell>
        </row>
        <row r="2018">
          <cell r="E2018" t="str">
            <v>Sócio</v>
          </cell>
        </row>
        <row r="2019">
          <cell r="E2019" t="str">
            <v>Sócio</v>
          </cell>
        </row>
        <row r="2020">
          <cell r="E2020" t="str">
            <v>Sócio</v>
          </cell>
        </row>
        <row r="2021">
          <cell r="E2021" t="str">
            <v>Sócio</v>
          </cell>
        </row>
        <row r="2022">
          <cell r="E2022" t="str">
            <v>Sócio</v>
          </cell>
        </row>
        <row r="2023">
          <cell r="E2023" t="str">
            <v>Sócio</v>
          </cell>
        </row>
        <row r="2024">
          <cell r="E2024" t="str">
            <v>Sócio</v>
          </cell>
        </row>
        <row r="2025">
          <cell r="E2025" t="str">
            <v>Sócio</v>
          </cell>
        </row>
        <row r="2026">
          <cell r="BY2026">
            <v>0</v>
          </cell>
        </row>
        <row r="2028">
          <cell r="BY2028">
            <v>98237.908800000005</v>
          </cell>
        </row>
        <row r="2030">
          <cell r="E2030" t="str">
            <v>B3</v>
          </cell>
          <cell r="BY2030">
            <v>40040</v>
          </cell>
        </row>
        <row r="2031">
          <cell r="E2031" t="str">
            <v>Estagiário</v>
          </cell>
          <cell r="BY2031">
            <v>6500</v>
          </cell>
        </row>
        <row r="2032">
          <cell r="E2032" t="str">
            <v>Estagiário</v>
          </cell>
          <cell r="BY2032">
            <v>6500</v>
          </cell>
        </row>
        <row r="2033">
          <cell r="BY2033">
            <v>53040</v>
          </cell>
        </row>
        <row r="2035">
          <cell r="E2035" t="str">
            <v>B3</v>
          </cell>
          <cell r="BY2035">
            <v>-344.76</v>
          </cell>
        </row>
        <row r="2036">
          <cell r="E2036" t="str">
            <v>B3</v>
          </cell>
          <cell r="BY2036">
            <v>-1591.2</v>
          </cell>
        </row>
        <row r="2037">
          <cell r="E2037" t="str">
            <v>B3</v>
          </cell>
          <cell r="BY2037">
            <v>-4243.2</v>
          </cell>
        </row>
        <row r="2038">
          <cell r="E2038" t="str">
            <v>B3</v>
          </cell>
          <cell r="BY2038">
            <v>-1527.5519999999999</v>
          </cell>
        </row>
        <row r="2039">
          <cell r="BY2039">
            <v>-7706.7119999999995</v>
          </cell>
        </row>
        <row r="2041">
          <cell r="BY2041">
            <v>45333.288</v>
          </cell>
        </row>
        <row r="2043">
          <cell r="E2043" t="str">
            <v>B3</v>
          </cell>
          <cell r="BY2043">
            <v>-11977.966</v>
          </cell>
        </row>
        <row r="2044">
          <cell r="E2044" t="str">
            <v>Estagiário</v>
          </cell>
          <cell r="BY2044">
            <v>-1344.33</v>
          </cell>
        </row>
        <row r="2045">
          <cell r="E2045" t="str">
            <v>Estagiário</v>
          </cell>
          <cell r="BY2045">
            <v>-1344.33</v>
          </cell>
        </row>
        <row r="2046">
          <cell r="BY2046">
            <v>-14666.626</v>
          </cell>
        </row>
        <row r="2048">
          <cell r="E2048" t="str">
            <v>B3</v>
          </cell>
        </row>
        <row r="2049">
          <cell r="E2049" t="str">
            <v>B3</v>
          </cell>
        </row>
        <row r="2050">
          <cell r="E2050" t="str">
            <v>B3</v>
          </cell>
        </row>
        <row r="2051">
          <cell r="E2051" t="str">
            <v>B3</v>
          </cell>
        </row>
        <row r="2052">
          <cell r="E2052" t="str">
            <v>B3</v>
          </cell>
        </row>
        <row r="2053">
          <cell r="E2053" t="str">
            <v>B3</v>
          </cell>
        </row>
        <row r="2054">
          <cell r="E2054" t="str">
            <v>B3</v>
          </cell>
        </row>
        <row r="2055">
          <cell r="E2055" t="str">
            <v>B3</v>
          </cell>
        </row>
        <row r="2056">
          <cell r="E2056" t="str">
            <v>B3</v>
          </cell>
        </row>
        <row r="2057">
          <cell r="E2057" t="str">
            <v>B3</v>
          </cell>
        </row>
        <row r="2058">
          <cell r="E2058" t="str">
            <v>B3</v>
          </cell>
        </row>
        <row r="2059">
          <cell r="E2059" t="str">
            <v>B3</v>
          </cell>
        </row>
        <row r="2060">
          <cell r="E2060" t="str">
            <v>B3</v>
          </cell>
        </row>
        <row r="2061">
          <cell r="E2061" t="str">
            <v>B3</v>
          </cell>
        </row>
        <row r="2062">
          <cell r="E2062" t="str">
            <v>B3</v>
          </cell>
        </row>
        <row r="2063">
          <cell r="E2063" t="str">
            <v>B3</v>
          </cell>
        </row>
        <row r="2064">
          <cell r="E2064" t="str">
            <v>B3</v>
          </cell>
        </row>
        <row r="2065">
          <cell r="E2065" t="str">
            <v>B3</v>
          </cell>
        </row>
        <row r="2066">
          <cell r="E2066" t="str">
            <v>B3</v>
          </cell>
        </row>
        <row r="2067">
          <cell r="E2067" t="str">
            <v>B3</v>
          </cell>
        </row>
        <row r="2068">
          <cell r="E2068" t="str">
            <v>B3</v>
          </cell>
        </row>
        <row r="2069">
          <cell r="E2069" t="str">
            <v>B3</v>
          </cell>
        </row>
        <row r="2070">
          <cell r="E2070" t="str">
            <v>B3</v>
          </cell>
        </row>
        <row r="2071">
          <cell r="E2071" t="str">
            <v>B3</v>
          </cell>
        </row>
        <row r="2072">
          <cell r="BY2072">
            <v>0</v>
          </cell>
        </row>
        <row r="2074">
          <cell r="BY2074">
            <v>30666.662</v>
          </cell>
        </row>
        <row r="2076">
          <cell r="E2076" t="str">
            <v>B3</v>
          </cell>
          <cell r="BY2076">
            <v>40040</v>
          </cell>
        </row>
        <row r="2077">
          <cell r="E2077" t="str">
            <v>B1</v>
          </cell>
          <cell r="BY2077">
            <v>28600</v>
          </cell>
        </row>
        <row r="2078">
          <cell r="E2078" t="str">
            <v>B0</v>
          </cell>
          <cell r="BY2078">
            <v>21450</v>
          </cell>
        </row>
        <row r="2079">
          <cell r="E2079" t="str">
            <v>Estagiário</v>
          </cell>
          <cell r="BY2079">
            <v>6500</v>
          </cell>
        </row>
        <row r="2080">
          <cell r="E2080" t="str">
            <v>Estagiário</v>
          </cell>
          <cell r="BY2080">
            <v>6500</v>
          </cell>
        </row>
        <row r="2081">
          <cell r="E2081" t="str">
            <v>B5</v>
          </cell>
          <cell r="BY2081">
            <v>45760</v>
          </cell>
        </row>
        <row r="2082">
          <cell r="BY2082">
            <v>148850</v>
          </cell>
        </row>
        <row r="2084">
          <cell r="E2084" t="str">
            <v>Classe N</v>
          </cell>
          <cell r="BY2084">
            <v>-967.52499999999998</v>
          </cell>
        </row>
        <row r="2085">
          <cell r="E2085" t="str">
            <v>Classe N</v>
          </cell>
          <cell r="BY2085">
            <v>-4465.5</v>
          </cell>
        </row>
        <row r="2086">
          <cell r="E2086" t="str">
            <v>Classe N</v>
          </cell>
          <cell r="BY2086">
            <v>-11908</v>
          </cell>
        </row>
        <row r="2087">
          <cell r="E2087" t="str">
            <v>Classe N</v>
          </cell>
          <cell r="BY2087">
            <v>-4286.88</v>
          </cell>
        </row>
        <row r="2088">
          <cell r="BY2088">
            <v>-21627.905000000002</v>
          </cell>
        </row>
        <row r="2090">
          <cell r="BY2090">
            <v>127222.095</v>
          </cell>
        </row>
        <row r="2092">
          <cell r="E2092" t="str">
            <v>B3</v>
          </cell>
          <cell r="BY2092">
            <v>-11977.966</v>
          </cell>
        </row>
        <row r="2093">
          <cell r="E2093" t="str">
            <v>B1</v>
          </cell>
          <cell r="BY2093">
            <v>-7333.3260000000009</v>
          </cell>
        </row>
        <row r="2094">
          <cell r="E2094" t="str">
            <v>B0</v>
          </cell>
          <cell r="BY2094">
            <v>-3897.62</v>
          </cell>
        </row>
        <row r="2095">
          <cell r="E2095" t="str">
            <v>Estagiário</v>
          </cell>
          <cell r="BY2095">
            <v>-1344.33</v>
          </cell>
        </row>
        <row r="2096">
          <cell r="E2096" t="str">
            <v>Estagiário</v>
          </cell>
          <cell r="BY2096">
            <v>-1344.33</v>
          </cell>
        </row>
        <row r="2097">
          <cell r="E2097" t="str">
            <v>B5</v>
          </cell>
          <cell r="BY2097">
            <v>-15644.428800000002</v>
          </cell>
        </row>
        <row r="2098">
          <cell r="BY2098">
            <v>-41542.000800000002</v>
          </cell>
        </row>
        <row r="2100">
          <cell r="E2100" t="str">
            <v>B3</v>
          </cell>
        </row>
        <row r="2101">
          <cell r="E2101" t="str">
            <v>B3</v>
          </cell>
        </row>
        <row r="2102">
          <cell r="E2102" t="str">
            <v>B3</v>
          </cell>
        </row>
        <row r="2103">
          <cell r="E2103" t="str">
            <v>B3</v>
          </cell>
        </row>
        <row r="2104">
          <cell r="E2104" t="str">
            <v>B3</v>
          </cell>
        </row>
        <row r="2105">
          <cell r="E2105" t="str">
            <v>B3</v>
          </cell>
        </row>
        <row r="2106">
          <cell r="E2106" t="str">
            <v>B3</v>
          </cell>
        </row>
        <row r="2107">
          <cell r="E2107" t="str">
            <v>B3</v>
          </cell>
        </row>
        <row r="2108">
          <cell r="E2108" t="str">
            <v>B3</v>
          </cell>
        </row>
        <row r="2109">
          <cell r="E2109" t="str">
            <v>B3</v>
          </cell>
        </row>
        <row r="2110">
          <cell r="E2110" t="str">
            <v>B3</v>
          </cell>
        </row>
        <row r="2111">
          <cell r="E2111" t="str">
            <v>B3</v>
          </cell>
        </row>
        <row r="2112">
          <cell r="E2112" t="str">
            <v>B3</v>
          </cell>
        </row>
        <row r="2113">
          <cell r="E2113" t="str">
            <v>B3</v>
          </cell>
        </row>
        <row r="2114">
          <cell r="E2114" t="str">
            <v>B3</v>
          </cell>
        </row>
        <row r="2115">
          <cell r="E2115" t="str">
            <v>B3</v>
          </cell>
        </row>
        <row r="2116">
          <cell r="E2116" t="str">
            <v>B3</v>
          </cell>
        </row>
        <row r="2117">
          <cell r="E2117" t="str">
            <v>B3</v>
          </cell>
        </row>
        <row r="2118">
          <cell r="E2118" t="str">
            <v>B3</v>
          </cell>
        </row>
        <row r="2119">
          <cell r="E2119" t="str">
            <v>B3</v>
          </cell>
        </row>
        <row r="2120">
          <cell r="E2120" t="str">
            <v>B3</v>
          </cell>
        </row>
        <row r="2121">
          <cell r="E2121" t="str">
            <v>B3</v>
          </cell>
        </row>
        <row r="2122">
          <cell r="E2122" t="str">
            <v>B3</v>
          </cell>
        </row>
        <row r="2123">
          <cell r="E2123" t="str">
            <v>B3</v>
          </cell>
        </row>
        <row r="2124">
          <cell r="BY2124">
            <v>0</v>
          </cell>
        </row>
        <row r="2126">
          <cell r="E2126" t="str">
            <v>B3</v>
          </cell>
          <cell r="BY2126">
            <v>85680.094199999992</v>
          </cell>
        </row>
        <row r="2128">
          <cell r="E2128" t="str">
            <v>B3</v>
          </cell>
          <cell r="BY2128">
            <v>40040</v>
          </cell>
        </row>
        <row r="2129">
          <cell r="E2129" t="str">
            <v>B0</v>
          </cell>
          <cell r="BY2129">
            <v>21450</v>
          </cell>
        </row>
        <row r="2130">
          <cell r="E2130" t="str">
            <v>B3</v>
          </cell>
          <cell r="BY2130">
            <v>40040</v>
          </cell>
        </row>
        <row r="2131">
          <cell r="BY2131">
            <v>101530</v>
          </cell>
        </row>
        <row r="2133">
          <cell r="E2133" t="str">
            <v>B3</v>
          </cell>
          <cell r="BY2133">
            <v>-659.94500000000005</v>
          </cell>
        </row>
        <row r="2134">
          <cell r="E2134" t="str">
            <v>B3</v>
          </cell>
          <cell r="BY2134">
            <v>-3045.9</v>
          </cell>
        </row>
        <row r="2135">
          <cell r="E2135" t="str">
            <v>B3</v>
          </cell>
          <cell r="BY2135">
            <v>-8122.4</v>
          </cell>
        </row>
        <row r="2136">
          <cell r="E2136" t="str">
            <v>B3</v>
          </cell>
          <cell r="BY2136">
            <v>-2924.0639999999999</v>
          </cell>
        </row>
        <row r="2137">
          <cell r="BY2137">
            <v>-14752.309000000001</v>
          </cell>
        </row>
        <row r="2139">
          <cell r="BY2139">
            <v>86777.690999999992</v>
          </cell>
        </row>
        <row r="2141">
          <cell r="E2141" t="str">
            <v>B3</v>
          </cell>
          <cell r="BY2141">
            <v>-11977.966</v>
          </cell>
        </row>
        <row r="2142">
          <cell r="E2142" t="str">
            <v>B0</v>
          </cell>
          <cell r="BY2142">
            <v>-3897.62</v>
          </cell>
        </row>
        <row r="2143">
          <cell r="E2143" t="str">
            <v>B3</v>
          </cell>
          <cell r="BY2143">
            <v>-11977.966</v>
          </cell>
        </row>
        <row r="2144">
          <cell r="BY2144">
            <v>-27853.552</v>
          </cell>
        </row>
        <row r="2146">
          <cell r="E2146" t="str">
            <v>B3</v>
          </cell>
        </row>
        <row r="2147">
          <cell r="E2147" t="str">
            <v>B3</v>
          </cell>
        </row>
        <row r="2148">
          <cell r="E2148" t="str">
            <v>B3</v>
          </cell>
        </row>
        <row r="2149">
          <cell r="E2149" t="str">
            <v>B3</v>
          </cell>
        </row>
        <row r="2150">
          <cell r="E2150" t="str">
            <v>B3</v>
          </cell>
        </row>
        <row r="2151">
          <cell r="E2151" t="str">
            <v>B3</v>
          </cell>
        </row>
        <row r="2152">
          <cell r="E2152" t="str">
            <v>B3</v>
          </cell>
        </row>
        <row r="2153">
          <cell r="E2153" t="str">
            <v>B3</v>
          </cell>
        </row>
        <row r="2154">
          <cell r="E2154" t="str">
            <v>B3</v>
          </cell>
        </row>
        <row r="2155">
          <cell r="E2155" t="str">
            <v>B3</v>
          </cell>
        </row>
        <row r="2156">
          <cell r="E2156" t="str">
            <v>B3</v>
          </cell>
        </row>
        <row r="2157">
          <cell r="E2157" t="str">
            <v>B3</v>
          </cell>
        </row>
        <row r="2158">
          <cell r="E2158" t="str">
            <v>B3</v>
          </cell>
        </row>
        <row r="2159">
          <cell r="E2159" t="str">
            <v>B3</v>
          </cell>
        </row>
        <row r="2160">
          <cell r="E2160" t="str">
            <v>B3</v>
          </cell>
        </row>
        <row r="2161">
          <cell r="E2161" t="str">
            <v>B3</v>
          </cell>
        </row>
        <row r="2162">
          <cell r="E2162" t="str">
            <v>B3</v>
          </cell>
        </row>
        <row r="2163">
          <cell r="E2163" t="str">
            <v>B3</v>
          </cell>
        </row>
        <row r="2164">
          <cell r="E2164" t="str">
            <v>B3</v>
          </cell>
        </row>
        <row r="2165">
          <cell r="E2165" t="str">
            <v>B3</v>
          </cell>
        </row>
        <row r="2166">
          <cell r="E2166" t="str">
            <v>B3</v>
          </cell>
        </row>
        <row r="2167">
          <cell r="E2167" t="str">
            <v>B3</v>
          </cell>
        </row>
        <row r="2168">
          <cell r="E2168" t="str">
            <v>B3</v>
          </cell>
        </row>
        <row r="2169">
          <cell r="E2169" t="str">
            <v>B3</v>
          </cell>
        </row>
        <row r="2170">
          <cell r="BY2170">
            <v>0</v>
          </cell>
        </row>
        <row r="2172">
          <cell r="E2172" t="str">
            <v>B3</v>
          </cell>
          <cell r="BY2172">
            <v>58924.138999999996</v>
          </cell>
        </row>
        <row r="2174">
          <cell r="E2174" t="str">
            <v>B3</v>
          </cell>
          <cell r="BY2174">
            <v>40040</v>
          </cell>
        </row>
        <row r="2175">
          <cell r="E2175" t="str">
            <v>B2</v>
          </cell>
          <cell r="BY2175">
            <v>34320</v>
          </cell>
        </row>
        <row r="2176">
          <cell r="E2176" t="str">
            <v>B0</v>
          </cell>
          <cell r="BY2176">
            <v>21450</v>
          </cell>
        </row>
        <row r="2177">
          <cell r="E2177" t="str">
            <v>Estagiário</v>
          </cell>
          <cell r="BY2177">
            <v>6500</v>
          </cell>
        </row>
        <row r="2178">
          <cell r="E2178" t="str">
            <v>Estagiário</v>
          </cell>
          <cell r="BY2178">
            <v>6500</v>
          </cell>
        </row>
        <row r="2179">
          <cell r="BY2179">
            <v>108810</v>
          </cell>
        </row>
        <row r="2181">
          <cell r="E2181" t="str">
            <v>B3</v>
          </cell>
          <cell r="BY2181">
            <v>-707.26499999999999</v>
          </cell>
        </row>
        <row r="2182">
          <cell r="E2182" t="str">
            <v>B3</v>
          </cell>
          <cell r="BY2182">
            <v>-3264.3</v>
          </cell>
        </row>
        <row r="2183">
          <cell r="E2183" t="str">
            <v>B3</v>
          </cell>
          <cell r="BY2183">
            <v>-8704.7999999999993</v>
          </cell>
        </row>
        <row r="2184">
          <cell r="E2184" t="str">
            <v>B3</v>
          </cell>
          <cell r="BY2184">
            <v>-3133.7280000000001</v>
          </cell>
        </row>
        <row r="2185">
          <cell r="BY2185">
            <v>-15810.092999999997</v>
          </cell>
        </row>
        <row r="2187">
          <cell r="BY2187">
            <v>92999.907000000007</v>
          </cell>
        </row>
        <row r="2189">
          <cell r="E2189" t="str">
            <v>B3</v>
          </cell>
          <cell r="BY2189">
            <v>-11977.966</v>
          </cell>
        </row>
        <row r="2190">
          <cell r="E2190" t="str">
            <v>B2</v>
          </cell>
          <cell r="BY2190">
            <v>-9533.4096000000009</v>
          </cell>
        </row>
        <row r="2191">
          <cell r="E2191" t="str">
            <v>B0</v>
          </cell>
          <cell r="BY2191">
            <v>-3897.62</v>
          </cell>
        </row>
        <row r="2192">
          <cell r="E2192" t="str">
            <v>Estagiário</v>
          </cell>
          <cell r="BY2192">
            <v>-1344.33</v>
          </cell>
        </row>
        <row r="2193">
          <cell r="E2193" t="str">
            <v>Estagiário</v>
          </cell>
          <cell r="BY2193">
            <v>-1344.33</v>
          </cell>
        </row>
        <row r="2194">
          <cell r="BY2194">
            <v>-28097.655599999998</v>
          </cell>
        </row>
        <row r="2196">
          <cell r="E2196" t="str">
            <v>B3</v>
          </cell>
        </row>
        <row r="2197">
          <cell r="E2197" t="str">
            <v>B3</v>
          </cell>
        </row>
        <row r="2198">
          <cell r="E2198" t="str">
            <v>B3</v>
          </cell>
        </row>
        <row r="2199">
          <cell r="E2199" t="str">
            <v>B3</v>
          </cell>
        </row>
        <row r="2200">
          <cell r="E2200" t="str">
            <v>B3</v>
          </cell>
        </row>
        <row r="2201">
          <cell r="E2201" t="str">
            <v>B3</v>
          </cell>
        </row>
        <row r="2202">
          <cell r="E2202" t="str">
            <v>B3</v>
          </cell>
        </row>
        <row r="2203">
          <cell r="E2203" t="str">
            <v>B3</v>
          </cell>
        </row>
        <row r="2204">
          <cell r="E2204" t="str">
            <v>B3</v>
          </cell>
        </row>
        <row r="2205">
          <cell r="E2205" t="str">
            <v>B3</v>
          </cell>
        </row>
        <row r="2206">
          <cell r="E2206" t="str">
            <v>B3</v>
          </cell>
        </row>
        <row r="2207">
          <cell r="E2207" t="str">
            <v>B3</v>
          </cell>
        </row>
        <row r="2208">
          <cell r="E2208" t="str">
            <v>B3</v>
          </cell>
        </row>
        <row r="2209">
          <cell r="E2209" t="str">
            <v>B3</v>
          </cell>
        </row>
        <row r="2210">
          <cell r="E2210" t="str">
            <v>B3</v>
          </cell>
        </row>
        <row r="2211">
          <cell r="E2211" t="str">
            <v>B3</v>
          </cell>
        </row>
        <row r="2212">
          <cell r="E2212" t="str">
            <v>B3</v>
          </cell>
        </row>
        <row r="2213">
          <cell r="E2213" t="str">
            <v>B3</v>
          </cell>
        </row>
        <row r="2214">
          <cell r="E2214" t="str">
            <v>B3</v>
          </cell>
        </row>
        <row r="2215">
          <cell r="E2215" t="str">
            <v>B3</v>
          </cell>
        </row>
        <row r="2216">
          <cell r="E2216" t="str">
            <v>B3</v>
          </cell>
        </row>
        <row r="2217">
          <cell r="E2217" t="str">
            <v>B3</v>
          </cell>
        </row>
        <row r="2218">
          <cell r="E2218" t="str">
            <v>B3</v>
          </cell>
        </row>
        <row r="2219">
          <cell r="E2219" t="str">
            <v>B3</v>
          </cell>
        </row>
        <row r="2220">
          <cell r="BY2220">
            <v>0</v>
          </cell>
        </row>
        <row r="2222">
          <cell r="E2222" t="str">
            <v>B3</v>
          </cell>
          <cell r="BY2222">
            <v>64902.251400000008</v>
          </cell>
        </row>
        <row r="2224">
          <cell r="E2224" t="str">
            <v>B4</v>
          </cell>
          <cell r="BY2224">
            <v>42900</v>
          </cell>
        </row>
        <row r="2225">
          <cell r="E2225" t="str">
            <v>B1</v>
          </cell>
          <cell r="BY2225">
            <v>28600</v>
          </cell>
        </row>
        <row r="2226">
          <cell r="E2226" t="str">
            <v>B0</v>
          </cell>
          <cell r="BY2226">
            <v>21450</v>
          </cell>
        </row>
        <row r="2227">
          <cell r="E2227" t="str">
            <v>Estagiário</v>
          </cell>
          <cell r="BY2227">
            <v>6500</v>
          </cell>
        </row>
        <row r="2228">
          <cell r="BY2228">
            <v>99450</v>
          </cell>
        </row>
        <row r="2230">
          <cell r="E2230" t="str">
            <v>B4</v>
          </cell>
          <cell r="BY2230">
            <v>-646.42499999999995</v>
          </cell>
        </row>
        <row r="2231">
          <cell r="E2231" t="str">
            <v>B4</v>
          </cell>
          <cell r="BY2231">
            <v>-2983.5</v>
          </cell>
        </row>
        <row r="2232">
          <cell r="E2232" t="str">
            <v>B4</v>
          </cell>
          <cell r="BY2232">
            <v>-7956</v>
          </cell>
        </row>
        <row r="2233">
          <cell r="E2233" t="str">
            <v>B4</v>
          </cell>
          <cell r="BY2233">
            <v>-2864.16</v>
          </cell>
        </row>
        <row r="2234">
          <cell r="BY2234">
            <v>-14450.084999999999</v>
          </cell>
        </row>
        <row r="2236">
          <cell r="BY2236">
            <v>84999.915000000008</v>
          </cell>
        </row>
        <row r="2238">
          <cell r="E2238" t="str">
            <v>B4</v>
          </cell>
          <cell r="BY2238">
            <v>-13749.879000000001</v>
          </cell>
        </row>
        <row r="2239">
          <cell r="E2239" t="str">
            <v>B1</v>
          </cell>
          <cell r="BY2239">
            <v>-7333.3260000000009</v>
          </cell>
        </row>
        <row r="2240">
          <cell r="E2240" t="str">
            <v>B0</v>
          </cell>
          <cell r="BY2240">
            <v>-3897.62</v>
          </cell>
        </row>
        <row r="2241">
          <cell r="E2241" t="str">
            <v>Estagiário</v>
          </cell>
          <cell r="BY2241">
            <v>-1344.33</v>
          </cell>
        </row>
        <row r="2242">
          <cell r="BY2242">
            <v>-26325.154999999999</v>
          </cell>
        </row>
        <row r="2244">
          <cell r="E2244" t="str">
            <v>B4</v>
          </cell>
        </row>
        <row r="2245">
          <cell r="E2245" t="str">
            <v>B4</v>
          </cell>
        </row>
        <row r="2246">
          <cell r="E2246" t="str">
            <v>B4</v>
          </cell>
        </row>
        <row r="2247">
          <cell r="E2247" t="str">
            <v>B4</v>
          </cell>
        </row>
        <row r="2248">
          <cell r="E2248" t="str">
            <v>B4</v>
          </cell>
        </row>
        <row r="2249">
          <cell r="E2249" t="str">
            <v>B4</v>
          </cell>
        </row>
        <row r="2250">
          <cell r="E2250" t="str">
            <v>B4</v>
          </cell>
        </row>
        <row r="2251">
          <cell r="E2251" t="str">
            <v>B4</v>
          </cell>
        </row>
        <row r="2252">
          <cell r="E2252" t="str">
            <v>B4</v>
          </cell>
        </row>
        <row r="2253">
          <cell r="E2253" t="str">
            <v>B4</v>
          </cell>
        </row>
        <row r="2254">
          <cell r="E2254" t="str">
            <v>B4</v>
          </cell>
        </row>
        <row r="2255">
          <cell r="E2255" t="str">
            <v>B4</v>
          </cell>
        </row>
        <row r="2256">
          <cell r="E2256" t="str">
            <v>B4</v>
          </cell>
        </row>
        <row r="2257">
          <cell r="E2257" t="str">
            <v>B4</v>
          </cell>
        </row>
        <row r="2258">
          <cell r="E2258" t="str">
            <v>B4</v>
          </cell>
        </row>
        <row r="2259">
          <cell r="E2259" t="str">
            <v>B4</v>
          </cell>
        </row>
        <row r="2260">
          <cell r="E2260" t="str">
            <v>B4</v>
          </cell>
        </row>
        <row r="2261">
          <cell r="E2261" t="str">
            <v>B4</v>
          </cell>
        </row>
        <row r="2262">
          <cell r="E2262" t="str">
            <v>B4</v>
          </cell>
        </row>
        <row r="2263">
          <cell r="E2263" t="str">
            <v>B4</v>
          </cell>
        </row>
        <row r="2264">
          <cell r="E2264" t="str">
            <v>B4</v>
          </cell>
        </row>
        <row r="2265">
          <cell r="E2265" t="str">
            <v>B4</v>
          </cell>
        </row>
        <row r="2266">
          <cell r="E2266" t="str">
            <v>B4</v>
          </cell>
        </row>
        <row r="2267">
          <cell r="E2267" t="str">
            <v>B4</v>
          </cell>
        </row>
        <row r="2268">
          <cell r="BY2268">
            <v>0</v>
          </cell>
        </row>
        <row r="2270">
          <cell r="E2270" t="str">
            <v>B4</v>
          </cell>
          <cell r="BY2270">
            <v>58674.76</v>
          </cell>
        </row>
        <row r="2272">
          <cell r="E2272" t="str">
            <v>Sócio</v>
          </cell>
          <cell r="BY2272">
            <v>46800</v>
          </cell>
        </row>
        <row r="2273">
          <cell r="E2273" t="str">
            <v>B4</v>
          </cell>
          <cell r="BY2273">
            <v>42900</v>
          </cell>
        </row>
        <row r="2274">
          <cell r="E2274" t="str">
            <v>B3</v>
          </cell>
          <cell r="BY2274">
            <v>40040</v>
          </cell>
        </row>
        <row r="2275">
          <cell r="E2275" t="str">
            <v>B3</v>
          </cell>
          <cell r="BY2275">
            <v>40040</v>
          </cell>
        </row>
        <row r="2276">
          <cell r="E2276" t="str">
            <v>B1</v>
          </cell>
          <cell r="BY2276">
            <v>28600</v>
          </cell>
        </row>
        <row r="2277">
          <cell r="E2277" t="str">
            <v>B0</v>
          </cell>
          <cell r="BY2277">
            <v>21450</v>
          </cell>
        </row>
        <row r="2278">
          <cell r="E2278" t="str">
            <v>Estagiário</v>
          </cell>
          <cell r="BY2278">
            <v>6500</v>
          </cell>
        </row>
        <row r="2279">
          <cell r="E2279" t="str">
            <v>Estagiário</v>
          </cell>
          <cell r="BY2279">
            <v>6500</v>
          </cell>
        </row>
        <row r="2280">
          <cell r="E2280" t="str">
            <v>B0</v>
          </cell>
          <cell r="BY2280">
            <v>21450</v>
          </cell>
        </row>
        <row r="2281">
          <cell r="E2281" t="str">
            <v>B0</v>
          </cell>
          <cell r="BY2281">
            <v>21450</v>
          </cell>
        </row>
        <row r="2282">
          <cell r="E2282" t="str">
            <v>Estagiário</v>
          </cell>
          <cell r="BY2282">
            <v>6500</v>
          </cell>
        </row>
        <row r="2283">
          <cell r="E2283" t="str">
            <v>Estagiário</v>
          </cell>
          <cell r="BY2283">
            <v>6500</v>
          </cell>
        </row>
        <row r="2284">
          <cell r="BY2284">
            <v>288730</v>
          </cell>
        </row>
        <row r="2286">
          <cell r="E2286" t="str">
            <v>B4</v>
          </cell>
          <cell r="BY2286">
            <v>-1876.7449999999999</v>
          </cell>
        </row>
        <row r="2287">
          <cell r="E2287" t="str">
            <v>B4</v>
          </cell>
          <cell r="BY2287">
            <v>-8661.9</v>
          </cell>
        </row>
        <row r="2288">
          <cell r="E2288" t="str">
            <v>B4</v>
          </cell>
          <cell r="BY2288">
            <v>-23098.400000000001</v>
          </cell>
        </row>
        <row r="2289">
          <cell r="E2289" t="str">
            <v>B4</v>
          </cell>
          <cell r="BY2289">
            <v>-8315.4239999999991</v>
          </cell>
        </row>
        <row r="2290">
          <cell r="BY2290">
            <v>-41952.468999999997</v>
          </cell>
        </row>
        <row r="2292">
          <cell r="BY2292">
            <v>246777.53100000002</v>
          </cell>
        </row>
        <row r="2294">
          <cell r="E2294" t="str">
            <v>Sócio</v>
          </cell>
          <cell r="BY2294">
            <v>-20000</v>
          </cell>
        </row>
        <row r="2295">
          <cell r="E2295" t="str">
            <v>B4</v>
          </cell>
          <cell r="BY2295">
            <v>-13749.879000000001</v>
          </cell>
        </row>
        <row r="2296">
          <cell r="E2296" t="str">
            <v>B3</v>
          </cell>
          <cell r="BY2296">
            <v>-11977.966</v>
          </cell>
        </row>
        <row r="2297">
          <cell r="E2297" t="str">
            <v>B3</v>
          </cell>
          <cell r="BY2297">
            <v>-11977.966</v>
          </cell>
        </row>
        <row r="2298">
          <cell r="E2298" t="str">
            <v>B1</v>
          </cell>
          <cell r="BY2298">
            <v>-7333.3260000000009</v>
          </cell>
        </row>
        <row r="2299">
          <cell r="E2299" t="str">
            <v>B0</v>
          </cell>
          <cell r="BY2299">
            <v>-3897.62</v>
          </cell>
        </row>
        <row r="2300">
          <cell r="E2300" t="str">
            <v>Estagiário</v>
          </cell>
          <cell r="BY2300">
            <v>-1344.33</v>
          </cell>
        </row>
        <row r="2301">
          <cell r="E2301" t="str">
            <v>Estagiário</v>
          </cell>
          <cell r="BY2301">
            <v>-1344.33</v>
          </cell>
        </row>
        <row r="2302">
          <cell r="E2302" t="str">
            <v>B0</v>
          </cell>
          <cell r="BY2302">
            <v>-3897.62</v>
          </cell>
        </row>
        <row r="2303">
          <cell r="E2303" t="str">
            <v>B0</v>
          </cell>
          <cell r="BY2303">
            <v>-3897.62</v>
          </cell>
        </row>
        <row r="2304">
          <cell r="E2304" t="str">
            <v>Estagiário</v>
          </cell>
          <cell r="BY2304">
            <v>-1344.33</v>
          </cell>
        </row>
        <row r="2305">
          <cell r="E2305" t="str">
            <v>Estagiário</v>
          </cell>
          <cell r="BY2305">
            <v>-1344.33</v>
          </cell>
        </row>
        <row r="2306">
          <cell r="BY2306">
            <v>-82109.316999999995</v>
          </cell>
        </row>
        <row r="2308">
          <cell r="E2308" t="str">
            <v>B4</v>
          </cell>
        </row>
        <row r="2309">
          <cell r="E2309" t="str">
            <v>B4</v>
          </cell>
        </row>
        <row r="2310">
          <cell r="E2310" t="str">
            <v>B4</v>
          </cell>
        </row>
        <row r="2311">
          <cell r="E2311" t="str">
            <v>B4</v>
          </cell>
        </row>
        <row r="2312">
          <cell r="E2312" t="str">
            <v>B4</v>
          </cell>
        </row>
        <row r="2313">
          <cell r="E2313" t="str">
            <v>B4</v>
          </cell>
        </row>
        <row r="2314">
          <cell r="E2314" t="str">
            <v>B4</v>
          </cell>
        </row>
        <row r="2315">
          <cell r="E2315" t="str">
            <v>B4</v>
          </cell>
        </row>
        <row r="2316">
          <cell r="E2316" t="str">
            <v>B4</v>
          </cell>
        </row>
        <row r="2317">
          <cell r="E2317" t="str">
            <v>B4</v>
          </cell>
        </row>
        <row r="2318">
          <cell r="E2318" t="str">
            <v>B4</v>
          </cell>
        </row>
        <row r="2319">
          <cell r="E2319" t="str">
            <v>B4</v>
          </cell>
        </row>
        <row r="2320">
          <cell r="E2320" t="str">
            <v>B4</v>
          </cell>
        </row>
        <row r="2321">
          <cell r="E2321" t="str">
            <v>B4</v>
          </cell>
        </row>
        <row r="2322">
          <cell r="E2322" t="str">
            <v>B4</v>
          </cell>
        </row>
        <row r="2323">
          <cell r="E2323" t="str">
            <v>B4</v>
          </cell>
        </row>
        <row r="2324">
          <cell r="E2324" t="str">
            <v>B4</v>
          </cell>
        </row>
        <row r="2325">
          <cell r="E2325" t="str">
            <v>B4</v>
          </cell>
        </row>
        <row r="2326">
          <cell r="E2326" t="str">
            <v>B4</v>
          </cell>
        </row>
        <row r="2327">
          <cell r="E2327" t="str">
            <v>B4</v>
          </cell>
        </row>
        <row r="2328">
          <cell r="E2328" t="str">
            <v>B4</v>
          </cell>
        </row>
        <row r="2329">
          <cell r="E2329" t="str">
            <v>B4</v>
          </cell>
        </row>
        <row r="2330">
          <cell r="E2330" t="str">
            <v>B4</v>
          </cell>
        </row>
        <row r="2331">
          <cell r="E2331" t="str">
            <v>B4</v>
          </cell>
        </row>
        <row r="2332">
          <cell r="BY2332">
            <v>0</v>
          </cell>
        </row>
        <row r="2334">
          <cell r="E2334" t="str">
            <v>B4</v>
          </cell>
          <cell r="BY2334">
            <v>164668.21400000004</v>
          </cell>
        </row>
        <row r="2336">
          <cell r="E2336" t="str">
            <v>Sócio</v>
          </cell>
          <cell r="BY2336">
            <v>46800</v>
          </cell>
        </row>
        <row r="2337">
          <cell r="E2337" t="str">
            <v>B3</v>
          </cell>
          <cell r="BY2337">
            <v>40040</v>
          </cell>
        </row>
        <row r="2338">
          <cell r="E2338" t="str">
            <v>B3</v>
          </cell>
          <cell r="BY2338">
            <v>40040</v>
          </cell>
        </row>
        <row r="2339">
          <cell r="E2339" t="str">
            <v>B1</v>
          </cell>
          <cell r="BY2339">
            <v>28600</v>
          </cell>
        </row>
        <row r="2340">
          <cell r="E2340" t="str">
            <v>B0</v>
          </cell>
          <cell r="BY2340">
            <v>21450</v>
          </cell>
        </row>
        <row r="2341">
          <cell r="E2341" t="str">
            <v>B0</v>
          </cell>
          <cell r="BY2341">
            <v>21450</v>
          </cell>
        </row>
        <row r="2342">
          <cell r="E2342" t="str">
            <v>B0</v>
          </cell>
          <cell r="BY2342">
            <v>21450</v>
          </cell>
        </row>
        <row r="2343">
          <cell r="E2343" t="str">
            <v>B0</v>
          </cell>
          <cell r="BY2343">
            <v>21450</v>
          </cell>
        </row>
        <row r="2344">
          <cell r="E2344" t="str">
            <v>B0</v>
          </cell>
          <cell r="BY2344">
            <v>21450</v>
          </cell>
        </row>
        <row r="2345">
          <cell r="E2345" t="str">
            <v>Estagiário</v>
          </cell>
          <cell r="BY2345">
            <v>6500</v>
          </cell>
        </row>
        <row r="2346">
          <cell r="E2346" t="str">
            <v>Estagiário</v>
          </cell>
          <cell r="BY2346">
            <v>6500</v>
          </cell>
        </row>
        <row r="2347">
          <cell r="E2347" t="str">
            <v>Estagiário</v>
          </cell>
          <cell r="BY2347">
            <v>6500</v>
          </cell>
        </row>
        <row r="2348">
          <cell r="E2348" t="str">
            <v>Estagiário</v>
          </cell>
          <cell r="BY2348">
            <v>6500</v>
          </cell>
        </row>
        <row r="2349">
          <cell r="E2349" t="str">
            <v>Estagiário</v>
          </cell>
          <cell r="BY2349">
            <v>6500</v>
          </cell>
        </row>
        <row r="2350">
          <cell r="E2350" t="str">
            <v>Estagiário</v>
          </cell>
          <cell r="BY2350">
            <v>6500</v>
          </cell>
        </row>
        <row r="2351">
          <cell r="E2351" t="str">
            <v>B0</v>
          </cell>
          <cell r="BY2351">
            <v>21450</v>
          </cell>
        </row>
        <row r="2352">
          <cell r="E2352" t="str">
            <v>Estagiário</v>
          </cell>
          <cell r="BY2352">
            <v>6500</v>
          </cell>
        </row>
        <row r="2353">
          <cell r="BY2353">
            <v>329680</v>
          </cell>
        </row>
        <row r="2355">
          <cell r="E2355" t="str">
            <v>B4</v>
          </cell>
          <cell r="BY2355">
            <v>-2142.92</v>
          </cell>
        </row>
        <row r="2356">
          <cell r="E2356" t="str">
            <v>B4</v>
          </cell>
          <cell r="BY2356">
            <v>-9890.4</v>
          </cell>
        </row>
        <row r="2357">
          <cell r="E2357" t="str">
            <v>B4</v>
          </cell>
          <cell r="BY2357">
            <v>-26374.400000000001</v>
          </cell>
        </row>
        <row r="2358">
          <cell r="E2358" t="str">
            <v>B4</v>
          </cell>
          <cell r="BY2358">
            <v>-9494.7839999999997</v>
          </cell>
        </row>
        <row r="2359">
          <cell r="BY2359">
            <v>-47902.504000000001</v>
          </cell>
        </row>
        <row r="2361">
          <cell r="BY2361">
            <v>281777.49599999998</v>
          </cell>
        </row>
        <row r="2363">
          <cell r="E2363" t="str">
            <v>Sócio</v>
          </cell>
          <cell r="BY2363">
            <v>-20000</v>
          </cell>
        </row>
        <row r="2364">
          <cell r="E2364" t="str">
            <v>B3</v>
          </cell>
          <cell r="BY2364">
            <v>-11977.966</v>
          </cell>
        </row>
        <row r="2365">
          <cell r="E2365" t="str">
            <v>B3</v>
          </cell>
          <cell r="BY2365">
            <v>-11977.966</v>
          </cell>
        </row>
        <row r="2366">
          <cell r="E2366" t="str">
            <v>B1</v>
          </cell>
          <cell r="BY2366">
            <v>-7333.3260000000009</v>
          </cell>
        </row>
        <row r="2367">
          <cell r="E2367" t="str">
            <v>B0</v>
          </cell>
          <cell r="BY2367">
            <v>-3897.62</v>
          </cell>
        </row>
        <row r="2368">
          <cell r="E2368" t="str">
            <v>B0</v>
          </cell>
          <cell r="BY2368">
            <v>-3897.62</v>
          </cell>
        </row>
        <row r="2369">
          <cell r="E2369" t="str">
            <v>B0</v>
          </cell>
          <cell r="BY2369">
            <v>-3897.62</v>
          </cell>
        </row>
        <row r="2370">
          <cell r="E2370" t="str">
            <v>B0</v>
          </cell>
          <cell r="BY2370">
            <v>-3897.62</v>
          </cell>
        </row>
        <row r="2371">
          <cell r="E2371" t="str">
            <v>B0</v>
          </cell>
          <cell r="BY2371">
            <v>-3897.62</v>
          </cell>
        </row>
        <row r="2372">
          <cell r="E2372" t="str">
            <v>Estagiário</v>
          </cell>
          <cell r="BY2372">
            <v>-1344.33</v>
          </cell>
        </row>
        <row r="2373">
          <cell r="E2373" t="str">
            <v>Estagiário</v>
          </cell>
          <cell r="BY2373">
            <v>-1344.33</v>
          </cell>
        </row>
        <row r="2374">
          <cell r="E2374" t="str">
            <v>Estagiário</v>
          </cell>
          <cell r="BY2374">
            <v>-1344.33</v>
          </cell>
        </row>
        <row r="2375">
          <cell r="E2375" t="str">
            <v>Estagiário</v>
          </cell>
          <cell r="BY2375">
            <v>-1344.33</v>
          </cell>
        </row>
        <row r="2376">
          <cell r="E2376" t="str">
            <v>Estagiário</v>
          </cell>
          <cell r="BY2376">
            <v>-1344.33</v>
          </cell>
        </row>
        <row r="2377">
          <cell r="E2377" t="str">
            <v>Estagiário</v>
          </cell>
          <cell r="BY2377">
            <v>-1344.33</v>
          </cell>
        </row>
        <row r="2378">
          <cell r="E2378" t="str">
            <v>B0</v>
          </cell>
          <cell r="BY2378">
            <v>-3897.62</v>
          </cell>
        </row>
        <row r="2379">
          <cell r="E2379" t="str">
            <v>Estagiário</v>
          </cell>
          <cell r="BY2379">
            <v>-1344.33</v>
          </cell>
        </row>
        <row r="2380">
          <cell r="BY2380">
            <v>-84085.288000000015</v>
          </cell>
        </row>
        <row r="2382">
          <cell r="E2382" t="str">
            <v>B4</v>
          </cell>
        </row>
        <row r="2383">
          <cell r="E2383" t="str">
            <v>B4</v>
          </cell>
        </row>
        <row r="2384">
          <cell r="E2384" t="str">
            <v>B4</v>
          </cell>
        </row>
        <row r="2385">
          <cell r="E2385" t="str">
            <v>B4</v>
          </cell>
        </row>
        <row r="2386">
          <cell r="E2386" t="str">
            <v>B4</v>
          </cell>
        </row>
        <row r="2387">
          <cell r="E2387" t="str">
            <v>B4</v>
          </cell>
        </row>
        <row r="2388">
          <cell r="E2388" t="str">
            <v>B4</v>
          </cell>
        </row>
        <row r="2389">
          <cell r="E2389" t="str">
            <v>B4</v>
          </cell>
        </row>
        <row r="2390">
          <cell r="E2390" t="str">
            <v>B4</v>
          </cell>
        </row>
        <row r="2391">
          <cell r="E2391" t="str">
            <v>B4</v>
          </cell>
        </row>
        <row r="2392">
          <cell r="E2392" t="str">
            <v>B4</v>
          </cell>
        </row>
        <row r="2393">
          <cell r="E2393" t="str">
            <v>B4</v>
          </cell>
        </row>
        <row r="2394">
          <cell r="E2394" t="str">
            <v>B4</v>
          </cell>
        </row>
        <row r="2395">
          <cell r="E2395" t="str">
            <v>B4</v>
          </cell>
        </row>
        <row r="2396">
          <cell r="E2396" t="str">
            <v>B4</v>
          </cell>
        </row>
        <row r="2397">
          <cell r="E2397" t="str">
            <v>B4</v>
          </cell>
        </row>
        <row r="2398">
          <cell r="E2398" t="str">
            <v>B4</v>
          </cell>
        </row>
        <row r="2399">
          <cell r="E2399" t="str">
            <v>B4</v>
          </cell>
        </row>
        <row r="2400">
          <cell r="E2400" t="str">
            <v>B4</v>
          </cell>
        </row>
        <row r="2401">
          <cell r="E2401" t="str">
            <v>B4</v>
          </cell>
        </row>
        <row r="2402">
          <cell r="E2402" t="str">
            <v>B4</v>
          </cell>
        </row>
        <row r="2403">
          <cell r="E2403" t="str">
            <v>B4</v>
          </cell>
        </row>
        <row r="2404">
          <cell r="E2404" t="str">
            <v>B4</v>
          </cell>
        </row>
        <row r="2405">
          <cell r="E2405" t="str">
            <v>B4</v>
          </cell>
        </row>
        <row r="2406">
          <cell r="BY2406">
            <v>0</v>
          </cell>
        </row>
        <row r="2408">
          <cell r="E2408" t="str">
            <v>B4</v>
          </cell>
          <cell r="BY2408">
            <v>197692.20799999998</v>
          </cell>
        </row>
        <row r="2410">
          <cell r="E2410" t="str">
            <v>B5</v>
          </cell>
          <cell r="BY2410">
            <v>45760</v>
          </cell>
        </row>
        <row r="2411">
          <cell r="E2411" t="str">
            <v>B2</v>
          </cell>
          <cell r="BY2411">
            <v>34320</v>
          </cell>
        </row>
        <row r="2412">
          <cell r="E2412" t="str">
            <v>B2</v>
          </cell>
          <cell r="BY2412">
            <v>34320</v>
          </cell>
        </row>
        <row r="2413">
          <cell r="E2413" t="str">
            <v>B0</v>
          </cell>
          <cell r="BY2413">
            <v>21450</v>
          </cell>
        </row>
        <row r="2414">
          <cell r="E2414" t="str">
            <v>B1</v>
          </cell>
          <cell r="BY2414">
            <v>28600</v>
          </cell>
        </row>
        <row r="2415">
          <cell r="E2415" t="str">
            <v>B0</v>
          </cell>
          <cell r="BY2415">
            <v>21450</v>
          </cell>
        </row>
        <row r="2416">
          <cell r="E2416" t="str">
            <v>B0</v>
          </cell>
          <cell r="BY2416">
            <v>21450</v>
          </cell>
        </row>
        <row r="2417">
          <cell r="E2417" t="str">
            <v>B0</v>
          </cell>
          <cell r="BY2417">
            <v>21450</v>
          </cell>
        </row>
        <row r="2418">
          <cell r="E2418" t="str">
            <v>Estagiário</v>
          </cell>
          <cell r="BY2418">
            <v>6500</v>
          </cell>
        </row>
        <row r="2419">
          <cell r="E2419" t="str">
            <v>Estagiário</v>
          </cell>
          <cell r="BY2419">
            <v>6500</v>
          </cell>
        </row>
        <row r="2420">
          <cell r="BY2420">
            <v>241800</v>
          </cell>
        </row>
        <row r="2422">
          <cell r="E2422" t="str">
            <v>B4</v>
          </cell>
          <cell r="BY2422">
            <v>-1571.7</v>
          </cell>
        </row>
        <row r="2423">
          <cell r="E2423" t="str">
            <v>B4</v>
          </cell>
          <cell r="BY2423">
            <v>-7254</v>
          </cell>
        </row>
        <row r="2424">
          <cell r="E2424" t="str">
            <v>B4</v>
          </cell>
          <cell r="BY2424">
            <v>-19344</v>
          </cell>
        </row>
        <row r="2425">
          <cell r="E2425" t="str">
            <v>B4</v>
          </cell>
          <cell r="BY2425">
            <v>-6963.84</v>
          </cell>
        </row>
        <row r="2426">
          <cell r="BY2426">
            <v>-35133.54</v>
          </cell>
        </row>
        <row r="2428">
          <cell r="BY2428">
            <v>206666.46</v>
          </cell>
        </row>
        <row r="2430">
          <cell r="E2430" t="str">
            <v>B5</v>
          </cell>
          <cell r="BY2430">
            <v>-15644.428800000002</v>
          </cell>
        </row>
        <row r="2431">
          <cell r="E2431" t="str">
            <v>B2</v>
          </cell>
          <cell r="BY2431">
            <v>-9533.4096000000009</v>
          </cell>
        </row>
        <row r="2432">
          <cell r="E2432" t="str">
            <v>B2</v>
          </cell>
          <cell r="BY2432">
            <v>-7333.3260000000009</v>
          </cell>
        </row>
        <row r="2433">
          <cell r="E2433" t="str">
            <v>B0</v>
          </cell>
          <cell r="BY2433">
            <v>-3897.62</v>
          </cell>
        </row>
        <row r="2434">
          <cell r="E2434" t="str">
            <v>B1</v>
          </cell>
          <cell r="BY2434">
            <v>-3897.62</v>
          </cell>
        </row>
        <row r="2435">
          <cell r="E2435" t="str">
            <v>B0</v>
          </cell>
          <cell r="BY2435">
            <v>-3897.62</v>
          </cell>
        </row>
        <row r="2436">
          <cell r="E2436" t="str">
            <v>B0</v>
          </cell>
          <cell r="BY2436">
            <v>-3897.62</v>
          </cell>
        </row>
        <row r="2437">
          <cell r="E2437" t="str">
            <v>B0</v>
          </cell>
          <cell r="BY2437">
            <v>-3897.62</v>
          </cell>
        </row>
        <row r="2438">
          <cell r="E2438" t="str">
            <v>Estagiário</v>
          </cell>
          <cell r="BY2438">
            <v>-1344.33</v>
          </cell>
        </row>
        <row r="2439">
          <cell r="E2439" t="str">
            <v>Estagiário</v>
          </cell>
          <cell r="BY2439">
            <v>-1344.33</v>
          </cell>
        </row>
        <row r="2440">
          <cell r="BY2440">
            <v>-54687.924400000018</v>
          </cell>
        </row>
        <row r="2442">
          <cell r="E2442" t="str">
            <v>B4</v>
          </cell>
        </row>
        <row r="2443">
          <cell r="E2443" t="str">
            <v>B4</v>
          </cell>
        </row>
        <row r="2444">
          <cell r="E2444" t="str">
            <v>B4</v>
          </cell>
        </row>
        <row r="2445">
          <cell r="E2445" t="str">
            <v>B4</v>
          </cell>
        </row>
        <row r="2446">
          <cell r="E2446" t="str">
            <v>B4</v>
          </cell>
        </row>
        <row r="2447">
          <cell r="E2447" t="str">
            <v>B4</v>
          </cell>
        </row>
        <row r="2448">
          <cell r="E2448" t="str">
            <v>B4</v>
          </cell>
        </row>
        <row r="2449">
          <cell r="E2449" t="str">
            <v>B4</v>
          </cell>
        </row>
        <row r="2450">
          <cell r="E2450" t="str">
            <v>B4</v>
          </cell>
        </row>
        <row r="2451">
          <cell r="E2451" t="str">
            <v>B4</v>
          </cell>
        </row>
        <row r="2452">
          <cell r="E2452" t="str">
            <v>B4</v>
          </cell>
        </row>
        <row r="2453">
          <cell r="E2453" t="str">
            <v>B4</v>
          </cell>
        </row>
        <row r="2454">
          <cell r="E2454" t="str">
            <v>B4</v>
          </cell>
        </row>
        <row r="2455">
          <cell r="E2455" t="str">
            <v>B4</v>
          </cell>
        </row>
        <row r="2456">
          <cell r="E2456" t="str">
            <v>B4</v>
          </cell>
        </row>
        <row r="2457">
          <cell r="E2457" t="str">
            <v>B4</v>
          </cell>
        </row>
        <row r="2458">
          <cell r="E2458" t="str">
            <v>B4</v>
          </cell>
        </row>
        <row r="2459">
          <cell r="E2459" t="str">
            <v>B4</v>
          </cell>
        </row>
        <row r="2460">
          <cell r="E2460" t="str">
            <v>B4</v>
          </cell>
        </row>
        <row r="2461">
          <cell r="E2461" t="str">
            <v>B4</v>
          </cell>
        </row>
        <row r="2462">
          <cell r="E2462" t="str">
            <v>B4</v>
          </cell>
        </row>
        <row r="2463">
          <cell r="E2463" t="str">
            <v>B4</v>
          </cell>
        </row>
        <row r="2464">
          <cell r="E2464" t="str">
            <v>B4</v>
          </cell>
        </row>
        <row r="2465">
          <cell r="E2465" t="str">
            <v>B4</v>
          </cell>
        </row>
        <row r="2466">
          <cell r="BY2466">
            <v>0</v>
          </cell>
        </row>
        <row r="2468">
          <cell r="E2468" t="str">
            <v>B4</v>
          </cell>
          <cell r="BY2468">
            <v>-33237.924400000018</v>
          </cell>
        </row>
        <row r="2470">
          <cell r="E2470" t="str">
            <v>B5</v>
          </cell>
          <cell r="BY2470">
            <v>45760</v>
          </cell>
        </row>
        <row r="2471">
          <cell r="E2471" t="str">
            <v>B1</v>
          </cell>
          <cell r="BY2471">
            <v>28600</v>
          </cell>
        </row>
        <row r="2472">
          <cell r="E2472" t="str">
            <v>B0</v>
          </cell>
          <cell r="BY2472">
            <v>21450</v>
          </cell>
        </row>
        <row r="2473">
          <cell r="E2473" t="str">
            <v>Estagiário</v>
          </cell>
          <cell r="BY2473">
            <v>6500</v>
          </cell>
        </row>
        <row r="2474">
          <cell r="BY2474">
            <v>102310</v>
          </cell>
        </row>
        <row r="2476">
          <cell r="E2476" t="str">
            <v>B4</v>
          </cell>
          <cell r="BY2476">
            <v>-665.01499999999999</v>
          </cell>
        </row>
        <row r="2477">
          <cell r="E2477" t="str">
            <v>B4</v>
          </cell>
          <cell r="BY2477">
            <v>-3069.3</v>
          </cell>
        </row>
        <row r="2478">
          <cell r="E2478" t="str">
            <v>B4</v>
          </cell>
          <cell r="BY2478">
            <v>-8184.8</v>
          </cell>
        </row>
        <row r="2479">
          <cell r="E2479" t="str">
            <v>B4</v>
          </cell>
          <cell r="BY2479">
            <v>-2946.5279999999998</v>
          </cell>
        </row>
        <row r="2480">
          <cell r="BY2480">
            <v>-14865.643</v>
          </cell>
        </row>
        <row r="2482">
          <cell r="BY2482">
            <v>87444.357000000004</v>
          </cell>
        </row>
        <row r="2484">
          <cell r="E2484" t="str">
            <v>B5</v>
          </cell>
          <cell r="BY2484">
            <v>-15644.428800000002</v>
          </cell>
        </row>
        <row r="2485">
          <cell r="E2485" t="str">
            <v>B1</v>
          </cell>
          <cell r="BY2485">
            <v>-7333.3260000000009</v>
          </cell>
        </row>
        <row r="2486">
          <cell r="E2486" t="str">
            <v>B0</v>
          </cell>
          <cell r="BY2486">
            <v>-3897.62</v>
          </cell>
        </row>
        <row r="2487">
          <cell r="E2487" t="str">
            <v>Estagiário</v>
          </cell>
          <cell r="BY2487">
            <v>-1344.33</v>
          </cell>
        </row>
        <row r="2488">
          <cell r="BY2488">
            <v>-28219.7048</v>
          </cell>
        </row>
        <row r="2490">
          <cell r="E2490" t="str">
            <v>B4</v>
          </cell>
        </row>
        <row r="2491">
          <cell r="E2491" t="str">
            <v>B4</v>
          </cell>
        </row>
        <row r="2492">
          <cell r="E2492" t="str">
            <v>B4</v>
          </cell>
        </row>
        <row r="2493">
          <cell r="E2493" t="str">
            <v>B4</v>
          </cell>
        </row>
        <row r="2494">
          <cell r="E2494" t="str">
            <v>B4</v>
          </cell>
        </row>
        <row r="2495">
          <cell r="E2495" t="str">
            <v>B4</v>
          </cell>
        </row>
        <row r="2496">
          <cell r="E2496" t="str">
            <v>B4</v>
          </cell>
        </row>
        <row r="2497">
          <cell r="E2497" t="str">
            <v>B4</v>
          </cell>
        </row>
        <row r="2498">
          <cell r="E2498" t="str">
            <v>B4</v>
          </cell>
        </row>
        <row r="2499">
          <cell r="E2499" t="str">
            <v>B4</v>
          </cell>
        </row>
        <row r="2500">
          <cell r="E2500" t="str">
            <v>B4</v>
          </cell>
        </row>
        <row r="2501">
          <cell r="E2501" t="str">
            <v>B4</v>
          </cell>
        </row>
        <row r="2502">
          <cell r="E2502" t="str">
            <v>B4</v>
          </cell>
        </row>
        <row r="2503">
          <cell r="E2503" t="str">
            <v>B4</v>
          </cell>
        </row>
        <row r="2504">
          <cell r="E2504" t="str">
            <v>B4</v>
          </cell>
        </row>
        <row r="2505">
          <cell r="E2505" t="str">
            <v>B4</v>
          </cell>
        </row>
        <row r="2506">
          <cell r="E2506" t="str">
            <v>B4</v>
          </cell>
        </row>
        <row r="2507">
          <cell r="E2507" t="str">
            <v>B4</v>
          </cell>
        </row>
        <row r="2508">
          <cell r="E2508" t="str">
            <v>B4</v>
          </cell>
        </row>
        <row r="2509">
          <cell r="E2509" t="str">
            <v>B4</v>
          </cell>
        </row>
        <row r="2510">
          <cell r="E2510" t="str">
            <v>B4</v>
          </cell>
        </row>
        <row r="2511">
          <cell r="E2511" t="str">
            <v>B4</v>
          </cell>
        </row>
        <row r="2512">
          <cell r="E2512" t="str">
            <v>B4</v>
          </cell>
        </row>
        <row r="2513">
          <cell r="E2513" t="str">
            <v>B4</v>
          </cell>
        </row>
        <row r="2514">
          <cell r="BY2514">
            <v>0</v>
          </cell>
        </row>
        <row r="2516">
          <cell r="E2516" t="str">
            <v>B4</v>
          </cell>
          <cell r="BY2516">
            <v>59224.652200000004</v>
          </cell>
        </row>
        <row r="2518">
          <cell r="E2518" t="str">
            <v>B4</v>
          </cell>
          <cell r="BY2518">
            <v>42900</v>
          </cell>
        </row>
        <row r="2519">
          <cell r="E2519" t="str">
            <v>B2</v>
          </cell>
          <cell r="BY2519">
            <v>34320</v>
          </cell>
        </row>
        <row r="2520">
          <cell r="E2520" t="str">
            <v>B0</v>
          </cell>
          <cell r="BY2520">
            <v>21450</v>
          </cell>
        </row>
        <row r="2521">
          <cell r="E2521" t="str">
            <v>B0</v>
          </cell>
          <cell r="BY2521">
            <v>21450</v>
          </cell>
        </row>
        <row r="2522">
          <cell r="E2522" t="str">
            <v>Estagiário</v>
          </cell>
          <cell r="BY2522">
            <v>6500</v>
          </cell>
        </row>
        <row r="2523">
          <cell r="BY2523">
            <v>126620</v>
          </cell>
        </row>
        <row r="2525">
          <cell r="E2525" t="str">
            <v>B4</v>
          </cell>
          <cell r="BY2525">
            <v>-823.03</v>
          </cell>
        </row>
        <row r="2526">
          <cell r="E2526" t="str">
            <v>B4</v>
          </cell>
          <cell r="BY2526">
            <v>-3798.6</v>
          </cell>
        </row>
        <row r="2527">
          <cell r="E2527" t="str">
            <v>B4</v>
          </cell>
          <cell r="BY2527">
            <v>-10129.6</v>
          </cell>
        </row>
        <row r="2528">
          <cell r="E2528" t="str">
            <v>B4</v>
          </cell>
          <cell r="BY2528">
            <v>-3646.6559999999999</v>
          </cell>
        </row>
        <row r="2529">
          <cell r="BY2529">
            <v>-18397.885999999999</v>
          </cell>
        </row>
        <row r="2531">
          <cell r="BY2531">
            <v>108222.114</v>
          </cell>
        </row>
        <row r="2533">
          <cell r="E2533" t="str">
            <v>B4</v>
          </cell>
          <cell r="BY2533">
            <v>-13749.879000000001</v>
          </cell>
        </row>
        <row r="2534">
          <cell r="E2534" t="str">
            <v>B2</v>
          </cell>
          <cell r="BY2534">
            <v>-9533.4096000000009</v>
          </cell>
        </row>
        <row r="2535">
          <cell r="E2535" t="str">
            <v>B0</v>
          </cell>
          <cell r="BY2535">
            <v>-3897.62</v>
          </cell>
        </row>
        <row r="2536">
          <cell r="E2536" t="str">
            <v>B0</v>
          </cell>
          <cell r="BY2536">
            <v>-3897.62</v>
          </cell>
        </row>
        <row r="2537">
          <cell r="E2537" t="str">
            <v>Estagiário</v>
          </cell>
          <cell r="BY2537">
            <v>-1344.33</v>
          </cell>
        </row>
        <row r="2538">
          <cell r="BY2538">
            <v>-32422.8586</v>
          </cell>
        </row>
        <row r="2540">
          <cell r="E2540" t="str">
            <v>B4</v>
          </cell>
        </row>
        <row r="2541">
          <cell r="E2541" t="str">
            <v>B4</v>
          </cell>
        </row>
        <row r="2542">
          <cell r="E2542" t="str">
            <v>B4</v>
          </cell>
        </row>
        <row r="2543">
          <cell r="E2543" t="str">
            <v>B4</v>
          </cell>
        </row>
        <row r="2544">
          <cell r="E2544" t="str">
            <v>B4</v>
          </cell>
        </row>
        <row r="2545">
          <cell r="E2545" t="str">
            <v>B4</v>
          </cell>
        </row>
        <row r="2546">
          <cell r="E2546" t="str">
            <v>B4</v>
          </cell>
        </row>
        <row r="2547">
          <cell r="E2547" t="str">
            <v>B4</v>
          </cell>
        </row>
        <row r="2548">
          <cell r="E2548" t="str">
            <v>B4</v>
          </cell>
        </row>
        <row r="2549">
          <cell r="E2549" t="str">
            <v>B4</v>
          </cell>
        </row>
        <row r="2550">
          <cell r="E2550" t="str">
            <v>B4</v>
          </cell>
        </row>
        <row r="2551">
          <cell r="E2551" t="str">
            <v>B4</v>
          </cell>
        </row>
        <row r="2552">
          <cell r="E2552" t="str">
            <v>B4</v>
          </cell>
        </row>
        <row r="2553">
          <cell r="E2553" t="str">
            <v>B4</v>
          </cell>
        </row>
        <row r="2554">
          <cell r="E2554" t="str">
            <v>B4</v>
          </cell>
        </row>
        <row r="2555">
          <cell r="E2555" t="str">
            <v>B4</v>
          </cell>
        </row>
        <row r="2556">
          <cell r="E2556" t="str">
            <v>B4</v>
          </cell>
        </row>
        <row r="2557">
          <cell r="E2557" t="str">
            <v>B4</v>
          </cell>
        </row>
        <row r="2558">
          <cell r="E2558" t="str">
            <v>B4</v>
          </cell>
        </row>
        <row r="2559">
          <cell r="E2559" t="str">
            <v>B4</v>
          </cell>
        </row>
        <row r="2560">
          <cell r="E2560" t="str">
            <v>B4</v>
          </cell>
        </row>
        <row r="2561">
          <cell r="E2561" t="str">
            <v>B4</v>
          </cell>
        </row>
        <row r="2562">
          <cell r="E2562" t="str">
            <v>B4</v>
          </cell>
        </row>
        <row r="2563">
          <cell r="E2563" t="str">
            <v>B4</v>
          </cell>
        </row>
        <row r="2564">
          <cell r="BY2564">
            <v>0</v>
          </cell>
        </row>
        <row r="2566">
          <cell r="E2566" t="str">
            <v>B4</v>
          </cell>
          <cell r="BY2566">
            <v>75799.255399999995</v>
          </cell>
        </row>
        <row r="2568">
          <cell r="E2568" t="str">
            <v>Sócio</v>
          </cell>
          <cell r="BY2568">
            <v>46800</v>
          </cell>
        </row>
        <row r="2569">
          <cell r="E2569" t="str">
            <v>B2</v>
          </cell>
          <cell r="BY2569">
            <v>34320</v>
          </cell>
        </row>
        <row r="2570">
          <cell r="E2570" t="str">
            <v>B0</v>
          </cell>
          <cell r="BY2570">
            <v>21450</v>
          </cell>
        </row>
        <row r="2571">
          <cell r="E2571" t="str">
            <v>Estagiário</v>
          </cell>
          <cell r="BY2571">
            <v>6500</v>
          </cell>
        </row>
        <row r="2572">
          <cell r="E2572" t="str">
            <v>Estagiário</v>
          </cell>
          <cell r="BY2572">
            <v>6500</v>
          </cell>
        </row>
        <row r="2573">
          <cell r="E2573" t="str">
            <v>Estagiário</v>
          </cell>
          <cell r="BY2573">
            <v>6500</v>
          </cell>
        </row>
        <row r="2574">
          <cell r="BY2574">
            <v>122070</v>
          </cell>
        </row>
        <row r="2576">
          <cell r="E2576" t="str">
            <v>B4</v>
          </cell>
          <cell r="BY2576">
            <v>-793.45500000000004</v>
          </cell>
        </row>
        <row r="2577">
          <cell r="E2577" t="str">
            <v>B4</v>
          </cell>
          <cell r="BY2577">
            <v>-3662.1</v>
          </cell>
        </row>
        <row r="2578">
          <cell r="E2578" t="str">
            <v>B4</v>
          </cell>
          <cell r="BY2578">
            <v>-9765.6</v>
          </cell>
        </row>
        <row r="2579">
          <cell r="E2579" t="str">
            <v>B4</v>
          </cell>
          <cell r="BY2579">
            <v>-3515.616</v>
          </cell>
        </row>
        <row r="2580">
          <cell r="BY2580">
            <v>-17736.771000000001</v>
          </cell>
        </row>
        <row r="2582">
          <cell r="BY2582">
            <v>104333.22899999999</v>
          </cell>
        </row>
        <row r="2584">
          <cell r="E2584" t="str">
            <v>Sócio</v>
          </cell>
          <cell r="BY2584">
            <v>-20000</v>
          </cell>
        </row>
        <row r="2585">
          <cell r="E2585" t="str">
            <v>B2</v>
          </cell>
          <cell r="BY2585">
            <v>-9533.4096000000009</v>
          </cell>
        </row>
        <row r="2586">
          <cell r="E2586" t="str">
            <v>B0</v>
          </cell>
          <cell r="BY2586">
            <v>0</v>
          </cell>
        </row>
        <row r="2587">
          <cell r="E2587" t="str">
            <v>B0</v>
          </cell>
          <cell r="BY2587">
            <v>-3897.62</v>
          </cell>
        </row>
        <row r="2588">
          <cell r="E2588" t="str">
            <v>Estagiário</v>
          </cell>
          <cell r="BY2588">
            <v>-1344.33</v>
          </cell>
        </row>
        <row r="2589">
          <cell r="E2589" t="str">
            <v>Estagiário</v>
          </cell>
          <cell r="BY2589">
            <v>-1344.33</v>
          </cell>
        </row>
        <row r="2590">
          <cell r="E2590" t="str">
            <v>Estagiário</v>
          </cell>
          <cell r="BY2590">
            <v>-1344.33</v>
          </cell>
        </row>
        <row r="2591">
          <cell r="BY2591">
            <v>-37464.019600000007</v>
          </cell>
        </row>
        <row r="2593">
          <cell r="E2593" t="str">
            <v>B4</v>
          </cell>
        </row>
        <row r="2594">
          <cell r="E2594" t="str">
            <v>B4</v>
          </cell>
        </row>
        <row r="2595">
          <cell r="E2595" t="str">
            <v>B4</v>
          </cell>
        </row>
        <row r="2596">
          <cell r="E2596" t="str">
            <v>B4</v>
          </cell>
        </row>
        <row r="2597">
          <cell r="E2597" t="str">
            <v>B4</v>
          </cell>
        </row>
        <row r="2598">
          <cell r="E2598" t="str">
            <v>B4</v>
          </cell>
        </row>
        <row r="2599">
          <cell r="E2599" t="str">
            <v>B4</v>
          </cell>
        </row>
        <row r="2600">
          <cell r="E2600" t="str">
            <v>B4</v>
          </cell>
        </row>
        <row r="2601">
          <cell r="E2601" t="str">
            <v>B4</v>
          </cell>
        </row>
        <row r="2602">
          <cell r="E2602" t="str">
            <v>B4</v>
          </cell>
        </row>
        <row r="2603">
          <cell r="E2603" t="str">
            <v>B4</v>
          </cell>
        </row>
        <row r="2604">
          <cell r="E2604" t="str">
            <v>B4</v>
          </cell>
        </row>
        <row r="2605">
          <cell r="E2605" t="str">
            <v>B4</v>
          </cell>
        </row>
        <row r="2606">
          <cell r="E2606" t="str">
            <v>B4</v>
          </cell>
        </row>
        <row r="2607">
          <cell r="E2607" t="str">
            <v>B4</v>
          </cell>
        </row>
        <row r="2608">
          <cell r="E2608" t="str">
            <v>B4</v>
          </cell>
        </row>
        <row r="2609">
          <cell r="E2609" t="str">
            <v>B4</v>
          </cell>
        </row>
        <row r="2610">
          <cell r="E2610" t="str">
            <v>B4</v>
          </cell>
        </row>
        <row r="2611">
          <cell r="E2611" t="str">
            <v>B4</v>
          </cell>
        </row>
        <row r="2612">
          <cell r="E2612" t="str">
            <v>B4</v>
          </cell>
        </row>
        <row r="2613">
          <cell r="E2613" t="str">
            <v>B4</v>
          </cell>
        </row>
        <row r="2614">
          <cell r="E2614" t="str">
            <v>B4</v>
          </cell>
        </row>
        <row r="2615">
          <cell r="E2615" t="str">
            <v>B4</v>
          </cell>
        </row>
        <row r="2616">
          <cell r="E2616" t="str">
            <v>B4</v>
          </cell>
        </row>
        <row r="2617">
          <cell r="BY2617">
            <v>0</v>
          </cell>
        </row>
        <row r="2619">
          <cell r="E2619" t="str">
            <v>B4</v>
          </cell>
          <cell r="BY2619">
            <v>66869.209399999992</v>
          </cell>
        </row>
        <row r="2621">
          <cell r="E2621" t="str">
            <v>Sócio</v>
          </cell>
          <cell r="BY2621">
            <v>46800</v>
          </cell>
        </row>
        <row r="2622">
          <cell r="BY2622">
            <v>46800</v>
          </cell>
        </row>
        <row r="2624">
          <cell r="E2624" t="str">
            <v>B4</v>
          </cell>
          <cell r="BY2624">
            <v>-304.2</v>
          </cell>
        </row>
        <row r="2625">
          <cell r="E2625" t="str">
            <v>B4</v>
          </cell>
          <cell r="BY2625">
            <v>-1404</v>
          </cell>
        </row>
        <row r="2626">
          <cell r="E2626" t="str">
            <v>B4</v>
          </cell>
          <cell r="BY2626">
            <v>-3744</v>
          </cell>
        </row>
        <row r="2627">
          <cell r="E2627" t="str">
            <v>B4</v>
          </cell>
          <cell r="BY2627">
            <v>-1347.84</v>
          </cell>
        </row>
        <row r="2628">
          <cell r="BY2628">
            <v>-6800.04</v>
          </cell>
        </row>
        <row r="2630">
          <cell r="BY2630">
            <v>39999.96</v>
          </cell>
        </row>
        <row r="2632">
          <cell r="E2632" t="str">
            <v>Sócio</v>
          </cell>
          <cell r="BY2632">
            <v>-20000</v>
          </cell>
        </row>
        <row r="2633">
          <cell r="BY2633">
            <v>13199.92</v>
          </cell>
        </row>
        <row r="2635">
          <cell r="E2635" t="str">
            <v>B4</v>
          </cell>
        </row>
        <row r="2636">
          <cell r="E2636" t="str">
            <v>B4</v>
          </cell>
        </row>
        <row r="2637">
          <cell r="E2637" t="str">
            <v>B4</v>
          </cell>
        </row>
        <row r="2638">
          <cell r="E2638" t="str">
            <v>B4</v>
          </cell>
        </row>
        <row r="2639">
          <cell r="E2639" t="str">
            <v>B4</v>
          </cell>
        </row>
        <row r="2640">
          <cell r="E2640" t="str">
            <v>B4</v>
          </cell>
        </row>
        <row r="2641">
          <cell r="E2641" t="str">
            <v>B4</v>
          </cell>
        </row>
        <row r="2642">
          <cell r="E2642" t="str">
            <v>B4</v>
          </cell>
        </row>
        <row r="2643">
          <cell r="E2643" t="str">
            <v>B4</v>
          </cell>
        </row>
        <row r="2644">
          <cell r="E2644" t="str">
            <v>B4</v>
          </cell>
        </row>
        <row r="2645">
          <cell r="E2645" t="str">
            <v>B4</v>
          </cell>
        </row>
        <row r="2646">
          <cell r="E2646" t="str">
            <v>B4</v>
          </cell>
        </row>
        <row r="2647">
          <cell r="E2647" t="str">
            <v>B4</v>
          </cell>
        </row>
        <row r="2648">
          <cell r="E2648" t="str">
            <v>B4</v>
          </cell>
        </row>
        <row r="2649">
          <cell r="E2649" t="str">
            <v>B4</v>
          </cell>
        </row>
        <row r="2650">
          <cell r="E2650" t="str">
            <v>B4</v>
          </cell>
        </row>
        <row r="2651">
          <cell r="E2651" t="str">
            <v>B4</v>
          </cell>
        </row>
        <row r="2652">
          <cell r="E2652" t="str">
            <v>B4</v>
          </cell>
        </row>
        <row r="2653">
          <cell r="E2653" t="str">
            <v>B4</v>
          </cell>
        </row>
        <row r="2654">
          <cell r="E2654" t="str">
            <v>B4</v>
          </cell>
        </row>
        <row r="2655">
          <cell r="E2655" t="str">
            <v>B4</v>
          </cell>
        </row>
        <row r="2656">
          <cell r="E2656" t="str">
            <v>B4</v>
          </cell>
        </row>
        <row r="2657">
          <cell r="E2657" t="str">
            <v>B4</v>
          </cell>
        </row>
        <row r="2658">
          <cell r="E2658" t="str">
            <v>B4</v>
          </cell>
        </row>
        <row r="2659">
          <cell r="BY2659">
            <v>0</v>
          </cell>
        </row>
        <row r="2661">
          <cell r="E2661" t="str">
            <v>B4</v>
          </cell>
          <cell r="BY2661">
            <v>53199.88</v>
          </cell>
        </row>
        <row r="2663">
          <cell r="E2663" t="str">
            <v>B3</v>
          </cell>
          <cell r="BY2663">
            <v>40040</v>
          </cell>
        </row>
        <row r="2664">
          <cell r="E2664" t="str">
            <v>B0</v>
          </cell>
          <cell r="BY2664">
            <v>21450</v>
          </cell>
        </row>
        <row r="2665">
          <cell r="E2665" t="str">
            <v>B0</v>
          </cell>
          <cell r="BY2665">
            <v>21450</v>
          </cell>
        </row>
        <row r="2666">
          <cell r="BY2666">
            <v>82940</v>
          </cell>
        </row>
        <row r="2668">
          <cell r="BY2668">
            <v>-539.11</v>
          </cell>
        </row>
        <row r="2669">
          <cell r="BY2669">
            <v>-2488.1999999999998</v>
          </cell>
        </row>
        <row r="2670">
          <cell r="BY2670">
            <v>-6635.2</v>
          </cell>
        </row>
        <row r="2671">
          <cell r="BY2671">
            <v>-2388.672</v>
          </cell>
        </row>
        <row r="2672">
          <cell r="BY2672">
            <v>-12051.182000000001</v>
          </cell>
        </row>
        <row r="2674">
          <cell r="BY2674">
            <v>70888.817999999999</v>
          </cell>
        </row>
        <row r="2676">
          <cell r="E2676" t="str">
            <v>B3</v>
          </cell>
          <cell r="BY2676">
            <v>-11977.966</v>
          </cell>
        </row>
        <row r="2677">
          <cell r="E2677" t="str">
            <v>B0</v>
          </cell>
          <cell r="BY2677">
            <v>-3897.62</v>
          </cell>
        </row>
        <row r="2678">
          <cell r="E2678" t="str">
            <v>B0</v>
          </cell>
          <cell r="BY2678">
            <v>0</v>
          </cell>
        </row>
        <row r="2679">
          <cell r="BY2679">
            <v>-15875.585999999999</v>
          </cell>
        </row>
        <row r="2681">
          <cell r="E2681" t="str">
            <v>B4</v>
          </cell>
        </row>
        <row r="2682">
          <cell r="E2682" t="str">
            <v>B4</v>
          </cell>
        </row>
        <row r="2683">
          <cell r="E2683" t="str">
            <v>B4</v>
          </cell>
        </row>
        <row r="2684">
          <cell r="E2684" t="str">
            <v>B4</v>
          </cell>
        </row>
        <row r="2685">
          <cell r="E2685" t="str">
            <v>B4</v>
          </cell>
        </row>
        <row r="2686">
          <cell r="E2686" t="str">
            <v>B4</v>
          </cell>
        </row>
        <row r="2687">
          <cell r="E2687" t="str">
            <v>B4</v>
          </cell>
        </row>
        <row r="2688">
          <cell r="E2688" t="str">
            <v>B4</v>
          </cell>
        </row>
        <row r="2689">
          <cell r="E2689" t="str">
            <v>B4</v>
          </cell>
        </row>
        <row r="2690">
          <cell r="E2690" t="str">
            <v>B4</v>
          </cell>
        </row>
        <row r="2691">
          <cell r="E2691" t="str">
            <v>B4</v>
          </cell>
        </row>
        <row r="2692">
          <cell r="E2692" t="str">
            <v>B4</v>
          </cell>
        </row>
        <row r="2693">
          <cell r="E2693" t="str">
            <v>B4</v>
          </cell>
        </row>
        <row r="2694">
          <cell r="E2694" t="str">
            <v>B4</v>
          </cell>
        </row>
        <row r="2695">
          <cell r="E2695" t="str">
            <v>B4</v>
          </cell>
        </row>
        <row r="2696">
          <cell r="E2696" t="str">
            <v>B4</v>
          </cell>
        </row>
        <row r="2697">
          <cell r="E2697" t="str">
            <v>B4</v>
          </cell>
        </row>
        <row r="2698">
          <cell r="E2698" t="str">
            <v>B4</v>
          </cell>
        </row>
        <row r="2699">
          <cell r="E2699" t="str">
            <v>B4</v>
          </cell>
        </row>
        <row r="2700">
          <cell r="E2700" t="str">
            <v>B4</v>
          </cell>
        </row>
        <row r="2701">
          <cell r="E2701" t="str">
            <v>B4</v>
          </cell>
        </row>
        <row r="2702">
          <cell r="E2702" t="str">
            <v>B4</v>
          </cell>
        </row>
        <row r="2703">
          <cell r="E2703" t="str">
            <v>B4</v>
          </cell>
        </row>
        <row r="2704">
          <cell r="E2704" t="str">
            <v>B4</v>
          </cell>
        </row>
        <row r="2705">
          <cell r="BY2705">
            <v>0</v>
          </cell>
        </row>
        <row r="2707">
          <cell r="E2707" t="str">
            <v>B4</v>
          </cell>
          <cell r="BY2707">
            <v>55013.232000000004</v>
          </cell>
        </row>
        <row r="2714">
          <cell r="BY2714">
            <v>6484530</v>
          </cell>
        </row>
        <row r="2716">
          <cell r="BY2716">
            <v>942202.20899999992</v>
          </cell>
        </row>
        <row r="2717">
          <cell r="BY2717">
            <v>-942202.20900000026</v>
          </cell>
        </row>
        <row r="2718">
          <cell r="BY2718">
            <v>0</v>
          </cell>
        </row>
        <row r="2719">
          <cell r="BY2719">
            <v>5542327.7909999993</v>
          </cell>
        </row>
        <row r="2720">
          <cell r="BY2720">
            <v>5542327.7910000011</v>
          </cell>
        </row>
        <row r="2721">
          <cell r="BY2721">
            <v>0</v>
          </cell>
        </row>
        <row r="2723">
          <cell r="BY2723">
            <v>-1835386.5933999997</v>
          </cell>
        </row>
        <row r="2728">
          <cell r="BY2728">
            <v>3706941.1975999996</v>
          </cell>
        </row>
        <row r="2729">
          <cell r="BY2729">
            <v>3706941.1976000015</v>
          </cell>
        </row>
        <row r="2730">
          <cell r="BY2730">
            <v>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 - Sucumb - Sem Sucumb"/>
      <sheetName val="Sucumbência"/>
      <sheetName val="Honorários"/>
      <sheetName val="Total"/>
      <sheetName val="KPI AN"/>
      <sheetName val="Resumo"/>
      <sheetName val="Receita"/>
      <sheetName val="Impostos"/>
      <sheetName val="Fat Cálc Impostos"/>
      <sheetName val="Remuneração"/>
      <sheetName val="R. Saneamento"/>
      <sheetName val="Despesas SIG"/>
      <sheetName val="Resumo Orç 2026"/>
      <sheetName val="Itaú"/>
      <sheetName val="Bradesco"/>
      <sheetName val="Santander"/>
      <sheetName val="MadeiraMadeira"/>
      <sheetName val="Claro"/>
      <sheetName val="UOL"/>
      <sheetName val="Saneamento"/>
      <sheetName val="Vivo"/>
      <sheetName val="BS2"/>
      <sheetName val="Naturgy"/>
      <sheetName val="Mercado Livre"/>
      <sheetName val="Daycoval"/>
      <sheetName val="Enel"/>
      <sheetName val="MRS"/>
      <sheetName val="XS4"/>
      <sheetName val="Banco PAN"/>
      <sheetName val="NIO"/>
      <sheetName val="Quinto Andar"/>
      <sheetName val="Patrimônio"/>
      <sheetName val="Resolução de Disputas"/>
      <sheetName val="Vero"/>
      <sheetName val="Criminal"/>
      <sheetName val="Recupera"/>
      <sheetName val="Control Jurídica"/>
      <sheetName val="Pauta"/>
      <sheetName val="Adm - Rateio"/>
      <sheetName val="Outros Clientes"/>
      <sheetName val="Suporte"/>
      <sheetName val="Ocupação"/>
      <sheetName val="Aux. Telefonia"/>
      <sheetName val="Aux. Encargos"/>
      <sheetName val="Aux. CJ"/>
      <sheetName val="Aux. Contratação"/>
      <sheetName val="Aux. Custas"/>
      <sheetName val="Aux. Gestão de Pauta"/>
      <sheetName val="Aux. Pauta"/>
      <sheetName val="Trabalhista"/>
      <sheetName val="Encargos - Novo Orç"/>
      <sheetName val="Comparativo 1"/>
      <sheetName val="Comparativo 26-25"/>
      <sheetName val="Comparativo 2"/>
      <sheetName val="Deprec - Planilha"/>
      <sheetName val="Total (2)"/>
      <sheetName val="GT-Diretoria"/>
      <sheetName val="Cálculo gNA e Cons Projetos"/>
      <sheetName val="Plan1"/>
      <sheetName val="Acum Orç 2021 x Real 2020"/>
      <sheetName val=" Saneamento Resumo"/>
      <sheetName val="Aux. Acordo"/>
      <sheetName val="Aux. Diligências"/>
      <sheetName val="Aux. GNA"/>
    </sheetNames>
    <sheetDataSet>
      <sheetData sheetId="0"/>
      <sheetData sheetId="1"/>
      <sheetData sheetId="2"/>
      <sheetData sheetId="3">
        <row r="32">
          <cell r="B32">
            <v>0</v>
          </cell>
          <cell r="P32">
            <v>0</v>
          </cell>
          <cell r="AD32">
            <v>0</v>
          </cell>
          <cell r="AR32">
            <v>0</v>
          </cell>
          <cell r="BF32">
            <v>0</v>
          </cell>
          <cell r="BT32">
            <v>0</v>
          </cell>
          <cell r="CH32">
            <v>0</v>
          </cell>
          <cell r="CV32">
            <v>0</v>
          </cell>
          <cell r="DJ32">
            <v>0</v>
          </cell>
          <cell r="DX32">
            <v>0</v>
          </cell>
          <cell r="EL32">
            <v>0</v>
          </cell>
          <cell r="EZ32">
            <v>0</v>
          </cell>
        </row>
        <row r="35">
          <cell r="B35">
            <v>3495609.3475000001</v>
          </cell>
          <cell r="D35">
            <v>3190571.4331294321</v>
          </cell>
          <cell r="P35">
            <v>3650042.4175</v>
          </cell>
          <cell r="R35">
            <v>3319516.5414627651</v>
          </cell>
          <cell r="AD35">
            <v>4860256.5752499998</v>
          </cell>
          <cell r="AF35">
            <v>3329445.7837404539</v>
          </cell>
          <cell r="AR35">
            <v>4674335.2352499999</v>
          </cell>
          <cell r="AT35">
            <v>3322054.1403404539</v>
          </cell>
          <cell r="BF35">
            <v>4763068.2952500004</v>
          </cell>
          <cell r="BH35">
            <v>3264121.2503404538</v>
          </cell>
          <cell r="BT35">
            <v>4772526.2952500004</v>
          </cell>
          <cell r="BV35">
            <v>3340803.3703404539</v>
          </cell>
          <cell r="CH35">
            <v>4948793.2352499999</v>
          </cell>
          <cell r="CJ35">
            <v>3302882.470340454</v>
          </cell>
          <cell r="CV35">
            <v>4948793.2352499999</v>
          </cell>
          <cell r="CX35">
            <v>3259375.7603404541</v>
          </cell>
          <cell r="DJ35">
            <v>4948793.2352499999</v>
          </cell>
          <cell r="DL35">
            <v>3284564.3203404541</v>
          </cell>
          <cell r="DX35">
            <v>4995060.1652499996</v>
          </cell>
          <cell r="DZ35">
            <v>3310543.5975298071</v>
          </cell>
          <cell r="EL35">
            <v>4948793.2352499999</v>
          </cell>
          <cell r="EN35">
            <v>3326591.9905841039</v>
          </cell>
          <cell r="EZ35">
            <v>4948793.2352499999</v>
          </cell>
          <cell r="FB35">
            <v>3331863.1305841031</v>
          </cell>
        </row>
        <row r="39">
          <cell r="B39">
            <v>0.17349999999999999</v>
          </cell>
          <cell r="D39">
            <v>606488.22179124993</v>
          </cell>
          <cell r="R39">
            <v>607257.35943624994</v>
          </cell>
          <cell r="AF39">
            <v>817229.51580587495</v>
          </cell>
          <cell r="AT39">
            <v>784972.16331587487</v>
          </cell>
          <cell r="BH39">
            <v>800367.34922587499</v>
          </cell>
          <cell r="BV39">
            <v>802008.31222587498</v>
          </cell>
          <cell r="CJ39">
            <v>832590.62631587498</v>
          </cell>
          <cell r="CX39">
            <v>832590.62631587498</v>
          </cell>
          <cell r="DL39">
            <v>832590.62631587498</v>
          </cell>
          <cell r="DZ39">
            <v>840617.93867087492</v>
          </cell>
          <cell r="EN39">
            <v>832590.62631587498</v>
          </cell>
          <cell r="FB39">
            <v>832590.62631587498</v>
          </cell>
        </row>
        <row r="40">
          <cell r="R40">
            <v>15000</v>
          </cell>
          <cell r="AF40">
            <v>15000</v>
          </cell>
          <cell r="AT40">
            <v>15000</v>
          </cell>
          <cell r="BH40">
            <v>15000</v>
          </cell>
          <cell r="BV40">
            <v>15000</v>
          </cell>
          <cell r="CJ40">
            <v>15000</v>
          </cell>
          <cell r="CX40">
            <v>15000</v>
          </cell>
          <cell r="DL40">
            <v>15000</v>
          </cell>
          <cell r="DZ40">
            <v>15000</v>
          </cell>
          <cell r="EN40">
            <v>15000</v>
          </cell>
          <cell r="FB40">
            <v>15000</v>
          </cell>
        </row>
      </sheetData>
      <sheetData sheetId="4"/>
      <sheetData sheetId="5">
        <row r="4">
          <cell r="B4">
            <v>2155945.6976389992</v>
          </cell>
          <cell r="C4">
            <v>2075571.2699824069</v>
          </cell>
          <cell r="D4">
            <v>2061591.4390833841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6">
          <cell r="B6">
            <v>837978.3946189998</v>
          </cell>
          <cell r="C6">
            <v>797117.80107202206</v>
          </cell>
          <cell r="D6">
            <v>1008083.3256126305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10">
          <cell r="B10">
            <v>882839.52</v>
          </cell>
          <cell r="C10">
            <v>795514.7599089999</v>
          </cell>
          <cell r="D10">
            <v>834112.59438499971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5">
          <cell r="B15">
            <v>3839057.96</v>
          </cell>
          <cell r="C15">
            <v>3623744.09</v>
          </cell>
          <cell r="D15">
            <v>4695972.1340000005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</sheetData>
      <sheetData sheetId="6">
        <row r="220"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370">
          <cell r="A370" t="str">
            <v>TOTAL FATURAMENTO</v>
          </cell>
          <cell r="B370">
            <v>3839057.9599999995</v>
          </cell>
          <cell r="C370">
            <v>3623744.09</v>
          </cell>
          <cell r="D370">
            <v>4695972.1340000015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A371" t="str">
            <v>TOTAL FLUXO</v>
          </cell>
          <cell r="B371">
            <v>2892528.14</v>
          </cell>
          <cell r="C371">
            <v>3211463.3100000005</v>
          </cell>
          <cell r="D371">
            <v>4153160.6239999989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A372" t="str">
            <v>TOTAL FLUXO CONFERÊNCIA</v>
          </cell>
          <cell r="B372">
            <v>2892528.1399999997</v>
          </cell>
          <cell r="C372">
            <v>3211463.31</v>
          </cell>
          <cell r="D372">
            <v>4202052.6240000008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A373" t="str">
            <v>ATOS/PREPOSTOS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A374" t="str">
            <v>SUCUMBÊNCIAS</v>
          </cell>
          <cell r="B374">
            <v>381676.02999999997</v>
          </cell>
          <cell r="C374">
            <v>379527.88</v>
          </cell>
          <cell r="D374">
            <v>453386.94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A375" t="str">
            <v>GLOSAS</v>
          </cell>
          <cell r="B375">
            <v>538.69000000000005</v>
          </cell>
          <cell r="C375">
            <v>1300</v>
          </cell>
          <cell r="D375">
            <v>2910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76">
          <cell r="A376" t="str">
            <v>RECUPERAÇÕES DIVERSAS</v>
          </cell>
          <cell r="B376">
            <v>0</v>
          </cell>
          <cell r="C376">
            <v>0</v>
          </cell>
          <cell r="D376">
            <v>48892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</row>
        <row r="377">
          <cell r="A377" t="str">
            <v>HONORÁRIOS RETROATIVOS</v>
          </cell>
          <cell r="B377">
            <v>4890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</row>
        <row r="378">
          <cell r="A378" t="str">
            <v>SUCUMBÊNCIAS RETROATIVAS</v>
          </cell>
          <cell r="B378">
            <v>48897.39</v>
          </cell>
          <cell r="C378">
            <v>31452.9</v>
          </cell>
          <cell r="D378">
            <v>37622.57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</row>
        <row r="379">
          <cell r="A379" t="str">
            <v>PREPOSTOS RETROATIVOS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A380" t="str">
            <v>HONORÁRIOS ANTECIPADOS</v>
          </cell>
          <cell r="B380">
            <v>510527.71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A381" t="str">
            <v>OUTROS VALORES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</sheetData>
      <sheetData sheetId="7">
        <row r="4">
          <cell r="C4">
            <v>16946.330000000002</v>
          </cell>
          <cell r="D4">
            <v>0</v>
          </cell>
          <cell r="E4">
            <v>24363.39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C5">
            <v>97595.01</v>
          </cell>
          <cell r="D5">
            <v>119937.809909</v>
          </cell>
          <cell r="E5">
            <v>99546.91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>
            <v>97807.56</v>
          </cell>
          <cell r="D6">
            <v>27148.89</v>
          </cell>
          <cell r="E6">
            <v>12031.93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>
            <v>318073.24</v>
          </cell>
          <cell r="D7">
            <v>321186.05</v>
          </cell>
          <cell r="E7">
            <v>317507.59999999998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C9">
            <v>116848.13</v>
          </cell>
          <cell r="D9">
            <v>104440.97</v>
          </cell>
          <cell r="E9">
            <v>95340.9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>
            <v>3671.59</v>
          </cell>
          <cell r="D10">
            <v>0</v>
          </cell>
          <cell r="E10">
            <v>5278.59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26948.5</v>
          </cell>
          <cell r="D11">
            <v>27158.59</v>
          </cell>
          <cell r="E11">
            <v>27340.36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5">
          <cell r="C15">
            <v>204949.16</v>
          </cell>
          <cell r="D15">
            <v>195642.45</v>
          </cell>
          <cell r="E15">
            <v>252702.91438500001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 t="e">
            <v>#DIV/0!</v>
          </cell>
          <cell r="F11">
            <v>0</v>
          </cell>
          <cell r="G11" t="e">
            <v>#DIV/0!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 t="e">
            <v>#DIV/0!</v>
          </cell>
          <cell r="T11">
            <v>0</v>
          </cell>
          <cell r="U11" t="e">
            <v>#DIV/0!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 t="e">
            <v>#DIV/0!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 t="e">
            <v>#DIV/0!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 t="e">
            <v>#DIV/0!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 t="e">
            <v>#DIV/0!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 t="e">
            <v>#DIV/0!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 t="e">
            <v>#DIV/0!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 t="e">
            <v>#DIV/0!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 t="e">
            <v>#DIV/0!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 t="e">
            <v>#DIV/0!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2.4842312908887713E-2</v>
          </cell>
          <cell r="C12">
            <v>5407.0698740976259</v>
          </cell>
          <cell r="D12">
            <v>0</v>
          </cell>
          <cell r="E12" t="e">
            <v>#DIV/0!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e">
            <v>#DIV/0!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 t="e">
            <v>#DIV/0!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 t="e">
            <v>#DIV/0!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 t="e">
            <v>#DIV/0!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e">
            <v>#DIV/0!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 t="e">
            <v>#DIV/0!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 t="e">
            <v>#DIV/0!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 t="e">
            <v>#DIV/0!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 t="e">
            <v>#DIV/0!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 t="e">
            <v>#DIV/0!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2.4842312908887713E-2</v>
          </cell>
          <cell r="C13">
            <v>5407.0698740976259</v>
          </cell>
          <cell r="D13">
            <v>0</v>
          </cell>
          <cell r="E13" t="e">
            <v>#DIV/0!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e">
            <v>#DIV/0!</v>
          </cell>
          <cell r="M13">
            <v>0</v>
          </cell>
          <cell r="N13" t="e">
            <v>#DIV/0!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 t="e">
            <v>#DIV/0!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 t="e">
            <v>#DIV/0!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 t="e">
            <v>#DIV/0!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e">
            <v>#DIV/0!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 t="e">
            <v>#DIV/0!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 t="e">
            <v>#DIV/0!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 t="e">
            <v>#DIV/0!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 t="e">
            <v>#DIV/0!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 t="e">
            <v>#DIV/0!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 t="e">
            <v>#DIV/0!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 t="e">
            <v>#DIV/0!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 t="e">
            <v>#DIV/0!</v>
          </cell>
          <cell r="T14">
            <v>0</v>
          </cell>
          <cell r="U14" t="e">
            <v>#DIV/0!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 t="e">
            <v>#DIV/0!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 t="e">
            <v>#DIV/0!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 t="e">
            <v>#DIV/0!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 t="e">
            <v>#DIV/0!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 t="e">
            <v>#DIV/0!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 t="e">
            <v>#DIV/0!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 t="e">
            <v>#DIV/0!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 t="e">
            <v>#DIV/0!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 t="e">
            <v>#DIV/0!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7.1353558882705902E-3</v>
          </cell>
          <cell r="C15">
            <v>1553.0505555555555</v>
          </cell>
          <cell r="D15">
            <v>0</v>
          </cell>
          <cell r="E15" t="e">
            <v>#DIV/0!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e">
            <v>#DIV/0!</v>
          </cell>
          <cell r="M15">
            <v>0</v>
          </cell>
          <cell r="N15" t="e">
            <v>#DIV/0!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 t="e">
            <v>#DIV/0!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 t="e">
            <v>#DIV/0!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 t="e">
            <v>#DIV/0!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 t="e">
            <v>#DIV/0!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e">
            <v>#DIV/0!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 t="e">
            <v>#DIV/0!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 t="e">
            <v>#DIV/0!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 t="e">
            <v>#DIV/0!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 t="e">
            <v>#DIV/0!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 t="e">
            <v>#DIV/0!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1.2440856467758958E-2</v>
          </cell>
          <cell r="C16">
            <v>2707.8227563394757</v>
          </cell>
          <cell r="D16">
            <v>0</v>
          </cell>
          <cell r="E16" t="e">
            <v>#DIV/0!</v>
          </cell>
          <cell r="F16">
            <v>0</v>
          </cell>
          <cell r="G16" t="e">
            <v>#DIV/0!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e">
            <v>#DIV/0!</v>
          </cell>
          <cell r="M16">
            <v>0</v>
          </cell>
          <cell r="N16" t="e">
            <v>#DIV/0!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 t="e">
            <v>#DIV/0!</v>
          </cell>
          <cell r="T16">
            <v>0</v>
          </cell>
          <cell r="U16" t="e">
            <v>#DIV/0!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 t="e">
            <v>#DIV/0!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 t="e">
            <v>#DIV/0!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 t="e">
            <v>#DIV/0!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e">
            <v>#DIV/0!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 t="e">
            <v>#DIV/0!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 t="e">
            <v>#DIV/0!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 t="e">
            <v>#DIV/0!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 t="e">
            <v>#DIV/0!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e">
            <v>#DIV/0!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 t="e">
            <v>#DIV/0!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 t="e">
            <v>#DIV/0!</v>
          </cell>
          <cell r="T17">
            <v>0</v>
          </cell>
          <cell r="U17" t="e">
            <v>#DIV/0!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 t="e">
            <v>#DIV/0!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 t="e">
            <v>#DIV/0!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 t="e">
            <v>#DIV/0!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 t="e">
            <v>#DIV/0!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 t="e">
            <v>#DIV/0!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 t="e">
            <v>#DIV/0!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 t="e">
            <v>#DIV/0!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 t="e">
            <v>#DIV/0!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 t="e">
            <v>#DIV/0!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4.4600365568081531E-3</v>
          </cell>
          <cell r="C18">
            <v>970.75217561822524</v>
          </cell>
          <cell r="D18">
            <v>0</v>
          </cell>
          <cell r="E18" t="e">
            <v>#DIV/0!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e">
            <v>#DIV/0!</v>
          </cell>
          <cell r="M18">
            <v>0</v>
          </cell>
          <cell r="N18" t="e">
            <v>#DIV/0!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 t="e">
            <v>#DIV/0!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 t="e">
            <v>#DIV/0!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 t="e">
            <v>#DIV/0!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 t="e">
            <v>#DIV/0!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 t="e">
            <v>#DIV/0!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 t="e">
            <v>#DIV/0!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 t="e">
            <v>#DIV/0!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 t="e">
            <v>#DIV/0!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 t="e">
            <v>#DIV/0!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 t="e">
            <v>#DIV/0!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 t="e">
            <v>#DIV/0!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 t="e">
            <v>#DIV/0!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 t="e">
            <v>#DIV/0!</v>
          </cell>
          <cell r="T19">
            <v>0</v>
          </cell>
          <cell r="U19" t="e">
            <v>#DIV/0!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 t="e">
            <v>#DIV/0!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e">
            <v>#DIV/0!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 t="e">
            <v>#DIV/0!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e">
            <v>#DIV/0!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 t="e">
            <v>#DIV/0!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 t="e">
            <v>#DIV/0!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e">
            <v>#DIV/0!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 t="e">
            <v>#DIV/0!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 t="e">
            <v>#DIV/0!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e">
            <v>#DIV/0!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 t="e">
            <v>#DIV/0!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 t="e">
            <v>#DIV/0!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 t="e">
            <v>#DIV/0!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 t="e">
            <v>#DIV/0!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e">
            <v>#DIV/0!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 t="e">
            <v>#DIV/0!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 t="e">
            <v>#DIV/0!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 t="e">
            <v>#DIV/0!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 t="e">
            <v>#DIV/0!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 t="e">
            <v>#DIV/0!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 t="e">
            <v>#DIV/0!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e">
            <v>#DIV/0!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 t="e">
            <v>#DIV/0!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 t="e">
            <v>#DIV/0!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 t="e">
            <v>#DIV/0!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 t="e">
            <v>#DIV/0!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e">
            <v>#DIV/0!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 t="e">
            <v>#DIV/0!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 t="e">
            <v>#DIV/0!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 t="e">
            <v>#DIV/0!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 t="e">
            <v>#DIV/0!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 t="e">
            <v>#DIV/0!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Duplicidades Pagas: 2019-2022</v>
          </cell>
          <cell r="B22">
            <v>0.14583086436802833</v>
          </cell>
          <cell r="C22">
            <v>31740.912222222225</v>
          </cell>
          <cell r="D22">
            <v>0</v>
          </cell>
          <cell r="E22" t="e">
            <v>#DIV/0!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 t="e">
            <v>#DIV/0!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 t="e">
            <v>#DIV/0!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 t="e">
            <v>#DIV/0!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 t="e">
            <v>#DIV/0!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 t="e">
            <v>#DIV/0!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 t="e">
            <v>#DIV/0!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 t="e">
            <v>#DIV/0!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 t="e">
            <v>#DIV/0!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 t="e">
            <v>#DIV/0!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 t="e">
            <v>#DIV/0!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 t="e">
            <v>#DIV/0!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Contribuição Sindical</v>
          </cell>
          <cell r="B23">
            <v>0</v>
          </cell>
          <cell r="C23">
            <v>0</v>
          </cell>
          <cell r="D23">
            <v>0</v>
          </cell>
          <cell r="E23" t="e">
            <v>#DIV/0!</v>
          </cell>
          <cell r="F23">
            <v>0</v>
          </cell>
          <cell r="G23" t="e">
            <v>#DIV/0!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e">
            <v>#DIV/0!</v>
          </cell>
          <cell r="M23">
            <v>0</v>
          </cell>
          <cell r="N23" t="e">
            <v>#DIV/0!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 t="e">
            <v>#DIV/0!</v>
          </cell>
          <cell r="T23">
            <v>0</v>
          </cell>
          <cell r="U23" t="e">
            <v>#DIV/0!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 t="e">
            <v>#DIV/0!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e">
            <v>#DIV/0!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 t="e">
            <v>#DIV/0!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 t="e">
            <v>#DIV/0!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 t="e">
            <v>#DIV/0!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 t="e">
            <v>#DIV/0!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 t="e">
            <v>#DIV/0!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 t="e">
            <v>#DIV/0!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 t="e">
            <v>#DIV/0!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 t="e">
            <v>#DIV/0!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 t="e">
            <v>#DIV/0!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 t="e">
            <v>#DIV/0!</v>
          </cell>
          <cell r="T24">
            <v>0</v>
          </cell>
          <cell r="U24" t="e">
            <v>#DIV/0!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 t="e">
            <v>#DIV/0!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e">
            <v>#DIV/0!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 t="e">
            <v>#DIV/0!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e">
            <v>#DIV/0!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 t="e">
            <v>#DIV/0!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 t="e">
            <v>#DIV/0!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 t="e">
            <v>#DIV/0!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 t="e">
            <v>#DIV/0!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 t="e">
            <v>#DIV/0!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1.4941767193745056E-2</v>
          </cell>
          <cell r="C25">
            <v>3252.1601171111106</v>
          </cell>
          <cell r="D25">
            <v>0</v>
          </cell>
          <cell r="E25" t="e">
            <v>#DIV/0!</v>
          </cell>
          <cell r="F25">
            <v>0</v>
          </cell>
          <cell r="G25" t="e">
            <v>#DIV/0!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e">
            <v>#DIV/0!</v>
          </cell>
          <cell r="M25">
            <v>0</v>
          </cell>
          <cell r="N25" t="e">
            <v>#DIV/0!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 t="e">
            <v>#DIV/0!</v>
          </cell>
          <cell r="T25">
            <v>0</v>
          </cell>
          <cell r="U25" t="e">
            <v>#DIV/0!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 t="e">
            <v>#DIV/0!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 t="e">
            <v>#DIV/0!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 t="e">
            <v>#DIV/0!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 t="e">
            <v>#DIV/0!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 t="e">
            <v>#DIV/0!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 t="e">
            <v>#DIV/0!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 t="e">
            <v>#DIV/0!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 t="e">
            <v>#DIV/0!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 t="e">
            <v>#DIV/0!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8.4791936563977967E-4</v>
          </cell>
          <cell r="C26">
            <v>184.55444444444444</v>
          </cell>
          <cell r="D26">
            <v>0</v>
          </cell>
          <cell r="E26" t="e">
            <v>#DIV/0!</v>
          </cell>
          <cell r="F26">
            <v>0</v>
          </cell>
          <cell r="G26" t="e">
            <v>#DIV/0!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e">
            <v>#DIV/0!</v>
          </cell>
          <cell r="M26">
            <v>0</v>
          </cell>
          <cell r="N26" t="e">
            <v>#DIV/0!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 t="e">
            <v>#DIV/0!</v>
          </cell>
          <cell r="T26">
            <v>0</v>
          </cell>
          <cell r="U26" t="e">
            <v>#DIV/0!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 t="e">
            <v>#DIV/0!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 t="e">
            <v>#DIV/0!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 t="e">
            <v>#DIV/0!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 t="e">
            <v>#DIV/0!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 t="e">
            <v>#DIV/0!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 t="e">
            <v>#DIV/0!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 t="e">
            <v>#DIV/0!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 t="e">
            <v>#DIV/0!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 t="e">
            <v>#DIV/0!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 t="e">
            <v>#DIV/0!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e">
            <v>#DIV/0!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 t="e">
            <v>#DIV/0!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e">
            <v>#DIV/0!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 t="e">
            <v>#DIV/0!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 t="e">
            <v>#DIV/0!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e">
            <v>#DIV/0!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 t="e">
            <v>#DIV/0!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 t="e">
            <v>#DIV/0!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 t="e">
            <v>#DIV/0!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 t="e">
            <v>#DIV/0!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 t="e">
            <v>#DIV/0!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 t="e">
            <v>#DIV/0!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 t="e">
            <v>#DIV/0!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 t="e">
            <v>#DIV/0!</v>
          </cell>
          <cell r="T28">
            <v>0</v>
          </cell>
          <cell r="U28" t="e">
            <v>#DIV/0!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 t="e">
            <v>#DIV/0!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e">
            <v>#DIV/0!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 t="e">
            <v>#DIV/0!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e">
            <v>#DIV/0!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 t="e">
            <v>#DIV/0!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 t="e">
            <v>#DIV/0!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 t="e">
            <v>#DIV/0!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 t="e">
            <v>#DIV/0!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 t="e">
            <v>#DIV/0!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 t="e">
            <v>#DIV/0!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 t="e">
            <v>#DIV/0!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 t="e">
            <v>#DIV/0!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 t="e">
            <v>#DIV/0!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 t="e">
            <v>#DIV/0!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 t="e">
            <v>#DIV/0!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 t="e">
            <v>#DIV/0!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 t="e">
            <v>#DIV/0!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 t="e">
            <v>#DIV/0!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 t="e">
            <v>#DIV/0!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3.2926092438051295E-3</v>
          </cell>
          <cell r="C30">
            <v>716.65501979023281</v>
          </cell>
          <cell r="D30">
            <v>0</v>
          </cell>
          <cell r="E30" t="e">
            <v>#DIV/0!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 t="e">
            <v>#DIV/0!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 t="e">
            <v>#DIV/0!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 t="e">
            <v>#DIV/0!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 t="e">
            <v>#DIV/0!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 t="e">
            <v>#DIV/0!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 t="e">
            <v>#DIV/0!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 t="e">
            <v>#DIV/0!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 t="e">
            <v>#DIV/0!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 t="e">
            <v>#DIV/0!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 t="e">
            <v>#DIV/0!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 t="e">
            <v>#DIV/0!</v>
          </cell>
          <cell r="F31">
            <v>0</v>
          </cell>
          <cell r="G31" t="e">
            <v>#DIV/0!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e">
            <v>#DIV/0!</v>
          </cell>
          <cell r="M31">
            <v>0</v>
          </cell>
          <cell r="N31" t="e">
            <v>#DIV/0!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 t="e">
            <v>#DIV/0!</v>
          </cell>
          <cell r="T31">
            <v>0</v>
          </cell>
          <cell r="U31" t="e">
            <v>#DIV/0!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 t="e">
            <v>#DIV/0!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e">
            <v>#DIV/0!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 t="e">
            <v>#DIV/0!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e">
            <v>#DIV/0!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 t="e">
            <v>#DIV/0!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 t="e">
            <v>#DIV/0!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 t="e">
            <v>#DIV/0!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 t="e">
            <v>#DIV/0!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 t="e">
            <v>#DIV/0!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Aluguel + IPTU + Condomínio + Energia Elétrica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 t="e">
            <v>#DIV/0!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 t="e">
            <v>#DIV/0!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 t="e">
            <v>#DIV/0!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 t="e">
            <v>#DIV/0!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 t="e">
            <v>#DIV/0!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 t="e">
            <v>#DIV/0!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e">
            <v>#DIV/0!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 t="e">
            <v>#DIV/0!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 t="e">
            <v>#DIV/0!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e">
            <v>#DIV/0!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gNA</v>
          </cell>
          <cell r="B33">
            <v>0</v>
          </cell>
          <cell r="C33">
            <v>0</v>
          </cell>
          <cell r="D33">
            <v>0</v>
          </cell>
          <cell r="E33" t="e">
            <v>#DIV/0!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e">
            <v>#DIV/0!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 t="e">
            <v>#DIV/0!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 t="e">
            <v>#DIV/0!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 t="e">
            <v>#DIV/0!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 t="e">
            <v>#DIV/0!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 t="e">
            <v>#DIV/0!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 t="e">
            <v>#DIV/0!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 t="e">
            <v>#DIV/0!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 t="e">
            <v>#DIV/0!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 t="e">
            <v>#DIV/0!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 t="e">
            <v>#DIV/0!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1.4399248141645389E-3</v>
          </cell>
          <cell r="C34">
            <v>313.40777777777777</v>
          </cell>
          <cell r="D34">
            <v>0</v>
          </cell>
          <cell r="E34" t="e">
            <v>#DIV/0!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e">
            <v>#DIV/0!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 t="e">
            <v>#DIV/0!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 t="e">
            <v>#DIV/0!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 t="e">
            <v>#DIV/0!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 t="e">
            <v>#DIV/0!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e">
            <v>#DIV/0!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 t="e">
            <v>#DIV/0!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 t="e">
            <v>#DIV/0!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 t="e">
            <v>#DIV/0!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 t="e">
            <v>#DIV/0!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 t="e">
            <v>#DIV/0!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 t="e">
            <v>#DIV/0!</v>
          </cell>
          <cell r="F35">
            <v>0</v>
          </cell>
          <cell r="G35" t="e">
            <v>#DIV/0!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e">
            <v>#DIV/0!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 t="e">
            <v>#DIV/0!</v>
          </cell>
          <cell r="T35">
            <v>0</v>
          </cell>
          <cell r="U35" t="e">
            <v>#DIV/0!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 t="e">
            <v>#DIV/0!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 t="e">
            <v>#DIV/0!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 t="e">
            <v>#DIV/0!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 t="e">
            <v>#DIV/0!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 t="e">
            <v>#DIV/0!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 t="e">
            <v>#DIV/0!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 t="e">
            <v>#DIV/0!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 t="e">
            <v>#DIV/0!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 t="e">
            <v>#DIV/0!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 t="e">
            <v>#DIV/0!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 t="e">
            <v>#DIV/0!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 t="e">
            <v>#DIV/0!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 t="e">
            <v>#DIV/0!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 t="e">
            <v>#DIV/0!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 t="e">
            <v>#DIV/0!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 t="e">
            <v>#DIV/0!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 t="e">
            <v>#DIV/0!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 t="e">
            <v>#DIV/0!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 t="e">
            <v>#DIV/0!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7.820712154559285E-6</v>
          </cell>
          <cell r="C37">
            <v>1.7022222222222223</v>
          </cell>
          <cell r="D37">
            <v>0</v>
          </cell>
          <cell r="E37" t="e">
            <v>#DIV/0!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e">
            <v>#DIV/0!</v>
          </cell>
          <cell r="M37">
            <v>0</v>
          </cell>
          <cell r="N37" t="e">
            <v>#DIV/0!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e">
            <v>#DIV/0!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 t="e">
            <v>#DIV/0!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 t="e">
            <v>#DIV/0!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 t="e">
            <v>#DIV/0!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e">
            <v>#DIV/0!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 t="e">
            <v>#DIV/0!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 t="e">
            <v>#DIV/0!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 t="e">
            <v>#DIV/0!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 t="e">
            <v>#DIV/0!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 t="e">
            <v>#DIV/0!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Pauta</v>
          </cell>
          <cell r="B38">
            <v>1.1848799296050653E-2</v>
          </cell>
          <cell r="C38">
            <v>2578.9581651627777</v>
          </cell>
          <cell r="D38">
            <v>0</v>
          </cell>
          <cell r="E38" t="e">
            <v>#DIV/0!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 t="e">
            <v>#DIV/0!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 t="e">
            <v>#DIV/0!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 t="e">
            <v>#DIV/0!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 t="e">
            <v>#DIV/0!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e">
            <v>#DIV/0!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e">
            <v>#DIV/0!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 t="e">
            <v>#DIV/0!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 t="e">
            <v>#DIV/0!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 t="e">
            <v>#DIV/0!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 t="e">
            <v>#DIV/0!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 - Gestão de Pauta</v>
          </cell>
          <cell r="B39">
            <v>3.2513784817614199E-3</v>
          </cell>
          <cell r="C39">
            <v>707.68091129436607</v>
          </cell>
          <cell r="D39">
            <v>0</v>
          </cell>
          <cell r="E39" t="e">
            <v>#DIV/0!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e">
            <v>#DIV/0!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 t="e">
            <v>#DIV/0!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 t="e">
            <v>#DIV/0!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e">
            <v>#DIV/0!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 t="e">
            <v>#DIV/0!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 t="e">
            <v>#DIV/0!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e">
            <v>#DIV/0!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 t="e">
            <v>#DIV/0!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 t="e">
            <v>#DIV/0!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 t="e">
            <v>#DIV/0!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 t="e">
            <v>#DIV/0!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Exames Médicos</v>
          </cell>
          <cell r="B40">
            <v>0</v>
          </cell>
          <cell r="C40">
            <v>0</v>
          </cell>
          <cell r="D40">
            <v>0</v>
          </cell>
          <cell r="E40" t="e">
            <v>#DIV/0!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e">
            <v>#DIV/0!</v>
          </cell>
          <cell r="M40">
            <v>0</v>
          </cell>
          <cell r="N40" t="e">
            <v>#DIV/0!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 t="e">
            <v>#DIV/0!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e">
            <v>#DIV/0!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e">
            <v>#DIV/0!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 t="e">
            <v>#DIV/0!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e">
            <v>#DIV/0!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e">
            <v>#DIV/0!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 t="e">
            <v>#DIV/0!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 t="e">
            <v>#DIV/0!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 t="e">
            <v>#DIV/0!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 t="e">
            <v>#DIV/0!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Plano de Saúde</v>
          </cell>
          <cell r="B41">
            <v>3.0880137401438416E-2</v>
          </cell>
          <cell r="C41">
            <v>6721.2365154444451</v>
          </cell>
          <cell r="D41">
            <v>0</v>
          </cell>
          <cell r="E41" t="e">
            <v>#DIV/0!</v>
          </cell>
          <cell r="F41">
            <v>0</v>
          </cell>
          <cell r="G41" t="e">
            <v>#DIV/0!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e">
            <v>#DIV/0!</v>
          </cell>
          <cell r="M41">
            <v>0</v>
          </cell>
          <cell r="N41" t="e">
            <v>#DIV/0!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 t="e">
            <v>#DIV/0!</v>
          </cell>
          <cell r="T41">
            <v>0</v>
          </cell>
          <cell r="U41" t="e">
            <v>#DIV/0!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e">
            <v>#DIV/0!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 t="e">
            <v>#DIV/0!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 t="e">
            <v>#DIV/0!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e">
            <v>#DIV/0!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e">
            <v>#DIV/0!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 t="e">
            <v>#DIV/0!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 t="e">
            <v>#DIV/0!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 t="e">
            <v>#DIV/0!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 t="e">
            <v>#DIV/0!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Odontológico</v>
          </cell>
          <cell r="B42">
            <v>1.2134866864040272E-4</v>
          </cell>
          <cell r="C42">
            <v>26.412223888888889</v>
          </cell>
          <cell r="D42">
            <v>0</v>
          </cell>
          <cell r="E42" t="e">
            <v>#DIV/0!</v>
          </cell>
          <cell r="F42">
            <v>0</v>
          </cell>
          <cell r="G42" t="e">
            <v>#DIV/0!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e">
            <v>#DIV/0!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 t="e">
            <v>#DIV/0!</v>
          </cell>
          <cell r="T42">
            <v>0</v>
          </cell>
          <cell r="U42" t="e">
            <v>#DIV/0!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 t="e">
            <v>#DIV/0!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 t="e">
            <v>#DIV/0!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 t="e">
            <v>#DIV/0!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 t="e">
            <v>#DIV/0!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e">
            <v>#DIV/0!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 t="e">
            <v>#DIV/0!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 t="e">
            <v>#DIV/0!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 t="e">
            <v>#DIV/0!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 t="e">
            <v>#DIV/0!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Seguro de Vida</v>
          </cell>
          <cell r="B43">
            <v>8.6425506397110258E-4</v>
          </cell>
          <cell r="C43">
            <v>188.11000155555556</v>
          </cell>
          <cell r="D43">
            <v>0</v>
          </cell>
          <cell r="E43" t="e">
            <v>#DIV/0!</v>
          </cell>
          <cell r="F43">
            <v>0</v>
          </cell>
          <cell r="G43" t="e">
            <v>#DIV/0!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e">
            <v>#DIV/0!</v>
          </cell>
          <cell r="M43">
            <v>0</v>
          </cell>
          <cell r="N43" t="e">
            <v>#DIV/0!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 t="e">
            <v>#DIV/0!</v>
          </cell>
          <cell r="T43">
            <v>0</v>
          </cell>
          <cell r="U43" t="e">
            <v>#DIV/0!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 t="e">
            <v>#DIV/0!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e">
            <v>#DIV/0!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 t="e">
            <v>#DIV/0!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e">
            <v>#DIV/0!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e">
            <v>#DIV/0!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 t="e">
            <v>#DIV/0!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 t="e">
            <v>#DIV/0!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 t="e">
            <v>#DIV/0!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 t="e">
            <v>#DIV/0!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0.19690034477701418</v>
          </cell>
          <cell r="C44">
            <v>42856.473402777774</v>
          </cell>
          <cell r="D44">
            <v>0</v>
          </cell>
          <cell r="E44" t="e">
            <v>#DIV/0!</v>
          </cell>
          <cell r="F44">
            <v>0</v>
          </cell>
          <cell r="G44" t="e">
            <v>#DIV/0!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 t="e">
            <v>#DIV/0!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 t="e">
            <v>#DIV/0!</v>
          </cell>
          <cell r="T44">
            <v>0</v>
          </cell>
          <cell r="U44" t="e">
            <v>#DIV/0!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 t="e">
            <v>#DIV/0!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e">
            <v>#DIV/0!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 t="e">
            <v>#DIV/0!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e">
            <v>#DIV/0!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e">
            <v>#DIV/0!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 t="e">
            <v>#DIV/0!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 t="e">
            <v>#DIV/0!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 t="e">
            <v>#DIV/0!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 t="e">
            <v>#DIV/0!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9.6993166407719579E-5</v>
          </cell>
          <cell r="C45">
            <v>21.111111111111111</v>
          </cell>
          <cell r="D45">
            <v>0</v>
          </cell>
          <cell r="E45" t="e">
            <v>#DIV/0!</v>
          </cell>
          <cell r="F45">
            <v>0</v>
          </cell>
          <cell r="G45" t="e">
            <v>#DIV/0!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e">
            <v>#DIV/0!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 t="e">
            <v>#DIV/0!</v>
          </cell>
          <cell r="T45">
            <v>0</v>
          </cell>
          <cell r="U45" t="e">
            <v>#DIV/0!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 t="e">
            <v>#DIV/0!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e">
            <v>#DIV/0!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 t="e">
            <v>#DIV/0!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 t="e">
            <v>#DIV/0!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e">
            <v>#DIV/0!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 t="e">
            <v>#DIV/0!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 t="e">
            <v>#DIV/0!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 t="e">
            <v>#DIV/0!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 t="e">
            <v>#DIV/0!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Indenização por Ruptura de Contrato</v>
          </cell>
          <cell r="B46">
            <v>1.6748677877215115E-3</v>
          </cell>
          <cell r="C46">
            <v>364.54444444444448</v>
          </cell>
          <cell r="D46">
            <v>0</v>
          </cell>
          <cell r="E46" t="e">
            <v>#DIV/0!</v>
          </cell>
          <cell r="F46">
            <v>0</v>
          </cell>
          <cell r="G46" t="e">
            <v>#DIV/0!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 t="e">
            <v>#DIV/0!</v>
          </cell>
          <cell r="M46">
            <v>0</v>
          </cell>
          <cell r="N46" t="e">
            <v>#DIV/0!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 t="e">
            <v>#DIV/0!</v>
          </cell>
          <cell r="T46">
            <v>0</v>
          </cell>
          <cell r="U46" t="e">
            <v>#DIV/0!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 t="e">
            <v>#DIV/0!</v>
          </cell>
          <cell r="AA46">
            <v>0</v>
          </cell>
          <cell r="AB46" t="e">
            <v>#DIV/0!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 t="e">
            <v>#DIV/0!</v>
          </cell>
          <cell r="AH46">
            <v>0</v>
          </cell>
          <cell r="AI46" t="e">
            <v>#DIV/0!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 t="e">
            <v>#DIV/0!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e">
            <v>#DIV/0!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e">
            <v>#DIV/0!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e">
            <v>#DIV/0!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 t="e">
            <v>#DIV/0!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 t="e">
            <v>#DIV/0!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 t="e">
            <v>#DIV/0!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Vale Alimentação / Refeição</v>
          </cell>
          <cell r="B47">
            <v>5.6525628971458575E-3</v>
          </cell>
          <cell r="C47">
            <v>1230.3122766666665</v>
          </cell>
          <cell r="D47">
            <v>0</v>
          </cell>
          <cell r="E47" t="e">
            <v>#DIV/0!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e">
            <v>#DIV/0!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 t="e">
            <v>#DIV/0!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 t="e">
            <v>#DIV/0!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 t="e">
            <v>#DIV/0!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 t="e">
            <v>#DIV/0!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e">
            <v>#DIV/0!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e">
            <v>#DIV/0!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 t="e">
            <v>#DIV/0!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 t="e">
            <v>#DIV/0!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 t="e">
            <v>#DIV/0!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 t="e">
            <v>#DIV/0!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Transporte</v>
          </cell>
          <cell r="B48">
            <v>7.2132286386372509E-5</v>
          </cell>
          <cell r="C48">
            <v>15.700000000000001</v>
          </cell>
          <cell r="D48">
            <v>0</v>
          </cell>
          <cell r="E48" t="e">
            <v>#DIV/0!</v>
          </cell>
          <cell r="F48">
            <v>0</v>
          </cell>
          <cell r="G48" t="e">
            <v>#DIV/0!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 t="e">
            <v>#DIV/0!</v>
          </cell>
          <cell r="M48">
            <v>0</v>
          </cell>
          <cell r="N48" t="e">
            <v>#DIV/0!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 t="e">
            <v>#DIV/0!</v>
          </cell>
          <cell r="T48">
            <v>0</v>
          </cell>
          <cell r="U48" t="e">
            <v>#DIV/0!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 t="e">
            <v>#DIV/0!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 t="e">
            <v>#DIV/0!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 t="e">
            <v>#DIV/0!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 t="e">
            <v>#DIV/0!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e">
            <v>#DIV/0!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 t="e">
            <v>#DIV/0!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 t="e">
            <v>#DIV/0!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 t="e">
            <v>#DIV/0!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 t="e">
            <v>#DIV/0!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Viagens - Alimentação / Hospedagem</v>
          </cell>
          <cell r="B49">
            <v>0</v>
          </cell>
          <cell r="C49">
            <v>0</v>
          </cell>
          <cell r="D49">
            <v>0</v>
          </cell>
          <cell r="E49" t="e">
            <v>#DIV/0!</v>
          </cell>
          <cell r="F49">
            <v>0</v>
          </cell>
          <cell r="G49" t="e">
            <v>#DIV/0!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 t="e">
            <v>#DIV/0!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 t="e">
            <v>#DIV/0!</v>
          </cell>
          <cell r="T49">
            <v>0</v>
          </cell>
          <cell r="U49" t="e">
            <v>#DIV/0!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 t="e">
            <v>#DIV/0!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 t="e">
            <v>#DIV/0!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 t="e">
            <v>#DIV/0!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e">
            <v>#DIV/0!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 t="e">
            <v>#DIV/0!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 t="e">
            <v>#DIV/0!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 t="e">
            <v>#DIV/0!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 t="e">
            <v>#DIV/0!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 t="e">
            <v>#DIV/0!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66">
          <cell r="A66" t="str">
            <v>13º (+ Encargos)</v>
          </cell>
          <cell r="B66">
            <v>0</v>
          </cell>
          <cell r="C66">
            <v>0</v>
          </cell>
          <cell r="D66">
            <v>0</v>
          </cell>
          <cell r="E66" t="e">
            <v>#DIV/0!</v>
          </cell>
          <cell r="F66">
            <v>0</v>
          </cell>
          <cell r="G66" t="e">
            <v>#REF!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 t="e">
            <v>#DIV/0!</v>
          </cell>
          <cell r="M66">
            <v>0</v>
          </cell>
          <cell r="N66" t="e">
            <v>#REF!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 t="e">
            <v>#DIV/0!</v>
          </cell>
          <cell r="T66">
            <v>0</v>
          </cell>
          <cell r="U66" t="e">
            <v>#REF!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 t="e">
            <v>#DIV/0!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e">
            <v>#DIV/0!</v>
          </cell>
          <cell r="AH66">
            <v>0</v>
          </cell>
          <cell r="AI66" t="e">
            <v>#REF!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 t="e">
            <v>#DIV/0!</v>
          </cell>
          <cell r="AO66">
            <v>0</v>
          </cell>
          <cell r="AP66" t="e">
            <v>#REF!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e">
            <v>#DIV/0!</v>
          </cell>
          <cell r="AV66">
            <v>0</v>
          </cell>
          <cell r="AW66" t="e">
            <v>#REF!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 t="e">
            <v>#DIV/0!</v>
          </cell>
          <cell r="BC66">
            <v>0</v>
          </cell>
          <cell r="BD66" t="e">
            <v>#REF!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 t="e">
            <v>#DIV/0!</v>
          </cell>
          <cell r="BJ66">
            <v>0</v>
          </cell>
          <cell r="BK66" t="e">
            <v>#REF!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 t="e">
            <v>#DIV/0!</v>
          </cell>
          <cell r="BQ66">
            <v>0</v>
          </cell>
          <cell r="BR66" t="e">
            <v>#REF!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 t="e">
            <v>#DIV/0!</v>
          </cell>
          <cell r="BX66">
            <v>0</v>
          </cell>
          <cell r="BY66" t="e">
            <v>#REF!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 t="e">
            <v>#DIV/0!</v>
          </cell>
          <cell r="CE66">
            <v>0</v>
          </cell>
          <cell r="CF66" t="e">
            <v>#REF!</v>
          </cell>
          <cell r="CG66">
            <v>0</v>
          </cell>
          <cell r="CH66">
            <v>0</v>
          </cell>
        </row>
        <row r="67">
          <cell r="A67" t="str">
            <v>Acordo</v>
          </cell>
          <cell r="B67">
            <v>0</v>
          </cell>
          <cell r="C67">
            <v>0</v>
          </cell>
          <cell r="D67">
            <v>0</v>
          </cell>
          <cell r="E67" t="e">
            <v>#DIV/0!</v>
          </cell>
          <cell r="F67">
            <v>0</v>
          </cell>
          <cell r="G67" t="e">
            <v>#REF!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e">
            <v>#DIV/0!</v>
          </cell>
          <cell r="M67">
            <v>0</v>
          </cell>
          <cell r="N67" t="e">
            <v>#REF!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 t="e">
            <v>#DIV/0!</v>
          </cell>
          <cell r="T67">
            <v>0</v>
          </cell>
          <cell r="U67" t="e">
            <v>#REF!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 t="e">
            <v>#DIV/0!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e">
            <v>#DIV/0!</v>
          </cell>
          <cell r="AH67">
            <v>0</v>
          </cell>
          <cell r="AI67" t="e">
            <v>#REF!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 t="e">
            <v>#DIV/0!</v>
          </cell>
          <cell r="AO67">
            <v>0</v>
          </cell>
          <cell r="AP67" t="e">
            <v>#REF!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e">
            <v>#DIV/0!</v>
          </cell>
          <cell r="AV67">
            <v>0</v>
          </cell>
          <cell r="AW67" t="e">
            <v>#REF!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 t="e">
            <v>#DIV/0!</v>
          </cell>
          <cell r="BC67">
            <v>0</v>
          </cell>
          <cell r="BD67" t="e">
            <v>#REF!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 t="e">
            <v>#DIV/0!</v>
          </cell>
          <cell r="BJ67">
            <v>0</v>
          </cell>
          <cell r="BK67" t="e">
            <v>#REF!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 t="e">
            <v>#DIV/0!</v>
          </cell>
          <cell r="BQ67">
            <v>0</v>
          </cell>
          <cell r="BR67" t="e">
            <v>#REF!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 t="e">
            <v>#DIV/0!</v>
          </cell>
          <cell r="BX67">
            <v>0</v>
          </cell>
          <cell r="BY67" t="e">
            <v>#REF!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 t="e">
            <v>#DIV/0!</v>
          </cell>
          <cell r="CE67">
            <v>0</v>
          </cell>
          <cell r="CF67" t="e">
            <v>#REF!</v>
          </cell>
          <cell r="CG67">
            <v>0</v>
          </cell>
          <cell r="CH67">
            <v>0</v>
          </cell>
        </row>
        <row r="68">
          <cell r="A68" t="str">
            <v>Aperfeiçoamento - Treinamentos / Livros / Revistas</v>
          </cell>
          <cell r="B68">
            <v>0</v>
          </cell>
          <cell r="C68">
            <v>0</v>
          </cell>
          <cell r="D68">
            <v>0</v>
          </cell>
          <cell r="E68" t="e">
            <v>#DIV/0!</v>
          </cell>
          <cell r="F68">
            <v>0</v>
          </cell>
          <cell r="G68" t="e">
            <v>#REF!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e">
            <v>#DIV/0!</v>
          </cell>
          <cell r="M68">
            <v>0</v>
          </cell>
          <cell r="N68" t="e">
            <v>#REF!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 t="e">
            <v>#DIV/0!</v>
          </cell>
          <cell r="T68">
            <v>0</v>
          </cell>
          <cell r="U68" t="e">
            <v>#REF!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 t="e">
            <v>#DIV/0!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 t="e">
            <v>#DIV/0!</v>
          </cell>
          <cell r="AH68">
            <v>0</v>
          </cell>
          <cell r="AI68" t="e">
            <v>#REF!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 t="e">
            <v>#DIV/0!</v>
          </cell>
          <cell r="AO68">
            <v>0</v>
          </cell>
          <cell r="AP68" t="e">
            <v>#REF!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 t="e">
            <v>#DIV/0!</v>
          </cell>
          <cell r="AV68">
            <v>0</v>
          </cell>
          <cell r="AW68" t="e">
            <v>#REF!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 t="e">
            <v>#DIV/0!</v>
          </cell>
          <cell r="BC68">
            <v>0</v>
          </cell>
          <cell r="BD68" t="e">
            <v>#REF!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 t="e">
            <v>#DIV/0!</v>
          </cell>
          <cell r="BJ68">
            <v>0</v>
          </cell>
          <cell r="BK68" t="e">
            <v>#REF!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 t="e">
            <v>#DIV/0!</v>
          </cell>
          <cell r="BQ68">
            <v>0</v>
          </cell>
          <cell r="BR68" t="e">
            <v>#REF!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 t="e">
            <v>#DIV/0!</v>
          </cell>
          <cell r="BX68">
            <v>0</v>
          </cell>
          <cell r="BY68" t="e">
            <v>#REF!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 t="e">
            <v>#DIV/0!</v>
          </cell>
          <cell r="CE68">
            <v>0</v>
          </cell>
          <cell r="CF68" t="e">
            <v>#REF!</v>
          </cell>
          <cell r="CG68">
            <v>0</v>
          </cell>
          <cell r="CH68">
            <v>0</v>
          </cell>
        </row>
        <row r="69">
          <cell r="A69" t="str">
            <v>OAB / Associações</v>
          </cell>
          <cell r="B69">
            <v>3.4176111301250042E-3</v>
          </cell>
          <cell r="C69">
            <v>204.7958888888889</v>
          </cell>
          <cell r="D69">
            <v>0</v>
          </cell>
          <cell r="E69" t="e">
            <v>#DIV/0!</v>
          </cell>
          <cell r="F69">
            <v>0</v>
          </cell>
          <cell r="G69" t="e">
            <v>#REF!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e">
            <v>#DIV/0!</v>
          </cell>
          <cell r="M69">
            <v>0</v>
          </cell>
          <cell r="N69" t="e">
            <v>#REF!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 t="e">
            <v>#DIV/0!</v>
          </cell>
          <cell r="T69">
            <v>0</v>
          </cell>
          <cell r="U69" t="e">
            <v>#REF!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 t="e">
            <v>#DIV/0!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e">
            <v>#DIV/0!</v>
          </cell>
          <cell r="AH69">
            <v>0</v>
          </cell>
          <cell r="AI69" t="e">
            <v>#REF!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 t="e">
            <v>#DIV/0!</v>
          </cell>
          <cell r="AO69">
            <v>0</v>
          </cell>
          <cell r="AP69" t="e">
            <v>#REF!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e">
            <v>#DIV/0!</v>
          </cell>
          <cell r="AV69">
            <v>0</v>
          </cell>
          <cell r="AW69" t="e">
            <v>#REF!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 t="e">
            <v>#DIV/0!</v>
          </cell>
          <cell r="BC69">
            <v>0</v>
          </cell>
          <cell r="BD69" t="e">
            <v>#REF!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 t="e">
            <v>#DIV/0!</v>
          </cell>
          <cell r="BJ69">
            <v>0</v>
          </cell>
          <cell r="BK69" t="e">
            <v>#REF!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 t="e">
            <v>#DIV/0!</v>
          </cell>
          <cell r="BQ69">
            <v>0</v>
          </cell>
          <cell r="BR69" t="e">
            <v>#REF!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 t="e">
            <v>#DIV/0!</v>
          </cell>
          <cell r="BX69">
            <v>0</v>
          </cell>
          <cell r="BY69" t="e">
            <v>#REF!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 t="e">
            <v>#DIV/0!</v>
          </cell>
          <cell r="CE69">
            <v>0</v>
          </cell>
          <cell r="CF69" t="e">
            <v>#REF!</v>
          </cell>
          <cell r="CG69">
            <v>0</v>
          </cell>
          <cell r="CH69">
            <v>0</v>
          </cell>
        </row>
        <row r="70">
          <cell r="A70" t="str">
            <v>Back Office / Encerramento</v>
          </cell>
          <cell r="B70">
            <v>1.9369789946988274E-3</v>
          </cell>
          <cell r="C70">
            <v>116.07093957583859</v>
          </cell>
          <cell r="D70">
            <v>0</v>
          </cell>
          <cell r="E70" t="e">
            <v>#DIV/0!</v>
          </cell>
          <cell r="F70">
            <v>0</v>
          </cell>
          <cell r="G70" t="e">
            <v>#REF!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e">
            <v>#DIV/0!</v>
          </cell>
          <cell r="M70">
            <v>0</v>
          </cell>
          <cell r="N70" t="e">
            <v>#REF!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 t="e">
            <v>#DIV/0!</v>
          </cell>
          <cell r="T70">
            <v>0</v>
          </cell>
          <cell r="U70" t="e">
            <v>#REF!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 t="e">
            <v>#DIV/0!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e">
            <v>#DIV/0!</v>
          </cell>
          <cell r="AH70">
            <v>0</v>
          </cell>
          <cell r="AI70" t="e">
            <v>#REF!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 t="e">
            <v>#DIV/0!</v>
          </cell>
          <cell r="AO70">
            <v>0</v>
          </cell>
          <cell r="AP70" t="e">
            <v>#REF!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e">
            <v>#DIV/0!</v>
          </cell>
          <cell r="AV70">
            <v>0</v>
          </cell>
          <cell r="AW70" t="e">
            <v>#REF!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 t="e">
            <v>#DIV/0!</v>
          </cell>
          <cell r="BC70">
            <v>0</v>
          </cell>
          <cell r="BD70" t="e">
            <v>#REF!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 t="e">
            <v>#DIV/0!</v>
          </cell>
          <cell r="BJ70">
            <v>0</v>
          </cell>
          <cell r="BK70" t="e">
            <v>#REF!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 t="e">
            <v>#DIV/0!</v>
          </cell>
          <cell r="BQ70">
            <v>0</v>
          </cell>
          <cell r="BR70" t="e">
            <v>#REF!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 t="e">
            <v>#DIV/0!</v>
          </cell>
          <cell r="BX70">
            <v>0</v>
          </cell>
          <cell r="BY70" t="e">
            <v>#REF!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 t="e">
            <v>#DIV/0!</v>
          </cell>
          <cell r="CE70">
            <v>0</v>
          </cell>
          <cell r="CF70" t="e">
            <v>#REF!</v>
          </cell>
          <cell r="CG70">
            <v>0</v>
          </cell>
          <cell r="CH70">
            <v>0</v>
          </cell>
        </row>
        <row r="71">
          <cell r="A71" t="str">
            <v>Bonificações/Premiações</v>
          </cell>
          <cell r="B71">
            <v>0</v>
          </cell>
          <cell r="C71">
            <v>0</v>
          </cell>
          <cell r="D71">
            <v>0</v>
          </cell>
          <cell r="E71" t="e">
            <v>#DIV/0!</v>
          </cell>
          <cell r="F71">
            <v>0</v>
          </cell>
          <cell r="G71" t="e">
            <v>#REF!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e">
            <v>#DIV/0!</v>
          </cell>
          <cell r="M71">
            <v>0</v>
          </cell>
          <cell r="N71" t="e">
            <v>#REF!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 t="e">
            <v>#DIV/0!</v>
          </cell>
          <cell r="T71">
            <v>0</v>
          </cell>
          <cell r="U71" t="e">
            <v>#REF!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 t="e">
            <v>#DIV/0!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 t="e">
            <v>#DIV/0!</v>
          </cell>
          <cell r="AH71">
            <v>0</v>
          </cell>
          <cell r="AI71" t="e">
            <v>#REF!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 t="e">
            <v>#DIV/0!</v>
          </cell>
          <cell r="AO71">
            <v>0</v>
          </cell>
          <cell r="AP71" t="e">
            <v>#REF!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 t="e">
            <v>#DIV/0!</v>
          </cell>
          <cell r="AV71">
            <v>0</v>
          </cell>
          <cell r="AW71" t="e">
            <v>#REF!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 t="e">
            <v>#DIV/0!</v>
          </cell>
          <cell r="BC71">
            <v>0</v>
          </cell>
          <cell r="BD71" t="e">
            <v>#REF!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 t="e">
            <v>#DIV/0!</v>
          </cell>
          <cell r="BJ71">
            <v>0</v>
          </cell>
          <cell r="BK71" t="e">
            <v>#REF!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 t="e">
            <v>#DIV/0!</v>
          </cell>
          <cell r="BQ71">
            <v>0</v>
          </cell>
          <cell r="BR71" t="e">
            <v>#REF!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 t="e">
            <v>#DIV/0!</v>
          </cell>
          <cell r="BX71">
            <v>0</v>
          </cell>
          <cell r="BY71" t="e">
            <v>#REF!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 t="e">
            <v>#DIV/0!</v>
          </cell>
          <cell r="CE71">
            <v>0</v>
          </cell>
          <cell r="CF71" t="e">
            <v>#REF!</v>
          </cell>
          <cell r="CG71">
            <v>0</v>
          </cell>
          <cell r="CH71">
            <v>0</v>
          </cell>
        </row>
        <row r="72">
          <cell r="A72" t="str">
            <v>Cadastro</v>
          </cell>
          <cell r="B72">
            <v>8.9148501562549181E-4</v>
          </cell>
          <cell r="C72">
            <v>53.421076668681657</v>
          </cell>
          <cell r="D72">
            <v>0</v>
          </cell>
          <cell r="E72" t="e">
            <v>#DIV/0!</v>
          </cell>
          <cell r="F72">
            <v>0</v>
          </cell>
          <cell r="G72" t="e">
            <v>#REF!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e">
            <v>#DIV/0!</v>
          </cell>
          <cell r="M72">
            <v>0</v>
          </cell>
          <cell r="N72" t="e">
            <v>#REF!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e">
            <v>#DIV/0!</v>
          </cell>
          <cell r="T72">
            <v>0</v>
          </cell>
          <cell r="U72" t="e">
            <v>#REF!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 t="e">
            <v>#DIV/0!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e">
            <v>#DIV/0!</v>
          </cell>
          <cell r="AH72">
            <v>0</v>
          </cell>
          <cell r="AI72" t="e">
            <v>#REF!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 t="e">
            <v>#DIV/0!</v>
          </cell>
          <cell r="AO72">
            <v>0</v>
          </cell>
          <cell r="AP72" t="e">
            <v>#REF!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e">
            <v>#DIV/0!</v>
          </cell>
          <cell r="AV72">
            <v>0</v>
          </cell>
          <cell r="AW72" t="e">
            <v>#REF!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 t="e">
            <v>#DIV/0!</v>
          </cell>
          <cell r="BC72">
            <v>0</v>
          </cell>
          <cell r="BD72" t="e">
            <v>#REF!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 t="e">
            <v>#DIV/0!</v>
          </cell>
          <cell r="BJ72">
            <v>0</v>
          </cell>
          <cell r="BK72" t="e">
            <v>#REF!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 t="e">
            <v>#DIV/0!</v>
          </cell>
          <cell r="BQ72">
            <v>0</v>
          </cell>
          <cell r="BR72" t="e">
            <v>#REF!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 t="e">
            <v>#DIV/0!</v>
          </cell>
          <cell r="BX72">
            <v>0</v>
          </cell>
          <cell r="BY72" t="e">
            <v>#REF!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 t="e">
            <v>#DIV/0!</v>
          </cell>
          <cell r="CE72">
            <v>0</v>
          </cell>
          <cell r="CF72" t="e">
            <v>#REF!</v>
          </cell>
          <cell r="CG72">
            <v>0</v>
          </cell>
          <cell r="CH72">
            <v>0</v>
          </cell>
        </row>
        <row r="73">
          <cell r="A73" t="str">
            <v>Cartório</v>
          </cell>
          <cell r="B73">
            <v>0</v>
          </cell>
          <cell r="C73">
            <v>0</v>
          </cell>
          <cell r="D73">
            <v>0</v>
          </cell>
          <cell r="E73" t="e">
            <v>#DIV/0!</v>
          </cell>
          <cell r="F73">
            <v>0</v>
          </cell>
          <cell r="G73" t="e">
            <v>#REF!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e">
            <v>#DIV/0!</v>
          </cell>
          <cell r="M73">
            <v>0</v>
          </cell>
          <cell r="N73" t="e">
            <v>#REF!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 t="e">
            <v>#DIV/0!</v>
          </cell>
          <cell r="T73">
            <v>0</v>
          </cell>
          <cell r="U73" t="e">
            <v>#REF!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 t="e">
            <v>#DIV/0!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 t="e">
            <v>#DIV/0!</v>
          </cell>
          <cell r="AH73">
            <v>0</v>
          </cell>
          <cell r="AI73" t="e">
            <v>#REF!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 t="e">
            <v>#DIV/0!</v>
          </cell>
          <cell r="AO73">
            <v>0</v>
          </cell>
          <cell r="AP73" t="e">
            <v>#REF!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e">
            <v>#DIV/0!</v>
          </cell>
          <cell r="AV73">
            <v>0</v>
          </cell>
          <cell r="AW73" t="e">
            <v>#REF!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 t="e">
            <v>#DIV/0!</v>
          </cell>
          <cell r="BC73">
            <v>0</v>
          </cell>
          <cell r="BD73" t="e">
            <v>#REF!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 t="e">
            <v>#DIV/0!</v>
          </cell>
          <cell r="BJ73">
            <v>0</v>
          </cell>
          <cell r="BK73" t="e">
            <v>#REF!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 t="e">
            <v>#DIV/0!</v>
          </cell>
          <cell r="BQ73">
            <v>0</v>
          </cell>
          <cell r="BR73" t="e">
            <v>#REF!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 t="e">
            <v>#DIV/0!</v>
          </cell>
          <cell r="BX73">
            <v>0</v>
          </cell>
          <cell r="BY73" t="e">
            <v>#REF!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 t="e">
            <v>#DIV/0!</v>
          </cell>
          <cell r="CE73">
            <v>0</v>
          </cell>
          <cell r="CF73" t="e">
            <v>#REF!</v>
          </cell>
          <cell r="CG73">
            <v>0</v>
          </cell>
          <cell r="CH73">
            <v>0</v>
          </cell>
        </row>
        <row r="74">
          <cell r="A74" t="str">
            <v>Condenação</v>
          </cell>
          <cell r="B74">
            <v>0</v>
          </cell>
          <cell r="C74">
            <v>0</v>
          </cell>
          <cell r="D74">
            <v>0</v>
          </cell>
          <cell r="E74" t="e">
            <v>#DIV/0!</v>
          </cell>
          <cell r="F74">
            <v>0</v>
          </cell>
          <cell r="G74" t="e">
            <v>#REF!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 t="e">
            <v>#DIV/0!</v>
          </cell>
          <cell r="M74">
            <v>0</v>
          </cell>
          <cell r="N74" t="e">
            <v>#REF!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 t="e">
            <v>#DIV/0!</v>
          </cell>
          <cell r="T74">
            <v>0</v>
          </cell>
          <cell r="U74" t="e">
            <v>#REF!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 t="e">
            <v>#DIV/0!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 t="e">
            <v>#DIV/0!</v>
          </cell>
          <cell r="AH74">
            <v>0</v>
          </cell>
          <cell r="AI74" t="e">
            <v>#REF!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 t="e">
            <v>#DIV/0!</v>
          </cell>
          <cell r="AO74">
            <v>0</v>
          </cell>
          <cell r="AP74" t="e">
            <v>#REF!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e">
            <v>#DIV/0!</v>
          </cell>
          <cell r="AV74">
            <v>0</v>
          </cell>
          <cell r="AW74" t="e">
            <v>#REF!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 t="e">
            <v>#DIV/0!</v>
          </cell>
          <cell r="BC74">
            <v>0</v>
          </cell>
          <cell r="BD74" t="e">
            <v>#REF!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e">
            <v>#DIV/0!</v>
          </cell>
          <cell r="BJ74">
            <v>0</v>
          </cell>
          <cell r="BK74" t="e">
            <v>#REF!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 t="e">
            <v>#DIV/0!</v>
          </cell>
          <cell r="BQ74">
            <v>0</v>
          </cell>
          <cell r="BR74" t="e">
            <v>#REF!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 t="e">
            <v>#DIV/0!</v>
          </cell>
          <cell r="BX74">
            <v>0</v>
          </cell>
          <cell r="BY74" t="e">
            <v>#REF!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 t="e">
            <v>#DIV/0!</v>
          </cell>
          <cell r="CE74">
            <v>0</v>
          </cell>
          <cell r="CF74" t="e">
            <v>#REF!</v>
          </cell>
          <cell r="CG74">
            <v>0</v>
          </cell>
          <cell r="CH74">
            <v>0</v>
          </cell>
        </row>
        <row r="75">
          <cell r="A75" t="str">
            <v>Penalidades/Irregularidades</v>
          </cell>
          <cell r="B75">
            <v>0</v>
          </cell>
          <cell r="C75">
            <v>0</v>
          </cell>
          <cell r="D75">
            <v>0</v>
          </cell>
          <cell r="E75" t="e">
            <v>#DIV/0!</v>
          </cell>
          <cell r="F75">
            <v>0</v>
          </cell>
          <cell r="G75" t="e">
            <v>#REF!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 t="e">
            <v>#DIV/0!</v>
          </cell>
          <cell r="M75">
            <v>0</v>
          </cell>
          <cell r="N75" t="e">
            <v>#REF!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 t="e">
            <v>#DIV/0!</v>
          </cell>
          <cell r="T75">
            <v>0</v>
          </cell>
          <cell r="U75" t="e">
            <v>#REF!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 t="e">
            <v>#DIV/0!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 t="e">
            <v>#DIV/0!</v>
          </cell>
          <cell r="AH75">
            <v>0</v>
          </cell>
          <cell r="AI75" t="e">
            <v>#REF!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 t="e">
            <v>#DIV/0!</v>
          </cell>
          <cell r="AO75">
            <v>0</v>
          </cell>
          <cell r="AP75" t="e">
            <v>#REF!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 t="e">
            <v>#DIV/0!</v>
          </cell>
          <cell r="AV75">
            <v>0</v>
          </cell>
          <cell r="AW75" t="e">
            <v>#REF!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 t="e">
            <v>#DIV/0!</v>
          </cell>
          <cell r="BC75">
            <v>0</v>
          </cell>
          <cell r="BD75" t="e">
            <v>#REF!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 t="e">
            <v>#DIV/0!</v>
          </cell>
          <cell r="BJ75">
            <v>0</v>
          </cell>
          <cell r="BK75" t="e">
            <v>#REF!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 t="e">
            <v>#DIV/0!</v>
          </cell>
          <cell r="BQ75">
            <v>0</v>
          </cell>
          <cell r="BR75" t="e">
            <v>#REF!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 t="e">
            <v>#DIV/0!</v>
          </cell>
          <cell r="BX75">
            <v>0</v>
          </cell>
          <cell r="BY75" t="e">
            <v>#REF!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 t="e">
            <v>#DIV/0!</v>
          </cell>
          <cell r="CE75">
            <v>0</v>
          </cell>
          <cell r="CF75" t="e">
            <v>#REF!</v>
          </cell>
          <cell r="CG75">
            <v>0</v>
          </cell>
          <cell r="CH75">
            <v>0</v>
          </cell>
        </row>
        <row r="76">
          <cell r="A76" t="str">
            <v>Contribuição Sindical</v>
          </cell>
          <cell r="B76">
            <v>0</v>
          </cell>
          <cell r="C76">
            <v>0</v>
          </cell>
          <cell r="D76">
            <v>0</v>
          </cell>
          <cell r="E76" t="e">
            <v>#DIV/0!</v>
          </cell>
          <cell r="F76">
            <v>0</v>
          </cell>
          <cell r="G76" t="e">
            <v>#REF!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 t="e">
            <v>#DIV/0!</v>
          </cell>
          <cell r="M76">
            <v>0</v>
          </cell>
          <cell r="N76" t="e">
            <v>#REF!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 t="e">
            <v>#DIV/0!</v>
          </cell>
          <cell r="T76">
            <v>0</v>
          </cell>
          <cell r="U76" t="e">
            <v>#REF!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 t="e">
            <v>#DIV/0!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 t="e">
            <v>#DIV/0!</v>
          </cell>
          <cell r="AH76">
            <v>0</v>
          </cell>
          <cell r="AI76" t="e">
            <v>#REF!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 t="e">
            <v>#DIV/0!</v>
          </cell>
          <cell r="AO76">
            <v>0</v>
          </cell>
          <cell r="AP76" t="e">
            <v>#REF!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e">
            <v>#DIV/0!</v>
          </cell>
          <cell r="AV76">
            <v>0</v>
          </cell>
          <cell r="AW76" t="e">
            <v>#REF!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 t="e">
            <v>#DIV/0!</v>
          </cell>
          <cell r="BC76">
            <v>0</v>
          </cell>
          <cell r="BD76" t="e">
            <v>#REF!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 t="e">
            <v>#DIV/0!</v>
          </cell>
          <cell r="BJ76">
            <v>0</v>
          </cell>
          <cell r="BK76" t="e">
            <v>#REF!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 t="e">
            <v>#DIV/0!</v>
          </cell>
          <cell r="BQ76">
            <v>0</v>
          </cell>
          <cell r="BR76" t="e">
            <v>#REF!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 t="e">
            <v>#DIV/0!</v>
          </cell>
          <cell r="BX76">
            <v>0</v>
          </cell>
          <cell r="BY76" t="e">
            <v>#REF!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 t="e">
            <v>#DIV/0!</v>
          </cell>
          <cell r="CE76">
            <v>0</v>
          </cell>
          <cell r="CF76" t="e">
            <v>#REF!</v>
          </cell>
          <cell r="CG76">
            <v>0</v>
          </cell>
          <cell r="CH76">
            <v>0</v>
          </cell>
        </row>
        <row r="77">
          <cell r="A77" t="str">
            <v>Correios</v>
          </cell>
          <cell r="B77">
            <v>0</v>
          </cell>
          <cell r="C77">
            <v>0</v>
          </cell>
          <cell r="D77">
            <v>0</v>
          </cell>
          <cell r="E77" t="e">
            <v>#DIV/0!</v>
          </cell>
          <cell r="F77">
            <v>0</v>
          </cell>
          <cell r="G77" t="e">
            <v>#REF!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 t="e">
            <v>#DIV/0!</v>
          </cell>
          <cell r="M77">
            <v>0</v>
          </cell>
          <cell r="N77" t="e">
            <v>#REF!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 t="e">
            <v>#DIV/0!</v>
          </cell>
          <cell r="T77">
            <v>0</v>
          </cell>
          <cell r="U77" t="e">
            <v>#REF!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 t="e">
            <v>#DIV/0!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 t="e">
            <v>#DIV/0!</v>
          </cell>
          <cell r="AH77">
            <v>0</v>
          </cell>
          <cell r="AI77" t="e">
            <v>#REF!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 t="e">
            <v>#DIV/0!</v>
          </cell>
          <cell r="AO77">
            <v>0</v>
          </cell>
          <cell r="AP77" t="e">
            <v>#REF!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e">
            <v>#DIV/0!</v>
          </cell>
          <cell r="AV77">
            <v>0</v>
          </cell>
          <cell r="AW77" t="e">
            <v>#REF!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 t="e">
            <v>#DIV/0!</v>
          </cell>
          <cell r="BC77">
            <v>0</v>
          </cell>
          <cell r="BD77" t="e">
            <v>#REF!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 t="e">
            <v>#DIV/0!</v>
          </cell>
          <cell r="BJ77">
            <v>0</v>
          </cell>
          <cell r="BK77" t="e">
            <v>#REF!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 t="e">
            <v>#DIV/0!</v>
          </cell>
          <cell r="BQ77">
            <v>0</v>
          </cell>
          <cell r="BR77" t="e">
            <v>#REF!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 t="e">
            <v>#DIV/0!</v>
          </cell>
          <cell r="BX77">
            <v>0</v>
          </cell>
          <cell r="BY77" t="e">
            <v>#REF!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 t="e">
            <v>#DIV/0!</v>
          </cell>
          <cell r="CE77">
            <v>0</v>
          </cell>
          <cell r="CF77" t="e">
            <v>#REF!</v>
          </cell>
          <cell r="CG77">
            <v>0</v>
          </cell>
          <cell r="CH77">
            <v>0</v>
          </cell>
        </row>
        <row r="78">
          <cell r="A78" t="str">
            <v xml:space="preserve">Correspondentes </v>
          </cell>
          <cell r="B78">
            <v>2.4449427406995337E-3</v>
          </cell>
          <cell r="C78">
            <v>146.51000444444446</v>
          </cell>
          <cell r="D78">
            <v>0</v>
          </cell>
          <cell r="E78" t="e">
            <v>#DIV/0!</v>
          </cell>
          <cell r="F78">
            <v>0</v>
          </cell>
          <cell r="G78" t="e">
            <v>#REF!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 t="e">
            <v>#DIV/0!</v>
          </cell>
          <cell r="M78">
            <v>0</v>
          </cell>
          <cell r="N78" t="e">
            <v>#REF!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 t="e">
            <v>#DIV/0!</v>
          </cell>
          <cell r="T78">
            <v>0</v>
          </cell>
          <cell r="U78" t="e">
            <v>#REF!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 t="e">
            <v>#DIV/0!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e">
            <v>#DIV/0!</v>
          </cell>
          <cell r="AH78">
            <v>0</v>
          </cell>
          <cell r="AI78" t="e">
            <v>#REF!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 t="e">
            <v>#DIV/0!</v>
          </cell>
          <cell r="AO78">
            <v>0</v>
          </cell>
          <cell r="AP78" t="e">
            <v>#REF!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 t="e">
            <v>#DIV/0!</v>
          </cell>
          <cell r="AV78">
            <v>0</v>
          </cell>
          <cell r="AW78" t="e">
            <v>#REF!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 t="e">
            <v>#DIV/0!</v>
          </cell>
          <cell r="BC78">
            <v>0</v>
          </cell>
          <cell r="BD78" t="e">
            <v>#REF!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 t="e">
            <v>#DIV/0!</v>
          </cell>
          <cell r="BJ78">
            <v>0</v>
          </cell>
          <cell r="BK78" t="e">
            <v>#REF!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 t="e">
            <v>#DIV/0!</v>
          </cell>
          <cell r="BQ78">
            <v>0</v>
          </cell>
          <cell r="BR78" t="e">
            <v>#REF!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 t="e">
            <v>#DIV/0!</v>
          </cell>
          <cell r="BX78">
            <v>0</v>
          </cell>
          <cell r="BY78" t="e">
            <v>#REF!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 t="e">
            <v>#DIV/0!</v>
          </cell>
          <cell r="CE78">
            <v>0</v>
          </cell>
          <cell r="CF78" t="e">
            <v>#REF!</v>
          </cell>
          <cell r="CG78">
            <v>0</v>
          </cell>
          <cell r="CH78">
            <v>0</v>
          </cell>
        </row>
        <row r="79">
          <cell r="A79" t="str">
            <v>Custas/Guias/Despesas</v>
          </cell>
          <cell r="B79">
            <v>2.7289334588213167E-3</v>
          </cell>
          <cell r="C79">
            <v>163.52777777777777</v>
          </cell>
          <cell r="D79">
            <v>0</v>
          </cell>
          <cell r="E79" t="e">
            <v>#DIV/0!</v>
          </cell>
          <cell r="F79">
            <v>0</v>
          </cell>
          <cell r="G79" t="e">
            <v>#REF!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 t="e">
            <v>#DIV/0!</v>
          </cell>
          <cell r="M79">
            <v>0</v>
          </cell>
          <cell r="N79" t="e">
            <v>#REF!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 t="e">
            <v>#DIV/0!</v>
          </cell>
          <cell r="T79">
            <v>0</v>
          </cell>
          <cell r="U79" t="e">
            <v>#REF!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 t="e">
            <v>#DIV/0!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e">
            <v>#DIV/0!</v>
          </cell>
          <cell r="AH79">
            <v>0</v>
          </cell>
          <cell r="AI79" t="e">
            <v>#REF!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 t="e">
            <v>#DIV/0!</v>
          </cell>
          <cell r="AO79">
            <v>0</v>
          </cell>
          <cell r="AP79" t="e">
            <v>#REF!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e">
            <v>#DIV/0!</v>
          </cell>
          <cell r="AV79">
            <v>0</v>
          </cell>
          <cell r="AW79" t="e">
            <v>#REF!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 t="e">
            <v>#DIV/0!</v>
          </cell>
          <cell r="BC79">
            <v>0</v>
          </cell>
          <cell r="BD79" t="e">
            <v>#REF!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 t="e">
            <v>#DIV/0!</v>
          </cell>
          <cell r="BJ79">
            <v>0</v>
          </cell>
          <cell r="BK79" t="e">
            <v>#REF!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 t="e">
            <v>#DIV/0!</v>
          </cell>
          <cell r="BQ79">
            <v>0</v>
          </cell>
          <cell r="BR79" t="e">
            <v>#REF!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 t="e">
            <v>#DIV/0!</v>
          </cell>
          <cell r="BX79">
            <v>0</v>
          </cell>
          <cell r="BY79" t="e">
            <v>#REF!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 t="e">
            <v>#DIV/0!</v>
          </cell>
          <cell r="CE79">
            <v>0</v>
          </cell>
          <cell r="CF79" t="e">
            <v>#REF!</v>
          </cell>
          <cell r="CG79">
            <v>0</v>
          </cell>
          <cell r="CH79">
            <v>0</v>
          </cell>
        </row>
        <row r="80">
          <cell r="A80" t="str">
            <v>Deslocamento</v>
          </cell>
          <cell r="B80">
            <v>0</v>
          </cell>
          <cell r="C80">
            <v>0</v>
          </cell>
          <cell r="D80">
            <v>0</v>
          </cell>
          <cell r="E80" t="e">
            <v>#DIV/0!</v>
          </cell>
          <cell r="F80">
            <v>0</v>
          </cell>
          <cell r="G80" t="e">
            <v>#REF!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 t="e">
            <v>#DIV/0!</v>
          </cell>
          <cell r="M80">
            <v>0</v>
          </cell>
          <cell r="N80" t="e">
            <v>#REF!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 t="e">
            <v>#DIV/0!</v>
          </cell>
          <cell r="T80">
            <v>0</v>
          </cell>
          <cell r="U80" t="e">
            <v>#REF!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 t="e">
            <v>#DIV/0!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e">
            <v>#DIV/0!</v>
          </cell>
          <cell r="AH80">
            <v>0</v>
          </cell>
          <cell r="AI80" t="e">
            <v>#REF!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 t="e">
            <v>#DIV/0!</v>
          </cell>
          <cell r="AO80">
            <v>0</v>
          </cell>
          <cell r="AP80" t="e">
            <v>#REF!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e">
            <v>#DIV/0!</v>
          </cell>
          <cell r="AV80">
            <v>0</v>
          </cell>
          <cell r="AW80" t="e">
            <v>#REF!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 t="e">
            <v>#DIV/0!</v>
          </cell>
          <cell r="BC80">
            <v>0</v>
          </cell>
          <cell r="BD80" t="e">
            <v>#REF!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 t="e">
            <v>#DIV/0!</v>
          </cell>
          <cell r="BJ80">
            <v>0</v>
          </cell>
          <cell r="BK80" t="e">
            <v>#REF!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 t="e">
            <v>#DIV/0!</v>
          </cell>
          <cell r="BQ80">
            <v>0</v>
          </cell>
          <cell r="BR80" t="e">
            <v>#REF!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 t="e">
            <v>#DIV/0!</v>
          </cell>
          <cell r="BX80">
            <v>0</v>
          </cell>
          <cell r="BY80" t="e">
            <v>#REF!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e">
            <v>#DIV/0!</v>
          </cell>
          <cell r="CE80">
            <v>0</v>
          </cell>
          <cell r="CF80" t="e">
            <v>#REF!</v>
          </cell>
          <cell r="CG80">
            <v>0</v>
          </cell>
          <cell r="CH80">
            <v>0</v>
          </cell>
        </row>
        <row r="81">
          <cell r="A81" t="str">
            <v>Digitação / Atual. Sistemas / Lanç. Planilhas</v>
          </cell>
          <cell r="B81">
            <v>0</v>
          </cell>
          <cell r="C81">
            <v>0</v>
          </cell>
          <cell r="D81">
            <v>0</v>
          </cell>
          <cell r="E81" t="e">
            <v>#DIV/0!</v>
          </cell>
          <cell r="F81">
            <v>0</v>
          </cell>
          <cell r="G81" t="e">
            <v>#REF!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 t="e">
            <v>#DIV/0!</v>
          </cell>
          <cell r="M81">
            <v>0</v>
          </cell>
          <cell r="N81" t="e">
            <v>#REF!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 t="e">
            <v>#DIV/0!</v>
          </cell>
          <cell r="T81">
            <v>0</v>
          </cell>
          <cell r="U81" t="e">
            <v>#REF!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 t="e">
            <v>#DIV/0!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e">
            <v>#DIV/0!</v>
          </cell>
          <cell r="AH81">
            <v>0</v>
          </cell>
          <cell r="AI81" t="e">
            <v>#REF!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 t="e">
            <v>#DIV/0!</v>
          </cell>
          <cell r="AO81">
            <v>0</v>
          </cell>
          <cell r="AP81" t="e">
            <v>#REF!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e">
            <v>#DIV/0!</v>
          </cell>
          <cell r="AV81">
            <v>0</v>
          </cell>
          <cell r="AW81" t="e">
            <v>#REF!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 t="e">
            <v>#DIV/0!</v>
          </cell>
          <cell r="BC81">
            <v>0</v>
          </cell>
          <cell r="BD81" t="e">
            <v>#REF!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 t="e">
            <v>#DIV/0!</v>
          </cell>
          <cell r="BJ81">
            <v>0</v>
          </cell>
          <cell r="BK81" t="e">
            <v>#REF!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 t="e">
            <v>#DIV/0!</v>
          </cell>
          <cell r="BQ81">
            <v>0</v>
          </cell>
          <cell r="BR81" t="e">
            <v>#REF!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 t="e">
            <v>#DIV/0!</v>
          </cell>
          <cell r="BX81">
            <v>0</v>
          </cell>
          <cell r="BY81" t="e">
            <v>#REF!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 t="e">
            <v>#DIV/0!</v>
          </cell>
          <cell r="CE81">
            <v>0</v>
          </cell>
          <cell r="CF81" t="e">
            <v>#REF!</v>
          </cell>
          <cell r="CG81">
            <v>0</v>
          </cell>
          <cell r="CH81">
            <v>0</v>
          </cell>
        </row>
        <row r="82">
          <cell r="A82" t="str">
            <v>Diligências</v>
          </cell>
          <cell r="B82">
            <v>0</v>
          </cell>
          <cell r="C82">
            <v>0</v>
          </cell>
          <cell r="D82">
            <v>0</v>
          </cell>
          <cell r="E82" t="e">
            <v>#DIV/0!</v>
          </cell>
          <cell r="F82">
            <v>0</v>
          </cell>
          <cell r="G82" t="e">
            <v>#REF!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 t="e">
            <v>#DIV/0!</v>
          </cell>
          <cell r="M82">
            <v>0</v>
          </cell>
          <cell r="N82" t="e">
            <v>#REF!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 t="e">
            <v>#DIV/0!</v>
          </cell>
          <cell r="T82">
            <v>0</v>
          </cell>
          <cell r="U82" t="e">
            <v>#REF!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 t="e">
            <v>#DIV/0!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e">
            <v>#DIV/0!</v>
          </cell>
          <cell r="AH82">
            <v>0</v>
          </cell>
          <cell r="AI82" t="e">
            <v>#REF!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 t="e">
            <v>#DIV/0!</v>
          </cell>
          <cell r="AO82">
            <v>0</v>
          </cell>
          <cell r="AP82" t="e">
            <v>#REF!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e">
            <v>#DIV/0!</v>
          </cell>
          <cell r="AV82">
            <v>0</v>
          </cell>
          <cell r="AW82" t="e">
            <v>#REF!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 t="e">
            <v>#DIV/0!</v>
          </cell>
          <cell r="BC82">
            <v>0</v>
          </cell>
          <cell r="BD82" t="e">
            <v>#REF!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 t="e">
            <v>#DIV/0!</v>
          </cell>
          <cell r="BJ82">
            <v>0</v>
          </cell>
          <cell r="BK82" t="e">
            <v>#REF!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 t="e">
            <v>#DIV/0!</v>
          </cell>
          <cell r="BQ82">
            <v>0</v>
          </cell>
          <cell r="BR82" t="e">
            <v>#REF!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 t="e">
            <v>#DIV/0!</v>
          </cell>
          <cell r="BX82">
            <v>0</v>
          </cell>
          <cell r="BY82" t="e">
            <v>#REF!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 t="e">
            <v>#DIV/0!</v>
          </cell>
          <cell r="CE82">
            <v>0</v>
          </cell>
          <cell r="CF82" t="e">
            <v>#REF!</v>
          </cell>
          <cell r="CG82">
            <v>0</v>
          </cell>
          <cell r="CH82">
            <v>0</v>
          </cell>
        </row>
        <row r="83">
          <cell r="A83" t="str">
            <v>Encargos</v>
          </cell>
          <cell r="B83">
            <v>0</v>
          </cell>
          <cell r="C83">
            <v>0</v>
          </cell>
          <cell r="D83">
            <v>0</v>
          </cell>
          <cell r="E83" t="e">
            <v>#DIV/0!</v>
          </cell>
          <cell r="F83">
            <v>0</v>
          </cell>
          <cell r="G83" t="e">
            <v>#REF!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 t="e">
            <v>#DIV/0!</v>
          </cell>
          <cell r="M83">
            <v>0</v>
          </cell>
          <cell r="N83" t="e">
            <v>#REF!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e">
            <v>#DIV/0!</v>
          </cell>
          <cell r="T83">
            <v>0</v>
          </cell>
          <cell r="U83" t="e">
            <v>#REF!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 t="e">
            <v>#DIV/0!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e">
            <v>#DIV/0!</v>
          </cell>
          <cell r="AH83">
            <v>0</v>
          </cell>
          <cell r="AI83" t="e">
            <v>#REF!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 t="e">
            <v>#DIV/0!</v>
          </cell>
          <cell r="AO83">
            <v>0</v>
          </cell>
          <cell r="AP83" t="e">
            <v>#REF!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e">
            <v>#DIV/0!</v>
          </cell>
          <cell r="AV83">
            <v>0</v>
          </cell>
          <cell r="AW83" t="e">
            <v>#REF!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 t="e">
            <v>#DIV/0!</v>
          </cell>
          <cell r="BC83">
            <v>0</v>
          </cell>
          <cell r="BD83" t="e">
            <v>#REF!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 t="e">
            <v>#DIV/0!</v>
          </cell>
          <cell r="BJ83">
            <v>0</v>
          </cell>
          <cell r="BK83" t="e">
            <v>#REF!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 t="e">
            <v>#DIV/0!</v>
          </cell>
          <cell r="BQ83">
            <v>0</v>
          </cell>
          <cell r="BR83" t="e">
            <v>#REF!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 t="e">
            <v>#DIV/0!</v>
          </cell>
          <cell r="BX83">
            <v>0</v>
          </cell>
          <cell r="BY83" t="e">
            <v>#REF!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 t="e">
            <v>#DIV/0!</v>
          </cell>
          <cell r="CE83">
            <v>0</v>
          </cell>
          <cell r="CF83" t="e">
            <v>#REF!</v>
          </cell>
          <cell r="CG83">
            <v>0</v>
          </cell>
          <cell r="CH83">
            <v>0</v>
          </cell>
        </row>
        <row r="84">
          <cell r="A84" t="str">
            <v>Encargos Rescisórios</v>
          </cell>
          <cell r="B84">
            <v>0</v>
          </cell>
          <cell r="C84">
            <v>0</v>
          </cell>
          <cell r="D84">
            <v>0</v>
          </cell>
          <cell r="E84" t="e">
            <v>#DIV/0!</v>
          </cell>
          <cell r="F84">
            <v>0</v>
          </cell>
          <cell r="G84" t="e">
            <v>#REF!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 t="e">
            <v>#DIV/0!</v>
          </cell>
          <cell r="M84">
            <v>0</v>
          </cell>
          <cell r="N84" t="e">
            <v>#REF!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e">
            <v>#DIV/0!</v>
          </cell>
          <cell r="T84">
            <v>0</v>
          </cell>
          <cell r="U84" t="e">
            <v>#REF!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 t="e">
            <v>#DIV/0!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e">
            <v>#DIV/0!</v>
          </cell>
          <cell r="AH84">
            <v>0</v>
          </cell>
          <cell r="AI84" t="e">
            <v>#REF!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 t="e">
            <v>#DIV/0!</v>
          </cell>
          <cell r="AO84">
            <v>0</v>
          </cell>
          <cell r="AP84" t="e">
            <v>#REF!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 t="e">
            <v>#DIV/0!</v>
          </cell>
          <cell r="AV84">
            <v>0</v>
          </cell>
          <cell r="AW84" t="e">
            <v>#REF!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 t="e">
            <v>#DIV/0!</v>
          </cell>
          <cell r="BC84">
            <v>0</v>
          </cell>
          <cell r="BD84" t="e">
            <v>#REF!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 t="e">
            <v>#DIV/0!</v>
          </cell>
          <cell r="BJ84">
            <v>0</v>
          </cell>
          <cell r="BK84" t="e">
            <v>#REF!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 t="e">
            <v>#DIV/0!</v>
          </cell>
          <cell r="BQ84">
            <v>0</v>
          </cell>
          <cell r="BR84" t="e">
            <v>#REF!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 t="e">
            <v>#DIV/0!</v>
          </cell>
          <cell r="BX84">
            <v>0</v>
          </cell>
          <cell r="BY84" t="e">
            <v>#REF!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 t="e">
            <v>#DIV/0!</v>
          </cell>
          <cell r="CE84">
            <v>0</v>
          </cell>
          <cell r="CF84" t="e">
            <v>#REF!</v>
          </cell>
          <cell r="CG84">
            <v>0</v>
          </cell>
          <cell r="CH84">
            <v>0</v>
          </cell>
        </row>
        <row r="85">
          <cell r="A85" t="str">
            <v>Encerramento</v>
          </cell>
          <cell r="B85">
            <v>0</v>
          </cell>
          <cell r="C85">
            <v>0</v>
          </cell>
          <cell r="D85">
            <v>0</v>
          </cell>
          <cell r="E85" t="e">
            <v>#DIV/0!</v>
          </cell>
          <cell r="F85">
            <v>0</v>
          </cell>
          <cell r="G85" t="e">
            <v>#REF!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 t="e">
            <v>#DIV/0!</v>
          </cell>
          <cell r="M85">
            <v>0</v>
          </cell>
          <cell r="N85" t="e">
            <v>#REF!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 t="e">
            <v>#DIV/0!</v>
          </cell>
          <cell r="T85">
            <v>0</v>
          </cell>
          <cell r="U85" t="e">
            <v>#REF!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 t="e">
            <v>#DIV/0!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 t="e">
            <v>#DIV/0!</v>
          </cell>
          <cell r="AH85">
            <v>0</v>
          </cell>
          <cell r="AI85" t="e">
            <v>#REF!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 t="e">
            <v>#DIV/0!</v>
          </cell>
          <cell r="AO85">
            <v>0</v>
          </cell>
          <cell r="AP85" t="e">
            <v>#REF!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e">
            <v>#DIV/0!</v>
          </cell>
          <cell r="AV85">
            <v>0</v>
          </cell>
          <cell r="AW85" t="e">
            <v>#REF!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 t="e">
            <v>#DIV/0!</v>
          </cell>
          <cell r="BC85">
            <v>0</v>
          </cell>
          <cell r="BD85" t="e">
            <v>#REF!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 t="e">
            <v>#DIV/0!</v>
          </cell>
          <cell r="BJ85">
            <v>0</v>
          </cell>
          <cell r="BK85" t="e">
            <v>#REF!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 t="e">
            <v>#DIV/0!</v>
          </cell>
          <cell r="BQ85">
            <v>0</v>
          </cell>
          <cell r="BR85" t="e">
            <v>#REF!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 t="e">
            <v>#DIV/0!</v>
          </cell>
          <cell r="BX85">
            <v>0</v>
          </cell>
          <cell r="BY85" t="e">
            <v>#REF!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 t="e">
            <v>#DIV/0!</v>
          </cell>
          <cell r="CE85">
            <v>0</v>
          </cell>
          <cell r="CF85" t="e">
            <v>#REF!</v>
          </cell>
          <cell r="CG85">
            <v>0</v>
          </cell>
          <cell r="CH85">
            <v>0</v>
          </cell>
        </row>
        <row r="86">
          <cell r="A86" t="str">
            <v>Eventos / Representações</v>
          </cell>
          <cell r="B86">
            <v>0</v>
          </cell>
          <cell r="C86">
            <v>0</v>
          </cell>
          <cell r="D86">
            <v>0</v>
          </cell>
          <cell r="E86" t="e">
            <v>#DIV/0!</v>
          </cell>
          <cell r="F86">
            <v>0</v>
          </cell>
          <cell r="G86" t="e">
            <v>#REF!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 t="e">
            <v>#DIV/0!</v>
          </cell>
          <cell r="M86">
            <v>0</v>
          </cell>
          <cell r="N86" t="e">
            <v>#REF!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 t="e">
            <v>#DIV/0!</v>
          </cell>
          <cell r="T86">
            <v>0</v>
          </cell>
          <cell r="U86" t="e">
            <v>#REF!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 t="e">
            <v>#DIV/0!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e">
            <v>#DIV/0!</v>
          </cell>
          <cell r="AH86">
            <v>0</v>
          </cell>
          <cell r="AI86" t="e">
            <v>#REF!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 t="e">
            <v>#DIV/0!</v>
          </cell>
          <cell r="AO86">
            <v>0</v>
          </cell>
          <cell r="AP86" t="e">
            <v>#REF!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e">
            <v>#DIV/0!</v>
          </cell>
          <cell r="AV86">
            <v>0</v>
          </cell>
          <cell r="AW86" t="e">
            <v>#REF!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 t="e">
            <v>#DIV/0!</v>
          </cell>
          <cell r="BC86">
            <v>0</v>
          </cell>
          <cell r="BD86" t="e">
            <v>#REF!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 t="e">
            <v>#DIV/0!</v>
          </cell>
          <cell r="BJ86">
            <v>0</v>
          </cell>
          <cell r="BK86" t="e">
            <v>#REF!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 t="e">
            <v>#DIV/0!</v>
          </cell>
          <cell r="BQ86">
            <v>0</v>
          </cell>
          <cell r="BR86" t="e">
            <v>#REF!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 t="e">
            <v>#DIV/0!</v>
          </cell>
          <cell r="BX86">
            <v>0</v>
          </cell>
          <cell r="BY86" t="e">
            <v>#REF!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 t="e">
            <v>#DIV/0!</v>
          </cell>
          <cell r="CE86">
            <v>0</v>
          </cell>
          <cell r="CF86" t="e">
            <v>#REF!</v>
          </cell>
          <cell r="CG86">
            <v>0</v>
          </cell>
          <cell r="CH86">
            <v>0</v>
          </cell>
        </row>
        <row r="87">
          <cell r="A87" t="str">
            <v>Férias</v>
          </cell>
          <cell r="B87">
            <v>0</v>
          </cell>
          <cell r="C87">
            <v>0</v>
          </cell>
          <cell r="D87">
            <v>0</v>
          </cell>
          <cell r="E87" t="e">
            <v>#DIV/0!</v>
          </cell>
          <cell r="F87">
            <v>0</v>
          </cell>
          <cell r="G87" t="e">
            <v>#REF!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 t="e">
            <v>#DIV/0!</v>
          </cell>
          <cell r="M87">
            <v>0</v>
          </cell>
          <cell r="N87" t="e">
            <v>#REF!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 t="e">
            <v>#DIV/0!</v>
          </cell>
          <cell r="T87">
            <v>0</v>
          </cell>
          <cell r="U87" t="e">
            <v>#REF!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 t="e">
            <v>#DIV/0!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e">
            <v>#DIV/0!</v>
          </cell>
          <cell r="AH87">
            <v>0</v>
          </cell>
          <cell r="AI87" t="e">
            <v>#REF!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 t="e">
            <v>#DIV/0!</v>
          </cell>
          <cell r="AO87">
            <v>0</v>
          </cell>
          <cell r="AP87" t="e">
            <v>#REF!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 t="e">
            <v>#DIV/0!</v>
          </cell>
          <cell r="AV87">
            <v>0</v>
          </cell>
          <cell r="AW87" t="e">
            <v>#REF!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 t="e">
            <v>#DIV/0!</v>
          </cell>
          <cell r="BC87">
            <v>0</v>
          </cell>
          <cell r="BD87" t="e">
            <v>#REF!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 t="e">
            <v>#DIV/0!</v>
          </cell>
          <cell r="BJ87">
            <v>0</v>
          </cell>
          <cell r="BK87" t="e">
            <v>#REF!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 t="e">
            <v>#DIV/0!</v>
          </cell>
          <cell r="BQ87">
            <v>0</v>
          </cell>
          <cell r="BR87" t="e">
            <v>#REF!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 t="e">
            <v>#DIV/0!</v>
          </cell>
          <cell r="BX87">
            <v>0</v>
          </cell>
          <cell r="BY87" t="e">
            <v>#REF!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 t="e">
            <v>#DIV/0!</v>
          </cell>
          <cell r="CE87">
            <v>0</v>
          </cell>
          <cell r="CF87" t="e">
            <v>#REF!</v>
          </cell>
          <cell r="CG87">
            <v>0</v>
          </cell>
          <cell r="CH87">
            <v>0</v>
          </cell>
        </row>
        <row r="88">
          <cell r="A88" t="str">
            <v>Parcerias - Unidade Vitória / Unidade Pará</v>
          </cell>
          <cell r="B88">
            <v>0</v>
          </cell>
          <cell r="C88">
            <v>0</v>
          </cell>
          <cell r="D88">
            <v>0</v>
          </cell>
          <cell r="E88" t="e">
            <v>#DIV/0!</v>
          </cell>
          <cell r="F88">
            <v>0</v>
          </cell>
          <cell r="G88" t="e">
            <v>#REF!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 t="e">
            <v>#DIV/0!</v>
          </cell>
          <cell r="M88">
            <v>0</v>
          </cell>
          <cell r="N88" t="e">
            <v>#REF!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 t="e">
            <v>#DIV/0!</v>
          </cell>
          <cell r="T88">
            <v>0</v>
          </cell>
          <cell r="U88" t="e">
            <v>#REF!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 t="e">
            <v>#DIV/0!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e">
            <v>#DIV/0!</v>
          </cell>
          <cell r="AH88">
            <v>0</v>
          </cell>
          <cell r="AI88" t="e">
            <v>#REF!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 t="e">
            <v>#DIV/0!</v>
          </cell>
          <cell r="AO88">
            <v>0</v>
          </cell>
          <cell r="AP88" t="e">
            <v>#REF!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e">
            <v>#DIV/0!</v>
          </cell>
          <cell r="AV88">
            <v>0</v>
          </cell>
          <cell r="AW88" t="e">
            <v>#REF!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 t="e">
            <v>#DIV/0!</v>
          </cell>
          <cell r="BC88">
            <v>0</v>
          </cell>
          <cell r="BD88" t="e">
            <v>#REF!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 t="e">
            <v>#DIV/0!</v>
          </cell>
          <cell r="BJ88">
            <v>0</v>
          </cell>
          <cell r="BK88" t="e">
            <v>#REF!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 t="e">
            <v>#DIV/0!</v>
          </cell>
          <cell r="BQ88">
            <v>0</v>
          </cell>
          <cell r="BR88" t="e">
            <v>#REF!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 t="e">
            <v>#DIV/0!</v>
          </cell>
          <cell r="BX88">
            <v>0</v>
          </cell>
          <cell r="BY88" t="e">
            <v>#REF!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 t="e">
            <v>#DIV/0!</v>
          </cell>
          <cell r="CE88">
            <v>0</v>
          </cell>
          <cell r="CF88" t="e">
            <v>#REF!</v>
          </cell>
          <cell r="CG88">
            <v>0</v>
          </cell>
          <cell r="CH88">
            <v>0</v>
          </cell>
        </row>
        <row r="89">
          <cell r="A89" t="str">
            <v>Fotocópia/Xerox</v>
          </cell>
          <cell r="B89">
            <v>0</v>
          </cell>
          <cell r="C89">
            <v>0</v>
          </cell>
          <cell r="D89">
            <v>0</v>
          </cell>
          <cell r="E89" t="e">
            <v>#DIV/0!</v>
          </cell>
          <cell r="F89">
            <v>0</v>
          </cell>
          <cell r="G89" t="e">
            <v>#REF!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e">
            <v>#DIV/0!</v>
          </cell>
          <cell r="M89">
            <v>0</v>
          </cell>
          <cell r="N89" t="e">
            <v>#REF!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 t="e">
            <v>#DIV/0!</v>
          </cell>
          <cell r="T89">
            <v>0</v>
          </cell>
          <cell r="U89" t="e">
            <v>#REF!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 t="e">
            <v>#DIV/0!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 t="e">
            <v>#DIV/0!</v>
          </cell>
          <cell r="AH89">
            <v>0</v>
          </cell>
          <cell r="AI89" t="e">
            <v>#REF!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 t="e">
            <v>#DIV/0!</v>
          </cell>
          <cell r="AO89">
            <v>0</v>
          </cell>
          <cell r="AP89" t="e">
            <v>#REF!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e">
            <v>#DIV/0!</v>
          </cell>
          <cell r="AV89">
            <v>0</v>
          </cell>
          <cell r="AW89" t="e">
            <v>#REF!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 t="e">
            <v>#DIV/0!</v>
          </cell>
          <cell r="BC89">
            <v>0</v>
          </cell>
          <cell r="BD89" t="e">
            <v>#REF!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 t="e">
            <v>#DIV/0!</v>
          </cell>
          <cell r="BJ89">
            <v>0</v>
          </cell>
          <cell r="BK89" t="e">
            <v>#REF!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 t="e">
            <v>#DIV/0!</v>
          </cell>
          <cell r="BQ89">
            <v>0</v>
          </cell>
          <cell r="BR89" t="e">
            <v>#REF!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 t="e">
            <v>#DIV/0!</v>
          </cell>
          <cell r="BX89">
            <v>0</v>
          </cell>
          <cell r="BY89" t="e">
            <v>#REF!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 t="e">
            <v>#DIV/0!</v>
          </cell>
          <cell r="CE89">
            <v>0</v>
          </cell>
          <cell r="CF89" t="e">
            <v>#REF!</v>
          </cell>
          <cell r="CG89">
            <v>0</v>
          </cell>
          <cell r="CH89">
            <v>0</v>
          </cell>
        </row>
        <row r="90">
          <cell r="A90" t="str">
            <v>IR s/ Salário</v>
          </cell>
          <cell r="B90">
            <v>0</v>
          </cell>
          <cell r="C90">
            <v>0</v>
          </cell>
          <cell r="D90">
            <v>0</v>
          </cell>
          <cell r="E90" t="e">
            <v>#DIV/0!</v>
          </cell>
          <cell r="F90">
            <v>0</v>
          </cell>
          <cell r="G90" t="e">
            <v>#REF!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e">
            <v>#DIV/0!</v>
          </cell>
          <cell r="M90">
            <v>0</v>
          </cell>
          <cell r="N90" t="e">
            <v>#REF!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 t="e">
            <v>#DIV/0!</v>
          </cell>
          <cell r="T90">
            <v>0</v>
          </cell>
          <cell r="U90" t="e">
            <v>#REF!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 t="e">
            <v>#DIV/0!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 t="e">
            <v>#DIV/0!</v>
          </cell>
          <cell r="AH90">
            <v>0</v>
          </cell>
          <cell r="AI90" t="e">
            <v>#REF!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 t="e">
            <v>#DIV/0!</v>
          </cell>
          <cell r="AO90">
            <v>0</v>
          </cell>
          <cell r="AP90" t="e">
            <v>#REF!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e">
            <v>#DIV/0!</v>
          </cell>
          <cell r="AV90">
            <v>0</v>
          </cell>
          <cell r="AW90" t="e">
            <v>#REF!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 t="e">
            <v>#DIV/0!</v>
          </cell>
          <cell r="BC90">
            <v>0</v>
          </cell>
          <cell r="BD90" t="e">
            <v>#REF!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 t="e">
            <v>#DIV/0!</v>
          </cell>
          <cell r="BJ90">
            <v>0</v>
          </cell>
          <cell r="BK90" t="e">
            <v>#REF!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 t="e">
            <v>#DIV/0!</v>
          </cell>
          <cell r="BQ90">
            <v>0</v>
          </cell>
          <cell r="BR90" t="e">
            <v>#REF!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 t="e">
            <v>#DIV/0!</v>
          </cell>
          <cell r="BX90">
            <v>0</v>
          </cell>
          <cell r="BY90" t="e">
            <v>#REF!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 t="e">
            <v>#DIV/0!</v>
          </cell>
          <cell r="CE90">
            <v>0</v>
          </cell>
          <cell r="CF90" t="e">
            <v>#REF!</v>
          </cell>
          <cell r="CG90">
            <v>0</v>
          </cell>
          <cell r="CH90">
            <v>0</v>
          </cell>
        </row>
        <row r="91">
          <cell r="A91" t="str">
            <v>Pauta</v>
          </cell>
          <cell r="B91">
            <v>1.8565713753614928E-3</v>
          </cell>
          <cell r="C91">
            <v>111.25261787432115</v>
          </cell>
          <cell r="D91">
            <v>0</v>
          </cell>
          <cell r="E91" t="e">
            <v>#DIV/0!</v>
          </cell>
          <cell r="F91">
            <v>0</v>
          </cell>
          <cell r="G91" t="e">
            <v>#REF!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 t="e">
            <v>#DIV/0!</v>
          </cell>
          <cell r="M91">
            <v>0</v>
          </cell>
          <cell r="N91" t="e">
            <v>#REF!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 t="e">
            <v>#DIV/0!</v>
          </cell>
          <cell r="T91">
            <v>0</v>
          </cell>
          <cell r="U91" t="e">
            <v>#REF!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 t="e">
            <v>#DIV/0!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 t="e">
            <v>#DIV/0!</v>
          </cell>
          <cell r="AH91">
            <v>0</v>
          </cell>
          <cell r="AI91" t="e">
            <v>#REF!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 t="e">
            <v>#DIV/0!</v>
          </cell>
          <cell r="AO91">
            <v>0</v>
          </cell>
          <cell r="AP91" t="e">
            <v>#REF!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 t="e">
            <v>#DIV/0!</v>
          </cell>
          <cell r="AV91">
            <v>0</v>
          </cell>
          <cell r="AW91" t="e">
            <v>#REF!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 t="e">
            <v>#DIV/0!</v>
          </cell>
          <cell r="BC91">
            <v>0</v>
          </cell>
          <cell r="BD91" t="e">
            <v>#REF!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 t="e">
            <v>#DIV/0!</v>
          </cell>
          <cell r="BJ91">
            <v>0</v>
          </cell>
          <cell r="BK91" t="e">
            <v>#REF!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 t="e">
            <v>#DIV/0!</v>
          </cell>
          <cell r="BQ91">
            <v>0</v>
          </cell>
          <cell r="BR91" t="e">
            <v>#REF!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 t="e">
            <v>#DIV/0!</v>
          </cell>
          <cell r="BX91">
            <v>0</v>
          </cell>
          <cell r="BY91" t="e">
            <v>#REF!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 t="e">
            <v>#DIV/0!</v>
          </cell>
          <cell r="CE91">
            <v>0</v>
          </cell>
          <cell r="CF91" t="e">
            <v>#REF!</v>
          </cell>
          <cell r="CG91">
            <v>0</v>
          </cell>
          <cell r="CH91">
            <v>0</v>
          </cell>
        </row>
        <row r="92">
          <cell r="A92" t="str">
            <v>Pauta - Gestão de Pauta</v>
          </cell>
          <cell r="B92">
            <v>5.1582312230973547E-4</v>
          </cell>
          <cell r="C92">
            <v>30.910027741804683</v>
          </cell>
          <cell r="D92">
            <v>0</v>
          </cell>
          <cell r="E92" t="e">
            <v>#DIV/0!</v>
          </cell>
          <cell r="F92">
            <v>0</v>
          </cell>
          <cell r="G92" t="e">
            <v>#REF!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 t="e">
            <v>#DIV/0!</v>
          </cell>
          <cell r="M92">
            <v>0</v>
          </cell>
          <cell r="N92" t="e">
            <v>#REF!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 t="e">
            <v>#DIV/0!</v>
          </cell>
          <cell r="T92">
            <v>0</v>
          </cell>
          <cell r="U92" t="e">
            <v>#REF!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 t="e">
            <v>#DIV/0!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e">
            <v>#DIV/0!</v>
          </cell>
          <cell r="AH92">
            <v>0</v>
          </cell>
          <cell r="AI92" t="e">
            <v>#REF!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 t="e">
            <v>#DIV/0!</v>
          </cell>
          <cell r="AO92">
            <v>0</v>
          </cell>
          <cell r="AP92" t="e">
            <v>#REF!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e">
            <v>#DIV/0!</v>
          </cell>
          <cell r="AV92">
            <v>0</v>
          </cell>
          <cell r="AW92" t="e">
            <v>#REF!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 t="e">
            <v>#DIV/0!</v>
          </cell>
          <cell r="BC92">
            <v>0</v>
          </cell>
          <cell r="BD92" t="e">
            <v>#REF!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 t="e">
            <v>#DIV/0!</v>
          </cell>
          <cell r="BJ92">
            <v>0</v>
          </cell>
          <cell r="BK92" t="e">
            <v>#REF!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 t="e">
            <v>#DIV/0!</v>
          </cell>
          <cell r="BQ92">
            <v>0</v>
          </cell>
          <cell r="BR92" t="e">
            <v>#REF!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 t="e">
            <v>#DIV/0!</v>
          </cell>
          <cell r="BX92">
            <v>0</v>
          </cell>
          <cell r="BY92" t="e">
            <v>#REF!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 t="e">
            <v>#DIV/0!</v>
          </cell>
          <cell r="CE92">
            <v>0</v>
          </cell>
          <cell r="CF92" t="e">
            <v>#REF!</v>
          </cell>
          <cell r="CG92">
            <v>0</v>
          </cell>
          <cell r="CH92">
            <v>0</v>
          </cell>
        </row>
        <row r="93">
          <cell r="A93" t="str">
            <v>Exames Médicos</v>
          </cell>
          <cell r="B93">
            <v>0</v>
          </cell>
          <cell r="C93">
            <v>0</v>
          </cell>
          <cell r="D93">
            <v>0</v>
          </cell>
          <cell r="E93" t="e">
            <v>#DIV/0!</v>
          </cell>
          <cell r="F93">
            <v>0</v>
          </cell>
          <cell r="G93" t="e">
            <v>#REF!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e">
            <v>#DIV/0!</v>
          </cell>
          <cell r="M93">
            <v>0</v>
          </cell>
          <cell r="N93" t="e">
            <v>#REF!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 t="e">
            <v>#DIV/0!</v>
          </cell>
          <cell r="T93">
            <v>0</v>
          </cell>
          <cell r="U93" t="e">
            <v>#REF!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 t="e">
            <v>#DIV/0!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 t="e">
            <v>#DIV/0!</v>
          </cell>
          <cell r="AH93">
            <v>0</v>
          </cell>
          <cell r="AI93" t="e">
            <v>#REF!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 t="e">
            <v>#DIV/0!</v>
          </cell>
          <cell r="AO93">
            <v>0</v>
          </cell>
          <cell r="AP93" t="e">
            <v>#REF!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e">
            <v>#DIV/0!</v>
          </cell>
          <cell r="AV93">
            <v>0</v>
          </cell>
          <cell r="AW93" t="e">
            <v>#REF!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 t="e">
            <v>#DIV/0!</v>
          </cell>
          <cell r="BC93">
            <v>0</v>
          </cell>
          <cell r="BD93" t="e">
            <v>#REF!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 t="e">
            <v>#DIV/0!</v>
          </cell>
          <cell r="BJ93">
            <v>0</v>
          </cell>
          <cell r="BK93" t="e">
            <v>#REF!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 t="e">
            <v>#DIV/0!</v>
          </cell>
          <cell r="BQ93">
            <v>0</v>
          </cell>
          <cell r="BR93" t="e">
            <v>#REF!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 t="e">
            <v>#DIV/0!</v>
          </cell>
          <cell r="BX93">
            <v>0</v>
          </cell>
          <cell r="BY93" t="e">
            <v>#REF!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 t="e">
            <v>#DIV/0!</v>
          </cell>
          <cell r="CE93">
            <v>0</v>
          </cell>
          <cell r="CF93" t="e">
            <v>#REF!</v>
          </cell>
          <cell r="CG93">
            <v>0</v>
          </cell>
          <cell r="CH93">
            <v>0</v>
          </cell>
        </row>
        <row r="94">
          <cell r="A94" t="str">
            <v>Plano de Saúde</v>
          </cell>
          <cell r="B94">
            <v>8.2338787535096037E-3</v>
          </cell>
          <cell r="C94">
            <v>493.40444366666674</v>
          </cell>
          <cell r="D94">
            <v>0</v>
          </cell>
          <cell r="E94" t="e">
            <v>#DIV/0!</v>
          </cell>
          <cell r="F94">
            <v>0</v>
          </cell>
          <cell r="G94" t="e">
            <v>#REF!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 t="e">
            <v>#DIV/0!</v>
          </cell>
          <cell r="M94">
            <v>0</v>
          </cell>
          <cell r="N94" t="e">
            <v>#REF!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 t="e">
            <v>#DIV/0!</v>
          </cell>
          <cell r="T94">
            <v>0</v>
          </cell>
          <cell r="U94" t="e">
            <v>#REF!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 t="e">
            <v>#DIV/0!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 t="e">
            <v>#DIV/0!</v>
          </cell>
          <cell r="AH94">
            <v>0</v>
          </cell>
          <cell r="AI94" t="e">
            <v>#REF!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 t="e">
            <v>#DIV/0!</v>
          </cell>
          <cell r="AO94">
            <v>0</v>
          </cell>
          <cell r="AP94" t="e">
            <v>#REF!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 t="e">
            <v>#DIV/0!</v>
          </cell>
          <cell r="AV94">
            <v>0</v>
          </cell>
          <cell r="AW94" t="e">
            <v>#REF!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 t="e">
            <v>#DIV/0!</v>
          </cell>
          <cell r="BC94">
            <v>0</v>
          </cell>
          <cell r="BD94" t="e">
            <v>#REF!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 t="e">
            <v>#DIV/0!</v>
          </cell>
          <cell r="BJ94">
            <v>0</v>
          </cell>
          <cell r="BK94" t="e">
            <v>#REF!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 t="e">
            <v>#DIV/0!</v>
          </cell>
          <cell r="BQ94">
            <v>0</v>
          </cell>
          <cell r="BR94" t="e">
            <v>#REF!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 t="e">
            <v>#DIV/0!</v>
          </cell>
          <cell r="BX94">
            <v>0</v>
          </cell>
          <cell r="BY94" t="e">
            <v>#REF!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 t="e">
            <v>#DIV/0!</v>
          </cell>
          <cell r="CE94">
            <v>0</v>
          </cell>
          <cell r="CF94" t="e">
            <v>#REF!</v>
          </cell>
          <cell r="CG94">
            <v>0</v>
          </cell>
          <cell r="CH94">
            <v>0</v>
          </cell>
        </row>
        <row r="95">
          <cell r="A95" t="str">
            <v>Plano Odontológico</v>
          </cell>
          <cell r="B95">
            <v>0</v>
          </cell>
          <cell r="C95">
            <v>0</v>
          </cell>
          <cell r="D95">
            <v>0</v>
          </cell>
          <cell r="E95" t="e">
            <v>#DIV/0!</v>
          </cell>
          <cell r="F95">
            <v>0</v>
          </cell>
          <cell r="G95" t="e">
            <v>#REF!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 t="e">
            <v>#DIV/0!</v>
          </cell>
          <cell r="M95">
            <v>0</v>
          </cell>
          <cell r="N95" t="e">
            <v>#REF!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 t="e">
            <v>#DIV/0!</v>
          </cell>
          <cell r="T95">
            <v>0</v>
          </cell>
          <cell r="U95" t="e">
            <v>#REF!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 t="e">
            <v>#DIV/0!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 t="e">
            <v>#DIV/0!</v>
          </cell>
          <cell r="AH95">
            <v>0</v>
          </cell>
          <cell r="AI95" t="e">
            <v>#REF!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 t="e">
            <v>#DIV/0!</v>
          </cell>
          <cell r="AO95">
            <v>0</v>
          </cell>
          <cell r="AP95" t="e">
            <v>#REF!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e">
            <v>#DIV/0!</v>
          </cell>
          <cell r="AV95">
            <v>0</v>
          </cell>
          <cell r="AW95" t="e">
            <v>#REF!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 t="e">
            <v>#DIV/0!</v>
          </cell>
          <cell r="BC95">
            <v>0</v>
          </cell>
          <cell r="BD95" t="e">
            <v>#REF!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 t="e">
            <v>#DIV/0!</v>
          </cell>
          <cell r="BJ95">
            <v>0</v>
          </cell>
          <cell r="BK95" t="e">
            <v>#REF!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 t="e">
            <v>#DIV/0!</v>
          </cell>
          <cell r="BQ95">
            <v>0</v>
          </cell>
          <cell r="BR95" t="e">
            <v>#REF!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 t="e">
            <v>#DIV/0!</v>
          </cell>
          <cell r="BX95">
            <v>0</v>
          </cell>
          <cell r="BY95" t="e">
            <v>#REF!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 t="e">
            <v>#DIV/0!</v>
          </cell>
          <cell r="CE95">
            <v>0</v>
          </cell>
          <cell r="CF95" t="e">
            <v>#REF!</v>
          </cell>
          <cell r="CG95">
            <v>0</v>
          </cell>
          <cell r="CH95">
            <v>0</v>
          </cell>
        </row>
        <row r="96">
          <cell r="A96" t="str">
            <v>Seguro de Vida</v>
          </cell>
          <cell r="B96">
            <v>3.6016183062140912E-4</v>
          </cell>
          <cell r="C96">
            <v>21.582227888888887</v>
          </cell>
          <cell r="D96">
            <v>0</v>
          </cell>
          <cell r="E96" t="e">
            <v>#DIV/0!</v>
          </cell>
          <cell r="F96">
            <v>0</v>
          </cell>
          <cell r="G96" t="e">
            <v>#REF!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 t="e">
            <v>#DIV/0!</v>
          </cell>
          <cell r="M96">
            <v>0</v>
          </cell>
          <cell r="N96" t="e">
            <v>#REF!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 t="e">
            <v>#DIV/0!</v>
          </cell>
          <cell r="T96">
            <v>0</v>
          </cell>
          <cell r="U96" t="e">
            <v>#REF!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 t="e">
            <v>#DIV/0!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e">
            <v>#DIV/0!</v>
          </cell>
          <cell r="AH96">
            <v>0</v>
          </cell>
          <cell r="AI96" t="e">
            <v>#REF!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 t="e">
            <v>#DIV/0!</v>
          </cell>
          <cell r="AO96">
            <v>0</v>
          </cell>
          <cell r="AP96" t="e">
            <v>#REF!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e">
            <v>#DIV/0!</v>
          </cell>
          <cell r="AV96">
            <v>0</v>
          </cell>
          <cell r="AW96" t="e">
            <v>#REF!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 t="e">
            <v>#DIV/0!</v>
          </cell>
          <cell r="BC96">
            <v>0</v>
          </cell>
          <cell r="BD96" t="e">
            <v>#REF!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 t="e">
            <v>#DIV/0!</v>
          </cell>
          <cell r="BJ96">
            <v>0</v>
          </cell>
          <cell r="BK96" t="e">
            <v>#REF!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 t="e">
            <v>#DIV/0!</v>
          </cell>
          <cell r="BQ96">
            <v>0</v>
          </cell>
          <cell r="BR96" t="e">
            <v>#REF!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 t="e">
            <v>#DIV/0!</v>
          </cell>
          <cell r="BX96">
            <v>0</v>
          </cell>
          <cell r="BY96" t="e">
            <v>#REF!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 t="e">
            <v>#DIV/0!</v>
          </cell>
          <cell r="CE96">
            <v>0</v>
          </cell>
          <cell r="CF96" t="e">
            <v>#REF!</v>
          </cell>
          <cell r="CG96">
            <v>0</v>
          </cell>
          <cell r="CH96">
            <v>0</v>
          </cell>
        </row>
        <row r="97">
          <cell r="A97" t="str">
            <v>Remuneração</v>
          </cell>
          <cell r="B97">
            <v>8.3660195467843673E-2</v>
          </cell>
          <cell r="C97">
            <v>5013.2280833333325</v>
          </cell>
          <cell r="D97">
            <v>0</v>
          </cell>
          <cell r="E97" t="e">
            <v>#DIV/0!</v>
          </cell>
          <cell r="F97">
            <v>0</v>
          </cell>
          <cell r="G97" t="e">
            <v>#REF!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 t="e">
            <v>#DIV/0!</v>
          </cell>
          <cell r="M97">
            <v>0</v>
          </cell>
          <cell r="N97" t="e">
            <v>#REF!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 t="e">
            <v>#DIV/0!</v>
          </cell>
          <cell r="T97">
            <v>0</v>
          </cell>
          <cell r="U97" t="e">
            <v>#REF!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 t="e">
            <v>#DIV/0!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 t="e">
            <v>#DIV/0!</v>
          </cell>
          <cell r="AH97">
            <v>0</v>
          </cell>
          <cell r="AI97" t="e">
            <v>#REF!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 t="e">
            <v>#DIV/0!</v>
          </cell>
          <cell r="AO97">
            <v>0</v>
          </cell>
          <cell r="AP97" t="e">
            <v>#REF!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 t="e">
            <v>#DIV/0!</v>
          </cell>
          <cell r="AV97">
            <v>0</v>
          </cell>
          <cell r="AW97" t="e">
            <v>#REF!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 t="e">
            <v>#DIV/0!</v>
          </cell>
          <cell r="BC97">
            <v>0</v>
          </cell>
          <cell r="BD97" t="e">
            <v>#REF!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 t="e">
            <v>#DIV/0!</v>
          </cell>
          <cell r="BJ97">
            <v>0</v>
          </cell>
          <cell r="BK97" t="e">
            <v>#REF!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 t="e">
            <v>#DIV/0!</v>
          </cell>
          <cell r="BQ97">
            <v>0</v>
          </cell>
          <cell r="BR97" t="e">
            <v>#REF!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 t="e">
            <v>#DIV/0!</v>
          </cell>
          <cell r="BX97">
            <v>0</v>
          </cell>
          <cell r="BY97" t="e">
            <v>#REF!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 t="e">
            <v>#DIV/0!</v>
          </cell>
          <cell r="CE97">
            <v>0</v>
          </cell>
          <cell r="CF97" t="e">
            <v>#REF!</v>
          </cell>
          <cell r="CG97">
            <v>0</v>
          </cell>
          <cell r="CH97">
            <v>0</v>
          </cell>
        </row>
        <row r="98">
          <cell r="A98" t="str">
            <v>Indenização por Ruptura de Contrato</v>
          </cell>
          <cell r="B98">
            <v>0</v>
          </cell>
          <cell r="C98">
            <v>0</v>
          </cell>
          <cell r="D98">
            <v>0</v>
          </cell>
          <cell r="E98" t="e">
            <v>#DIV/0!</v>
          </cell>
          <cell r="F98">
            <v>0</v>
          </cell>
          <cell r="G98" t="e">
            <v>#REF!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 t="e">
            <v>#DIV/0!</v>
          </cell>
          <cell r="M98">
            <v>0</v>
          </cell>
          <cell r="N98" t="e">
            <v>#REF!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 t="e">
            <v>#DIV/0!</v>
          </cell>
          <cell r="T98">
            <v>0</v>
          </cell>
          <cell r="U98" t="e">
            <v>#REF!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 t="e">
            <v>#DIV/0!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 t="e">
            <v>#DIV/0!</v>
          </cell>
          <cell r="AH98">
            <v>0</v>
          </cell>
          <cell r="AI98" t="e">
            <v>#REF!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 t="e">
            <v>#DIV/0!</v>
          </cell>
          <cell r="AO98">
            <v>0</v>
          </cell>
          <cell r="AP98" t="e">
            <v>#REF!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e">
            <v>#DIV/0!</v>
          </cell>
          <cell r="AV98">
            <v>0</v>
          </cell>
          <cell r="AW98" t="e">
            <v>#REF!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 t="e">
            <v>#DIV/0!</v>
          </cell>
          <cell r="BC98">
            <v>0</v>
          </cell>
          <cell r="BD98" t="e">
            <v>#REF!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 t="e">
            <v>#DIV/0!</v>
          </cell>
          <cell r="BJ98">
            <v>0</v>
          </cell>
          <cell r="BK98" t="e">
            <v>#REF!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 t="e">
            <v>#DIV/0!</v>
          </cell>
          <cell r="BQ98">
            <v>0</v>
          </cell>
          <cell r="BR98" t="e">
            <v>#REF!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 t="e">
            <v>#DIV/0!</v>
          </cell>
          <cell r="BX98">
            <v>0</v>
          </cell>
          <cell r="BY98" t="e">
            <v>#REF!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 t="e">
            <v>#DIV/0!</v>
          </cell>
          <cell r="CE98">
            <v>0</v>
          </cell>
          <cell r="CF98" t="e">
            <v>#REF!</v>
          </cell>
          <cell r="CG98">
            <v>0</v>
          </cell>
          <cell r="CH98">
            <v>0</v>
          </cell>
        </row>
        <row r="99">
          <cell r="A99" t="str">
            <v>Vale Alimentação / Refeição</v>
          </cell>
          <cell r="B99">
            <v>0</v>
          </cell>
          <cell r="C99">
            <v>0</v>
          </cell>
          <cell r="D99">
            <v>0</v>
          </cell>
          <cell r="E99" t="e">
            <v>#DIV/0!</v>
          </cell>
          <cell r="F99">
            <v>0</v>
          </cell>
          <cell r="G99" t="e">
            <v>#REF!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 t="e">
            <v>#DIV/0!</v>
          </cell>
          <cell r="M99">
            <v>0</v>
          </cell>
          <cell r="N99" t="e">
            <v>#REF!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 t="e">
            <v>#DIV/0!</v>
          </cell>
          <cell r="T99">
            <v>0</v>
          </cell>
          <cell r="U99" t="e">
            <v>#REF!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 t="e">
            <v>#DIV/0!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e">
            <v>#DIV/0!</v>
          </cell>
          <cell r="AH99">
            <v>0</v>
          </cell>
          <cell r="AI99" t="e">
            <v>#REF!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 t="e">
            <v>#DIV/0!</v>
          </cell>
          <cell r="AO99">
            <v>0</v>
          </cell>
          <cell r="AP99" t="e">
            <v>#REF!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e">
            <v>#DIV/0!</v>
          </cell>
          <cell r="AV99">
            <v>0</v>
          </cell>
          <cell r="AW99" t="e">
            <v>#REF!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 t="e">
            <v>#DIV/0!</v>
          </cell>
          <cell r="BC99">
            <v>0</v>
          </cell>
          <cell r="BD99" t="e">
            <v>#REF!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 t="e">
            <v>#DIV/0!</v>
          </cell>
          <cell r="BJ99">
            <v>0</v>
          </cell>
          <cell r="BK99" t="e">
            <v>#REF!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 t="e">
            <v>#DIV/0!</v>
          </cell>
          <cell r="BQ99">
            <v>0</v>
          </cell>
          <cell r="BR99" t="e">
            <v>#REF!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 t="e">
            <v>#DIV/0!</v>
          </cell>
          <cell r="BX99">
            <v>0</v>
          </cell>
          <cell r="BY99" t="e">
            <v>#REF!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 t="e">
            <v>#DIV/0!</v>
          </cell>
          <cell r="CE99">
            <v>0</v>
          </cell>
          <cell r="CF99" t="e">
            <v>#REF!</v>
          </cell>
          <cell r="CG99">
            <v>0</v>
          </cell>
          <cell r="CH99">
            <v>0</v>
          </cell>
        </row>
        <row r="100">
          <cell r="A100" t="str">
            <v>Vale Transporte</v>
          </cell>
          <cell r="B100">
            <v>0</v>
          </cell>
          <cell r="C100">
            <v>0</v>
          </cell>
          <cell r="D100">
            <v>0</v>
          </cell>
          <cell r="E100" t="e">
            <v>#DIV/0!</v>
          </cell>
          <cell r="F100">
            <v>0</v>
          </cell>
          <cell r="G100" t="e">
            <v>#REF!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e">
            <v>#DIV/0!</v>
          </cell>
          <cell r="M100">
            <v>0</v>
          </cell>
          <cell r="N100" t="e">
            <v>#REF!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e">
            <v>#DIV/0!</v>
          </cell>
          <cell r="T100">
            <v>0</v>
          </cell>
          <cell r="U100" t="e">
            <v>#REF!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 t="e">
            <v>#DIV/0!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 t="e">
            <v>#DIV/0!</v>
          </cell>
          <cell r="AH100">
            <v>0</v>
          </cell>
          <cell r="AI100" t="e">
            <v>#REF!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 t="e">
            <v>#DIV/0!</v>
          </cell>
          <cell r="AO100">
            <v>0</v>
          </cell>
          <cell r="AP100" t="e">
            <v>#REF!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e">
            <v>#DIV/0!</v>
          </cell>
          <cell r="AV100">
            <v>0</v>
          </cell>
          <cell r="AW100" t="e">
            <v>#REF!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 t="e">
            <v>#DIV/0!</v>
          </cell>
          <cell r="BC100">
            <v>0</v>
          </cell>
          <cell r="BD100" t="e">
            <v>#REF!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 t="e">
            <v>#DIV/0!</v>
          </cell>
          <cell r="BJ100">
            <v>0</v>
          </cell>
          <cell r="BK100" t="e">
            <v>#REF!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 t="e">
            <v>#DIV/0!</v>
          </cell>
          <cell r="BQ100">
            <v>0</v>
          </cell>
          <cell r="BR100" t="e">
            <v>#REF!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 t="e">
            <v>#DIV/0!</v>
          </cell>
          <cell r="BX100">
            <v>0</v>
          </cell>
          <cell r="BY100" t="e">
            <v>#REF!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 t="e">
            <v>#DIV/0!</v>
          </cell>
          <cell r="CE100">
            <v>0</v>
          </cell>
          <cell r="CF100" t="e">
            <v>#REF!</v>
          </cell>
          <cell r="CG100">
            <v>0</v>
          </cell>
          <cell r="CH100">
            <v>0</v>
          </cell>
        </row>
        <row r="101">
          <cell r="A101" t="str">
            <v>Viagens - Alimentação / Hospedagem</v>
          </cell>
          <cell r="B101">
            <v>0</v>
          </cell>
          <cell r="C101">
            <v>0</v>
          </cell>
          <cell r="D101">
            <v>0</v>
          </cell>
          <cell r="E101" t="e">
            <v>#DIV/0!</v>
          </cell>
          <cell r="F101">
            <v>0</v>
          </cell>
          <cell r="G101" t="e">
            <v>#REF!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e">
            <v>#DIV/0!</v>
          </cell>
          <cell r="M101">
            <v>0</v>
          </cell>
          <cell r="N101" t="e">
            <v>#REF!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 t="e">
            <v>#DIV/0!</v>
          </cell>
          <cell r="T101">
            <v>0</v>
          </cell>
          <cell r="U101" t="e">
            <v>#REF!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 t="e">
            <v>#DIV/0!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e">
            <v>#DIV/0!</v>
          </cell>
          <cell r="AH101">
            <v>0</v>
          </cell>
          <cell r="AI101" t="e">
            <v>#REF!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 t="e">
            <v>#DIV/0!</v>
          </cell>
          <cell r="AO101">
            <v>0</v>
          </cell>
          <cell r="AP101" t="e">
            <v>#REF!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e">
            <v>#DIV/0!</v>
          </cell>
          <cell r="AV101">
            <v>0</v>
          </cell>
          <cell r="AW101" t="e">
            <v>#REF!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 t="e">
            <v>#DIV/0!</v>
          </cell>
          <cell r="BC101">
            <v>0</v>
          </cell>
          <cell r="BD101" t="e">
            <v>#REF!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 t="e">
            <v>#DIV/0!</v>
          </cell>
          <cell r="BJ101">
            <v>0</v>
          </cell>
          <cell r="BK101" t="e">
            <v>#REF!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 t="e">
            <v>#DIV/0!</v>
          </cell>
          <cell r="BQ101">
            <v>0</v>
          </cell>
          <cell r="BR101" t="e">
            <v>#REF!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 t="e">
            <v>#DIV/0!</v>
          </cell>
          <cell r="BX101">
            <v>0</v>
          </cell>
          <cell r="BY101" t="e">
            <v>#REF!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 t="e">
            <v>#DIV/0!</v>
          </cell>
          <cell r="CE101">
            <v>0</v>
          </cell>
          <cell r="CF101" t="e">
            <v>#REF!</v>
          </cell>
          <cell r="CG101">
            <v>0</v>
          </cell>
          <cell r="CH101">
            <v>0</v>
          </cell>
        </row>
        <row r="118">
          <cell r="A118" t="str">
            <v>13º (+ Encargos)</v>
          </cell>
          <cell r="B118">
            <v>0</v>
          </cell>
          <cell r="C118">
            <v>0</v>
          </cell>
          <cell r="D118">
            <v>0</v>
          </cell>
          <cell r="E118" t="e">
            <v>#DIV/0!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 t="e">
            <v>#DIV/0!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 t="e">
            <v>#DIV/0!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 t="e">
            <v>#DIV/0!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 t="e">
            <v>#DIV/0!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 t="e">
            <v>#DIV/0!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e">
            <v>#DIV/0!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 t="e">
            <v>#DIV/0!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 t="e">
            <v>#DIV/0!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 t="e">
            <v>#DIV/0!</v>
          </cell>
          <cell r="BQ118">
            <v>0</v>
          </cell>
          <cell r="BR118" t="e">
            <v>#DIV/0!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 t="e">
            <v>#DIV/0!</v>
          </cell>
          <cell r="BX118">
            <v>0</v>
          </cell>
          <cell r="BY118" t="e">
            <v>#DIV/0!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 t="e">
            <v>#DIV/0!</v>
          </cell>
          <cell r="CE118">
            <v>0</v>
          </cell>
          <cell r="CF118" t="e">
            <v>#DIV/0!</v>
          </cell>
          <cell r="CG118">
            <v>0</v>
          </cell>
          <cell r="CH118">
            <v>0</v>
          </cell>
        </row>
        <row r="119">
          <cell r="A119" t="str">
            <v>Acordo</v>
          </cell>
          <cell r="B119">
            <v>6.386726808529912E-2</v>
          </cell>
          <cell r="C119">
            <v>4555.4393416307685</v>
          </cell>
          <cell r="D119">
            <v>0</v>
          </cell>
          <cell r="E119" t="e">
            <v>#DIV/0!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e">
            <v>#DIV/0!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 t="e">
            <v>#DIV/0!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 t="e">
            <v>#DIV/0!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 t="e">
            <v>#DIV/0!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 t="e">
            <v>#DIV/0!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 t="e">
            <v>#DIV/0!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 t="e">
            <v>#DIV/0!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 t="e">
            <v>#DIV/0!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 t="e">
            <v>#DIV/0!</v>
          </cell>
          <cell r="BQ119">
            <v>0</v>
          </cell>
          <cell r="BR119" t="e">
            <v>#DIV/0!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 t="e">
            <v>#DIV/0!</v>
          </cell>
          <cell r="BX119">
            <v>0</v>
          </cell>
          <cell r="BY119" t="e">
            <v>#DIV/0!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 t="e">
            <v>#DIV/0!</v>
          </cell>
          <cell r="CE119">
            <v>0</v>
          </cell>
          <cell r="CF119" t="e">
            <v>#DIV/0!</v>
          </cell>
          <cell r="CG119">
            <v>0</v>
          </cell>
          <cell r="CH119">
            <v>0</v>
          </cell>
        </row>
        <row r="120">
          <cell r="A120" t="str">
            <v>Aluguel + IPTU + Condomínio + Energia Elétrica</v>
          </cell>
          <cell r="B120">
            <v>6.386726808529912E-2</v>
          </cell>
          <cell r="C120">
            <v>4555.4393416307685</v>
          </cell>
          <cell r="D120">
            <v>0</v>
          </cell>
          <cell r="E120" t="e">
            <v>#DIV/0!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 t="e">
            <v>#DIV/0!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 t="e">
            <v>#DIV/0!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 t="e">
            <v>#DIV/0!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e">
            <v>#DIV/0!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 t="e">
            <v>#DIV/0!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e">
            <v>#DIV/0!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 t="e">
            <v>#DIV/0!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 t="e">
            <v>#DIV/0!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 t="e">
            <v>#DIV/0!</v>
          </cell>
          <cell r="BQ120">
            <v>0</v>
          </cell>
          <cell r="BR120" t="e">
            <v>#DIV/0!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 t="e">
            <v>#DIV/0!</v>
          </cell>
          <cell r="BX120">
            <v>0</v>
          </cell>
          <cell r="BY120" t="e">
            <v>#DIV/0!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 t="e">
            <v>#DIV/0!</v>
          </cell>
          <cell r="CE120">
            <v>0</v>
          </cell>
          <cell r="CF120" t="e">
            <v>#DIV/0!</v>
          </cell>
          <cell r="CG120">
            <v>0</v>
          </cell>
          <cell r="CH120">
            <v>0</v>
          </cell>
        </row>
        <row r="121">
          <cell r="A121" t="str">
            <v>Aperfeiçoamento - Treinamentos / Livros / Revistas</v>
          </cell>
          <cell r="B121">
            <v>0</v>
          </cell>
          <cell r="C121">
            <v>0</v>
          </cell>
          <cell r="D121">
            <v>0</v>
          </cell>
          <cell r="E121" t="e">
            <v>#DIV/0!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 t="e">
            <v>#DIV/0!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 t="e">
            <v>#DIV/0!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 t="e">
            <v>#DIV/0!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e">
            <v>#DIV/0!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 t="e">
            <v>#DIV/0!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e">
            <v>#DIV/0!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 t="e">
            <v>#DIV/0!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 t="e">
            <v>#DIV/0!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 t="e">
            <v>#DIV/0!</v>
          </cell>
          <cell r="BQ121">
            <v>0</v>
          </cell>
          <cell r="BR121" t="e">
            <v>#DIV/0!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 t="e">
            <v>#DIV/0!</v>
          </cell>
          <cell r="BX121">
            <v>0</v>
          </cell>
          <cell r="BY121" t="e">
            <v>#DIV/0!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 t="e">
            <v>#DIV/0!</v>
          </cell>
          <cell r="CE121">
            <v>0</v>
          </cell>
          <cell r="CF121" t="e">
            <v>#DIV/0!</v>
          </cell>
          <cell r="CG121">
            <v>0</v>
          </cell>
          <cell r="CH121">
            <v>0</v>
          </cell>
        </row>
        <row r="122">
          <cell r="A122" t="str">
            <v>OAB / Associações</v>
          </cell>
          <cell r="B122">
            <v>5.6909547621273012E-3</v>
          </cell>
          <cell r="C122">
            <v>405.91683333333333</v>
          </cell>
          <cell r="D122">
            <v>0</v>
          </cell>
          <cell r="E122" t="e">
            <v>#DIV/0!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 t="e">
            <v>#DIV/0!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 t="e">
            <v>#DIV/0!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 t="e">
            <v>#DIV/0!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e">
            <v>#DIV/0!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 t="e">
            <v>#DIV/0!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 t="e">
            <v>#DIV/0!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 t="e">
            <v>#DIV/0!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 t="e">
            <v>#DIV/0!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 t="e">
            <v>#DIV/0!</v>
          </cell>
          <cell r="BQ122">
            <v>0</v>
          </cell>
          <cell r="BR122" t="e">
            <v>#DIV/0!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 t="e">
            <v>#DIV/0!</v>
          </cell>
          <cell r="BX122">
            <v>0</v>
          </cell>
          <cell r="BY122" t="e">
            <v>#DIV/0!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 t="e">
            <v>#DIV/0!</v>
          </cell>
          <cell r="CE122">
            <v>0</v>
          </cell>
          <cell r="CF122" t="e">
            <v>#DIV/0!</v>
          </cell>
          <cell r="CG122">
            <v>0</v>
          </cell>
          <cell r="CH122">
            <v>0</v>
          </cell>
        </row>
        <row r="123">
          <cell r="A123" t="str">
            <v>Back Office / Encerramento</v>
          </cell>
          <cell r="B123">
            <v>4.9948542170379269E-4</v>
          </cell>
          <cell r="C123">
            <v>35.626630178725854</v>
          </cell>
          <cell r="D123">
            <v>0</v>
          </cell>
          <cell r="E123" t="e">
            <v>#DIV/0!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 t="e">
            <v>#DIV/0!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 t="e">
            <v>#DIV/0!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 t="e">
            <v>#DIV/0!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e">
            <v>#DIV/0!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 t="e">
            <v>#DIV/0!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e">
            <v>#DIV/0!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 t="e">
            <v>#DIV/0!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 t="e">
            <v>#DIV/0!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 t="e">
            <v>#DIV/0!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 t="e">
            <v>#DIV/0!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 t="e">
            <v>#DIV/0!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Bonificações/Premiações</v>
          </cell>
          <cell r="B124">
            <v>0</v>
          </cell>
          <cell r="C124">
            <v>0</v>
          </cell>
          <cell r="D124">
            <v>0</v>
          </cell>
          <cell r="E124" t="e">
            <v>#DIV/0!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e">
            <v>#DIV/0!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 t="e">
            <v>#DIV/0!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 t="e">
            <v>#DIV/0!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e">
            <v>#DIV/0!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 t="e">
            <v>#DIV/0!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e">
            <v>#DIV/0!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 t="e">
            <v>#DIV/0!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 t="e">
            <v>#DIV/0!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 t="e">
            <v>#DIV/0!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 t="e">
            <v>#DIV/0!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 t="e">
            <v>#DIV/0!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Cadastro</v>
          </cell>
          <cell r="B125">
            <v>1.2219837668348233E-3</v>
          </cell>
          <cell r="C125">
            <v>87.160028809105171</v>
          </cell>
          <cell r="D125">
            <v>0</v>
          </cell>
          <cell r="E125" t="e">
            <v>#DIV/0!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e">
            <v>#DIV/0!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 t="e">
            <v>#DIV/0!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 t="e">
            <v>#DIV/0!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e">
            <v>#DIV/0!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 t="e">
            <v>#DIV/0!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 t="e">
            <v>#DIV/0!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 t="e">
            <v>#DIV/0!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 t="e">
            <v>#DIV/0!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 t="e">
            <v>#DIV/0!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 t="e">
            <v>#DIV/0!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 t="e">
            <v>#DIV/0!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</row>
        <row r="126">
          <cell r="A126" t="str">
            <v>Cartório</v>
          </cell>
          <cell r="B126">
            <v>0</v>
          </cell>
          <cell r="C126">
            <v>0</v>
          </cell>
          <cell r="D126">
            <v>0</v>
          </cell>
          <cell r="E126" t="e">
            <v>#DIV/0!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e">
            <v>#DIV/0!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 t="e">
            <v>#DIV/0!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 t="e">
            <v>#DIV/0!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 t="e">
            <v>#DIV/0!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e">
            <v>#DIV/0!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 t="e">
            <v>#DIV/0!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 t="e">
            <v>#DIV/0!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 t="e">
            <v>#DIV/0!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 t="e">
            <v>#DIV/0!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 t="e">
            <v>#DIV/0!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Condenação</v>
          </cell>
          <cell r="B127">
            <v>0</v>
          </cell>
          <cell r="C127">
            <v>0</v>
          </cell>
          <cell r="D127">
            <v>0</v>
          </cell>
          <cell r="E127" t="e">
            <v>#DIV/0!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 t="e">
            <v>#DIV/0!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 t="e">
            <v>#DIV/0!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 t="e">
            <v>#DIV/0!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 t="e">
            <v>#DIV/0!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 t="e">
            <v>#DIV/0!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 t="e">
            <v>#DIV/0!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 t="e">
            <v>#DIV/0!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 t="e">
            <v>#DIV/0!</v>
          </cell>
          <cell r="BQ127">
            <v>0</v>
          </cell>
          <cell r="BR127" t="e">
            <v>#DIV/0!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 t="e">
            <v>#DIV/0!</v>
          </cell>
          <cell r="BX127">
            <v>0</v>
          </cell>
          <cell r="BY127" t="e">
            <v>#DIV/0!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 t="e">
            <v>#DIV/0!</v>
          </cell>
          <cell r="CE127">
            <v>0</v>
          </cell>
          <cell r="CF127" t="e">
            <v>#DIV/0!</v>
          </cell>
          <cell r="CG127">
            <v>0</v>
          </cell>
          <cell r="CH127">
            <v>0</v>
          </cell>
        </row>
        <row r="128">
          <cell r="A128" t="str">
            <v>Penalidades/Irregularidades</v>
          </cell>
          <cell r="B128">
            <v>0</v>
          </cell>
          <cell r="C128">
            <v>0</v>
          </cell>
          <cell r="D128">
            <v>0</v>
          </cell>
          <cell r="E128" t="e">
            <v>#DIV/0!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 t="e">
            <v>#DIV/0!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 t="e">
            <v>#DIV/0!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 t="e">
            <v>#DIV/0!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 t="e">
            <v>#DIV/0!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 t="e">
            <v>#DIV/0!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 t="e">
            <v>#DIV/0!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 t="e">
            <v>#DIV/0!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 t="e">
            <v>#DIV/0!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 t="e">
            <v>#DIV/0!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 t="e">
            <v>#DIV/0!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 t="e">
            <v>#DIV/0!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Contribuição Sindical</v>
          </cell>
          <cell r="B129">
            <v>0</v>
          </cell>
          <cell r="C129">
            <v>0</v>
          </cell>
          <cell r="D129">
            <v>0</v>
          </cell>
          <cell r="E129" t="e">
            <v>#DIV/0!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e">
            <v>#DIV/0!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 t="e">
            <v>#DIV/0!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 t="e">
            <v>#DIV/0!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 t="e">
            <v>#DIV/0!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 t="e">
            <v>#DIV/0!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 t="e">
            <v>#DIV/0!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 t="e">
            <v>#DIV/0!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 t="e">
            <v>#DIV/0!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 t="e">
            <v>#DIV/0!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 t="e">
            <v>#DIV/0!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 t="e">
            <v>#DIV/0!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Correios</v>
          </cell>
          <cell r="B130">
            <v>0</v>
          </cell>
          <cell r="C130">
            <v>0</v>
          </cell>
          <cell r="D130">
            <v>0</v>
          </cell>
          <cell r="E130" t="e">
            <v>#DIV/0!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 t="e">
            <v>#DIV/0!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 t="e">
            <v>#DIV/0!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 t="e">
            <v>#DIV/0!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 t="e">
            <v>#DIV/0!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 t="e">
            <v>#DIV/0!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 t="e">
            <v>#DIV/0!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 t="e">
            <v>#DIV/0!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 t="e">
            <v>#DIV/0!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 t="e">
            <v>#DIV/0!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 t="e">
            <v>#DIV/0!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 t="e">
            <v>#DIV/0!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 xml:space="preserve">Correspondentes </v>
          </cell>
          <cell r="B131">
            <v>9.6581769744835941E-2</v>
          </cell>
          <cell r="C131">
            <v>6888.8556966666656</v>
          </cell>
          <cell r="D131">
            <v>0</v>
          </cell>
          <cell r="E131" t="e">
            <v>#DIV/0!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e">
            <v>#DIV/0!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 t="e">
            <v>#DIV/0!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 t="e">
            <v>#DIV/0!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e">
            <v>#DIV/0!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 t="e">
            <v>#DIV/0!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 t="e">
            <v>#DIV/0!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 t="e">
            <v>#DIV/0!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 t="e">
            <v>#DIV/0!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 t="e">
            <v>#DIV/0!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 t="e">
            <v>#DIV/0!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 t="e">
            <v>#DIV/0!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Custas/Guias/Despesas</v>
          </cell>
          <cell r="B132">
            <v>0</v>
          </cell>
          <cell r="C132">
            <v>0</v>
          </cell>
          <cell r="D132">
            <v>0</v>
          </cell>
          <cell r="E132" t="e">
            <v>#DIV/0!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e">
            <v>#DIV/0!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 t="e">
            <v>#DIV/0!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 t="e">
            <v>#DIV/0!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 t="e">
            <v>#DIV/0!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 t="e">
            <v>#DIV/0!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 t="e">
            <v>#DIV/0!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 t="e">
            <v>#DIV/0!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 t="e">
            <v>#DIV/0!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 t="e">
            <v>#DIV/0!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 t="e">
            <v>#DIV/0!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 t="e">
            <v>#DIV/0!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Deslocamento</v>
          </cell>
          <cell r="B133">
            <v>0</v>
          </cell>
          <cell r="C133">
            <v>0</v>
          </cell>
          <cell r="D133">
            <v>0</v>
          </cell>
          <cell r="E133" t="e">
            <v>#DIV/0!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 t="e">
            <v>#DIV/0!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 t="e">
            <v>#DIV/0!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 t="e">
            <v>#DIV/0!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 t="e">
            <v>#DIV/0!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 t="e">
            <v>#DIV/0!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e">
            <v>#DIV/0!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 t="e">
            <v>#DIV/0!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 t="e">
            <v>#DIV/0!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 t="e">
            <v>#DIV/0!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 t="e">
            <v>#DIV/0!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 t="e">
            <v>#DIV/0!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Digitação / Atual. Sistemas / Lanç. Planilhas</v>
          </cell>
          <cell r="B134">
            <v>0</v>
          </cell>
          <cell r="C134">
            <v>0</v>
          </cell>
          <cell r="D134">
            <v>0</v>
          </cell>
          <cell r="E134" t="e">
            <v>#DIV/0!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 t="e">
            <v>#DIV/0!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 t="e">
            <v>#DIV/0!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 t="e">
            <v>#DIV/0!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 t="e">
            <v>#DIV/0!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 t="e">
            <v>#DIV/0!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e">
            <v>#DIV/0!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 t="e">
            <v>#DIV/0!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 t="e">
            <v>#DIV/0!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 t="e">
            <v>#DIV/0!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 t="e">
            <v>#DIV/0!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 t="e">
            <v>#DIV/0!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Diligências</v>
          </cell>
          <cell r="B135">
            <v>0</v>
          </cell>
          <cell r="C135">
            <v>0</v>
          </cell>
          <cell r="D135">
            <v>0</v>
          </cell>
          <cell r="E135" t="e">
            <v>#DIV/0!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 t="e">
            <v>#DIV/0!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 t="e">
            <v>#DIV/0!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 t="e">
            <v>#DIV/0!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 t="e">
            <v>#DIV/0!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 t="e">
            <v>#DIV/0!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e">
            <v>#DIV/0!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 t="e">
            <v>#DIV/0!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e">
            <v>#DIV/0!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 t="e">
            <v>#DIV/0!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 t="e">
            <v>#DIV/0!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 t="e">
            <v>#DIV/0!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Encargos</v>
          </cell>
          <cell r="B136">
            <v>3.8228828338286616E-3</v>
          </cell>
          <cell r="C136">
            <v>272.67348959421901</v>
          </cell>
          <cell r="D136">
            <v>0</v>
          </cell>
          <cell r="E136" t="e">
            <v>#DIV/0!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 t="e">
            <v>#DIV/0!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 t="e">
            <v>#DIV/0!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 t="e">
            <v>#DIV/0!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 t="e">
            <v>#DIV/0!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 t="e">
            <v>#DIV/0!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 t="e">
            <v>#DIV/0!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 t="e">
            <v>#DIV/0!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 t="e">
            <v>#DIV/0!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 t="e">
            <v>#DIV/0!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 t="e">
            <v>#DIV/0!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 t="e">
            <v>#DIV/0!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>Encargos Rescisórios</v>
          </cell>
          <cell r="B137">
            <v>4.6447798859706509E-3</v>
          </cell>
          <cell r="C137">
            <v>331.29666666666668</v>
          </cell>
          <cell r="D137">
            <v>0</v>
          </cell>
          <cell r="E137" t="e">
            <v>#DIV/0!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 t="e">
            <v>#DIV/0!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 t="e">
            <v>#DIV/0!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 t="e">
            <v>#DIV/0!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e">
            <v>#DIV/0!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 t="e">
            <v>#DIV/0!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e">
            <v>#DIV/0!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 t="e">
            <v>#DIV/0!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 t="e">
            <v>#DIV/0!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 t="e">
            <v>#DIV/0!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 t="e">
            <v>#DIV/0!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 t="e">
            <v>#DIV/0!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Aluguel + IPTU + Condomínio + Energia Elétrica</v>
          </cell>
          <cell r="B138">
            <v>0</v>
          </cell>
          <cell r="C138">
            <v>0</v>
          </cell>
          <cell r="D138">
            <v>0</v>
          </cell>
          <cell r="E138" t="e">
            <v>#DIV/0!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e">
            <v>#DIV/0!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 t="e">
            <v>#DIV/0!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 t="e">
            <v>#DIV/0!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 t="e">
            <v>#DIV/0!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 t="e">
            <v>#DIV/0!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 t="e">
            <v>#DIV/0!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 t="e">
            <v>#DIV/0!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 t="e">
            <v>#DIV/0!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 t="e">
            <v>#DIV/0!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 t="e">
            <v>#DIV/0!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 t="e">
            <v>#DIV/0!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gNA</v>
          </cell>
          <cell r="B139">
            <v>0</v>
          </cell>
          <cell r="C139">
            <v>0</v>
          </cell>
          <cell r="D139">
            <v>0</v>
          </cell>
          <cell r="E139" t="e">
            <v>#DIV/0!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e">
            <v>#DIV/0!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 t="e">
            <v>#DIV/0!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 t="e">
            <v>#DIV/0!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 t="e">
            <v>#DIV/0!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 t="e">
            <v>#DIV/0!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 t="e">
            <v>#DIV/0!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 t="e">
            <v>#DIV/0!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 t="e">
            <v>#DIV/0!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 t="e">
            <v>#DIV/0!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 t="e">
            <v>#DIV/0!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 t="e">
            <v>#DIV/0!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Férias</v>
          </cell>
          <cell r="B140">
            <v>0</v>
          </cell>
          <cell r="C140">
            <v>0</v>
          </cell>
          <cell r="D140">
            <v>0</v>
          </cell>
          <cell r="E140" t="e">
            <v>#DIV/0!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e">
            <v>#DIV/0!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 t="e">
            <v>#DIV/0!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 t="e">
            <v>#DIV/0!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 t="e">
            <v>#DIV/0!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 t="e">
            <v>#DIV/0!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e">
            <v>#DIV/0!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 t="e">
            <v>#DIV/0!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 t="e">
            <v>#DIV/0!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 t="e">
            <v>#DIV/0!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 t="e">
            <v>#DIV/0!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 t="e">
            <v>#DIV/0!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Parcerias - Unidade Vitória / Unidade Pará</v>
          </cell>
          <cell r="B141">
            <v>0</v>
          </cell>
          <cell r="C141">
            <v>0</v>
          </cell>
          <cell r="D141">
            <v>0</v>
          </cell>
          <cell r="E141" t="e">
            <v>#DIV/0!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e">
            <v>#DIV/0!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 t="e">
            <v>#DIV/0!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 t="e">
            <v>#DIV/0!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 t="e">
            <v>#DIV/0!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 t="e">
            <v>#DIV/0!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e">
            <v>#DIV/0!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 t="e">
            <v>#DIV/0!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 t="e">
            <v>#DIV/0!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 t="e">
            <v>#DIV/0!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 t="e">
            <v>#DIV/0!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 t="e">
            <v>#DIV/0!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Fotocópia/Xerox</v>
          </cell>
          <cell r="B142">
            <v>0</v>
          </cell>
          <cell r="C142">
            <v>0</v>
          </cell>
          <cell r="D142">
            <v>0</v>
          </cell>
          <cell r="E142" t="e">
            <v>#DIV/0!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e">
            <v>#DIV/0!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 t="e">
            <v>#DIV/0!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 t="e">
            <v>#DIV/0!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 t="e">
            <v>#DIV/0!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 t="e">
            <v>#DIV/0!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e">
            <v>#DIV/0!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 t="e">
            <v>#DIV/0!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 t="e">
            <v>#DIV/0!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 t="e">
            <v>#DIV/0!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 t="e">
            <v>#DIV/0!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 t="e">
            <v>#DIV/0!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IR s/ Salário</v>
          </cell>
          <cell r="B143">
            <v>0</v>
          </cell>
          <cell r="C143">
            <v>0</v>
          </cell>
          <cell r="D143">
            <v>0</v>
          </cell>
          <cell r="E143" t="e">
            <v>#DIV/0!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e">
            <v>#DIV/0!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 t="e">
            <v>#DIV/0!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 t="e">
            <v>#DIV/0!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 t="e">
            <v>#DIV/0!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 t="e">
            <v>#DIV/0!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 t="e">
            <v>#DIV/0!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 t="e">
            <v>#DIV/0!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 t="e">
            <v>#DIV/0!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 t="e">
            <v>#DIV/0!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 t="e">
            <v>#DIV/0!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 t="e">
            <v>#DIV/0!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Pauta</v>
          </cell>
          <cell r="B144">
            <v>4.3371521531774364E-3</v>
          </cell>
          <cell r="C144">
            <v>309.35460591230265</v>
          </cell>
          <cell r="D144">
            <v>0</v>
          </cell>
          <cell r="E144" t="e">
            <v>#DIV/0!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 t="e">
            <v>#DIV/0!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 t="e">
            <v>#DIV/0!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 t="e">
            <v>#DIV/0!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e">
            <v>#DIV/0!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 t="e">
            <v>#DIV/0!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e">
            <v>#DIV/0!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 t="e">
            <v>#DIV/0!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 t="e">
            <v>#DIV/0!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 t="e">
            <v>#DIV/0!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 t="e">
            <v>#DIV/0!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 t="e">
            <v>#DIV/0!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Pauta - Gestão de Pauta</v>
          </cell>
          <cell r="B145">
            <v>6.5835692305968232E-4</v>
          </cell>
          <cell r="C145">
            <v>46.958404798770275</v>
          </cell>
          <cell r="D145">
            <v>0</v>
          </cell>
          <cell r="E145" t="e">
            <v>#DIV/0!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e">
            <v>#DIV/0!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 t="e">
            <v>#DIV/0!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 t="e">
            <v>#DIV/0!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 t="e">
            <v>#DIV/0!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 t="e">
            <v>#DIV/0!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e">
            <v>#DIV/0!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 t="e">
            <v>#DIV/0!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 t="e">
            <v>#DIV/0!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 t="e">
            <v>#DIV/0!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 t="e">
            <v>#DIV/0!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 t="e">
            <v>#DIV/0!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Exames Médicos</v>
          </cell>
          <cell r="B146">
            <v>0</v>
          </cell>
          <cell r="C146">
            <v>0</v>
          </cell>
          <cell r="D146">
            <v>0</v>
          </cell>
          <cell r="E146" t="e">
            <v>#DIV/0!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e">
            <v>#DIV/0!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 t="e">
            <v>#DIV/0!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 t="e">
            <v>#DIV/0!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e">
            <v>#DIV/0!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 t="e">
            <v>#DIV/0!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 t="e">
            <v>#DIV/0!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 t="e">
            <v>#DIV/0!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 t="e">
            <v>#DIV/0!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 t="e">
            <v>#DIV/0!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 t="e">
            <v>#DIV/0!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 t="e">
            <v>#DIV/0!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Plano de Saúde</v>
          </cell>
          <cell r="B147">
            <v>4.4554734343323278E-2</v>
          </cell>
          <cell r="C147">
            <v>3177.9406849281054</v>
          </cell>
          <cell r="D147">
            <v>0</v>
          </cell>
          <cell r="E147" t="e">
            <v>#DIV/0!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 t="e">
            <v>#DIV/0!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 t="e">
            <v>#DIV/0!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 t="e">
            <v>#DIV/0!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 t="e">
            <v>#DIV/0!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 t="e">
            <v>#DIV/0!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e">
            <v>#DIV/0!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 t="e">
            <v>#DIV/0!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 t="e">
            <v>#DIV/0!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 t="e">
            <v>#DIV/0!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 t="e">
            <v>#DIV/0!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 t="e">
            <v>#DIV/0!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Plano Odontológico</v>
          </cell>
          <cell r="B148">
            <v>9.8904882387762082E-4</v>
          </cell>
          <cell r="C148">
            <v>70.545555777777778</v>
          </cell>
          <cell r="D148">
            <v>0</v>
          </cell>
          <cell r="E148" t="e">
            <v>#DIV/0!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e">
            <v>#DIV/0!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 t="e">
            <v>#DIV/0!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 t="e">
            <v>#DIV/0!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 t="e">
            <v>#DIV/0!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 t="e">
            <v>#DIV/0!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e">
            <v>#DIV/0!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 t="e">
            <v>#DIV/0!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 t="e">
            <v>#DIV/0!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 t="e">
            <v>#DIV/0!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 t="e">
            <v>#DIV/0!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 t="e">
            <v>#DIV/0!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Seguro de Vida</v>
          </cell>
          <cell r="B149">
            <v>7.1576789108016318E-4</v>
          </cell>
          <cell r="C149">
            <v>51.053337777777777</v>
          </cell>
          <cell r="D149">
            <v>0</v>
          </cell>
          <cell r="E149" t="e">
            <v>#DIV/0!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e">
            <v>#DIV/0!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e">
            <v>#DIV/0!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 t="e">
            <v>#DIV/0!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 t="e">
            <v>#DIV/0!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 t="e">
            <v>#DIV/0!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 t="e">
            <v>#DIV/0!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 t="e">
            <v>#DIV/0!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 t="e">
            <v>#DIV/0!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 t="e">
            <v>#DIV/0!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 t="e">
            <v>#DIV/0!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 t="e">
            <v>#DIV/0!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Remuneração</v>
          </cell>
          <cell r="B150">
            <v>0.19686002363928093</v>
          </cell>
          <cell r="C150">
            <v>14041.369286111112</v>
          </cell>
          <cell r="D150">
            <v>0</v>
          </cell>
          <cell r="E150" t="e">
            <v>#DIV/0!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 t="e">
            <v>#DIV/0!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 t="e">
            <v>#DIV/0!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 t="e">
            <v>#DIV/0!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e">
            <v>#DIV/0!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 t="e">
            <v>#DIV/0!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e">
            <v>#DIV/0!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 t="e">
            <v>#DIV/0!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 t="e">
            <v>#DIV/0!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 t="e">
            <v>#DIV/0!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 t="e">
            <v>#DIV/0!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 t="e">
            <v>#DIV/0!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Indenização por Ruptura de Contrato</v>
          </cell>
          <cell r="B151">
            <v>0</v>
          </cell>
          <cell r="C151">
            <v>0</v>
          </cell>
          <cell r="D151">
            <v>0</v>
          </cell>
          <cell r="E151" t="e">
            <v>#DIV/0!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e">
            <v>#DIV/0!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 t="e">
            <v>#DIV/0!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 t="e">
            <v>#DIV/0!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e">
            <v>#DIV/0!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 t="e">
            <v>#DIV/0!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e">
            <v>#DIV/0!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 t="e">
            <v>#DIV/0!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 t="e">
            <v>#DIV/0!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 t="e">
            <v>#DIV/0!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 t="e">
            <v>#DIV/0!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 t="e">
            <v>#DIV/0!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Vale Alimentação / Refeição</v>
          </cell>
          <cell r="B152">
            <v>5.2837184565535716E-3</v>
          </cell>
          <cell r="C152">
            <v>376.87002511111109</v>
          </cell>
          <cell r="D152">
            <v>0</v>
          </cell>
          <cell r="E152" t="e">
            <v>#DIV/0!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e">
            <v>#DIV/0!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 t="e">
            <v>#DIV/0!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 t="e">
            <v>#DIV/0!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e">
            <v>#DIV/0!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 t="e">
            <v>#DIV/0!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 t="e">
            <v>#DIV/0!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 t="e">
            <v>#DIV/0!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 t="e">
            <v>#DIV/0!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 t="e">
            <v>#DIV/0!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 t="e">
            <v>#DIV/0!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 t="e">
            <v>#DIV/0!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Vale Transporte</v>
          </cell>
          <cell r="B153">
            <v>1.0758014767735301E-3</v>
          </cell>
          <cell r="C153">
            <v>76.733333333333334</v>
          </cell>
          <cell r="D153">
            <v>0</v>
          </cell>
          <cell r="E153" t="e">
            <v>#DIV/0!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e">
            <v>#DIV/0!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 t="e">
            <v>#DIV/0!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 t="e">
            <v>#DIV/0!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 t="e">
            <v>#DIV/0!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 t="e">
            <v>#DIV/0!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e">
            <v>#DIV/0!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 t="e">
            <v>#DIV/0!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 t="e">
            <v>#DIV/0!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 t="e">
            <v>#DIV/0!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 t="e">
            <v>#DIV/0!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 t="e">
            <v>#DIV/0!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</sheetData>
      <sheetData sheetId="14">
        <row r="11">
          <cell r="A11" t="str">
            <v>13º (+ Encargos)</v>
          </cell>
          <cell r="B11">
            <v>3.5312724198401121E-3</v>
          </cell>
          <cell r="C11">
            <v>339.98636206896549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2046.87</v>
          </cell>
          <cell r="BW11">
            <v>1.9074154649281163E-2</v>
          </cell>
          <cell r="BX11">
            <v>0</v>
          </cell>
          <cell r="BY11" t="e">
            <v>#DIV/0!</v>
          </cell>
          <cell r="BZ11">
            <v>2046.87</v>
          </cell>
          <cell r="CA11">
            <v>0</v>
          </cell>
          <cell r="CB11">
            <v>-2046.87</v>
          </cell>
          <cell r="CC11">
            <v>2046.87</v>
          </cell>
          <cell r="CD11">
            <v>1.9074154649281163E-2</v>
          </cell>
          <cell r="CE11">
            <v>0</v>
          </cell>
          <cell r="CF11" t="e">
            <v>#DIV/0!</v>
          </cell>
          <cell r="CG11">
            <v>4093.74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4.184530161895416E-3</v>
          </cell>
          <cell r="C13">
            <v>402.88117640470722</v>
          </cell>
          <cell r="D13">
            <v>417.87808851747218</v>
          </cell>
          <cell r="E13">
            <v>5.9696869788210313E-3</v>
          </cell>
          <cell r="F13">
            <v>395.92383999999998</v>
          </cell>
          <cell r="G13">
            <v>4.3143217486040593E-3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5.9696869788210313E-3</v>
          </cell>
          <cell r="M13">
            <v>400.82801499999999</v>
          </cell>
          <cell r="N13">
            <v>6.5528780131650019E-3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3.8940779262621799E-3</v>
          </cell>
          <cell r="T13">
            <v>392.85242</v>
          </cell>
          <cell r="U13">
            <v>3.6923524741099873E-3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3.8940779262621799E-3</v>
          </cell>
          <cell r="AA13">
            <v>0</v>
          </cell>
          <cell r="AB13" t="e">
            <v>#DIV/0!</v>
          </cell>
          <cell r="AC13">
            <v>1671.5123540698887</v>
          </cell>
          <cell r="AD13">
            <v>1189.6042749999999</v>
          </cell>
          <cell r="AE13">
            <v>-481.9080790698888</v>
          </cell>
          <cell r="AF13">
            <v>417.87808851747218</v>
          </cell>
          <cell r="AG13">
            <v>3.8940779262621799E-3</v>
          </cell>
          <cell r="AH13">
            <v>0</v>
          </cell>
          <cell r="AI13" t="e">
            <v>#DIV/0!</v>
          </cell>
          <cell r="AJ13">
            <v>2089.3904425873607</v>
          </cell>
          <cell r="AK13">
            <v>1189.6042749999999</v>
          </cell>
          <cell r="AL13">
            <v>-899.78616758736075</v>
          </cell>
          <cell r="AM13">
            <v>417.87808851747218</v>
          </cell>
          <cell r="AN13">
            <v>3.8940779262621799E-3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1189.6042749999999</v>
          </cell>
          <cell r="AS13">
            <v>-1317.6642561048327</v>
          </cell>
          <cell r="AT13">
            <v>417.87808851747218</v>
          </cell>
          <cell r="AU13">
            <v>3.8940779262621799E-3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1189.6042749999999</v>
          </cell>
          <cell r="AZ13">
            <v>-1735.5423446223047</v>
          </cell>
          <cell r="BA13">
            <v>417.87808851747218</v>
          </cell>
          <cell r="BB13">
            <v>3.8940779262621799E-3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1189.6042749999999</v>
          </cell>
          <cell r="BG13">
            <v>-2153.4204331397768</v>
          </cell>
          <cell r="BH13">
            <v>417.87808851747218</v>
          </cell>
          <cell r="BI13">
            <v>3.8940779262621799E-3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1189.6042749999999</v>
          </cell>
          <cell r="BN13">
            <v>-2571.2985216572488</v>
          </cell>
          <cell r="BO13">
            <v>434.07160422754055</v>
          </cell>
          <cell r="BP13">
            <v>4.0449803396882438E-3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1189.6042749999999</v>
          </cell>
          <cell r="BU13">
            <v>-3005.3701258847896</v>
          </cell>
          <cell r="BV13">
            <v>434.07160422754055</v>
          </cell>
          <cell r="BW13">
            <v>4.0449803396882438E-3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1189.6042749999999</v>
          </cell>
          <cell r="CB13">
            <v>-3439.4417301123303</v>
          </cell>
          <cell r="CC13">
            <v>434.07160422754055</v>
          </cell>
          <cell r="CD13">
            <v>4.0449803396882438E-3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1189.6042749999999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1.0880990437008594E-2</v>
          </cell>
          <cell r="C15">
            <v>1047.6077499999999</v>
          </cell>
          <cell r="D15">
            <v>1212</v>
          </cell>
          <cell r="E15">
            <v>1.7314285714285713E-2</v>
          </cell>
          <cell r="F15">
            <v>329.86</v>
          </cell>
          <cell r="G15">
            <v>3.5944341517664988E-3</v>
          </cell>
          <cell r="H15">
            <v>1212</v>
          </cell>
          <cell r="I15">
            <v>329.86</v>
          </cell>
          <cell r="J15">
            <v>-882.14</v>
          </cell>
          <cell r="K15">
            <v>1212</v>
          </cell>
          <cell r="L15">
            <v>1.7314285714285713E-2</v>
          </cell>
          <cell r="M15">
            <v>107.89</v>
          </cell>
          <cell r="N15">
            <v>1.7638238406074787E-3</v>
          </cell>
          <cell r="O15">
            <v>2424</v>
          </cell>
          <cell r="P15">
            <v>437.75</v>
          </cell>
          <cell r="Q15">
            <v>-1986.25</v>
          </cell>
          <cell r="R15">
            <v>1212</v>
          </cell>
          <cell r="S15">
            <v>1.1294256809142139E-2</v>
          </cell>
          <cell r="T15">
            <v>0</v>
          </cell>
          <cell r="U15">
            <v>0</v>
          </cell>
          <cell r="V15">
            <v>3636</v>
          </cell>
          <cell r="W15">
            <v>437.75</v>
          </cell>
          <cell r="X15">
            <v>-3198.25</v>
          </cell>
          <cell r="Y15">
            <v>1212</v>
          </cell>
          <cell r="Z15">
            <v>1.1294256809142139E-2</v>
          </cell>
          <cell r="AA15">
            <v>0</v>
          </cell>
          <cell r="AB15" t="e">
            <v>#DIV/0!</v>
          </cell>
          <cell r="AC15">
            <v>4848</v>
          </cell>
          <cell r="AD15">
            <v>437.75</v>
          </cell>
          <cell r="AE15">
            <v>-4410.25</v>
          </cell>
          <cell r="AF15">
            <v>1212</v>
          </cell>
          <cell r="AG15">
            <v>1.1294256809142139E-2</v>
          </cell>
          <cell r="AH15">
            <v>0</v>
          </cell>
          <cell r="AI15" t="e">
            <v>#DIV/0!</v>
          </cell>
          <cell r="AJ15">
            <v>6060</v>
          </cell>
          <cell r="AK15">
            <v>437.75</v>
          </cell>
          <cell r="AL15">
            <v>-5622.25</v>
          </cell>
          <cell r="AM15">
            <v>1212</v>
          </cell>
          <cell r="AN15">
            <v>1.1294256809142139E-2</v>
          </cell>
          <cell r="AO15">
            <v>0</v>
          </cell>
          <cell r="AP15" t="e">
            <v>#DIV/0!</v>
          </cell>
          <cell r="AQ15">
            <v>7272</v>
          </cell>
          <cell r="AR15">
            <v>437.75</v>
          </cell>
          <cell r="AS15">
            <v>-6834.25</v>
          </cell>
          <cell r="AT15">
            <v>1212</v>
          </cell>
          <cell r="AU15">
            <v>1.1294256809142139E-2</v>
          </cell>
          <cell r="AV15">
            <v>0</v>
          </cell>
          <cell r="AW15" t="e">
            <v>#DIV/0!</v>
          </cell>
          <cell r="AX15">
            <v>8484</v>
          </cell>
          <cell r="AY15">
            <v>437.75</v>
          </cell>
          <cell r="AZ15">
            <v>-8046.25</v>
          </cell>
          <cell r="BA15">
            <v>1212</v>
          </cell>
          <cell r="BB15">
            <v>1.1294256809142139E-2</v>
          </cell>
          <cell r="BC15">
            <v>0</v>
          </cell>
          <cell r="BD15" t="e">
            <v>#DIV/0!</v>
          </cell>
          <cell r="BE15">
            <v>9696</v>
          </cell>
          <cell r="BF15">
            <v>437.75</v>
          </cell>
          <cell r="BG15">
            <v>-9258.25</v>
          </cell>
          <cell r="BH15">
            <v>1212</v>
          </cell>
          <cell r="BI15">
            <v>1.1294256809142139E-2</v>
          </cell>
          <cell r="BJ15">
            <v>0</v>
          </cell>
          <cell r="BK15" t="e">
            <v>#DIV/0!</v>
          </cell>
          <cell r="BL15">
            <v>10908</v>
          </cell>
          <cell r="BM15">
            <v>437.75</v>
          </cell>
          <cell r="BN15">
            <v>-10470.25</v>
          </cell>
          <cell r="BO15">
            <v>1212</v>
          </cell>
          <cell r="BP15">
            <v>1.1294256809142139E-2</v>
          </cell>
          <cell r="BQ15">
            <v>0</v>
          </cell>
          <cell r="BR15" t="e">
            <v>#DIV/0!</v>
          </cell>
          <cell r="BS15">
            <v>12120</v>
          </cell>
          <cell r="BT15">
            <v>437.75</v>
          </cell>
          <cell r="BU15">
            <v>-11682.25</v>
          </cell>
          <cell r="BV15">
            <v>1212</v>
          </cell>
          <cell r="BW15">
            <v>1.1294256809142139E-2</v>
          </cell>
          <cell r="BX15">
            <v>0</v>
          </cell>
          <cell r="BY15" t="e">
            <v>#DIV/0!</v>
          </cell>
          <cell r="BZ15">
            <v>13332</v>
          </cell>
          <cell r="CA15">
            <v>437.75</v>
          </cell>
          <cell r="CB15">
            <v>-12894.25</v>
          </cell>
          <cell r="CC15">
            <v>1212</v>
          </cell>
          <cell r="CD15">
            <v>1.1294256809142139E-2</v>
          </cell>
          <cell r="CE15">
            <v>0</v>
          </cell>
          <cell r="CF15" t="e">
            <v>#DIV/0!</v>
          </cell>
          <cell r="CG15">
            <v>14544</v>
          </cell>
          <cell r="CH15">
            <v>437.75</v>
          </cell>
        </row>
        <row r="16">
          <cell r="A16" t="str">
            <v>Back Office / Encerramento</v>
          </cell>
          <cell r="B16">
            <v>1.3841315486050883E-2</v>
          </cell>
          <cell r="C16">
            <v>1332.624034303291</v>
          </cell>
          <cell r="D16">
            <v>1400</v>
          </cell>
          <cell r="E16">
            <v>0.02</v>
          </cell>
          <cell r="F16">
            <v>0</v>
          </cell>
          <cell r="G16">
            <v>0</v>
          </cell>
          <cell r="H16">
            <v>1400</v>
          </cell>
          <cell r="I16">
            <v>0</v>
          </cell>
          <cell r="J16">
            <v>-1400</v>
          </cell>
          <cell r="K16">
            <v>1400</v>
          </cell>
          <cell r="L16">
            <v>0.02</v>
          </cell>
          <cell r="M16">
            <v>0</v>
          </cell>
          <cell r="N16">
            <v>0</v>
          </cell>
          <cell r="O16">
            <v>2800</v>
          </cell>
          <cell r="P16">
            <v>0</v>
          </cell>
          <cell r="Q16">
            <v>-2800</v>
          </cell>
          <cell r="R16">
            <v>1400</v>
          </cell>
          <cell r="S16">
            <v>1.3046171231682339E-2</v>
          </cell>
          <cell r="T16">
            <v>0</v>
          </cell>
          <cell r="U16">
            <v>0</v>
          </cell>
          <cell r="V16">
            <v>4200</v>
          </cell>
          <cell r="W16">
            <v>0</v>
          </cell>
          <cell r="X16">
            <v>-4200</v>
          </cell>
          <cell r="Y16">
            <v>1400</v>
          </cell>
          <cell r="Z16">
            <v>1.3046171231682339E-2</v>
          </cell>
          <cell r="AA16">
            <v>0</v>
          </cell>
          <cell r="AB16" t="e">
            <v>#DIV/0!</v>
          </cell>
          <cell r="AC16">
            <v>5600</v>
          </cell>
          <cell r="AD16">
            <v>0</v>
          </cell>
          <cell r="AE16">
            <v>-5600</v>
          </cell>
          <cell r="AF16">
            <v>1400</v>
          </cell>
          <cell r="AG16">
            <v>1.3046171231682339E-2</v>
          </cell>
          <cell r="AH16">
            <v>0</v>
          </cell>
          <cell r="AI16" t="e">
            <v>#DIV/0!</v>
          </cell>
          <cell r="AJ16">
            <v>7000</v>
          </cell>
          <cell r="AK16">
            <v>0</v>
          </cell>
          <cell r="AL16">
            <v>-7000</v>
          </cell>
          <cell r="AM16">
            <v>1400</v>
          </cell>
          <cell r="AN16">
            <v>1.3046171231682339E-2</v>
          </cell>
          <cell r="AO16">
            <v>0</v>
          </cell>
          <cell r="AP16" t="e">
            <v>#DIV/0!</v>
          </cell>
          <cell r="AQ16">
            <v>8400</v>
          </cell>
          <cell r="AR16">
            <v>0</v>
          </cell>
          <cell r="AS16">
            <v>-8400</v>
          </cell>
          <cell r="AT16">
            <v>1400</v>
          </cell>
          <cell r="AU16">
            <v>1.3046171231682339E-2</v>
          </cell>
          <cell r="AV16">
            <v>0</v>
          </cell>
          <cell r="AW16" t="e">
            <v>#DIV/0!</v>
          </cell>
          <cell r="AX16">
            <v>9800</v>
          </cell>
          <cell r="AY16">
            <v>0</v>
          </cell>
          <cell r="AZ16">
            <v>-9800</v>
          </cell>
          <cell r="BA16">
            <v>1400</v>
          </cell>
          <cell r="BB16">
            <v>1.3046171231682339E-2</v>
          </cell>
          <cell r="BC16">
            <v>0</v>
          </cell>
          <cell r="BD16" t="e">
            <v>#DIV/0!</v>
          </cell>
          <cell r="BE16">
            <v>11200</v>
          </cell>
          <cell r="BF16">
            <v>0</v>
          </cell>
          <cell r="BG16">
            <v>-11200</v>
          </cell>
          <cell r="BH16">
            <v>1400</v>
          </cell>
          <cell r="BI16">
            <v>1.3046171231682339E-2</v>
          </cell>
          <cell r="BJ16">
            <v>0</v>
          </cell>
          <cell r="BK16" t="e">
            <v>#DIV/0!</v>
          </cell>
          <cell r="BL16">
            <v>12600</v>
          </cell>
          <cell r="BM16">
            <v>0</v>
          </cell>
          <cell r="BN16">
            <v>-12600</v>
          </cell>
          <cell r="BO16">
            <v>1400</v>
          </cell>
          <cell r="BP16">
            <v>1.3046171231682339E-2</v>
          </cell>
          <cell r="BQ16">
            <v>0</v>
          </cell>
          <cell r="BR16" t="e">
            <v>#DIV/0!</v>
          </cell>
          <cell r="BS16">
            <v>14000</v>
          </cell>
          <cell r="BT16">
            <v>0</v>
          </cell>
          <cell r="BU16">
            <v>-14000</v>
          </cell>
          <cell r="BV16">
            <v>1400</v>
          </cell>
          <cell r="BW16">
            <v>1.3046171231682339E-2</v>
          </cell>
          <cell r="BX16">
            <v>0</v>
          </cell>
          <cell r="BY16" t="e">
            <v>#DIV/0!</v>
          </cell>
          <cell r="BZ16">
            <v>15400</v>
          </cell>
          <cell r="CA16">
            <v>0</v>
          </cell>
          <cell r="CB16">
            <v>-15400</v>
          </cell>
          <cell r="CC16">
            <v>1400</v>
          </cell>
          <cell r="CD16">
            <v>1.3046171231682339E-2</v>
          </cell>
          <cell r="CE16">
            <v>0</v>
          </cell>
          <cell r="CF16" t="e">
            <v>#DIV/0!</v>
          </cell>
          <cell r="CG16">
            <v>16800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9.1248222520202999E-3</v>
          </cell>
          <cell r="C18">
            <v>878.5261382158651</v>
          </cell>
          <cell r="D18">
            <v>880</v>
          </cell>
          <cell r="E18">
            <v>1.2571428571428572E-2</v>
          </cell>
          <cell r="F18">
            <v>1179.361374429822</v>
          </cell>
          <cell r="G18">
            <v>1.2851321171178164E-2</v>
          </cell>
          <cell r="H18">
            <v>880</v>
          </cell>
          <cell r="I18">
            <v>1179.361374429822</v>
          </cell>
          <cell r="J18">
            <v>299.36137442982204</v>
          </cell>
          <cell r="K18">
            <v>880</v>
          </cell>
          <cell r="L18">
            <v>1.2571428571428572E-2</v>
          </cell>
          <cell r="M18">
            <v>1175.7184750476688</v>
          </cell>
          <cell r="N18">
            <v>1.9221061044876701E-2</v>
          </cell>
          <cell r="O18">
            <v>1760</v>
          </cell>
          <cell r="P18">
            <v>2355.0798494774908</v>
          </cell>
          <cell r="Q18">
            <v>595.07984947749082</v>
          </cell>
          <cell r="R18">
            <v>880</v>
          </cell>
          <cell r="S18">
            <v>8.2004504884860413E-3</v>
          </cell>
          <cell r="T18">
            <v>1264.6250044285418</v>
          </cell>
          <cell r="U18">
            <v>1.1885993381237362E-2</v>
          </cell>
          <cell r="V18">
            <v>2640</v>
          </cell>
          <cell r="W18">
            <v>3619.7048539060324</v>
          </cell>
          <cell r="X18">
            <v>979.70485390603244</v>
          </cell>
          <cell r="Y18">
            <v>880</v>
          </cell>
          <cell r="Z18">
            <v>8.2004504884860413E-3</v>
          </cell>
          <cell r="AA18">
            <v>0</v>
          </cell>
          <cell r="AB18" t="e">
            <v>#DIV/0!</v>
          </cell>
          <cell r="AC18">
            <v>3520</v>
          </cell>
          <cell r="AD18">
            <v>3619.7048539060324</v>
          </cell>
          <cell r="AE18">
            <v>99.70485390603244</v>
          </cell>
          <cell r="AF18">
            <v>880</v>
          </cell>
          <cell r="AG18">
            <v>8.2004504884860413E-3</v>
          </cell>
          <cell r="AH18">
            <v>0</v>
          </cell>
          <cell r="AI18" t="e">
            <v>#DIV/0!</v>
          </cell>
          <cell r="AJ18">
            <v>4400</v>
          </cell>
          <cell r="AK18">
            <v>3619.7048539060324</v>
          </cell>
          <cell r="AL18">
            <v>-780.29514609396756</v>
          </cell>
          <cell r="AM18">
            <v>880</v>
          </cell>
          <cell r="AN18">
            <v>8.2004504884860413E-3</v>
          </cell>
          <cell r="AO18">
            <v>0</v>
          </cell>
          <cell r="AP18" t="e">
            <v>#DIV/0!</v>
          </cell>
          <cell r="AQ18">
            <v>5280</v>
          </cell>
          <cell r="AR18">
            <v>3619.7048539060324</v>
          </cell>
          <cell r="AS18">
            <v>-1660.2951460939676</v>
          </cell>
          <cell r="AT18">
            <v>880</v>
          </cell>
          <cell r="AU18">
            <v>8.2004504884860413E-3</v>
          </cell>
          <cell r="AV18">
            <v>0</v>
          </cell>
          <cell r="AW18" t="e">
            <v>#DIV/0!</v>
          </cell>
          <cell r="AX18">
            <v>6160</v>
          </cell>
          <cell r="AY18">
            <v>3619.7048539060324</v>
          </cell>
          <cell r="AZ18">
            <v>-2540.2951460939676</v>
          </cell>
          <cell r="BA18">
            <v>880</v>
          </cell>
          <cell r="BB18">
            <v>8.2004504884860413E-3</v>
          </cell>
          <cell r="BC18">
            <v>0</v>
          </cell>
          <cell r="BD18" t="e">
            <v>#DIV/0!</v>
          </cell>
          <cell r="BE18">
            <v>7040</v>
          </cell>
          <cell r="BF18">
            <v>3619.7048539060324</v>
          </cell>
          <cell r="BG18">
            <v>-3420.2951460939676</v>
          </cell>
          <cell r="BH18">
            <v>880</v>
          </cell>
          <cell r="BI18">
            <v>8.2004504884860413E-3</v>
          </cell>
          <cell r="BJ18">
            <v>0</v>
          </cell>
          <cell r="BK18" t="e">
            <v>#DIV/0!</v>
          </cell>
          <cell r="BL18">
            <v>7920</v>
          </cell>
          <cell r="BM18">
            <v>3619.7048539060324</v>
          </cell>
          <cell r="BN18">
            <v>-4300.2951460939676</v>
          </cell>
          <cell r="BO18">
            <v>880</v>
          </cell>
          <cell r="BP18">
            <v>8.2004504884860413E-3</v>
          </cell>
          <cell r="BQ18">
            <v>0</v>
          </cell>
          <cell r="BR18" t="e">
            <v>#DIV/0!</v>
          </cell>
          <cell r="BS18">
            <v>8800</v>
          </cell>
          <cell r="BT18">
            <v>3619.7048539060324</v>
          </cell>
          <cell r="BU18">
            <v>-5180.2951460939676</v>
          </cell>
          <cell r="BV18">
            <v>880</v>
          </cell>
          <cell r="BW18">
            <v>8.2004504884860413E-3</v>
          </cell>
          <cell r="BX18">
            <v>0</v>
          </cell>
          <cell r="BY18" t="e">
            <v>#DIV/0!</v>
          </cell>
          <cell r="BZ18">
            <v>9680</v>
          </cell>
          <cell r="CA18">
            <v>3619.7048539060324</v>
          </cell>
          <cell r="CB18">
            <v>-6060.2951460939676</v>
          </cell>
          <cell r="CC18">
            <v>880</v>
          </cell>
          <cell r="CD18">
            <v>8.2004504884860413E-3</v>
          </cell>
          <cell r="CE18">
            <v>0</v>
          </cell>
          <cell r="CF18" t="e">
            <v>#DIV/0!</v>
          </cell>
          <cell r="CG18">
            <v>10560</v>
          </cell>
          <cell r="CH18">
            <v>3619.7048539060324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2.5214815788069455E-2</v>
          </cell>
          <cell r="C20">
            <v>2427.65</v>
          </cell>
          <cell r="D20">
            <v>1500</v>
          </cell>
          <cell r="E20">
            <v>2.1428571428571429E-2</v>
          </cell>
          <cell r="F20">
            <v>2195.83</v>
          </cell>
          <cell r="G20">
            <v>2.3927624881687475E-2</v>
          </cell>
          <cell r="H20">
            <v>1500</v>
          </cell>
          <cell r="I20">
            <v>2195.83</v>
          </cell>
          <cell r="J20">
            <v>695.82999999999993</v>
          </cell>
          <cell r="K20">
            <v>1500</v>
          </cell>
          <cell r="L20">
            <v>2.1428571428571429E-2</v>
          </cell>
          <cell r="M20">
            <v>0</v>
          </cell>
          <cell r="N20">
            <v>0</v>
          </cell>
          <cell r="O20">
            <v>3000</v>
          </cell>
          <cell r="P20">
            <v>2195.83</v>
          </cell>
          <cell r="Q20">
            <v>-804.17000000000007</v>
          </cell>
          <cell r="R20">
            <v>1500</v>
          </cell>
          <cell r="S20">
            <v>1.3978040605373936E-2</v>
          </cell>
          <cell r="T20">
            <v>0</v>
          </cell>
          <cell r="U20">
            <v>0</v>
          </cell>
          <cell r="V20">
            <v>4500</v>
          </cell>
          <cell r="W20">
            <v>2195.83</v>
          </cell>
          <cell r="X20">
            <v>-2304.17</v>
          </cell>
          <cell r="Y20">
            <v>1500</v>
          </cell>
          <cell r="Z20">
            <v>1.3978040605373936E-2</v>
          </cell>
          <cell r="AA20">
            <v>0</v>
          </cell>
          <cell r="AB20" t="e">
            <v>#DIV/0!</v>
          </cell>
          <cell r="AC20">
            <v>6000</v>
          </cell>
          <cell r="AD20">
            <v>2195.83</v>
          </cell>
          <cell r="AE20">
            <v>-3804.17</v>
          </cell>
          <cell r="AF20">
            <v>1500</v>
          </cell>
          <cell r="AG20">
            <v>1.3978040605373936E-2</v>
          </cell>
          <cell r="AH20">
            <v>0</v>
          </cell>
          <cell r="AI20" t="e">
            <v>#DIV/0!</v>
          </cell>
          <cell r="AJ20">
            <v>7500</v>
          </cell>
          <cell r="AK20">
            <v>2195.83</v>
          </cell>
          <cell r="AL20">
            <v>-5304.17</v>
          </cell>
          <cell r="AM20">
            <v>1500</v>
          </cell>
          <cell r="AN20">
            <v>1.3978040605373936E-2</v>
          </cell>
          <cell r="AO20">
            <v>0</v>
          </cell>
          <cell r="AP20" t="e">
            <v>#DIV/0!</v>
          </cell>
          <cell r="AQ20">
            <v>9000</v>
          </cell>
          <cell r="AR20">
            <v>2195.83</v>
          </cell>
          <cell r="AS20">
            <v>-6804.17</v>
          </cell>
          <cell r="AT20">
            <v>1500</v>
          </cell>
          <cell r="AU20">
            <v>1.3978040605373936E-2</v>
          </cell>
          <cell r="AV20">
            <v>0</v>
          </cell>
          <cell r="AW20" t="e">
            <v>#DIV/0!</v>
          </cell>
          <cell r="AX20">
            <v>10500</v>
          </cell>
          <cell r="AY20">
            <v>2195.83</v>
          </cell>
          <cell r="AZ20">
            <v>-8304.17</v>
          </cell>
          <cell r="BA20">
            <v>1500</v>
          </cell>
          <cell r="BB20">
            <v>1.3978040605373936E-2</v>
          </cell>
          <cell r="BC20">
            <v>0</v>
          </cell>
          <cell r="BD20" t="e">
            <v>#DIV/0!</v>
          </cell>
          <cell r="BE20">
            <v>12000</v>
          </cell>
          <cell r="BF20">
            <v>2195.83</v>
          </cell>
          <cell r="BG20">
            <v>-9804.17</v>
          </cell>
          <cell r="BH20">
            <v>1500</v>
          </cell>
          <cell r="BI20">
            <v>1.3978040605373936E-2</v>
          </cell>
          <cell r="BJ20">
            <v>0</v>
          </cell>
          <cell r="BK20" t="e">
            <v>#DIV/0!</v>
          </cell>
          <cell r="BL20">
            <v>13500</v>
          </cell>
          <cell r="BM20">
            <v>2195.83</v>
          </cell>
          <cell r="BN20">
            <v>-11304.17</v>
          </cell>
          <cell r="BO20">
            <v>1500</v>
          </cell>
          <cell r="BP20">
            <v>1.3978040605373936E-2</v>
          </cell>
          <cell r="BQ20">
            <v>0</v>
          </cell>
          <cell r="BR20" t="e">
            <v>#DIV/0!</v>
          </cell>
          <cell r="BS20">
            <v>15000</v>
          </cell>
          <cell r="BT20">
            <v>2195.83</v>
          </cell>
          <cell r="BU20">
            <v>-12804.17</v>
          </cell>
          <cell r="BV20">
            <v>1500</v>
          </cell>
          <cell r="BW20">
            <v>1.3978040605373936E-2</v>
          </cell>
          <cell r="BX20">
            <v>0</v>
          </cell>
          <cell r="BY20" t="e">
            <v>#DIV/0!</v>
          </cell>
          <cell r="BZ20">
            <v>16500</v>
          </cell>
          <cell r="CA20">
            <v>2195.83</v>
          </cell>
          <cell r="CB20">
            <v>-14304.17</v>
          </cell>
          <cell r="CC20">
            <v>1500</v>
          </cell>
          <cell r="CD20">
            <v>1.3978040605373936E-2</v>
          </cell>
          <cell r="CE20">
            <v>0</v>
          </cell>
          <cell r="CF20" t="e">
            <v>#DIV/0!</v>
          </cell>
          <cell r="CG20">
            <v>18000</v>
          </cell>
          <cell r="CH20">
            <v>2195.83</v>
          </cell>
        </row>
        <row r="21">
          <cell r="A21" t="str">
            <v>Penalidades/Irregularidades</v>
          </cell>
          <cell r="B21">
            <v>1.819803451706246E-4</v>
          </cell>
          <cell r="C21">
            <v>17.520833333333332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3.9275283935237993E-4</v>
          </cell>
          <cell r="C22">
            <v>37.813737703566474</v>
          </cell>
          <cell r="D22">
            <v>400</v>
          </cell>
          <cell r="E22">
            <v>5.7142857142857143E-3</v>
          </cell>
          <cell r="F22">
            <v>0</v>
          </cell>
          <cell r="G22">
            <v>0</v>
          </cell>
          <cell r="H22">
            <v>400</v>
          </cell>
          <cell r="I22">
            <v>0</v>
          </cell>
          <cell r="J22">
            <v>-400</v>
          </cell>
          <cell r="K22">
            <v>400</v>
          </cell>
          <cell r="L22">
            <v>5.7142857142857143E-3</v>
          </cell>
          <cell r="M22">
            <v>0</v>
          </cell>
          <cell r="N22">
            <v>0</v>
          </cell>
          <cell r="O22">
            <v>800</v>
          </cell>
          <cell r="P22">
            <v>0</v>
          </cell>
          <cell r="Q22">
            <v>-800</v>
          </cell>
          <cell r="R22">
            <v>400</v>
          </cell>
          <cell r="S22">
            <v>3.7274774947663827E-3</v>
          </cell>
          <cell r="T22">
            <v>0</v>
          </cell>
          <cell r="U22">
            <v>0</v>
          </cell>
          <cell r="V22">
            <v>1200</v>
          </cell>
          <cell r="W22">
            <v>0</v>
          </cell>
          <cell r="X22">
            <v>-1200</v>
          </cell>
          <cell r="Y22">
            <v>400</v>
          </cell>
          <cell r="Z22">
            <v>3.7274774947663827E-3</v>
          </cell>
          <cell r="AA22">
            <v>0</v>
          </cell>
          <cell r="AB22" t="e">
            <v>#DIV/0!</v>
          </cell>
          <cell r="AC22">
            <v>1600</v>
          </cell>
          <cell r="AD22">
            <v>0</v>
          </cell>
          <cell r="AE22">
            <v>-1600</v>
          </cell>
          <cell r="AF22">
            <v>400</v>
          </cell>
          <cell r="AG22">
            <v>3.7274774947663827E-3</v>
          </cell>
          <cell r="AH22">
            <v>0</v>
          </cell>
          <cell r="AI22" t="e">
            <v>#DIV/0!</v>
          </cell>
          <cell r="AJ22">
            <v>2000</v>
          </cell>
          <cell r="AK22">
            <v>0</v>
          </cell>
          <cell r="AL22">
            <v>-2000</v>
          </cell>
          <cell r="AM22">
            <v>400</v>
          </cell>
          <cell r="AN22">
            <v>3.7274774947663827E-3</v>
          </cell>
          <cell r="AO22">
            <v>0</v>
          </cell>
          <cell r="AP22" t="e">
            <v>#DIV/0!</v>
          </cell>
          <cell r="AQ22">
            <v>2400</v>
          </cell>
          <cell r="AR22">
            <v>0</v>
          </cell>
          <cell r="AS22">
            <v>-2400</v>
          </cell>
          <cell r="AT22">
            <v>400</v>
          </cell>
          <cell r="AU22">
            <v>3.7274774947663827E-3</v>
          </cell>
          <cell r="AV22">
            <v>0</v>
          </cell>
          <cell r="AW22" t="e">
            <v>#DIV/0!</v>
          </cell>
          <cell r="AX22">
            <v>2800</v>
          </cell>
          <cell r="AY22">
            <v>0</v>
          </cell>
          <cell r="AZ22">
            <v>-2800</v>
          </cell>
          <cell r="BA22">
            <v>400</v>
          </cell>
          <cell r="BB22">
            <v>3.7274774947663827E-3</v>
          </cell>
          <cell r="BC22">
            <v>0</v>
          </cell>
          <cell r="BD22" t="e">
            <v>#DIV/0!</v>
          </cell>
          <cell r="BE22">
            <v>3200</v>
          </cell>
          <cell r="BF22">
            <v>0</v>
          </cell>
          <cell r="BG22">
            <v>-3200</v>
          </cell>
          <cell r="BH22">
            <v>400</v>
          </cell>
          <cell r="BI22">
            <v>3.7274774947663827E-3</v>
          </cell>
          <cell r="BJ22">
            <v>0</v>
          </cell>
          <cell r="BK22" t="e">
            <v>#DIV/0!</v>
          </cell>
          <cell r="BL22">
            <v>3600</v>
          </cell>
          <cell r="BM22">
            <v>0</v>
          </cell>
          <cell r="BN22">
            <v>-3600</v>
          </cell>
          <cell r="BO22">
            <v>400</v>
          </cell>
          <cell r="BP22">
            <v>3.7274774947663827E-3</v>
          </cell>
          <cell r="BQ22">
            <v>0</v>
          </cell>
          <cell r="BR22" t="e">
            <v>#DIV/0!</v>
          </cell>
          <cell r="BS22">
            <v>4000</v>
          </cell>
          <cell r="BT22">
            <v>0</v>
          </cell>
          <cell r="BU22">
            <v>-4000</v>
          </cell>
          <cell r="BV22">
            <v>400</v>
          </cell>
          <cell r="BW22">
            <v>3.7274774947663827E-3</v>
          </cell>
          <cell r="BX22">
            <v>0</v>
          </cell>
          <cell r="BY22" t="e">
            <v>#DIV/0!</v>
          </cell>
          <cell r="BZ22">
            <v>4400</v>
          </cell>
          <cell r="CA22">
            <v>0</v>
          </cell>
          <cell r="CB22">
            <v>-4400</v>
          </cell>
          <cell r="CC22">
            <v>400</v>
          </cell>
          <cell r="CD22">
            <v>3.7274774947663827E-3</v>
          </cell>
          <cell r="CE22">
            <v>0</v>
          </cell>
          <cell r="CF22" t="e">
            <v>#DIV/0!</v>
          </cell>
          <cell r="CG22">
            <v>4800</v>
          </cell>
          <cell r="CH22">
            <v>0</v>
          </cell>
        </row>
        <row r="23">
          <cell r="A23" t="str">
            <v>GNA</v>
          </cell>
          <cell r="B23">
            <v>1.5586991509967464E-2</v>
          </cell>
          <cell r="C23">
            <v>1500.6954743280985</v>
          </cell>
          <cell r="D23">
            <v>700</v>
          </cell>
          <cell r="E23">
            <v>0.01</v>
          </cell>
          <cell r="F23">
            <v>1184.8560286196175</v>
          </cell>
          <cell r="G23">
            <v>1.2911195580539554E-2</v>
          </cell>
          <cell r="H23">
            <v>700</v>
          </cell>
          <cell r="I23">
            <v>1184.8560286196175</v>
          </cell>
          <cell r="J23">
            <v>484.85602861961752</v>
          </cell>
          <cell r="K23">
            <v>700</v>
          </cell>
          <cell r="L23">
            <v>0.01</v>
          </cell>
          <cell r="M23">
            <v>805.51011795637771</v>
          </cell>
          <cell r="N23">
            <v>1.3168764017999827E-2</v>
          </cell>
          <cell r="O23">
            <v>1400</v>
          </cell>
          <cell r="P23">
            <v>1990.3661465759951</v>
          </cell>
          <cell r="Q23">
            <v>590.36614657599512</v>
          </cell>
          <cell r="R23">
            <v>1073.1117775</v>
          </cell>
          <cell r="S23">
            <v>0.01</v>
          </cell>
          <cell r="T23">
            <v>1094.4787311439027</v>
          </cell>
          <cell r="U23">
            <v>1.0286817759198093E-2</v>
          </cell>
          <cell r="V23">
            <v>2473.1117775000002</v>
          </cell>
          <cell r="W23">
            <v>3084.8448777198978</v>
          </cell>
          <cell r="X23">
            <v>611.73310021989755</v>
          </cell>
          <cell r="Y23">
            <v>1073.1117775</v>
          </cell>
          <cell r="Z23">
            <v>0.01</v>
          </cell>
          <cell r="AA23">
            <v>0</v>
          </cell>
          <cell r="AB23" t="e">
            <v>#DIV/0!</v>
          </cell>
          <cell r="AC23">
            <v>3546.2235550000005</v>
          </cell>
          <cell r="AD23">
            <v>3084.8448777198978</v>
          </cell>
          <cell r="AE23">
            <v>-461.37867728010269</v>
          </cell>
          <cell r="AF23">
            <v>1073.1117775</v>
          </cell>
          <cell r="AG23">
            <v>0.01</v>
          </cell>
          <cell r="AH23">
            <v>0</v>
          </cell>
          <cell r="AI23" t="e">
            <v>#DIV/0!</v>
          </cell>
          <cell r="AJ23">
            <v>4619.3353325000007</v>
          </cell>
          <cell r="AK23">
            <v>3084.8448777198978</v>
          </cell>
          <cell r="AL23">
            <v>-1534.4904547801029</v>
          </cell>
          <cell r="AM23">
            <v>1073.1117775</v>
          </cell>
          <cell r="AN23">
            <v>0.01</v>
          </cell>
          <cell r="AO23">
            <v>0</v>
          </cell>
          <cell r="AP23" t="e">
            <v>#DIV/0!</v>
          </cell>
          <cell r="AQ23">
            <v>5692.447110000001</v>
          </cell>
          <cell r="AR23">
            <v>3084.8448777198978</v>
          </cell>
          <cell r="AS23">
            <v>-2607.6022322801032</v>
          </cell>
          <cell r="AT23">
            <v>1073.1117775</v>
          </cell>
          <cell r="AU23">
            <v>0.01</v>
          </cell>
          <cell r="AV23">
            <v>0</v>
          </cell>
          <cell r="AW23" t="e">
            <v>#DIV/0!</v>
          </cell>
          <cell r="AX23">
            <v>6765.5588875000012</v>
          </cell>
          <cell r="AY23">
            <v>3084.8448777198978</v>
          </cell>
          <cell r="AZ23">
            <v>-3680.7140097801034</v>
          </cell>
          <cell r="BA23">
            <v>1073.1117775</v>
          </cell>
          <cell r="BB23">
            <v>0.01</v>
          </cell>
          <cell r="BC23">
            <v>0</v>
          </cell>
          <cell r="BD23" t="e">
            <v>#DIV/0!</v>
          </cell>
          <cell r="BE23">
            <v>7838.6706650000015</v>
          </cell>
          <cell r="BF23">
            <v>3084.8448777198978</v>
          </cell>
          <cell r="BG23">
            <v>-4753.8257872801041</v>
          </cell>
          <cell r="BH23">
            <v>1073.1117775</v>
          </cell>
          <cell r="BI23">
            <v>0.01</v>
          </cell>
          <cell r="BJ23">
            <v>0</v>
          </cell>
          <cell r="BK23" t="e">
            <v>#DIV/0!</v>
          </cell>
          <cell r="BL23">
            <v>8911.7824425000017</v>
          </cell>
          <cell r="BM23">
            <v>3084.8448777198978</v>
          </cell>
          <cell r="BN23">
            <v>-5826.9375647801044</v>
          </cell>
          <cell r="BO23">
            <v>1073.1117775</v>
          </cell>
          <cell r="BP23">
            <v>0.01</v>
          </cell>
          <cell r="BQ23">
            <v>0</v>
          </cell>
          <cell r="BR23" t="e">
            <v>#DIV/0!</v>
          </cell>
          <cell r="BS23">
            <v>9984.894220000002</v>
          </cell>
          <cell r="BT23">
            <v>3084.8448777198978</v>
          </cell>
          <cell r="BU23">
            <v>-6900.0493422801046</v>
          </cell>
          <cell r="BV23">
            <v>1073.1117775</v>
          </cell>
          <cell r="BW23">
            <v>0.01</v>
          </cell>
          <cell r="BX23">
            <v>0</v>
          </cell>
          <cell r="BY23" t="e">
            <v>#DIV/0!</v>
          </cell>
          <cell r="BZ23">
            <v>11058.005997500002</v>
          </cell>
          <cell r="CA23">
            <v>3084.8448777198978</v>
          </cell>
          <cell r="CB23">
            <v>-7973.1611197801049</v>
          </cell>
          <cell r="CC23">
            <v>1073.1117775</v>
          </cell>
          <cell r="CD23">
            <v>0.01</v>
          </cell>
          <cell r="CE23">
            <v>0</v>
          </cell>
          <cell r="CF23" t="e">
            <v>#DIV/0!</v>
          </cell>
          <cell r="CG23">
            <v>12131.117775000002</v>
          </cell>
          <cell r="CH23">
            <v>3084.8448777198978</v>
          </cell>
        </row>
        <row r="24">
          <cell r="A24" t="str">
            <v>Correios</v>
          </cell>
          <cell r="B24">
            <v>3.339386635787566E-4</v>
          </cell>
          <cell r="C24">
            <v>32.151184583333333</v>
          </cell>
          <cell r="D24">
            <v>40</v>
          </cell>
          <cell r="E24">
            <v>5.7142857142857147E-4</v>
          </cell>
          <cell r="F24">
            <v>0</v>
          </cell>
          <cell r="G24">
            <v>0</v>
          </cell>
          <cell r="H24">
            <v>40</v>
          </cell>
          <cell r="I24">
            <v>0</v>
          </cell>
          <cell r="J24">
            <v>-40</v>
          </cell>
          <cell r="K24">
            <v>40</v>
          </cell>
          <cell r="L24">
            <v>5.7142857142857147E-4</v>
          </cell>
          <cell r="M24">
            <v>31.950064999999999</v>
          </cell>
          <cell r="N24">
            <v>5.223309514872424E-4</v>
          </cell>
          <cell r="O24">
            <v>80</v>
          </cell>
          <cell r="P24">
            <v>31.950064999999999</v>
          </cell>
          <cell r="Q24">
            <v>-48.049935000000005</v>
          </cell>
          <cell r="R24">
            <v>40</v>
          </cell>
          <cell r="S24">
            <v>3.7274774947663829E-4</v>
          </cell>
          <cell r="T24">
            <v>96.299705000000003</v>
          </cell>
          <cell r="U24">
            <v>9.0510440030587547E-4</v>
          </cell>
          <cell r="V24">
            <v>120</v>
          </cell>
          <cell r="W24">
            <v>128.24977000000001</v>
          </cell>
          <cell r="X24">
            <v>8.2497700000000123</v>
          </cell>
          <cell r="Y24">
            <v>40</v>
          </cell>
          <cell r="Z24">
            <v>3.7274774947663829E-4</v>
          </cell>
          <cell r="AA24">
            <v>0</v>
          </cell>
          <cell r="AB24" t="e">
            <v>#DIV/0!</v>
          </cell>
          <cell r="AC24">
            <v>160</v>
          </cell>
          <cell r="AD24">
            <v>128.24977000000001</v>
          </cell>
          <cell r="AE24">
            <v>-31.750229999999988</v>
          </cell>
          <cell r="AF24">
            <v>40</v>
          </cell>
          <cell r="AG24">
            <v>3.7274774947663829E-4</v>
          </cell>
          <cell r="AH24">
            <v>0</v>
          </cell>
          <cell r="AI24" t="e">
            <v>#DIV/0!</v>
          </cell>
          <cell r="AJ24">
            <v>200</v>
          </cell>
          <cell r="AK24">
            <v>128.24977000000001</v>
          </cell>
          <cell r="AL24">
            <v>-71.750229999999988</v>
          </cell>
          <cell r="AM24">
            <v>40</v>
          </cell>
          <cell r="AN24">
            <v>3.7274774947663829E-4</v>
          </cell>
          <cell r="AO24">
            <v>0</v>
          </cell>
          <cell r="AP24" t="e">
            <v>#DIV/0!</v>
          </cell>
          <cell r="AQ24">
            <v>240</v>
          </cell>
          <cell r="AR24">
            <v>128.24977000000001</v>
          </cell>
          <cell r="AS24">
            <v>-111.75022999999999</v>
          </cell>
          <cell r="AT24">
            <v>40</v>
          </cell>
          <cell r="AU24">
            <v>3.7274774947663829E-4</v>
          </cell>
          <cell r="AV24">
            <v>0</v>
          </cell>
          <cell r="AW24" t="e">
            <v>#DIV/0!</v>
          </cell>
          <cell r="AX24">
            <v>280</v>
          </cell>
          <cell r="AY24">
            <v>128.24977000000001</v>
          </cell>
          <cell r="AZ24">
            <v>-151.75022999999999</v>
          </cell>
          <cell r="BA24">
            <v>40</v>
          </cell>
          <cell r="BB24">
            <v>3.7274774947663829E-4</v>
          </cell>
          <cell r="BC24">
            <v>0</v>
          </cell>
          <cell r="BD24" t="e">
            <v>#DIV/0!</v>
          </cell>
          <cell r="BE24">
            <v>320</v>
          </cell>
          <cell r="BF24">
            <v>128.24977000000001</v>
          </cell>
          <cell r="BG24">
            <v>-191.75022999999999</v>
          </cell>
          <cell r="BH24">
            <v>40</v>
          </cell>
          <cell r="BI24">
            <v>3.7274774947663829E-4</v>
          </cell>
          <cell r="BJ24">
            <v>0</v>
          </cell>
          <cell r="BK24" t="e">
            <v>#DIV/0!</v>
          </cell>
          <cell r="BL24">
            <v>360</v>
          </cell>
          <cell r="BM24">
            <v>128.24977000000001</v>
          </cell>
          <cell r="BN24">
            <v>-231.75022999999999</v>
          </cell>
          <cell r="BO24">
            <v>40</v>
          </cell>
          <cell r="BP24">
            <v>3.7274774947663829E-4</v>
          </cell>
          <cell r="BQ24">
            <v>0</v>
          </cell>
          <cell r="BR24" t="e">
            <v>#DIV/0!</v>
          </cell>
          <cell r="BS24">
            <v>400</v>
          </cell>
          <cell r="BT24">
            <v>128.24977000000001</v>
          </cell>
          <cell r="BU24">
            <v>-271.75022999999999</v>
          </cell>
          <cell r="BV24">
            <v>40</v>
          </cell>
          <cell r="BW24">
            <v>3.7274774947663829E-4</v>
          </cell>
          <cell r="BX24">
            <v>0</v>
          </cell>
          <cell r="BY24" t="e">
            <v>#DIV/0!</v>
          </cell>
          <cell r="BZ24">
            <v>440</v>
          </cell>
          <cell r="CA24">
            <v>128.24977000000001</v>
          </cell>
          <cell r="CB24">
            <v>-311.75022999999999</v>
          </cell>
          <cell r="CC24">
            <v>40</v>
          </cell>
          <cell r="CD24">
            <v>3.7274774947663829E-4</v>
          </cell>
          <cell r="CE24">
            <v>0</v>
          </cell>
          <cell r="CF24" t="e">
            <v>#DIV/0!</v>
          </cell>
          <cell r="CG24">
            <v>480</v>
          </cell>
          <cell r="CH24">
            <v>128.24977000000001</v>
          </cell>
        </row>
        <row r="25">
          <cell r="A25" t="str">
            <v xml:space="preserve">Correspondentes </v>
          </cell>
          <cell r="B25">
            <v>4.2635093282778716E-2</v>
          </cell>
          <cell r="C25">
            <v>4104.8518885833337</v>
          </cell>
          <cell r="D25">
            <v>5000</v>
          </cell>
          <cell r="E25">
            <v>7.1428571428571425E-2</v>
          </cell>
          <cell r="F25">
            <v>5610.5104119999996</v>
          </cell>
          <cell r="G25">
            <v>6.113687695911698E-2</v>
          </cell>
          <cell r="H25">
            <v>5000</v>
          </cell>
          <cell r="I25">
            <v>5610.5104119999996</v>
          </cell>
          <cell r="J25">
            <v>610.51041199999963</v>
          </cell>
          <cell r="K25">
            <v>5000</v>
          </cell>
          <cell r="L25">
            <v>7.1428571428571425E-2</v>
          </cell>
          <cell r="M25">
            <v>3257.941284</v>
          </cell>
          <cell r="N25">
            <v>5.3261975234206511E-2</v>
          </cell>
          <cell r="O25">
            <v>10000</v>
          </cell>
          <cell r="P25">
            <v>8868.4516960000001</v>
          </cell>
          <cell r="Q25">
            <v>-1131.5483039999999</v>
          </cell>
          <cell r="R25">
            <v>5000</v>
          </cell>
          <cell r="S25">
            <v>4.6593468684579781E-2</v>
          </cell>
          <cell r="T25">
            <v>2159.0774919999999</v>
          </cell>
          <cell r="U25">
            <v>2.0292798805672078E-2</v>
          </cell>
          <cell r="V25">
            <v>15000</v>
          </cell>
          <cell r="W25">
            <v>11027.529188</v>
          </cell>
          <cell r="X25">
            <v>-3972.4708119999996</v>
          </cell>
          <cell r="Y25">
            <v>5000</v>
          </cell>
          <cell r="Z25">
            <v>4.6593468684579781E-2</v>
          </cell>
          <cell r="AA25">
            <v>0</v>
          </cell>
          <cell r="AB25" t="e">
            <v>#DIV/0!</v>
          </cell>
          <cell r="AC25">
            <v>20000</v>
          </cell>
          <cell r="AD25">
            <v>11027.529188</v>
          </cell>
          <cell r="AE25">
            <v>-8972.4708119999996</v>
          </cell>
          <cell r="AF25">
            <v>5000</v>
          </cell>
          <cell r="AG25">
            <v>4.6593468684579781E-2</v>
          </cell>
          <cell r="AH25">
            <v>0</v>
          </cell>
          <cell r="AI25" t="e">
            <v>#DIV/0!</v>
          </cell>
          <cell r="AJ25">
            <v>25000</v>
          </cell>
          <cell r="AK25">
            <v>11027.529188</v>
          </cell>
          <cell r="AL25">
            <v>-13972.470812</v>
          </cell>
          <cell r="AM25">
            <v>5000</v>
          </cell>
          <cell r="AN25">
            <v>4.6593468684579781E-2</v>
          </cell>
          <cell r="AO25">
            <v>0</v>
          </cell>
          <cell r="AP25" t="e">
            <v>#DIV/0!</v>
          </cell>
          <cell r="AQ25">
            <v>30000</v>
          </cell>
          <cell r="AR25">
            <v>11027.529188</v>
          </cell>
          <cell r="AS25">
            <v>-18972.470812</v>
          </cell>
          <cell r="AT25">
            <v>5000</v>
          </cell>
          <cell r="AU25">
            <v>4.6593468684579781E-2</v>
          </cell>
          <cell r="AV25">
            <v>0</v>
          </cell>
          <cell r="AW25" t="e">
            <v>#DIV/0!</v>
          </cell>
          <cell r="AX25">
            <v>35000</v>
          </cell>
          <cell r="AY25">
            <v>11027.529188</v>
          </cell>
          <cell r="AZ25">
            <v>-23972.470812</v>
          </cell>
          <cell r="BA25">
            <v>5000</v>
          </cell>
          <cell r="BB25">
            <v>4.6593468684579781E-2</v>
          </cell>
          <cell r="BC25">
            <v>0</v>
          </cell>
          <cell r="BD25" t="e">
            <v>#DIV/0!</v>
          </cell>
          <cell r="BE25">
            <v>40000</v>
          </cell>
          <cell r="BF25">
            <v>11027.529188</v>
          </cell>
          <cell r="BG25">
            <v>-28972.470812</v>
          </cell>
          <cell r="BH25">
            <v>5000</v>
          </cell>
          <cell r="BI25">
            <v>4.6593468684579781E-2</v>
          </cell>
          <cell r="BJ25">
            <v>0</v>
          </cell>
          <cell r="BK25" t="e">
            <v>#DIV/0!</v>
          </cell>
          <cell r="BL25">
            <v>45000</v>
          </cell>
          <cell r="BM25">
            <v>11027.529188</v>
          </cell>
          <cell r="BN25">
            <v>-33972.470812</v>
          </cell>
          <cell r="BO25">
            <v>5000</v>
          </cell>
          <cell r="BP25">
            <v>4.6593468684579781E-2</v>
          </cell>
          <cell r="BQ25">
            <v>0</v>
          </cell>
          <cell r="BR25" t="e">
            <v>#DIV/0!</v>
          </cell>
          <cell r="BS25">
            <v>50000</v>
          </cell>
          <cell r="BT25">
            <v>11027.529188</v>
          </cell>
          <cell r="BU25">
            <v>-38972.470812</v>
          </cell>
          <cell r="BV25">
            <v>5000</v>
          </cell>
          <cell r="BW25">
            <v>4.6593468684579781E-2</v>
          </cell>
          <cell r="BX25">
            <v>0</v>
          </cell>
          <cell r="BY25" t="e">
            <v>#DIV/0!</v>
          </cell>
          <cell r="BZ25">
            <v>55000</v>
          </cell>
          <cell r="CA25">
            <v>11027.529188</v>
          </cell>
          <cell r="CB25">
            <v>-43972.470812</v>
          </cell>
          <cell r="CC25">
            <v>5000</v>
          </cell>
          <cell r="CD25">
            <v>4.6593468684579781E-2</v>
          </cell>
          <cell r="CE25">
            <v>0</v>
          </cell>
          <cell r="CF25" t="e">
            <v>#DIV/0!</v>
          </cell>
          <cell r="CG25">
            <v>60000</v>
          </cell>
          <cell r="CH25">
            <v>11027.529188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307.37325116496845</v>
          </cell>
          <cell r="G26">
            <v>3.3493994765259939E-3</v>
          </cell>
          <cell r="H26">
            <v>0</v>
          </cell>
          <cell r="I26">
            <v>307.37325116496845</v>
          </cell>
          <cell r="J26">
            <v>307.37325116496845</v>
          </cell>
          <cell r="K26">
            <v>0</v>
          </cell>
          <cell r="L26">
            <v>0</v>
          </cell>
          <cell r="M26">
            <v>597.67827034335596</v>
          </cell>
          <cell r="N26">
            <v>9.771055540315628E-3</v>
          </cell>
          <cell r="O26">
            <v>0</v>
          </cell>
          <cell r="P26">
            <v>905.05152150832441</v>
          </cell>
          <cell r="Q26">
            <v>905.05152150832441</v>
          </cell>
          <cell r="R26">
            <v>0</v>
          </cell>
          <cell r="S26">
            <v>0</v>
          </cell>
          <cell r="T26">
            <v>448.30849397291234</v>
          </cell>
          <cell r="U26">
            <v>4.2135745959905376E-3</v>
          </cell>
          <cell r="V26">
            <v>0</v>
          </cell>
          <cell r="W26">
            <v>1353.3600154812368</v>
          </cell>
          <cell r="X26">
            <v>1353.3600154812368</v>
          </cell>
          <cell r="Y26">
            <v>0</v>
          </cell>
          <cell r="Z26">
            <v>0</v>
          </cell>
          <cell r="AA26">
            <v>0</v>
          </cell>
          <cell r="AB26" t="e">
            <v>#DIV/0!</v>
          </cell>
          <cell r="AC26">
            <v>0</v>
          </cell>
          <cell r="AD26">
            <v>1353.3600154812368</v>
          </cell>
          <cell r="AE26">
            <v>1353.3600154812368</v>
          </cell>
          <cell r="AF26">
            <v>0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  <cell r="AK26">
            <v>1353.3600154812368</v>
          </cell>
          <cell r="AL26">
            <v>1353.3600154812368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1353.3600154812368</v>
          </cell>
          <cell r="AS26">
            <v>1353.3600154812368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1353.3600154812368</v>
          </cell>
          <cell r="AZ26">
            <v>1353.3600154812368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1353.3600154812368</v>
          </cell>
          <cell r="BG26">
            <v>1353.3600154812368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1353.3600154812368</v>
          </cell>
          <cell r="BN26">
            <v>1353.3600154812368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1353.3600154812368</v>
          </cell>
          <cell r="BU26">
            <v>1353.3600154812368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1353.3600154812368</v>
          </cell>
          <cell r="CB26">
            <v>1353.3600154812368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1353.3600154812368</v>
          </cell>
        </row>
        <row r="27">
          <cell r="A27" t="str">
            <v>Deslocamento</v>
          </cell>
          <cell r="B27">
            <v>8.9375935516379076E-5</v>
          </cell>
          <cell r="C27">
            <v>8.6050000000000004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206.15</v>
          </cell>
          <cell r="N27">
            <v>3.3702130386618939E-3</v>
          </cell>
          <cell r="O27">
            <v>0</v>
          </cell>
          <cell r="P27">
            <v>206.15</v>
          </cell>
          <cell r="Q27">
            <v>206.15</v>
          </cell>
          <cell r="R27">
            <v>0</v>
          </cell>
          <cell r="S27">
            <v>0</v>
          </cell>
          <cell r="T27">
            <v>378.73000400000001</v>
          </cell>
          <cell r="U27">
            <v>3.559618309819971E-3</v>
          </cell>
          <cell r="V27">
            <v>0</v>
          </cell>
          <cell r="W27">
            <v>584.88000399999999</v>
          </cell>
          <cell r="X27">
            <v>584.88000399999999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584.88000399999999</v>
          </cell>
          <cell r="AE27">
            <v>584.88000399999999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584.88000399999999</v>
          </cell>
          <cell r="AL27">
            <v>584.88000399999999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584.88000399999999</v>
          </cell>
          <cell r="AS27">
            <v>584.88000399999999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584.88000399999999</v>
          </cell>
          <cell r="AZ27">
            <v>584.88000399999999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584.88000399999999</v>
          </cell>
          <cell r="BG27">
            <v>584.88000399999999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584.88000399999999</v>
          </cell>
          <cell r="BN27">
            <v>584.88000399999999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584.88000399999999</v>
          </cell>
          <cell r="BU27">
            <v>584.88000399999999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584.88000399999999</v>
          </cell>
          <cell r="CB27">
            <v>584.88000399999999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584.88000399999999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1.3995197285097577E-2</v>
          </cell>
          <cell r="C30">
            <v>1347.4395757926902</v>
          </cell>
          <cell r="D30">
            <v>1848.204931064882</v>
          </cell>
          <cell r="E30">
            <v>2.6402927586641173E-2</v>
          </cell>
          <cell r="F30">
            <v>1943.0877378481755</v>
          </cell>
          <cell r="G30">
            <v>2.1173530967077522E-2</v>
          </cell>
          <cell r="H30">
            <v>1848.204931064882</v>
          </cell>
          <cell r="I30">
            <v>1943.0877378481755</v>
          </cell>
          <cell r="J30">
            <v>94.882806783293518</v>
          </cell>
          <cell r="K30">
            <v>1848.204931064882</v>
          </cell>
          <cell r="L30">
            <v>2.6402927586641173E-2</v>
          </cell>
          <cell r="M30">
            <v>1848.204931064882</v>
          </cell>
          <cell r="N30">
            <v>3.0215107236449538E-2</v>
          </cell>
          <cell r="O30">
            <v>3696.409862129764</v>
          </cell>
          <cell r="P30">
            <v>3791.2926689130572</v>
          </cell>
          <cell r="Q30">
            <v>94.88280678329329</v>
          </cell>
          <cell r="R30">
            <v>1848.204931064882</v>
          </cell>
          <cell r="S30">
            <v>1.7222855715651502E-2</v>
          </cell>
          <cell r="T30">
            <v>1353.8283801762132</v>
          </cell>
          <cell r="U30">
            <v>1.2724400600775112E-2</v>
          </cell>
          <cell r="V30">
            <v>5544.6147931946462</v>
          </cell>
          <cell r="W30">
            <v>5145.1210490892699</v>
          </cell>
          <cell r="X30">
            <v>-399.49374410537621</v>
          </cell>
          <cell r="Y30">
            <v>1848.204931064882</v>
          </cell>
          <cell r="Z30">
            <v>1.7222855715651502E-2</v>
          </cell>
          <cell r="AA30">
            <v>0</v>
          </cell>
          <cell r="AB30" t="e">
            <v>#DIV/0!</v>
          </cell>
          <cell r="AC30">
            <v>7392.8197242595279</v>
          </cell>
          <cell r="AD30">
            <v>5145.1210490892699</v>
          </cell>
          <cell r="AE30">
            <v>-2247.698675170258</v>
          </cell>
          <cell r="AF30">
            <v>1848.204931064882</v>
          </cell>
          <cell r="AG30">
            <v>1.7222855715651502E-2</v>
          </cell>
          <cell r="AH30">
            <v>0</v>
          </cell>
          <cell r="AI30" t="e">
            <v>#DIV/0!</v>
          </cell>
          <cell r="AJ30">
            <v>9241.0246553244106</v>
          </cell>
          <cell r="AK30">
            <v>5145.1210490892699</v>
          </cell>
          <cell r="AL30">
            <v>-4095.9036062351406</v>
          </cell>
          <cell r="AM30">
            <v>1848.204931064882</v>
          </cell>
          <cell r="AN30">
            <v>1.7222855715651502E-2</v>
          </cell>
          <cell r="AO30">
            <v>0</v>
          </cell>
          <cell r="AP30" t="e">
            <v>#DIV/0!</v>
          </cell>
          <cell r="AQ30">
            <v>11089.229586389292</v>
          </cell>
          <cell r="AR30">
            <v>5145.1210490892699</v>
          </cell>
          <cell r="AS30">
            <v>-5944.1085373000224</v>
          </cell>
          <cell r="AT30">
            <v>1848.204931064882</v>
          </cell>
          <cell r="AU30">
            <v>1.7222855715651502E-2</v>
          </cell>
          <cell r="AV30">
            <v>0</v>
          </cell>
          <cell r="AW30" t="e">
            <v>#DIV/0!</v>
          </cell>
          <cell r="AX30">
            <v>12937.434517454174</v>
          </cell>
          <cell r="AY30">
            <v>5145.1210490892699</v>
          </cell>
          <cell r="AZ30">
            <v>-7792.3134683649041</v>
          </cell>
          <cell r="BA30">
            <v>1848.204931064882</v>
          </cell>
          <cell r="BB30">
            <v>1.7222855715651502E-2</v>
          </cell>
          <cell r="BC30">
            <v>0</v>
          </cell>
          <cell r="BD30" t="e">
            <v>#DIV/0!</v>
          </cell>
          <cell r="BE30">
            <v>14785.639448519056</v>
          </cell>
          <cell r="BF30">
            <v>5145.1210490892699</v>
          </cell>
          <cell r="BG30">
            <v>-9640.5183994297859</v>
          </cell>
          <cell r="BH30">
            <v>1848.204931064882</v>
          </cell>
          <cell r="BI30">
            <v>1.7222855715651502E-2</v>
          </cell>
          <cell r="BJ30">
            <v>0</v>
          </cell>
          <cell r="BK30" t="e">
            <v>#DIV/0!</v>
          </cell>
          <cell r="BL30">
            <v>16633.844379583938</v>
          </cell>
          <cell r="BM30">
            <v>5145.1210490892699</v>
          </cell>
          <cell r="BN30">
            <v>-11488.723330494668</v>
          </cell>
          <cell r="BO30">
            <v>1848.204931064882</v>
          </cell>
          <cell r="BP30">
            <v>1.7222855715651502E-2</v>
          </cell>
          <cell r="BQ30">
            <v>0</v>
          </cell>
          <cell r="BR30" t="e">
            <v>#DIV/0!</v>
          </cell>
          <cell r="BS30">
            <v>18482.049310648821</v>
          </cell>
          <cell r="BT30">
            <v>5145.1210490892699</v>
          </cell>
          <cell r="BU30">
            <v>-13336.928261559551</v>
          </cell>
          <cell r="BV30">
            <v>1848.204931064882</v>
          </cell>
          <cell r="BW30">
            <v>1.7222855715651502E-2</v>
          </cell>
          <cell r="BX30">
            <v>0</v>
          </cell>
          <cell r="BY30" t="e">
            <v>#DIV/0!</v>
          </cell>
          <cell r="BZ30">
            <v>20330.254241713705</v>
          </cell>
          <cell r="CA30">
            <v>5145.1210490892699</v>
          </cell>
          <cell r="CB30">
            <v>-15185.133192624435</v>
          </cell>
          <cell r="CC30">
            <v>1848.204931064882</v>
          </cell>
          <cell r="CD30">
            <v>1.7222855715651502E-2</v>
          </cell>
          <cell r="CE30">
            <v>0</v>
          </cell>
          <cell r="CF30" t="e">
            <v>#DIV/0!</v>
          </cell>
          <cell r="CG30">
            <v>22178.459172778588</v>
          </cell>
          <cell r="CH30">
            <v>5145.1210490892699</v>
          </cell>
        </row>
        <row r="31">
          <cell r="A31" t="str">
            <v>Encargos Rescisórios</v>
          </cell>
          <cell r="B31">
            <v>9.3537378092102483E-3</v>
          </cell>
          <cell r="C31">
            <v>900.56583333333344</v>
          </cell>
          <cell r="D31">
            <v>250</v>
          </cell>
          <cell r="E31">
            <v>3.5714285714285713E-3</v>
          </cell>
          <cell r="F31">
            <v>0</v>
          </cell>
          <cell r="G31">
            <v>0</v>
          </cell>
          <cell r="H31">
            <v>250</v>
          </cell>
          <cell r="I31">
            <v>0</v>
          </cell>
          <cell r="J31">
            <v>-250</v>
          </cell>
          <cell r="K31">
            <v>250</v>
          </cell>
          <cell r="L31">
            <v>3.5714285714285713E-3</v>
          </cell>
          <cell r="M31">
            <v>0</v>
          </cell>
          <cell r="N31">
            <v>0</v>
          </cell>
          <cell r="O31">
            <v>500</v>
          </cell>
          <cell r="P31">
            <v>0</v>
          </cell>
          <cell r="Q31">
            <v>-500</v>
          </cell>
          <cell r="R31">
            <v>250</v>
          </cell>
          <cell r="S31">
            <v>2.3296734342289891E-3</v>
          </cell>
          <cell r="T31">
            <v>0</v>
          </cell>
          <cell r="U31">
            <v>0</v>
          </cell>
          <cell r="V31">
            <v>750</v>
          </cell>
          <cell r="W31">
            <v>0</v>
          </cell>
          <cell r="X31">
            <v>-750</v>
          </cell>
          <cell r="Y31">
            <v>250</v>
          </cell>
          <cell r="Z31">
            <v>2.3296734342289891E-3</v>
          </cell>
          <cell r="AA31">
            <v>0</v>
          </cell>
          <cell r="AB31" t="e">
            <v>#DIV/0!</v>
          </cell>
          <cell r="AC31">
            <v>1000</v>
          </cell>
          <cell r="AD31">
            <v>0</v>
          </cell>
          <cell r="AE31">
            <v>-1000</v>
          </cell>
          <cell r="AF31">
            <v>250</v>
          </cell>
          <cell r="AG31">
            <v>2.3296734342289891E-3</v>
          </cell>
          <cell r="AH31">
            <v>0</v>
          </cell>
          <cell r="AI31" t="e">
            <v>#DIV/0!</v>
          </cell>
          <cell r="AJ31">
            <v>1250</v>
          </cell>
          <cell r="AK31">
            <v>0</v>
          </cell>
          <cell r="AL31">
            <v>-1250</v>
          </cell>
          <cell r="AM31">
            <v>250</v>
          </cell>
          <cell r="AN31">
            <v>2.3296734342289891E-3</v>
          </cell>
          <cell r="AO31">
            <v>0</v>
          </cell>
          <cell r="AP31" t="e">
            <v>#DIV/0!</v>
          </cell>
          <cell r="AQ31">
            <v>1500</v>
          </cell>
          <cell r="AR31">
            <v>0</v>
          </cell>
          <cell r="AS31">
            <v>-1500</v>
          </cell>
          <cell r="AT31">
            <v>250</v>
          </cell>
          <cell r="AU31">
            <v>2.3296734342289891E-3</v>
          </cell>
          <cell r="AV31">
            <v>0</v>
          </cell>
          <cell r="AW31" t="e">
            <v>#DIV/0!</v>
          </cell>
          <cell r="AX31">
            <v>1750</v>
          </cell>
          <cell r="AY31">
            <v>0</v>
          </cell>
          <cell r="AZ31">
            <v>-1750</v>
          </cell>
          <cell r="BA31">
            <v>250</v>
          </cell>
          <cell r="BB31">
            <v>2.3296734342289891E-3</v>
          </cell>
          <cell r="BC31">
            <v>0</v>
          </cell>
          <cell r="BD31" t="e">
            <v>#DIV/0!</v>
          </cell>
          <cell r="BE31">
            <v>2000</v>
          </cell>
          <cell r="BF31">
            <v>0</v>
          </cell>
          <cell r="BG31">
            <v>-2000</v>
          </cell>
          <cell r="BH31">
            <v>250</v>
          </cell>
          <cell r="BI31">
            <v>2.3296734342289891E-3</v>
          </cell>
          <cell r="BJ31">
            <v>0</v>
          </cell>
          <cell r="BK31" t="e">
            <v>#DIV/0!</v>
          </cell>
          <cell r="BL31">
            <v>2250</v>
          </cell>
          <cell r="BM31">
            <v>0</v>
          </cell>
          <cell r="BN31">
            <v>-2250</v>
          </cell>
          <cell r="BO31">
            <v>250</v>
          </cell>
          <cell r="BP31">
            <v>2.3296734342289891E-3</v>
          </cell>
          <cell r="BQ31">
            <v>0</v>
          </cell>
          <cell r="BR31" t="e">
            <v>#DIV/0!</v>
          </cell>
          <cell r="BS31">
            <v>2500</v>
          </cell>
          <cell r="BT31">
            <v>0</v>
          </cell>
          <cell r="BU31">
            <v>-2500</v>
          </cell>
          <cell r="BV31">
            <v>250</v>
          </cell>
          <cell r="BW31">
            <v>2.3296734342289891E-3</v>
          </cell>
          <cell r="BX31">
            <v>0</v>
          </cell>
          <cell r="BY31" t="e">
            <v>#DIV/0!</v>
          </cell>
          <cell r="BZ31">
            <v>2750</v>
          </cell>
          <cell r="CA31">
            <v>0</v>
          </cell>
          <cell r="CB31">
            <v>-2750</v>
          </cell>
          <cell r="CC31">
            <v>250</v>
          </cell>
          <cell r="CD31">
            <v>2.3296734342289891E-3</v>
          </cell>
          <cell r="CE31">
            <v>0</v>
          </cell>
          <cell r="CF31" t="e">
            <v>#DIV/0!</v>
          </cell>
          <cell r="CG31">
            <v>3000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8.0706660190676439E-4</v>
          </cell>
          <cell r="C34">
            <v>77.703333333333333</v>
          </cell>
          <cell r="D34">
            <v>113.72</v>
          </cell>
          <cell r="E34">
            <v>1.6245714285714286E-3</v>
          </cell>
          <cell r="F34">
            <v>0</v>
          </cell>
          <cell r="G34">
            <v>0</v>
          </cell>
          <cell r="H34">
            <v>113.72</v>
          </cell>
          <cell r="I34">
            <v>0</v>
          </cell>
          <cell r="J34">
            <v>-113.72</v>
          </cell>
          <cell r="K34">
            <v>113.72</v>
          </cell>
          <cell r="L34">
            <v>1.6245714285714286E-3</v>
          </cell>
          <cell r="M34">
            <v>936.64</v>
          </cell>
          <cell r="N34">
            <v>1.531252166156816E-2</v>
          </cell>
          <cell r="O34">
            <v>227.44</v>
          </cell>
          <cell r="P34">
            <v>936.64</v>
          </cell>
          <cell r="Q34">
            <v>709.2</v>
          </cell>
          <cell r="R34">
            <v>113.72</v>
          </cell>
          <cell r="S34">
            <v>1.0597218517620825E-3</v>
          </cell>
          <cell r="T34">
            <v>0</v>
          </cell>
          <cell r="U34">
            <v>0</v>
          </cell>
          <cell r="V34">
            <v>341.15999999999997</v>
          </cell>
          <cell r="W34">
            <v>936.64</v>
          </cell>
          <cell r="X34">
            <v>595.48</v>
          </cell>
          <cell r="Y34">
            <v>113.72</v>
          </cell>
          <cell r="Z34">
            <v>1.0597218517620825E-3</v>
          </cell>
          <cell r="AA34">
            <v>0</v>
          </cell>
          <cell r="AB34" t="e">
            <v>#DIV/0!</v>
          </cell>
          <cell r="AC34">
            <v>454.88</v>
          </cell>
          <cell r="AD34">
            <v>936.64</v>
          </cell>
          <cell r="AE34">
            <v>481.76</v>
          </cell>
          <cell r="AF34">
            <v>113.72</v>
          </cell>
          <cell r="AG34">
            <v>1.0597218517620825E-3</v>
          </cell>
          <cell r="AH34">
            <v>0</v>
          </cell>
          <cell r="AI34" t="e">
            <v>#DIV/0!</v>
          </cell>
          <cell r="AJ34">
            <v>568.6</v>
          </cell>
          <cell r="AK34">
            <v>936.64</v>
          </cell>
          <cell r="AL34">
            <v>368.03999999999996</v>
          </cell>
          <cell r="AM34">
            <v>113.72</v>
          </cell>
          <cell r="AN34">
            <v>1.0597218517620825E-3</v>
          </cell>
          <cell r="AO34">
            <v>0</v>
          </cell>
          <cell r="AP34" t="e">
            <v>#DIV/0!</v>
          </cell>
          <cell r="AQ34">
            <v>682.32</v>
          </cell>
          <cell r="AR34">
            <v>936.64</v>
          </cell>
          <cell r="AS34">
            <v>254.31999999999994</v>
          </cell>
          <cell r="AT34">
            <v>113.72</v>
          </cell>
          <cell r="AU34">
            <v>1.0597218517620825E-3</v>
          </cell>
          <cell r="AV34">
            <v>0</v>
          </cell>
          <cell r="AW34" t="e">
            <v>#DIV/0!</v>
          </cell>
          <cell r="AX34">
            <v>796.04000000000008</v>
          </cell>
          <cell r="AY34">
            <v>936.64</v>
          </cell>
          <cell r="AZ34">
            <v>140.59999999999991</v>
          </cell>
          <cell r="BA34">
            <v>113.72</v>
          </cell>
          <cell r="BB34">
            <v>1.0597218517620825E-3</v>
          </cell>
          <cell r="BC34">
            <v>0</v>
          </cell>
          <cell r="BD34" t="e">
            <v>#DIV/0!</v>
          </cell>
          <cell r="BE34">
            <v>909.7600000000001</v>
          </cell>
          <cell r="BF34">
            <v>936.64</v>
          </cell>
          <cell r="BG34">
            <v>26.879999999999882</v>
          </cell>
          <cell r="BH34">
            <v>113.72</v>
          </cell>
          <cell r="BI34">
            <v>1.0597218517620825E-3</v>
          </cell>
          <cell r="BJ34">
            <v>0</v>
          </cell>
          <cell r="BK34" t="e">
            <v>#DIV/0!</v>
          </cell>
          <cell r="BL34">
            <v>1023.4800000000001</v>
          </cell>
          <cell r="BM34">
            <v>936.64</v>
          </cell>
          <cell r="BN34">
            <v>-86.840000000000146</v>
          </cell>
          <cell r="BO34">
            <v>113.72</v>
          </cell>
          <cell r="BP34">
            <v>1.0597218517620825E-3</v>
          </cell>
          <cell r="BQ34">
            <v>0</v>
          </cell>
          <cell r="BR34" t="e">
            <v>#DIV/0!</v>
          </cell>
          <cell r="BS34">
            <v>1137.2</v>
          </cell>
          <cell r="BT34">
            <v>936.64</v>
          </cell>
          <cell r="BU34">
            <v>-200.56000000000006</v>
          </cell>
          <cell r="BV34">
            <v>113.72</v>
          </cell>
          <cell r="BW34">
            <v>1.0597218517620825E-3</v>
          </cell>
          <cell r="BX34">
            <v>0</v>
          </cell>
          <cell r="BY34" t="e">
            <v>#DIV/0!</v>
          </cell>
          <cell r="BZ34">
            <v>1250.92</v>
          </cell>
          <cell r="CA34">
            <v>936.64</v>
          </cell>
          <cell r="CB34">
            <v>-314.28000000000009</v>
          </cell>
          <cell r="CC34">
            <v>113.72</v>
          </cell>
          <cell r="CD34">
            <v>1.0597218517620825E-3</v>
          </cell>
          <cell r="CE34">
            <v>0</v>
          </cell>
          <cell r="CF34" t="e">
            <v>#DIV/0!</v>
          </cell>
          <cell r="CG34">
            <v>1364.64</v>
          </cell>
          <cell r="CH34">
            <v>936.64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32</v>
          </cell>
          <cell r="E35">
            <v>4.5714285714285713E-4</v>
          </cell>
          <cell r="F35">
            <v>0</v>
          </cell>
          <cell r="G35">
            <v>0</v>
          </cell>
          <cell r="H35">
            <v>32</v>
          </cell>
          <cell r="I35">
            <v>0</v>
          </cell>
          <cell r="J35">
            <v>-32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32</v>
          </cell>
          <cell r="P35">
            <v>0</v>
          </cell>
          <cell r="Q35">
            <v>-32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32</v>
          </cell>
          <cell r="W35">
            <v>0</v>
          </cell>
          <cell r="X35">
            <v>-32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32</v>
          </cell>
          <cell r="AD35">
            <v>0</v>
          </cell>
          <cell r="AE35">
            <v>-32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32</v>
          </cell>
          <cell r="AK35">
            <v>0</v>
          </cell>
          <cell r="AL35">
            <v>-32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32</v>
          </cell>
          <cell r="AR35">
            <v>0</v>
          </cell>
          <cell r="AS35">
            <v>-32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32</v>
          </cell>
          <cell r="AY35">
            <v>0</v>
          </cell>
          <cell r="AZ35">
            <v>-32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32</v>
          </cell>
          <cell r="BF35">
            <v>0</v>
          </cell>
          <cell r="BG35">
            <v>-32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32</v>
          </cell>
          <cell r="BM35">
            <v>0</v>
          </cell>
          <cell r="BN35">
            <v>-32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32</v>
          </cell>
          <cell r="BT35">
            <v>0</v>
          </cell>
          <cell r="BU35">
            <v>-32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32</v>
          </cell>
          <cell r="CA35">
            <v>0</v>
          </cell>
          <cell r="CB35">
            <v>-32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32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1.7718121833835111E-4</v>
          </cell>
          <cell r="C38">
            <v>17.058779580797836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250</v>
          </cell>
          <cell r="S38">
            <v>2.3296734342289891E-3</v>
          </cell>
          <cell r="T38">
            <v>0</v>
          </cell>
          <cell r="U38">
            <v>0</v>
          </cell>
          <cell r="V38">
            <v>250</v>
          </cell>
          <cell r="W38">
            <v>0</v>
          </cell>
          <cell r="X38">
            <v>-250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250</v>
          </cell>
          <cell r="AD38">
            <v>0</v>
          </cell>
          <cell r="AE38">
            <v>-250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250</v>
          </cell>
          <cell r="AK38">
            <v>0</v>
          </cell>
          <cell r="AL38">
            <v>-250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250</v>
          </cell>
          <cell r="AR38">
            <v>0</v>
          </cell>
          <cell r="AS38">
            <v>-250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250</v>
          </cell>
          <cell r="AY38">
            <v>0</v>
          </cell>
          <cell r="AZ38">
            <v>-250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250</v>
          </cell>
          <cell r="BF38">
            <v>0</v>
          </cell>
          <cell r="BG38">
            <v>-250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250</v>
          </cell>
          <cell r="BM38">
            <v>0</v>
          </cell>
          <cell r="BN38">
            <v>-250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250</v>
          </cell>
          <cell r="BT38">
            <v>0</v>
          </cell>
          <cell r="BU38">
            <v>-250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250</v>
          </cell>
          <cell r="CA38">
            <v>0</v>
          </cell>
          <cell r="CB38">
            <v>-250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250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6.0097201626716241E-3</v>
          </cell>
          <cell r="C40">
            <v>578.60811974731462</v>
          </cell>
          <cell r="D40">
            <v>580</v>
          </cell>
          <cell r="E40">
            <v>8.2857142857142851E-3</v>
          </cell>
          <cell r="F40">
            <v>583.01569980253885</v>
          </cell>
          <cell r="G40">
            <v>6.3530332334514354E-3</v>
          </cell>
          <cell r="H40">
            <v>580</v>
          </cell>
          <cell r="I40">
            <v>583.01569980253885</v>
          </cell>
          <cell r="J40">
            <v>3.0156998025388475</v>
          </cell>
          <cell r="K40">
            <v>580</v>
          </cell>
          <cell r="L40">
            <v>8.2857142857142851E-3</v>
          </cell>
          <cell r="M40">
            <v>443.78217312292367</v>
          </cell>
          <cell r="N40">
            <v>7.2551077670850702E-3</v>
          </cell>
          <cell r="O40">
            <v>1160</v>
          </cell>
          <cell r="P40">
            <v>1026.7978729254626</v>
          </cell>
          <cell r="Q40">
            <v>-133.20212707453743</v>
          </cell>
          <cell r="R40">
            <v>580</v>
          </cell>
          <cell r="S40">
            <v>5.404842367411255E-3</v>
          </cell>
          <cell r="T40">
            <v>292.08612690751443</v>
          </cell>
          <cell r="U40">
            <v>2.7452673788802536E-3</v>
          </cell>
          <cell r="V40">
            <v>1740</v>
          </cell>
          <cell r="W40">
            <v>1318.883999832977</v>
          </cell>
          <cell r="X40">
            <v>-421.116000167023</v>
          </cell>
          <cell r="Y40">
            <v>580</v>
          </cell>
          <cell r="Z40">
            <v>5.404842367411255E-3</v>
          </cell>
          <cell r="AA40">
            <v>0</v>
          </cell>
          <cell r="AB40" t="e">
            <v>#DIV/0!</v>
          </cell>
          <cell r="AC40">
            <v>2320</v>
          </cell>
          <cell r="AD40">
            <v>1318.883999832977</v>
          </cell>
          <cell r="AE40">
            <v>-1001.116000167023</v>
          </cell>
          <cell r="AF40">
            <v>580</v>
          </cell>
          <cell r="AG40">
            <v>5.404842367411255E-3</v>
          </cell>
          <cell r="AH40">
            <v>0</v>
          </cell>
          <cell r="AI40" t="e">
            <v>#DIV/0!</v>
          </cell>
          <cell r="AJ40">
            <v>2900</v>
          </cell>
          <cell r="AK40">
            <v>1318.883999832977</v>
          </cell>
          <cell r="AL40">
            <v>-1581.116000167023</v>
          </cell>
          <cell r="AM40">
            <v>580</v>
          </cell>
          <cell r="AN40">
            <v>5.404842367411255E-3</v>
          </cell>
          <cell r="AO40">
            <v>0</v>
          </cell>
          <cell r="AP40" t="e">
            <v>#DIV/0!</v>
          </cell>
          <cell r="AQ40">
            <v>3480</v>
          </cell>
          <cell r="AR40">
            <v>1318.883999832977</v>
          </cell>
          <cell r="AS40">
            <v>-2161.1160001670232</v>
          </cell>
          <cell r="AT40">
            <v>580</v>
          </cell>
          <cell r="AU40">
            <v>5.404842367411255E-3</v>
          </cell>
          <cell r="AV40">
            <v>0</v>
          </cell>
          <cell r="AW40" t="e">
            <v>#DIV/0!</v>
          </cell>
          <cell r="AX40">
            <v>4060</v>
          </cell>
          <cell r="AY40">
            <v>1318.883999832977</v>
          </cell>
          <cell r="AZ40">
            <v>-2741.1160001670232</v>
          </cell>
          <cell r="BA40">
            <v>580</v>
          </cell>
          <cell r="BB40">
            <v>5.404842367411255E-3</v>
          </cell>
          <cell r="BC40">
            <v>0</v>
          </cell>
          <cell r="BD40" t="e">
            <v>#DIV/0!</v>
          </cell>
          <cell r="BE40">
            <v>4640</v>
          </cell>
          <cell r="BF40">
            <v>1318.883999832977</v>
          </cell>
          <cell r="BG40">
            <v>-3321.1160001670232</v>
          </cell>
          <cell r="BH40">
            <v>580</v>
          </cell>
          <cell r="BI40">
            <v>5.404842367411255E-3</v>
          </cell>
          <cell r="BJ40">
            <v>0</v>
          </cell>
          <cell r="BK40" t="e">
            <v>#DIV/0!</v>
          </cell>
          <cell r="BL40">
            <v>5220</v>
          </cell>
          <cell r="BM40">
            <v>1318.883999832977</v>
          </cell>
          <cell r="BN40">
            <v>-3901.1160001670232</v>
          </cell>
          <cell r="BO40">
            <v>580</v>
          </cell>
          <cell r="BP40">
            <v>5.404842367411255E-3</v>
          </cell>
          <cell r="BQ40">
            <v>0</v>
          </cell>
          <cell r="BR40" t="e">
            <v>#DIV/0!</v>
          </cell>
          <cell r="BS40">
            <v>5800</v>
          </cell>
          <cell r="BT40">
            <v>1318.883999832977</v>
          </cell>
          <cell r="BU40">
            <v>-4481.1160001670232</v>
          </cell>
          <cell r="BV40">
            <v>580</v>
          </cell>
          <cell r="BW40">
            <v>5.404842367411255E-3</v>
          </cell>
          <cell r="BX40">
            <v>0</v>
          </cell>
          <cell r="BY40" t="e">
            <v>#DIV/0!</v>
          </cell>
          <cell r="BZ40">
            <v>6380</v>
          </cell>
          <cell r="CA40">
            <v>1318.883999832977</v>
          </cell>
          <cell r="CB40">
            <v>-5061.1160001670232</v>
          </cell>
          <cell r="CC40">
            <v>580</v>
          </cell>
          <cell r="CD40">
            <v>5.404842367411255E-3</v>
          </cell>
          <cell r="CE40">
            <v>0</v>
          </cell>
          <cell r="CF40" t="e">
            <v>#DIV/0!</v>
          </cell>
          <cell r="CG40">
            <v>6960</v>
          </cell>
          <cell r="CH40">
            <v>1318.883999832977</v>
          </cell>
        </row>
        <row r="41">
          <cell r="A41" t="str">
            <v>Pauta - Gestão de Pauta</v>
          </cell>
          <cell r="B41">
            <v>6.3797639186354838E-3</v>
          </cell>
          <cell r="C41">
            <v>614.23545614017917</v>
          </cell>
          <cell r="D41">
            <v>750</v>
          </cell>
          <cell r="E41">
            <v>1.0714285714285714E-2</v>
          </cell>
          <cell r="F41">
            <v>795.93969720996768</v>
          </cell>
          <cell r="G41">
            <v>8.6732335851518651E-3</v>
          </cell>
          <cell r="H41">
            <v>750</v>
          </cell>
          <cell r="I41">
            <v>795.93969720996768</v>
          </cell>
          <cell r="J41">
            <v>45.939697209967676</v>
          </cell>
          <cell r="K41">
            <v>750</v>
          </cell>
          <cell r="L41">
            <v>1.0714285714285714E-2</v>
          </cell>
          <cell r="M41">
            <v>646.20092956820611</v>
          </cell>
          <cell r="N41">
            <v>1.0564321117759906E-2</v>
          </cell>
          <cell r="O41">
            <v>1500</v>
          </cell>
          <cell r="P41">
            <v>1442.1406267781738</v>
          </cell>
          <cell r="Q41">
            <v>-57.859373221826218</v>
          </cell>
          <cell r="R41">
            <v>750</v>
          </cell>
          <cell r="S41">
            <v>6.9890203026869678E-3</v>
          </cell>
          <cell r="T41">
            <v>795.37161347733911</v>
          </cell>
          <cell r="U41">
            <v>7.4755612931184327E-3</v>
          </cell>
          <cell r="V41">
            <v>2250</v>
          </cell>
          <cell r="W41">
            <v>2237.512240255513</v>
          </cell>
          <cell r="X41">
            <v>-12.487759744486993</v>
          </cell>
          <cell r="Y41">
            <v>750</v>
          </cell>
          <cell r="Z41">
            <v>6.9890203026869678E-3</v>
          </cell>
          <cell r="AA41">
            <v>0</v>
          </cell>
          <cell r="AB41" t="e">
            <v>#DIV/0!</v>
          </cell>
          <cell r="AC41">
            <v>3000</v>
          </cell>
          <cell r="AD41">
            <v>2237.512240255513</v>
          </cell>
          <cell r="AE41">
            <v>-762.48775974448699</v>
          </cell>
          <cell r="AF41">
            <v>750</v>
          </cell>
          <cell r="AG41">
            <v>6.9890203026869678E-3</v>
          </cell>
          <cell r="AH41">
            <v>0</v>
          </cell>
          <cell r="AI41" t="e">
            <v>#DIV/0!</v>
          </cell>
          <cell r="AJ41">
            <v>3750</v>
          </cell>
          <cell r="AK41">
            <v>2237.512240255513</v>
          </cell>
          <cell r="AL41">
            <v>-1512.487759744487</v>
          </cell>
          <cell r="AM41">
            <v>750</v>
          </cell>
          <cell r="AN41">
            <v>6.9890203026869678E-3</v>
          </cell>
          <cell r="AO41">
            <v>0</v>
          </cell>
          <cell r="AP41" t="e">
            <v>#DIV/0!</v>
          </cell>
          <cell r="AQ41">
            <v>4500</v>
          </cell>
          <cell r="AR41">
            <v>2237.512240255513</v>
          </cell>
          <cell r="AS41">
            <v>-2262.487759744487</v>
          </cell>
          <cell r="AT41">
            <v>750</v>
          </cell>
          <cell r="AU41">
            <v>6.9890203026869678E-3</v>
          </cell>
          <cell r="AV41">
            <v>0</v>
          </cell>
          <cell r="AW41" t="e">
            <v>#DIV/0!</v>
          </cell>
          <cell r="AX41">
            <v>5250</v>
          </cell>
          <cell r="AY41">
            <v>2237.512240255513</v>
          </cell>
          <cell r="AZ41">
            <v>-3012.487759744487</v>
          </cell>
          <cell r="BA41">
            <v>750</v>
          </cell>
          <cell r="BB41">
            <v>6.9890203026869678E-3</v>
          </cell>
          <cell r="BC41">
            <v>0</v>
          </cell>
          <cell r="BD41" t="e">
            <v>#DIV/0!</v>
          </cell>
          <cell r="BE41">
            <v>6000</v>
          </cell>
          <cell r="BF41">
            <v>2237.512240255513</v>
          </cell>
          <cell r="BG41">
            <v>-3762.487759744487</v>
          </cell>
          <cell r="BH41">
            <v>750</v>
          </cell>
          <cell r="BI41">
            <v>6.9890203026869678E-3</v>
          </cell>
          <cell r="BJ41">
            <v>0</v>
          </cell>
          <cell r="BK41" t="e">
            <v>#DIV/0!</v>
          </cell>
          <cell r="BL41">
            <v>6750</v>
          </cell>
          <cell r="BM41">
            <v>2237.512240255513</v>
          </cell>
          <cell r="BN41">
            <v>-4512.4877597444865</v>
          </cell>
          <cell r="BO41">
            <v>750</v>
          </cell>
          <cell r="BP41">
            <v>6.9890203026869678E-3</v>
          </cell>
          <cell r="BQ41">
            <v>0</v>
          </cell>
          <cell r="BR41" t="e">
            <v>#DIV/0!</v>
          </cell>
          <cell r="BS41">
            <v>7500</v>
          </cell>
          <cell r="BT41">
            <v>2237.512240255513</v>
          </cell>
          <cell r="BU41">
            <v>-5262.4877597444865</v>
          </cell>
          <cell r="BV41">
            <v>750</v>
          </cell>
          <cell r="BW41">
            <v>6.9890203026869678E-3</v>
          </cell>
          <cell r="BX41">
            <v>0</v>
          </cell>
          <cell r="BY41" t="e">
            <v>#DIV/0!</v>
          </cell>
          <cell r="BZ41">
            <v>8250</v>
          </cell>
          <cell r="CA41">
            <v>2237.512240255513</v>
          </cell>
          <cell r="CB41">
            <v>-6012.4877597444865</v>
          </cell>
          <cell r="CC41">
            <v>750</v>
          </cell>
          <cell r="CD41">
            <v>6.9890203026869678E-3</v>
          </cell>
          <cell r="CE41">
            <v>0</v>
          </cell>
          <cell r="CF41" t="e">
            <v>#DIV/0!</v>
          </cell>
          <cell r="CG41">
            <v>9000</v>
          </cell>
          <cell r="CH41">
            <v>2237.512240255513</v>
          </cell>
        </row>
        <row r="42">
          <cell r="A42" t="str">
            <v>Seguro de Vida</v>
          </cell>
          <cell r="B42">
            <v>1.4730513862726057E-3</v>
          </cell>
          <cell r="C42">
            <v>141.82349091666666</v>
          </cell>
          <cell r="D42">
            <v>145.68</v>
          </cell>
          <cell r="E42">
            <v>2.0811428571428574E-3</v>
          </cell>
          <cell r="F42">
            <v>127.579983</v>
          </cell>
          <cell r="G42">
            <v>1.3902196325016351E-3</v>
          </cell>
          <cell r="H42">
            <v>145.68</v>
          </cell>
          <cell r="I42">
            <v>127.579983</v>
          </cell>
          <cell r="J42">
            <v>-18.100017000000008</v>
          </cell>
          <cell r="K42">
            <v>145.68</v>
          </cell>
          <cell r="L42">
            <v>2.0811428571428574E-3</v>
          </cell>
          <cell r="M42">
            <v>139.09002599999999</v>
          </cell>
          <cell r="N42">
            <v>2.2738928895125968E-3</v>
          </cell>
          <cell r="O42">
            <v>291.36</v>
          </cell>
          <cell r="P42">
            <v>266.67000899999999</v>
          </cell>
          <cell r="Q42">
            <v>-24.68999100000002</v>
          </cell>
          <cell r="R42">
            <v>145.68</v>
          </cell>
          <cell r="S42">
            <v>1.3575473035939167E-3</v>
          </cell>
          <cell r="T42">
            <v>127.57491399999999</v>
          </cell>
          <cell r="U42">
            <v>1.1990547222345449E-3</v>
          </cell>
          <cell r="V42">
            <v>437.04</v>
          </cell>
          <cell r="W42">
            <v>394.24492299999997</v>
          </cell>
          <cell r="X42">
            <v>-42.795077000000049</v>
          </cell>
          <cell r="Y42">
            <v>145.68</v>
          </cell>
          <cell r="Z42">
            <v>1.3575473035939167E-3</v>
          </cell>
          <cell r="AA42">
            <v>0</v>
          </cell>
          <cell r="AB42" t="e">
            <v>#DIV/0!</v>
          </cell>
          <cell r="AC42">
            <v>582.72</v>
          </cell>
          <cell r="AD42">
            <v>394.24492299999997</v>
          </cell>
          <cell r="AE42">
            <v>-188.47507700000006</v>
          </cell>
          <cell r="AF42">
            <v>145.68</v>
          </cell>
          <cell r="AG42">
            <v>1.3575473035939167E-3</v>
          </cell>
          <cell r="AH42">
            <v>0</v>
          </cell>
          <cell r="AI42" t="e">
            <v>#DIV/0!</v>
          </cell>
          <cell r="AJ42">
            <v>728.40000000000009</v>
          </cell>
          <cell r="AK42">
            <v>394.24492299999997</v>
          </cell>
          <cell r="AL42">
            <v>-334.15507700000012</v>
          </cell>
          <cell r="AM42">
            <v>145.68</v>
          </cell>
          <cell r="AN42">
            <v>1.3575473035939167E-3</v>
          </cell>
          <cell r="AO42">
            <v>0</v>
          </cell>
          <cell r="AP42" t="e">
            <v>#DIV/0!</v>
          </cell>
          <cell r="AQ42">
            <v>874.08000000000015</v>
          </cell>
          <cell r="AR42">
            <v>394.24492299999997</v>
          </cell>
          <cell r="AS42">
            <v>-479.83507700000018</v>
          </cell>
          <cell r="AT42">
            <v>145.68</v>
          </cell>
          <cell r="AU42">
            <v>1.3575473035939167E-3</v>
          </cell>
          <cell r="AV42">
            <v>0</v>
          </cell>
          <cell r="AW42" t="e">
            <v>#DIV/0!</v>
          </cell>
          <cell r="AX42">
            <v>1019.7600000000002</v>
          </cell>
          <cell r="AY42">
            <v>394.24492299999997</v>
          </cell>
          <cell r="AZ42">
            <v>-625.51507700000025</v>
          </cell>
          <cell r="BA42">
            <v>145.68</v>
          </cell>
          <cell r="BB42">
            <v>1.3575473035939167E-3</v>
          </cell>
          <cell r="BC42">
            <v>0</v>
          </cell>
          <cell r="BD42" t="e">
            <v>#DIV/0!</v>
          </cell>
          <cell r="BE42">
            <v>1165.4400000000003</v>
          </cell>
          <cell r="BF42">
            <v>394.24492299999997</v>
          </cell>
          <cell r="BG42">
            <v>-771.19507700000031</v>
          </cell>
          <cell r="BH42">
            <v>145.68</v>
          </cell>
          <cell r="BI42">
            <v>1.3575473035939167E-3</v>
          </cell>
          <cell r="BJ42">
            <v>0</v>
          </cell>
          <cell r="BK42" t="e">
            <v>#DIV/0!</v>
          </cell>
          <cell r="BL42">
            <v>1311.1200000000003</v>
          </cell>
          <cell r="BM42">
            <v>394.24492299999997</v>
          </cell>
          <cell r="BN42">
            <v>-916.87507700000037</v>
          </cell>
          <cell r="BO42">
            <v>145.68</v>
          </cell>
          <cell r="BP42">
            <v>1.3575473035939167E-3</v>
          </cell>
          <cell r="BQ42">
            <v>0</v>
          </cell>
          <cell r="BR42" t="e">
            <v>#DIV/0!</v>
          </cell>
          <cell r="BS42">
            <v>1456.8000000000004</v>
          </cell>
          <cell r="BT42">
            <v>394.24492299999997</v>
          </cell>
          <cell r="BU42">
            <v>-1062.5550770000004</v>
          </cell>
          <cell r="BV42">
            <v>145.68</v>
          </cell>
          <cell r="BW42">
            <v>1.3575473035939167E-3</v>
          </cell>
          <cell r="BX42">
            <v>0</v>
          </cell>
          <cell r="BY42" t="e">
            <v>#DIV/0!</v>
          </cell>
          <cell r="BZ42">
            <v>1602.4800000000005</v>
          </cell>
          <cell r="CA42">
            <v>394.24492299999997</v>
          </cell>
          <cell r="CB42">
            <v>-1208.2350770000005</v>
          </cell>
          <cell r="CC42">
            <v>145.68</v>
          </cell>
          <cell r="CD42">
            <v>1.3575473035939167E-3</v>
          </cell>
          <cell r="CE42">
            <v>0</v>
          </cell>
          <cell r="CF42" t="e">
            <v>#DIV/0!</v>
          </cell>
          <cell r="CG42">
            <v>1748.1600000000005</v>
          </cell>
          <cell r="CH42">
            <v>394.24492299999997</v>
          </cell>
        </row>
        <row r="43">
          <cell r="A43" t="str">
            <v>Plano de Saúde</v>
          </cell>
          <cell r="B43">
            <v>4.7888121331812868E-2</v>
          </cell>
          <cell r="C43">
            <v>4610.6066658707286</v>
          </cell>
          <cell r="D43">
            <v>3150</v>
          </cell>
          <cell r="E43">
            <v>4.4999999999999998E-2</v>
          </cell>
          <cell r="F43">
            <v>3615.5693220000003</v>
          </cell>
          <cell r="G43">
            <v>3.9398307915709835E-2</v>
          </cell>
          <cell r="H43">
            <v>3150</v>
          </cell>
          <cell r="I43">
            <v>3615.5693220000003</v>
          </cell>
          <cell r="J43">
            <v>465.56932200000028</v>
          </cell>
          <cell r="K43">
            <v>3150</v>
          </cell>
          <cell r="L43">
            <v>4.4999999999999998E-2</v>
          </cell>
          <cell r="M43">
            <v>4364.5976949999995</v>
          </cell>
          <cell r="N43">
            <v>7.1353985254439228E-2</v>
          </cell>
          <cell r="O43">
            <v>6300</v>
          </cell>
          <cell r="P43">
            <v>7980.1670169999998</v>
          </cell>
          <cell r="Q43">
            <v>1680.1670169999998</v>
          </cell>
          <cell r="R43">
            <v>3150</v>
          </cell>
          <cell r="S43">
            <v>2.9353885271285265E-2</v>
          </cell>
          <cell r="T43">
            <v>3363.2089848193377</v>
          </cell>
          <cell r="U43">
            <v>3.1610224053212198E-2</v>
          </cell>
          <cell r="V43">
            <v>9450</v>
          </cell>
          <cell r="W43">
            <v>11343.376001819337</v>
          </cell>
          <cell r="X43">
            <v>1893.376001819337</v>
          </cell>
          <cell r="Y43">
            <v>3150</v>
          </cell>
          <cell r="Z43">
            <v>2.9353885271285265E-2</v>
          </cell>
          <cell r="AA43">
            <v>0</v>
          </cell>
          <cell r="AB43" t="e">
            <v>#DIV/0!</v>
          </cell>
          <cell r="AC43">
            <v>12600</v>
          </cell>
          <cell r="AD43">
            <v>11343.376001819337</v>
          </cell>
          <cell r="AE43">
            <v>-1256.623998180663</v>
          </cell>
          <cell r="AF43">
            <v>3150</v>
          </cell>
          <cell r="AG43">
            <v>2.9353885271285265E-2</v>
          </cell>
          <cell r="AH43">
            <v>0</v>
          </cell>
          <cell r="AI43" t="e">
            <v>#DIV/0!</v>
          </cell>
          <cell r="AJ43">
            <v>15750</v>
          </cell>
          <cell r="AK43">
            <v>11343.376001819337</v>
          </cell>
          <cell r="AL43">
            <v>-4406.623998180663</v>
          </cell>
          <cell r="AM43">
            <v>3150</v>
          </cell>
          <cell r="AN43">
            <v>2.9353885271285265E-2</v>
          </cell>
          <cell r="AO43">
            <v>0</v>
          </cell>
          <cell r="AP43" t="e">
            <v>#DIV/0!</v>
          </cell>
          <cell r="AQ43">
            <v>18900</v>
          </cell>
          <cell r="AR43">
            <v>11343.376001819337</v>
          </cell>
          <cell r="AS43">
            <v>-7556.623998180663</v>
          </cell>
          <cell r="AT43">
            <v>3150</v>
          </cell>
          <cell r="AU43">
            <v>2.9353885271285265E-2</v>
          </cell>
          <cell r="AV43">
            <v>0</v>
          </cell>
          <cell r="AW43" t="e">
            <v>#DIV/0!</v>
          </cell>
          <cell r="AX43">
            <v>22050</v>
          </cell>
          <cell r="AY43">
            <v>11343.376001819337</v>
          </cell>
          <cell r="AZ43">
            <v>-10706.623998180663</v>
          </cell>
          <cell r="BA43">
            <v>3150</v>
          </cell>
          <cell r="BB43">
            <v>2.9353885271285265E-2</v>
          </cell>
          <cell r="BC43">
            <v>0</v>
          </cell>
          <cell r="BD43" t="e">
            <v>#DIV/0!</v>
          </cell>
          <cell r="BE43">
            <v>25200</v>
          </cell>
          <cell r="BF43">
            <v>11343.376001819337</v>
          </cell>
          <cell r="BG43">
            <v>-13856.623998180663</v>
          </cell>
          <cell r="BH43">
            <v>3150</v>
          </cell>
          <cell r="BI43">
            <v>2.9353885271285265E-2</v>
          </cell>
          <cell r="BJ43">
            <v>0</v>
          </cell>
          <cell r="BK43" t="e">
            <v>#DIV/0!</v>
          </cell>
          <cell r="BL43">
            <v>28350</v>
          </cell>
          <cell r="BM43">
            <v>11343.376001819337</v>
          </cell>
          <cell r="BN43">
            <v>-17006.623998180665</v>
          </cell>
          <cell r="BO43">
            <v>3622.5</v>
          </cell>
          <cell r="BP43">
            <v>3.3756968061978053E-2</v>
          </cell>
          <cell r="BQ43">
            <v>0</v>
          </cell>
          <cell r="BR43" t="e">
            <v>#DIV/0!</v>
          </cell>
          <cell r="BS43">
            <v>31972.5</v>
          </cell>
          <cell r="BT43">
            <v>11343.376001819337</v>
          </cell>
          <cell r="BU43">
            <v>-20629.123998180665</v>
          </cell>
          <cell r="BV43">
            <v>3622.5</v>
          </cell>
          <cell r="BW43">
            <v>3.3756968061978053E-2</v>
          </cell>
          <cell r="BX43">
            <v>0</v>
          </cell>
          <cell r="BY43" t="e">
            <v>#DIV/0!</v>
          </cell>
          <cell r="BZ43">
            <v>35595</v>
          </cell>
          <cell r="CA43">
            <v>11343.376001819337</v>
          </cell>
          <cell r="CB43">
            <v>-24251.623998180665</v>
          </cell>
          <cell r="CC43">
            <v>3622.5</v>
          </cell>
          <cell r="CD43">
            <v>3.3756968061978053E-2</v>
          </cell>
          <cell r="CE43">
            <v>0</v>
          </cell>
          <cell r="CF43" t="e">
            <v>#DIV/0!</v>
          </cell>
          <cell r="CG43">
            <v>39217.5</v>
          </cell>
          <cell r="CH43">
            <v>11343.376001819337</v>
          </cell>
        </row>
        <row r="44">
          <cell r="A44" t="str">
            <v>Plano Odontológico</v>
          </cell>
          <cell r="B44">
            <v>1.5325192110081582E-3</v>
          </cell>
          <cell r="C44">
            <v>147.54897651738131</v>
          </cell>
          <cell r="D44">
            <v>131.25</v>
          </cell>
          <cell r="E44">
            <v>1.8749999999999999E-3</v>
          </cell>
          <cell r="F44">
            <v>131.13998799999999</v>
          </cell>
          <cell r="G44">
            <v>1.4290124644681041E-3</v>
          </cell>
          <cell r="H44">
            <v>131.25</v>
          </cell>
          <cell r="I44">
            <v>131.13998799999999</v>
          </cell>
          <cell r="J44">
            <v>-0.11001200000001177</v>
          </cell>
          <cell r="K44">
            <v>131.25</v>
          </cell>
          <cell r="L44">
            <v>1.8749999999999999E-3</v>
          </cell>
          <cell r="M44">
            <v>131.14001500000001</v>
          </cell>
          <cell r="N44">
            <v>2.1439233007194583E-3</v>
          </cell>
          <cell r="O44">
            <v>262.5</v>
          </cell>
          <cell r="P44">
            <v>262.28000299999997</v>
          </cell>
          <cell r="Q44">
            <v>-0.21999700000003486</v>
          </cell>
          <cell r="R44">
            <v>131.25</v>
          </cell>
          <cell r="S44">
            <v>1.2230785529702194E-3</v>
          </cell>
          <cell r="T44">
            <v>72.899979000000002</v>
          </cell>
          <cell r="U44">
            <v>6.8517439150105302E-4</v>
          </cell>
          <cell r="V44">
            <v>393.75</v>
          </cell>
          <cell r="W44">
            <v>335.179982</v>
          </cell>
          <cell r="X44">
            <v>-58.570018000000005</v>
          </cell>
          <cell r="Y44">
            <v>131.25</v>
          </cell>
          <cell r="Z44">
            <v>1.2230785529702194E-3</v>
          </cell>
          <cell r="AA44">
            <v>0</v>
          </cell>
          <cell r="AB44" t="e">
            <v>#DIV/0!</v>
          </cell>
          <cell r="AC44">
            <v>525</v>
          </cell>
          <cell r="AD44">
            <v>335.179982</v>
          </cell>
          <cell r="AE44">
            <v>-189.820018</v>
          </cell>
          <cell r="AF44">
            <v>131.25</v>
          </cell>
          <cell r="AG44">
            <v>1.2230785529702194E-3</v>
          </cell>
          <cell r="AH44">
            <v>0</v>
          </cell>
          <cell r="AI44" t="e">
            <v>#DIV/0!</v>
          </cell>
          <cell r="AJ44">
            <v>656.25</v>
          </cell>
          <cell r="AK44">
            <v>335.179982</v>
          </cell>
          <cell r="AL44">
            <v>-321.070018</v>
          </cell>
          <cell r="AM44">
            <v>131.25</v>
          </cell>
          <cell r="AN44">
            <v>1.2230785529702194E-3</v>
          </cell>
          <cell r="AO44">
            <v>0</v>
          </cell>
          <cell r="AP44" t="e">
            <v>#DIV/0!</v>
          </cell>
          <cell r="AQ44">
            <v>787.5</v>
          </cell>
          <cell r="AR44">
            <v>335.179982</v>
          </cell>
          <cell r="AS44">
            <v>-452.320018</v>
          </cell>
          <cell r="AT44">
            <v>131.25</v>
          </cell>
          <cell r="AU44">
            <v>1.2230785529702194E-3</v>
          </cell>
          <cell r="AV44">
            <v>0</v>
          </cell>
          <cell r="AW44" t="e">
            <v>#DIV/0!</v>
          </cell>
          <cell r="AX44">
            <v>918.75</v>
          </cell>
          <cell r="AY44">
            <v>335.179982</v>
          </cell>
          <cell r="AZ44">
            <v>-583.570018</v>
          </cell>
          <cell r="BA44">
            <v>131.25</v>
          </cell>
          <cell r="BB44">
            <v>1.2230785529702194E-3</v>
          </cell>
          <cell r="BC44">
            <v>0</v>
          </cell>
          <cell r="BD44" t="e">
            <v>#DIV/0!</v>
          </cell>
          <cell r="BE44">
            <v>1050</v>
          </cell>
          <cell r="BF44">
            <v>335.179982</v>
          </cell>
          <cell r="BG44">
            <v>-714.820018</v>
          </cell>
          <cell r="BH44">
            <v>131.25</v>
          </cell>
          <cell r="BI44">
            <v>1.2230785529702194E-3</v>
          </cell>
          <cell r="BJ44">
            <v>0</v>
          </cell>
          <cell r="BK44" t="e">
            <v>#DIV/0!</v>
          </cell>
          <cell r="BL44">
            <v>1181.25</v>
          </cell>
          <cell r="BM44">
            <v>335.179982</v>
          </cell>
          <cell r="BN44">
            <v>-846.070018</v>
          </cell>
          <cell r="BO44">
            <v>131.25</v>
          </cell>
          <cell r="BP44">
            <v>1.2230785529702194E-3</v>
          </cell>
          <cell r="BQ44">
            <v>0</v>
          </cell>
          <cell r="BR44" t="e">
            <v>#DIV/0!</v>
          </cell>
          <cell r="BS44">
            <v>1312.5</v>
          </cell>
          <cell r="BT44">
            <v>335.179982</v>
          </cell>
          <cell r="BU44">
            <v>-977.320018</v>
          </cell>
          <cell r="BV44">
            <v>131.25</v>
          </cell>
          <cell r="BW44">
            <v>1.2230785529702194E-3</v>
          </cell>
          <cell r="BX44">
            <v>0</v>
          </cell>
          <cell r="BY44" t="e">
            <v>#DIV/0!</v>
          </cell>
          <cell r="BZ44">
            <v>1443.75</v>
          </cell>
          <cell r="CA44">
            <v>335.179982</v>
          </cell>
          <cell r="CB44">
            <v>-1108.5700179999999</v>
          </cell>
          <cell r="CC44">
            <v>131.25</v>
          </cell>
          <cell r="CD44">
            <v>1.2230785529702194E-3</v>
          </cell>
          <cell r="CE44">
            <v>0</v>
          </cell>
          <cell r="CF44" t="e">
            <v>#DIV/0!</v>
          </cell>
          <cell r="CG44">
            <v>1575</v>
          </cell>
          <cell r="CH44">
            <v>335.179982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0.3831179334377206</v>
          </cell>
          <cell r="C46">
            <v>36886.101367044444</v>
          </cell>
          <cell r="D46">
            <v>39660</v>
          </cell>
          <cell r="E46">
            <v>0.56657142857142861</v>
          </cell>
          <cell r="F46">
            <v>45082.68</v>
          </cell>
          <cell r="G46">
            <v>0.49125909369174953</v>
          </cell>
          <cell r="H46">
            <v>39660</v>
          </cell>
          <cell r="I46">
            <v>45082.68</v>
          </cell>
          <cell r="J46">
            <v>5422.68</v>
          </cell>
          <cell r="K46">
            <v>39660</v>
          </cell>
          <cell r="L46">
            <v>0.56657142857142861</v>
          </cell>
          <cell r="M46">
            <v>31730.585000000006</v>
          </cell>
          <cell r="N46">
            <v>0.51874281489871221</v>
          </cell>
          <cell r="O46">
            <v>79320</v>
          </cell>
          <cell r="P46">
            <v>76813.265000000014</v>
          </cell>
          <cell r="Q46">
            <v>-2506.734999999986</v>
          </cell>
          <cell r="R46">
            <v>39660</v>
          </cell>
          <cell r="S46">
            <v>0.36957939360608683</v>
          </cell>
          <cell r="T46">
            <v>40034.369541984728</v>
          </cell>
          <cell r="U46">
            <v>0.37627616861258184</v>
          </cell>
          <cell r="V46">
            <v>118980</v>
          </cell>
          <cell r="W46">
            <v>116847.63454198473</v>
          </cell>
          <cell r="X46">
            <v>-2132.3654580152652</v>
          </cell>
          <cell r="Y46">
            <v>39660</v>
          </cell>
          <cell r="Z46">
            <v>0.36957939360608683</v>
          </cell>
          <cell r="AA46">
            <v>0</v>
          </cell>
          <cell r="AB46" t="e">
            <v>#DIV/0!</v>
          </cell>
          <cell r="AC46">
            <v>158640</v>
          </cell>
          <cell r="AD46">
            <v>116847.63454198473</v>
          </cell>
          <cell r="AE46">
            <v>-41792.365458015265</v>
          </cell>
          <cell r="AF46">
            <v>40500</v>
          </cell>
          <cell r="AG46">
            <v>0.37740709634509623</v>
          </cell>
          <cell r="AH46">
            <v>0</v>
          </cell>
          <cell r="AI46" t="e">
            <v>#DIV/0!</v>
          </cell>
          <cell r="AJ46">
            <v>199140</v>
          </cell>
          <cell r="AK46">
            <v>116847.63454198473</v>
          </cell>
          <cell r="AL46">
            <v>-82292.365458015265</v>
          </cell>
          <cell r="AM46">
            <v>40500</v>
          </cell>
          <cell r="AN46">
            <v>0.37740709634509623</v>
          </cell>
          <cell r="AO46">
            <v>0</v>
          </cell>
          <cell r="AP46" t="e">
            <v>#DIV/0!</v>
          </cell>
          <cell r="AQ46">
            <v>239640</v>
          </cell>
          <cell r="AR46">
            <v>116847.63454198473</v>
          </cell>
          <cell r="AS46">
            <v>-122792.36545801527</v>
          </cell>
          <cell r="AT46">
            <v>40500</v>
          </cell>
          <cell r="AU46">
            <v>0.37740709634509623</v>
          </cell>
          <cell r="AV46">
            <v>0</v>
          </cell>
          <cell r="AW46" t="e">
            <v>#DIV/0!</v>
          </cell>
          <cell r="AX46">
            <v>280140</v>
          </cell>
          <cell r="AY46">
            <v>116847.63454198473</v>
          </cell>
          <cell r="AZ46">
            <v>-163292.36545801527</v>
          </cell>
          <cell r="BA46">
            <v>40500</v>
          </cell>
          <cell r="BB46">
            <v>0.37740709634509623</v>
          </cell>
          <cell r="BC46">
            <v>0</v>
          </cell>
          <cell r="BD46" t="e">
            <v>#DIV/0!</v>
          </cell>
          <cell r="BE46">
            <v>320640</v>
          </cell>
          <cell r="BF46">
            <v>116847.63454198473</v>
          </cell>
          <cell r="BG46">
            <v>-203792.36545801527</v>
          </cell>
          <cell r="BH46">
            <v>40500</v>
          </cell>
          <cell r="BI46">
            <v>0.37740709634509623</v>
          </cell>
          <cell r="BJ46">
            <v>0</v>
          </cell>
          <cell r="BK46" t="e">
            <v>#DIV/0!</v>
          </cell>
          <cell r="BL46">
            <v>361140</v>
          </cell>
          <cell r="BM46">
            <v>116847.63454198473</v>
          </cell>
          <cell r="BN46">
            <v>-244292.36545801527</v>
          </cell>
          <cell r="BO46">
            <v>40500</v>
          </cell>
          <cell r="BP46">
            <v>0.37740709634509623</v>
          </cell>
          <cell r="BQ46">
            <v>0</v>
          </cell>
          <cell r="BR46" t="e">
            <v>#DIV/0!</v>
          </cell>
          <cell r="BS46">
            <v>401640</v>
          </cell>
          <cell r="BT46">
            <v>116847.63454198473</v>
          </cell>
          <cell r="BU46">
            <v>-284792.36545801524</v>
          </cell>
          <cell r="BV46">
            <v>40500</v>
          </cell>
          <cell r="BW46">
            <v>0.37740709634509623</v>
          </cell>
          <cell r="BX46">
            <v>0</v>
          </cell>
          <cell r="BY46" t="e">
            <v>#DIV/0!</v>
          </cell>
          <cell r="BZ46">
            <v>442140</v>
          </cell>
          <cell r="CA46">
            <v>116847.63454198473</v>
          </cell>
          <cell r="CB46">
            <v>-325292.36545801524</v>
          </cell>
          <cell r="CC46">
            <v>40500</v>
          </cell>
          <cell r="CD46">
            <v>0.37740709634509623</v>
          </cell>
          <cell r="CE46">
            <v>0</v>
          </cell>
          <cell r="CF46" t="e">
            <v>#DIV/0!</v>
          </cell>
          <cell r="CG46">
            <v>482640</v>
          </cell>
          <cell r="CH46">
            <v>116847.63454198473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5.6228248101399697E-4</v>
          </cell>
          <cell r="C49">
            <v>54.135833333333331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2.1275960839218979E-2</v>
          </cell>
          <cell r="C50">
            <v>2048.4221168004228</v>
          </cell>
          <cell r="D50">
            <v>1407</v>
          </cell>
          <cell r="E50">
            <v>2.01E-2</v>
          </cell>
          <cell r="F50">
            <v>1026.459891</v>
          </cell>
          <cell r="G50">
            <v>1.1185177007302849E-2</v>
          </cell>
          <cell r="H50">
            <v>1407</v>
          </cell>
          <cell r="I50">
            <v>1026.459891</v>
          </cell>
          <cell r="J50">
            <v>-380.54010900000003</v>
          </cell>
          <cell r="K50">
            <v>1407</v>
          </cell>
          <cell r="L50">
            <v>2.01E-2</v>
          </cell>
          <cell r="M50">
            <v>1177.4101989999999</v>
          </cell>
          <cell r="N50">
            <v>1.9248717945783627E-2</v>
          </cell>
          <cell r="O50">
            <v>2814</v>
          </cell>
          <cell r="P50">
            <v>2203.8700899999999</v>
          </cell>
          <cell r="Q50">
            <v>-610.12991000000011</v>
          </cell>
          <cell r="R50">
            <v>1407</v>
          </cell>
          <cell r="S50">
            <v>1.3111402087840751E-2</v>
          </cell>
          <cell r="T50">
            <v>905.27010300763402</v>
          </cell>
          <cell r="U50">
            <v>8.5084783353963824E-3</v>
          </cell>
          <cell r="V50">
            <v>4221</v>
          </cell>
          <cell r="W50">
            <v>3109.140193007634</v>
          </cell>
          <cell r="X50">
            <v>-1111.859806992366</v>
          </cell>
          <cell r="Y50">
            <v>1407</v>
          </cell>
          <cell r="Z50">
            <v>1.3111402087840751E-2</v>
          </cell>
          <cell r="AA50">
            <v>0</v>
          </cell>
          <cell r="AB50" t="e">
            <v>#DIV/0!</v>
          </cell>
          <cell r="AC50">
            <v>5628</v>
          </cell>
          <cell r="AD50">
            <v>3109.140193007634</v>
          </cell>
          <cell r="AE50">
            <v>-2518.859806992366</v>
          </cell>
          <cell r="AF50">
            <v>1407</v>
          </cell>
          <cell r="AG50">
            <v>1.3111402087840751E-2</v>
          </cell>
          <cell r="AH50">
            <v>0</v>
          </cell>
          <cell r="AI50" t="e">
            <v>#DIV/0!</v>
          </cell>
          <cell r="AJ50">
            <v>7035</v>
          </cell>
          <cell r="AK50">
            <v>3109.140193007634</v>
          </cell>
          <cell r="AL50">
            <v>-3925.859806992366</v>
          </cell>
          <cell r="AM50">
            <v>1407</v>
          </cell>
          <cell r="AN50">
            <v>1.3111402087840751E-2</v>
          </cell>
          <cell r="AO50">
            <v>0</v>
          </cell>
          <cell r="AP50" t="e">
            <v>#DIV/0!</v>
          </cell>
          <cell r="AQ50">
            <v>8442</v>
          </cell>
          <cell r="AR50">
            <v>3109.140193007634</v>
          </cell>
          <cell r="AS50">
            <v>-5332.8598069923664</v>
          </cell>
          <cell r="AT50">
            <v>1407</v>
          </cell>
          <cell r="AU50">
            <v>1.3111402087840751E-2</v>
          </cell>
          <cell r="AV50">
            <v>0</v>
          </cell>
          <cell r="AW50" t="e">
            <v>#DIV/0!</v>
          </cell>
          <cell r="AX50">
            <v>9849</v>
          </cell>
          <cell r="AY50">
            <v>3109.140193007634</v>
          </cell>
          <cell r="AZ50">
            <v>-6739.8598069923664</v>
          </cell>
          <cell r="BA50">
            <v>1407</v>
          </cell>
          <cell r="BB50">
            <v>1.3111402087840751E-2</v>
          </cell>
          <cell r="BC50">
            <v>0</v>
          </cell>
          <cell r="BD50" t="e">
            <v>#DIV/0!</v>
          </cell>
          <cell r="BE50">
            <v>11256</v>
          </cell>
          <cell r="BF50">
            <v>3109.140193007634</v>
          </cell>
          <cell r="BG50">
            <v>-8146.8598069923664</v>
          </cell>
          <cell r="BH50">
            <v>1407</v>
          </cell>
          <cell r="BI50">
            <v>1.3111402087840751E-2</v>
          </cell>
          <cell r="BJ50">
            <v>0</v>
          </cell>
          <cell r="BK50" t="e">
            <v>#DIV/0!</v>
          </cell>
          <cell r="BL50">
            <v>12663</v>
          </cell>
          <cell r="BM50">
            <v>3109.140193007634</v>
          </cell>
          <cell r="BN50">
            <v>-9553.8598069923664</v>
          </cell>
          <cell r="BO50">
            <v>1407</v>
          </cell>
          <cell r="BP50">
            <v>1.3111402087840751E-2</v>
          </cell>
          <cell r="BQ50">
            <v>0</v>
          </cell>
          <cell r="BR50" t="e">
            <v>#DIV/0!</v>
          </cell>
          <cell r="BS50">
            <v>14070</v>
          </cell>
          <cell r="BT50">
            <v>3109.140193007634</v>
          </cell>
          <cell r="BU50">
            <v>-10960.859806992366</v>
          </cell>
          <cell r="BV50">
            <v>1407</v>
          </cell>
          <cell r="BW50">
            <v>1.3111402087840751E-2</v>
          </cell>
          <cell r="BX50">
            <v>0</v>
          </cell>
          <cell r="BY50" t="e">
            <v>#DIV/0!</v>
          </cell>
          <cell r="BZ50">
            <v>15477</v>
          </cell>
          <cell r="CA50">
            <v>3109.140193007634</v>
          </cell>
          <cell r="CB50">
            <v>-12367.859806992366</v>
          </cell>
          <cell r="CC50">
            <v>1407</v>
          </cell>
          <cell r="CD50">
            <v>1.3111402087840751E-2</v>
          </cell>
          <cell r="CE50">
            <v>0</v>
          </cell>
          <cell r="CF50" t="e">
            <v>#DIV/0!</v>
          </cell>
          <cell r="CG50">
            <v>16884</v>
          </cell>
          <cell r="CH50">
            <v>3109.140193007634</v>
          </cell>
        </row>
        <row r="51">
          <cell r="A51" t="str">
            <v>Vale Transporte</v>
          </cell>
          <cell r="B51">
            <v>3.8110781829698984E-4</v>
          </cell>
          <cell r="C51">
            <v>36.69257006931813</v>
          </cell>
          <cell r="D51">
            <v>50</v>
          </cell>
          <cell r="E51">
            <v>7.1428571428571429E-4</v>
          </cell>
          <cell r="F51">
            <v>0</v>
          </cell>
          <cell r="G51">
            <v>0</v>
          </cell>
          <cell r="H51">
            <v>50</v>
          </cell>
          <cell r="I51">
            <v>0</v>
          </cell>
          <cell r="J51">
            <v>-50</v>
          </cell>
          <cell r="K51">
            <v>50</v>
          </cell>
          <cell r="L51">
            <v>7.1428571428571429E-4</v>
          </cell>
          <cell r="M51">
            <v>0</v>
          </cell>
          <cell r="N51">
            <v>0</v>
          </cell>
          <cell r="O51">
            <v>100</v>
          </cell>
          <cell r="P51">
            <v>0</v>
          </cell>
          <cell r="Q51">
            <v>-100</v>
          </cell>
          <cell r="R51">
            <v>50</v>
          </cell>
          <cell r="S51">
            <v>4.6593468684579784E-4</v>
          </cell>
          <cell r="T51">
            <v>0</v>
          </cell>
          <cell r="U51">
            <v>0</v>
          </cell>
          <cell r="V51">
            <v>150</v>
          </cell>
          <cell r="W51">
            <v>0</v>
          </cell>
          <cell r="X51">
            <v>-150</v>
          </cell>
          <cell r="Y51">
            <v>50</v>
          </cell>
          <cell r="Z51">
            <v>4.6593468684579784E-4</v>
          </cell>
          <cell r="AA51">
            <v>0</v>
          </cell>
          <cell r="AB51" t="e">
            <v>#DIV/0!</v>
          </cell>
          <cell r="AC51">
            <v>200</v>
          </cell>
          <cell r="AD51">
            <v>0</v>
          </cell>
          <cell r="AE51">
            <v>-200</v>
          </cell>
          <cell r="AF51">
            <v>50</v>
          </cell>
          <cell r="AG51">
            <v>4.6593468684579784E-4</v>
          </cell>
          <cell r="AH51">
            <v>0</v>
          </cell>
          <cell r="AI51" t="e">
            <v>#DIV/0!</v>
          </cell>
          <cell r="AJ51">
            <v>250</v>
          </cell>
          <cell r="AK51">
            <v>0</v>
          </cell>
          <cell r="AL51">
            <v>-250</v>
          </cell>
          <cell r="AM51">
            <v>50</v>
          </cell>
          <cell r="AN51">
            <v>4.6593468684579784E-4</v>
          </cell>
          <cell r="AO51">
            <v>0</v>
          </cell>
          <cell r="AP51" t="e">
            <v>#DIV/0!</v>
          </cell>
          <cell r="AQ51">
            <v>300</v>
          </cell>
          <cell r="AR51">
            <v>0</v>
          </cell>
          <cell r="AS51">
            <v>-300</v>
          </cell>
          <cell r="AT51">
            <v>50</v>
          </cell>
          <cell r="AU51">
            <v>4.6593468684579784E-4</v>
          </cell>
          <cell r="AV51">
            <v>0</v>
          </cell>
          <cell r="AW51" t="e">
            <v>#DIV/0!</v>
          </cell>
          <cell r="AX51">
            <v>350</v>
          </cell>
          <cell r="AY51">
            <v>0</v>
          </cell>
          <cell r="AZ51">
            <v>-350</v>
          </cell>
          <cell r="BA51">
            <v>50</v>
          </cell>
          <cell r="BB51">
            <v>4.6593468684579784E-4</v>
          </cell>
          <cell r="BC51">
            <v>0</v>
          </cell>
          <cell r="BD51" t="e">
            <v>#DIV/0!</v>
          </cell>
          <cell r="BE51">
            <v>400</v>
          </cell>
          <cell r="BF51">
            <v>0</v>
          </cell>
          <cell r="BG51">
            <v>-400</v>
          </cell>
          <cell r="BH51">
            <v>50</v>
          </cell>
          <cell r="BI51">
            <v>4.6593468684579784E-4</v>
          </cell>
          <cell r="BJ51">
            <v>0</v>
          </cell>
          <cell r="BK51" t="e">
            <v>#DIV/0!</v>
          </cell>
          <cell r="BL51">
            <v>450</v>
          </cell>
          <cell r="BM51">
            <v>0</v>
          </cell>
          <cell r="BN51">
            <v>-450</v>
          </cell>
          <cell r="BO51">
            <v>50</v>
          </cell>
          <cell r="BP51">
            <v>4.6593468684579784E-4</v>
          </cell>
          <cell r="BQ51">
            <v>0</v>
          </cell>
          <cell r="BR51" t="e">
            <v>#DIV/0!</v>
          </cell>
          <cell r="BS51">
            <v>500</v>
          </cell>
          <cell r="BT51">
            <v>0</v>
          </cell>
          <cell r="BU51">
            <v>-500</v>
          </cell>
          <cell r="BV51">
            <v>50</v>
          </cell>
          <cell r="BW51">
            <v>4.6593468684579784E-4</v>
          </cell>
          <cell r="BX51">
            <v>0</v>
          </cell>
          <cell r="BY51" t="e">
            <v>#DIV/0!</v>
          </cell>
          <cell r="BZ51">
            <v>550</v>
          </cell>
          <cell r="CA51">
            <v>0</v>
          </cell>
          <cell r="CB51">
            <v>-550</v>
          </cell>
          <cell r="CC51">
            <v>50</v>
          </cell>
          <cell r="CD51">
            <v>4.6593468684579784E-4</v>
          </cell>
          <cell r="CE51">
            <v>0</v>
          </cell>
          <cell r="CF51" t="e">
            <v>#DIV/0!</v>
          </cell>
          <cell r="CG51">
            <v>600</v>
          </cell>
          <cell r="CH51">
            <v>0</v>
          </cell>
        </row>
        <row r="52">
          <cell r="A52" t="str">
            <v>Viagens - Alimentação / Hospedagem</v>
          </cell>
          <cell r="B52">
            <v>2.6407706688017874E-4</v>
          </cell>
          <cell r="C52">
            <v>25.425000000000001</v>
          </cell>
          <cell r="D52">
            <v>10</v>
          </cell>
          <cell r="E52">
            <v>1.4285714285714287E-4</v>
          </cell>
          <cell r="F52">
            <v>0</v>
          </cell>
          <cell r="G52">
            <v>0</v>
          </cell>
          <cell r="H52">
            <v>10</v>
          </cell>
          <cell r="I52">
            <v>0</v>
          </cell>
          <cell r="J52">
            <v>-10</v>
          </cell>
          <cell r="K52">
            <v>10</v>
          </cell>
          <cell r="L52">
            <v>1.4285714285714287E-4</v>
          </cell>
          <cell r="M52">
            <v>0</v>
          </cell>
          <cell r="N52">
            <v>0</v>
          </cell>
          <cell r="O52">
            <v>20</v>
          </cell>
          <cell r="P52">
            <v>0</v>
          </cell>
          <cell r="Q52">
            <v>-20</v>
          </cell>
          <cell r="R52">
            <v>10</v>
          </cell>
          <cell r="S52">
            <v>9.3186937369159573E-5</v>
          </cell>
          <cell r="T52">
            <v>0</v>
          </cell>
          <cell r="U52">
            <v>0</v>
          </cell>
          <cell r="V52">
            <v>30</v>
          </cell>
          <cell r="W52">
            <v>0</v>
          </cell>
          <cell r="X52">
            <v>-30</v>
          </cell>
          <cell r="Y52">
            <v>10</v>
          </cell>
          <cell r="Z52">
            <v>9.3186937369159573E-5</v>
          </cell>
          <cell r="AA52">
            <v>0</v>
          </cell>
          <cell r="AB52" t="e">
            <v>#DIV/0!</v>
          </cell>
          <cell r="AC52">
            <v>40</v>
          </cell>
          <cell r="AD52">
            <v>0</v>
          </cell>
          <cell r="AE52">
            <v>-40</v>
          </cell>
          <cell r="AF52">
            <v>10</v>
          </cell>
          <cell r="AG52">
            <v>9.3186937369159573E-5</v>
          </cell>
          <cell r="AH52">
            <v>0</v>
          </cell>
          <cell r="AI52" t="e">
            <v>#DIV/0!</v>
          </cell>
          <cell r="AJ52">
            <v>50</v>
          </cell>
          <cell r="AK52">
            <v>0</v>
          </cell>
          <cell r="AL52">
            <v>-50</v>
          </cell>
          <cell r="AM52">
            <v>10</v>
          </cell>
          <cell r="AN52">
            <v>9.3186937369159573E-5</v>
          </cell>
          <cell r="AO52">
            <v>0</v>
          </cell>
          <cell r="AP52" t="e">
            <v>#DIV/0!</v>
          </cell>
          <cell r="AQ52">
            <v>60</v>
          </cell>
          <cell r="AR52">
            <v>0</v>
          </cell>
          <cell r="AS52">
            <v>-60</v>
          </cell>
          <cell r="AT52">
            <v>10</v>
          </cell>
          <cell r="AU52">
            <v>9.3186937369159573E-5</v>
          </cell>
          <cell r="AV52">
            <v>0</v>
          </cell>
          <cell r="AW52" t="e">
            <v>#DIV/0!</v>
          </cell>
          <cell r="AX52">
            <v>70</v>
          </cell>
          <cell r="AY52">
            <v>0</v>
          </cell>
          <cell r="AZ52">
            <v>-70</v>
          </cell>
          <cell r="BA52">
            <v>10</v>
          </cell>
          <cell r="BB52">
            <v>9.3186937369159573E-5</v>
          </cell>
          <cell r="BC52">
            <v>0</v>
          </cell>
          <cell r="BD52" t="e">
            <v>#DIV/0!</v>
          </cell>
          <cell r="BE52">
            <v>80</v>
          </cell>
          <cell r="BF52">
            <v>0</v>
          </cell>
          <cell r="BG52">
            <v>-80</v>
          </cell>
          <cell r="BH52">
            <v>10</v>
          </cell>
          <cell r="BI52">
            <v>9.3186937369159573E-5</v>
          </cell>
          <cell r="BJ52">
            <v>0</v>
          </cell>
          <cell r="BK52" t="e">
            <v>#DIV/0!</v>
          </cell>
          <cell r="BL52">
            <v>90</v>
          </cell>
          <cell r="BM52">
            <v>0</v>
          </cell>
          <cell r="BN52">
            <v>-90</v>
          </cell>
          <cell r="BO52">
            <v>10</v>
          </cell>
          <cell r="BP52">
            <v>9.3186937369159573E-5</v>
          </cell>
          <cell r="BQ52">
            <v>0</v>
          </cell>
          <cell r="BR52" t="e">
            <v>#DIV/0!</v>
          </cell>
          <cell r="BS52">
            <v>100</v>
          </cell>
          <cell r="BT52">
            <v>0</v>
          </cell>
          <cell r="BU52">
            <v>-100</v>
          </cell>
          <cell r="BV52">
            <v>10</v>
          </cell>
          <cell r="BW52">
            <v>9.3186937369159573E-5</v>
          </cell>
          <cell r="BX52">
            <v>0</v>
          </cell>
          <cell r="BY52" t="e">
            <v>#DIV/0!</v>
          </cell>
          <cell r="BZ52">
            <v>110</v>
          </cell>
          <cell r="CA52">
            <v>0</v>
          </cell>
          <cell r="CB52">
            <v>-110</v>
          </cell>
          <cell r="CC52">
            <v>10</v>
          </cell>
          <cell r="CD52">
            <v>9.3186937369159573E-5</v>
          </cell>
          <cell r="CE52">
            <v>0</v>
          </cell>
          <cell r="CF52" t="e">
            <v>#DIV/0!</v>
          </cell>
          <cell r="CG52">
            <v>120</v>
          </cell>
          <cell r="CH52">
            <v>0</v>
          </cell>
        </row>
        <row r="53">
          <cell r="A53" t="str">
            <v>Viagens - Passagens / Traslados</v>
          </cell>
          <cell r="B53">
            <v>2.0519333388468401E-3</v>
          </cell>
          <cell r="C53">
            <v>197.5575</v>
          </cell>
          <cell r="D53">
            <v>250</v>
          </cell>
          <cell r="E53">
            <v>3.5714285714285713E-3</v>
          </cell>
          <cell r="F53">
            <v>414.68</v>
          </cell>
          <cell r="G53">
            <v>4.5187047658234759E-3</v>
          </cell>
          <cell r="H53">
            <v>250</v>
          </cell>
          <cell r="I53">
            <v>414.68</v>
          </cell>
          <cell r="J53">
            <v>164.68</v>
          </cell>
          <cell r="K53">
            <v>250</v>
          </cell>
          <cell r="L53">
            <v>3.5714285714285713E-3</v>
          </cell>
          <cell r="M53">
            <v>1244.6599999999999</v>
          </cell>
          <cell r="N53">
            <v>2.0348141453800206E-2</v>
          </cell>
          <cell r="O53">
            <v>500</v>
          </cell>
          <cell r="P53">
            <v>1659.34</v>
          </cell>
          <cell r="Q53">
            <v>1159.3399999999999</v>
          </cell>
          <cell r="R53">
            <v>250</v>
          </cell>
          <cell r="S53">
            <v>2.3296734342289891E-3</v>
          </cell>
          <cell r="T53">
            <v>414.64</v>
          </cell>
          <cell r="U53">
            <v>3.8971301993378708E-3</v>
          </cell>
          <cell r="V53">
            <v>750</v>
          </cell>
          <cell r="W53">
            <v>2073.98</v>
          </cell>
          <cell r="X53">
            <v>1323.98</v>
          </cell>
          <cell r="Y53">
            <v>250</v>
          </cell>
          <cell r="Z53">
            <v>2.3296734342289891E-3</v>
          </cell>
          <cell r="AA53">
            <v>0</v>
          </cell>
          <cell r="AB53" t="e">
            <v>#DIV/0!</v>
          </cell>
          <cell r="AC53">
            <v>1000</v>
          </cell>
          <cell r="AD53">
            <v>2073.98</v>
          </cell>
          <cell r="AE53">
            <v>1073.98</v>
          </cell>
          <cell r="AF53">
            <v>250</v>
          </cell>
          <cell r="AG53">
            <v>2.3296734342289891E-3</v>
          </cell>
          <cell r="AH53">
            <v>0</v>
          </cell>
          <cell r="AI53" t="e">
            <v>#DIV/0!</v>
          </cell>
          <cell r="AJ53">
            <v>1250</v>
          </cell>
          <cell r="AK53">
            <v>2073.98</v>
          </cell>
          <cell r="AL53">
            <v>823.98</v>
          </cell>
          <cell r="AM53">
            <v>250</v>
          </cell>
          <cell r="AN53">
            <v>2.3296734342289891E-3</v>
          </cell>
          <cell r="AO53">
            <v>0</v>
          </cell>
          <cell r="AP53" t="e">
            <v>#DIV/0!</v>
          </cell>
          <cell r="AQ53">
            <v>1500</v>
          </cell>
          <cell r="AR53">
            <v>2073.98</v>
          </cell>
          <cell r="AS53">
            <v>573.98</v>
          </cell>
          <cell r="AT53">
            <v>250</v>
          </cell>
          <cell r="AU53">
            <v>2.3296734342289891E-3</v>
          </cell>
          <cell r="AV53">
            <v>0</v>
          </cell>
          <cell r="AW53" t="e">
            <v>#DIV/0!</v>
          </cell>
          <cell r="AX53">
            <v>1750</v>
          </cell>
          <cell r="AY53">
            <v>2073.98</v>
          </cell>
          <cell r="AZ53">
            <v>323.98</v>
          </cell>
          <cell r="BA53">
            <v>250</v>
          </cell>
          <cell r="BB53">
            <v>2.3296734342289891E-3</v>
          </cell>
          <cell r="BC53">
            <v>0</v>
          </cell>
          <cell r="BD53" t="e">
            <v>#DIV/0!</v>
          </cell>
          <cell r="BE53">
            <v>2000</v>
          </cell>
          <cell r="BF53">
            <v>2073.98</v>
          </cell>
          <cell r="BG53">
            <v>73.980000000000018</v>
          </cell>
          <cell r="BH53">
            <v>250</v>
          </cell>
          <cell r="BI53">
            <v>2.3296734342289891E-3</v>
          </cell>
          <cell r="BJ53">
            <v>0</v>
          </cell>
          <cell r="BK53" t="e">
            <v>#DIV/0!</v>
          </cell>
          <cell r="BL53">
            <v>2250</v>
          </cell>
          <cell r="BM53">
            <v>2073.98</v>
          </cell>
          <cell r="BN53">
            <v>-176.01999999999998</v>
          </cell>
          <cell r="BO53">
            <v>250</v>
          </cell>
          <cell r="BP53">
            <v>2.3296734342289891E-3</v>
          </cell>
          <cell r="BQ53">
            <v>0</v>
          </cell>
          <cell r="BR53" t="e">
            <v>#DIV/0!</v>
          </cell>
          <cell r="BS53">
            <v>2500</v>
          </cell>
          <cell r="BT53">
            <v>2073.98</v>
          </cell>
          <cell r="BU53">
            <v>-426.02</v>
          </cell>
          <cell r="BV53">
            <v>250</v>
          </cell>
          <cell r="BW53">
            <v>2.3296734342289891E-3</v>
          </cell>
          <cell r="BX53">
            <v>0</v>
          </cell>
          <cell r="BY53" t="e">
            <v>#DIV/0!</v>
          </cell>
          <cell r="BZ53">
            <v>2750</v>
          </cell>
          <cell r="CA53">
            <v>2073.98</v>
          </cell>
          <cell r="CB53">
            <v>-676.02</v>
          </cell>
          <cell r="CC53">
            <v>250</v>
          </cell>
          <cell r="CD53">
            <v>2.3296734342289891E-3</v>
          </cell>
          <cell r="CE53">
            <v>0</v>
          </cell>
          <cell r="CF53" t="e">
            <v>#DIV/0!</v>
          </cell>
          <cell r="CG53">
            <v>3000</v>
          </cell>
          <cell r="CH53">
            <v>2073.98</v>
          </cell>
        </row>
        <row r="54">
          <cell r="A54" t="str">
            <v>Bradesco - Total</v>
          </cell>
          <cell r="B54">
            <v>0.62126753302818027</v>
          </cell>
          <cell r="C54">
            <v>59814.838198004443</v>
          </cell>
          <cell r="D54">
            <v>59927.733019582352</v>
          </cell>
          <cell r="E54">
            <v>0.85611047170831933</v>
          </cell>
          <cell r="F54">
            <v>64923.86722507509</v>
          </cell>
          <cell r="G54">
            <v>0.7074654872326549</v>
          </cell>
          <cell r="H54">
            <v>59927.733019582352</v>
          </cell>
          <cell r="I54">
            <v>64923.86722507509</v>
          </cell>
          <cell r="J54">
            <v>4996.1342054927372</v>
          </cell>
          <cell r="K54">
            <v>59895.733019582352</v>
          </cell>
          <cell r="L54">
            <v>0.8556533288511764</v>
          </cell>
          <cell r="M54">
            <v>49245.977196103413</v>
          </cell>
          <cell r="N54">
            <v>0.8050906352071503</v>
          </cell>
          <cell r="O54">
            <v>119823.4660391647</v>
          </cell>
          <cell r="P54">
            <v>114169.84442117852</v>
          </cell>
          <cell r="Q54">
            <v>-5653.6216179861913</v>
          </cell>
          <cell r="R54">
            <v>60518.844797082354</v>
          </cell>
          <cell r="S54">
            <v>0.56395657997596005</v>
          </cell>
          <cell r="T54">
            <v>53193.621493918123</v>
          </cell>
          <cell r="U54">
            <v>0.49995771931337157</v>
          </cell>
          <cell r="V54">
            <v>180342.31083624705</v>
          </cell>
          <cell r="W54">
            <v>167363.46591509663</v>
          </cell>
          <cell r="X54">
            <v>-12978.844921150432</v>
          </cell>
          <cell r="Y54">
            <v>60268.844797082354</v>
          </cell>
          <cell r="Z54">
            <v>0.56162690654173109</v>
          </cell>
          <cell r="AA54">
            <v>0</v>
          </cell>
          <cell r="AB54" t="e">
            <v>#DIV/0!</v>
          </cell>
          <cell r="AC54">
            <v>240611.15563332941</v>
          </cell>
          <cell r="AD54">
            <v>167363.46591509663</v>
          </cell>
          <cell r="AE54">
            <v>-73247.689718232781</v>
          </cell>
          <cell r="AF54">
            <v>61108.844797082354</v>
          </cell>
          <cell r="AG54">
            <v>0.56945460928074054</v>
          </cell>
          <cell r="AH54">
            <v>0</v>
          </cell>
          <cell r="AI54" t="e">
            <v>#DIV/0!</v>
          </cell>
          <cell r="AJ54">
            <v>301720.00043041178</v>
          </cell>
          <cell r="AK54">
            <v>167363.46591509663</v>
          </cell>
          <cell r="AL54">
            <v>-134356.53451531514</v>
          </cell>
          <cell r="AM54">
            <v>61108.844797082354</v>
          </cell>
          <cell r="AN54">
            <v>0.56945460928074054</v>
          </cell>
          <cell r="AO54">
            <v>0</v>
          </cell>
          <cell r="AP54" t="e">
            <v>#DIV/0!</v>
          </cell>
          <cell r="AQ54">
            <v>362828.84522749414</v>
          </cell>
          <cell r="AR54">
            <v>167363.46591509663</v>
          </cell>
          <cell r="AS54">
            <v>-195465.3793123975</v>
          </cell>
          <cell r="AT54">
            <v>61108.844797082354</v>
          </cell>
          <cell r="AU54">
            <v>0.56945460928074054</v>
          </cell>
          <cell r="AV54">
            <v>0</v>
          </cell>
          <cell r="AW54" t="e">
            <v>#DIV/0!</v>
          </cell>
          <cell r="AX54">
            <v>423937.6900245765</v>
          </cell>
          <cell r="AY54">
            <v>167363.46591509663</v>
          </cell>
          <cell r="AZ54">
            <v>-256574.22410947981</v>
          </cell>
          <cell r="BA54">
            <v>61108.844797082354</v>
          </cell>
          <cell r="BB54">
            <v>0.56945460928074054</v>
          </cell>
          <cell r="BC54">
            <v>0</v>
          </cell>
          <cell r="BD54" t="e">
            <v>#DIV/0!</v>
          </cell>
          <cell r="BE54">
            <v>485046.53482165886</v>
          </cell>
          <cell r="BF54">
            <v>167363.46591509663</v>
          </cell>
          <cell r="BG54">
            <v>-317683.06890656217</v>
          </cell>
          <cell r="BH54">
            <v>61108.844797082354</v>
          </cell>
          <cell r="BI54">
            <v>0.56945460928074054</v>
          </cell>
          <cell r="BJ54">
            <v>0</v>
          </cell>
          <cell r="BK54" t="e">
            <v>#DIV/0!</v>
          </cell>
          <cell r="BL54">
            <v>546155.37961874111</v>
          </cell>
          <cell r="BM54">
            <v>167363.46591509663</v>
          </cell>
          <cell r="BN54">
            <v>-378791.91370364453</v>
          </cell>
          <cell r="BO54">
            <v>61597.538312792421</v>
          </cell>
          <cell r="BP54">
            <v>0.57400859448485941</v>
          </cell>
          <cell r="BQ54">
            <v>0</v>
          </cell>
          <cell r="BR54" t="e">
            <v>#DIV/0!</v>
          </cell>
          <cell r="BS54">
            <v>607752.91793153365</v>
          </cell>
          <cell r="BT54">
            <v>167363.46591509663</v>
          </cell>
          <cell r="BU54">
            <v>-440389.45201643696</v>
          </cell>
          <cell r="BV54">
            <v>63644.408312792424</v>
          </cell>
          <cell r="BW54">
            <v>0.5930827491341405</v>
          </cell>
          <cell r="BX54">
            <v>0</v>
          </cell>
          <cell r="BY54" t="e">
            <v>#DIV/0!</v>
          </cell>
          <cell r="BZ54">
            <v>671397.32624432608</v>
          </cell>
          <cell r="CA54">
            <v>167363.46591509663</v>
          </cell>
          <cell r="CB54">
            <v>-504033.86032922938</v>
          </cell>
          <cell r="CC54">
            <v>63644.408312792424</v>
          </cell>
          <cell r="CD54">
            <v>0.5930827491341405</v>
          </cell>
          <cell r="CE54">
            <v>0</v>
          </cell>
          <cell r="CF54" t="e">
            <v>#DIV/0!</v>
          </cell>
          <cell r="CG54">
            <v>735041.7345571185</v>
          </cell>
          <cell r="CH54">
            <v>167363.46591509663</v>
          </cell>
        </row>
        <row r="55">
          <cell r="A55" t="str">
            <v>Distribuição Anual de Lucros</v>
          </cell>
          <cell r="F55">
            <v>0</v>
          </cell>
          <cell r="M55">
            <v>79119.040000000008</v>
          </cell>
          <cell r="T55">
            <v>2699.8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1733.6299999999999</v>
          </cell>
          <cell r="M56">
            <v>6843.324999999998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16704.35661875</v>
          </cell>
          <cell r="D57">
            <v>12145</v>
          </cell>
          <cell r="F57">
            <v>22886.953913735226</v>
          </cell>
          <cell r="H57">
            <v>12145</v>
          </cell>
          <cell r="I57">
            <v>22886.953913735226</v>
          </cell>
          <cell r="J57">
            <v>10741.953913735226</v>
          </cell>
          <cell r="K57">
            <v>12145</v>
          </cell>
          <cell r="M57">
            <v>14498.872490122267</v>
          </cell>
          <cell r="O57">
            <v>24290</v>
          </cell>
          <cell r="P57">
            <v>37385.826403857493</v>
          </cell>
          <cell r="Q57">
            <v>13095.826403857493</v>
          </cell>
          <cell r="R57">
            <v>18618.489339625001</v>
          </cell>
          <cell r="T57">
            <v>20174.288765925437</v>
          </cell>
          <cell r="V57">
            <v>42908.489339624997</v>
          </cell>
          <cell r="W57">
            <v>57560.115169782934</v>
          </cell>
          <cell r="X57">
            <v>14651.625830157936</v>
          </cell>
          <cell r="Y57">
            <v>18618.489339625001</v>
          </cell>
          <cell r="AA57">
            <v>0</v>
          </cell>
          <cell r="AC57">
            <v>61526.978679249994</v>
          </cell>
          <cell r="AD57">
            <v>57560.115169782934</v>
          </cell>
          <cell r="AE57">
            <v>-3966.8635094670608</v>
          </cell>
          <cell r="AF57">
            <v>18618.489339625001</v>
          </cell>
          <cell r="AH57">
            <v>0</v>
          </cell>
          <cell r="AJ57">
            <v>80145.468018874992</v>
          </cell>
          <cell r="AK57">
            <v>57560.115169782934</v>
          </cell>
          <cell r="AL57">
            <v>-22585.352849092058</v>
          </cell>
          <cell r="AM57">
            <v>18618.489339625001</v>
          </cell>
          <cell r="AO57">
            <v>0</v>
          </cell>
          <cell r="AQ57">
            <v>98763.957358499989</v>
          </cell>
          <cell r="AR57">
            <v>57560.115169782934</v>
          </cell>
          <cell r="AS57">
            <v>-41203.842188717055</v>
          </cell>
          <cell r="AT57">
            <v>18618.489339625001</v>
          </cell>
          <cell r="AV57">
            <v>0</v>
          </cell>
          <cell r="AX57">
            <v>117382.44669812499</v>
          </cell>
          <cell r="AY57">
            <v>57560.115169782934</v>
          </cell>
          <cell r="AZ57">
            <v>-59822.331528342052</v>
          </cell>
          <cell r="BA57">
            <v>18618.489339625001</v>
          </cell>
          <cell r="BC57">
            <v>0</v>
          </cell>
          <cell r="BE57">
            <v>136000.93603774998</v>
          </cell>
          <cell r="BF57">
            <v>57560.115169782934</v>
          </cell>
          <cell r="BG57">
            <v>-78440.82086796705</v>
          </cell>
          <cell r="BH57">
            <v>18618.489339625001</v>
          </cell>
          <cell r="BJ57">
            <v>0</v>
          </cell>
          <cell r="BL57">
            <v>154619.42537737498</v>
          </cell>
          <cell r="BM57">
            <v>57560.115169782934</v>
          </cell>
          <cell r="BN57">
            <v>-97059.310207592047</v>
          </cell>
          <cell r="BO57">
            <v>18618.489339625001</v>
          </cell>
          <cell r="BQ57">
            <v>0</v>
          </cell>
          <cell r="BS57">
            <v>173237.91471699998</v>
          </cell>
          <cell r="BT57">
            <v>57560.115169782934</v>
          </cell>
          <cell r="BU57">
            <v>-115677.79954721704</v>
          </cell>
          <cell r="BV57">
            <v>18618.489339625001</v>
          </cell>
          <cell r="BX57">
            <v>0</v>
          </cell>
          <cell r="BZ57">
            <v>191856.40405662498</v>
          </cell>
          <cell r="CA57">
            <v>57560.115169782934</v>
          </cell>
          <cell r="CB57">
            <v>-134296.28888684203</v>
          </cell>
          <cell r="CC57">
            <v>18618.489339625001</v>
          </cell>
          <cell r="CE57">
            <v>0</v>
          </cell>
          <cell r="CG57">
            <v>210474.89339624997</v>
          </cell>
          <cell r="CH57">
            <v>57560.115169782934</v>
          </cell>
        </row>
        <row r="59">
          <cell r="A59" t="str">
            <v>Margem de Contribuição</v>
          </cell>
          <cell r="B59">
            <v>0.2052324669718196</v>
          </cell>
          <cell r="C59">
            <v>19759.517683245565</v>
          </cell>
          <cell r="D59">
            <v>-2.9610471708319319E-2</v>
          </cell>
          <cell r="F59">
            <v>4.3138863772511395E-2</v>
          </cell>
          <cell r="H59">
            <v>-2.9610471708319319E-2</v>
          </cell>
          <cell r="I59">
            <v>4.3138863772511395E-2</v>
          </cell>
          <cell r="K59">
            <v>-2.9153328851176462E-2</v>
          </cell>
          <cell r="M59">
            <v>-4.2123325539948214E-2</v>
          </cell>
          <cell r="O59">
            <v>-2.9381900279747891E-2</v>
          </cell>
          <cell r="P59">
            <v>9.0378459163096732E-3</v>
          </cell>
          <cell r="R59">
            <v>0.2625434200240398</v>
          </cell>
          <cell r="T59">
            <v>0.31042760289420424</v>
          </cell>
          <cell r="V59">
            <v>9.7287869448626052E-2</v>
          </cell>
          <cell r="W59">
            <v>0.13268811778935255</v>
          </cell>
          <cell r="Y59">
            <v>0.26487309345826882</v>
          </cell>
          <cell r="AA59">
            <v>0</v>
          </cell>
          <cell r="AC59">
            <v>0.14800031744592199</v>
          </cell>
          <cell r="AD59">
            <v>0.13268811778935255</v>
          </cell>
          <cell r="AF59">
            <v>0.25704539071925941</v>
          </cell>
          <cell r="AH59">
            <v>0</v>
          </cell>
          <cell r="AJ59">
            <v>0.17333243645981447</v>
          </cell>
          <cell r="AK59">
            <v>0.13268811778935255</v>
          </cell>
          <cell r="AM59">
            <v>0.25704539071925941</v>
          </cell>
          <cell r="AO59">
            <v>0</v>
          </cell>
          <cell r="AQ59">
            <v>0.18911358565790148</v>
          </cell>
          <cell r="AR59">
            <v>0.13268811778935255</v>
          </cell>
          <cell r="AT59">
            <v>0.25704539071925941</v>
          </cell>
          <cell r="AV59">
            <v>0</v>
          </cell>
          <cell r="AX59">
            <v>0.19988851516340977</v>
          </cell>
          <cell r="AY59">
            <v>0.13268811778935255</v>
          </cell>
          <cell r="BA59">
            <v>0.25704539071925941</v>
          </cell>
          <cell r="BC59">
            <v>0</v>
          </cell>
          <cell r="BE59">
            <v>0.20771327511894036</v>
          </cell>
          <cell r="BF59">
            <v>0.13268811778935255</v>
          </cell>
          <cell r="BH59">
            <v>0.25704539071925941</v>
          </cell>
          <cell r="BJ59">
            <v>0</v>
          </cell>
          <cell r="BL59">
            <v>0.21365359902173575</v>
          </cell>
          <cell r="BM59">
            <v>0.13268811778935255</v>
          </cell>
          <cell r="BO59">
            <v>0.25249140551514054</v>
          </cell>
          <cell r="BQ59">
            <v>0</v>
          </cell>
          <cell r="BS59">
            <v>0.21782763498466634</v>
          </cell>
          <cell r="BT59">
            <v>0.13268811778935255</v>
          </cell>
          <cell r="BV59">
            <v>0.23341725086585938</v>
          </cell>
          <cell r="BX59">
            <v>0</v>
          </cell>
          <cell r="BZ59">
            <v>0.21934051175581215</v>
          </cell>
          <cell r="CA59">
            <v>0.13268811778935255</v>
          </cell>
          <cell r="CC59">
            <v>0.23341725086585938</v>
          </cell>
          <cell r="CE59">
            <v>0</v>
          </cell>
          <cell r="CG59">
            <v>0.22058573208982929</v>
          </cell>
          <cell r="CH59">
            <v>0.13268811778935255</v>
          </cell>
        </row>
        <row r="61">
          <cell r="A61" t="str">
            <v>Rateio</v>
          </cell>
          <cell r="C61">
            <v>12083.902908012509</v>
          </cell>
          <cell r="F61">
            <v>20031.214210043203</v>
          </cell>
          <cell r="I61">
            <v>20031.214210043203</v>
          </cell>
          <cell r="M61">
            <v>13455.225245843923</v>
          </cell>
          <cell r="P61">
            <v>33486.439455887128</v>
          </cell>
          <cell r="T61">
            <v>22840.057903094788</v>
          </cell>
          <cell r="W61">
            <v>56326.497358981913</v>
          </cell>
          <cell r="AA61">
            <v>0</v>
          </cell>
          <cell r="AD61">
            <v>56326.497358981913</v>
          </cell>
          <cell r="AH61">
            <v>0</v>
          </cell>
          <cell r="AK61">
            <v>56326.497358981913</v>
          </cell>
          <cell r="AO61">
            <v>0</v>
          </cell>
          <cell r="AR61">
            <v>56326.497358981913</v>
          </cell>
          <cell r="AV61">
            <v>0</v>
          </cell>
          <cell r="AY61">
            <v>56326.497358981913</v>
          </cell>
          <cell r="BC61">
            <v>0</v>
          </cell>
          <cell r="BF61">
            <v>56326.497358981913</v>
          </cell>
          <cell r="BJ61">
            <v>0</v>
          </cell>
          <cell r="BM61">
            <v>56326.497358981913</v>
          </cell>
          <cell r="BQ61">
            <v>0</v>
          </cell>
          <cell r="BT61">
            <v>56326.497358981913</v>
          </cell>
          <cell r="BX61">
            <v>0</v>
          </cell>
          <cell r="CA61">
            <v>56326.497358981913</v>
          </cell>
          <cell r="CE61">
            <v>0</v>
          </cell>
          <cell r="CH61">
            <v>56326.497358981913</v>
          </cell>
        </row>
        <row r="63">
          <cell r="A63" t="str">
            <v>Resultado</v>
          </cell>
          <cell r="C63">
            <v>-5274.7116091509133</v>
          </cell>
          <cell r="F63">
            <v>-16072.375348853515</v>
          </cell>
          <cell r="G63">
            <v>-0.17513822486487923</v>
          </cell>
          <cell r="I63">
            <v>-16072.375348853515</v>
          </cell>
          <cell r="J63">
            <v>-0.17513822486487923</v>
          </cell>
          <cell r="M63">
            <v>-16031.834932069605</v>
          </cell>
          <cell r="N63">
            <v>-0.26209410197301092</v>
          </cell>
          <cell r="P63">
            <v>-32104.210280923122</v>
          </cell>
          <cell r="Q63">
            <v>-0.20991664120484932</v>
          </cell>
          <cell r="T63">
            <v>10188.27183706166</v>
          </cell>
          <cell r="U63">
            <v>9.5757818481758947E-2</v>
          </cell>
          <cell r="W63">
            <v>-21915.938443861462</v>
          </cell>
          <cell r="X63">
            <v>-8.4508497199255989E-2</v>
          </cell>
          <cell r="AA63">
            <v>0</v>
          </cell>
          <cell r="AB63" t="e">
            <v>#DIV/0!</v>
          </cell>
          <cell r="AD63">
            <v>-21915.938443861462</v>
          </cell>
          <cell r="AE63">
            <v>-8.4508497199255989E-2</v>
          </cell>
          <cell r="AH63">
            <v>0</v>
          </cell>
          <cell r="AI63" t="e">
            <v>#DIV/0!</v>
          </cell>
          <cell r="AK63">
            <v>-21915.938443861462</v>
          </cell>
          <cell r="AL63">
            <v>-8.4508497199255989E-2</v>
          </cell>
          <cell r="AO63">
            <v>0</v>
          </cell>
          <cell r="AP63" t="e">
            <v>#DIV/0!</v>
          </cell>
          <cell r="AR63">
            <v>-21915.938443861462</v>
          </cell>
          <cell r="AS63">
            <v>-8.4508497199255989E-2</v>
          </cell>
          <cell r="AV63">
            <v>0</v>
          </cell>
          <cell r="AW63" t="e">
            <v>#DIV/0!</v>
          </cell>
          <cell r="AY63">
            <v>-21915.938443861462</v>
          </cell>
          <cell r="AZ63">
            <v>-8.4508497199255989E-2</v>
          </cell>
          <cell r="BC63">
            <v>0</v>
          </cell>
          <cell r="BD63" t="e">
            <v>#DIV/0!</v>
          </cell>
          <cell r="BF63">
            <v>-21915.938443861462</v>
          </cell>
          <cell r="BG63">
            <v>-8.4508497199255989E-2</v>
          </cell>
          <cell r="BJ63">
            <v>0</v>
          </cell>
          <cell r="BK63" t="e">
            <v>#DIV/0!</v>
          </cell>
          <cell r="BM63">
            <v>-21915.938443861462</v>
          </cell>
          <cell r="BN63">
            <v>-8.4508497199255989E-2</v>
          </cell>
          <cell r="BQ63">
            <v>0</v>
          </cell>
          <cell r="BR63" t="e">
            <v>#DIV/0!</v>
          </cell>
          <cell r="BT63">
            <v>-21915.938443861462</v>
          </cell>
          <cell r="BU63">
            <v>-8.4508497199255989E-2</v>
          </cell>
          <cell r="BX63">
            <v>0</v>
          </cell>
          <cell r="BY63" t="e">
            <v>#DIV/0!</v>
          </cell>
          <cell r="CA63">
            <v>-21915.938443861462</v>
          </cell>
          <cell r="CB63">
            <v>-8.4508497199255989E-2</v>
          </cell>
          <cell r="CE63">
            <v>0</v>
          </cell>
          <cell r="CF63" t="e">
            <v>#DIV/0!</v>
          </cell>
          <cell r="CH63">
            <v>-21915.938443861462</v>
          </cell>
        </row>
        <row r="65">
          <cell r="A65" t="str">
            <v>Bradesco Pronto? N</v>
          </cell>
          <cell r="CG65" t="str">
            <v>Total Ano</v>
          </cell>
        </row>
        <row r="66">
          <cell r="F66">
            <v>0.24939564899483363</v>
          </cell>
          <cell r="CG66" t="str">
            <v>Receita</v>
          </cell>
          <cell r="CH66">
            <v>1213111.7775000001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735041.7345571185</v>
          </cell>
        </row>
        <row r="68">
          <cell r="CG68" t="str">
            <v>Imposto</v>
          </cell>
          <cell r="CH68">
            <v>210474.89339624997</v>
          </cell>
        </row>
        <row r="69">
          <cell r="CG69" t="str">
            <v>MC</v>
          </cell>
          <cell r="CH69">
            <v>267595.14954663161</v>
          </cell>
        </row>
        <row r="70">
          <cell r="CG70" t="str">
            <v>MC %</v>
          </cell>
          <cell r="CH70">
            <v>0.22058573208982929</v>
          </cell>
        </row>
        <row r="71">
          <cell r="CG71" t="str">
            <v>Rateio</v>
          </cell>
          <cell r="CH71">
            <v>268272.1124797127</v>
          </cell>
        </row>
        <row r="72">
          <cell r="CG72" t="str">
            <v>ML</v>
          </cell>
          <cell r="CH72">
            <v>-676.96293308108579</v>
          </cell>
        </row>
        <row r="73">
          <cell r="CG73" t="str">
            <v>ML %</v>
          </cell>
          <cell r="CH73">
            <v>-5.5803838165365243E-4</v>
          </cell>
        </row>
      </sheetData>
      <sheetData sheetId="15">
        <row r="11">
          <cell r="A11" t="str">
            <v>13º (+ Encargos)</v>
          </cell>
          <cell r="B11">
            <v>1.1861506199838555E-3</v>
          </cell>
          <cell r="C11">
            <v>815.98580459770119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5700</v>
          </cell>
          <cell r="BW11">
            <v>9.1935483870967741E-3</v>
          </cell>
          <cell r="BX11">
            <v>0</v>
          </cell>
          <cell r="BY11" t="e">
            <v>#DIV/0!</v>
          </cell>
          <cell r="BZ11">
            <v>5700</v>
          </cell>
          <cell r="CA11">
            <v>0</v>
          </cell>
          <cell r="CB11">
            <v>-5700</v>
          </cell>
          <cell r="CC11">
            <v>5700</v>
          </cell>
          <cell r="CD11">
            <v>9.1935483870967741E-3</v>
          </cell>
          <cell r="CE11">
            <v>0</v>
          </cell>
          <cell r="CF11" t="e">
            <v>#DIV/0!</v>
          </cell>
          <cell r="CG11">
            <v>11400</v>
          </cell>
          <cell r="CH11">
            <v>0</v>
          </cell>
        </row>
        <row r="12">
          <cell r="A12" t="str">
            <v>Acordo</v>
          </cell>
          <cell r="B12">
            <v>5.8862766023882315E-3</v>
          </cell>
          <cell r="C12">
            <v>4049.3324107099984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3.4979546737287843E-3</v>
          </cell>
          <cell r="C13">
            <v>2406.3397268449103</v>
          </cell>
          <cell r="D13">
            <v>2507.2685311048335</v>
          </cell>
          <cell r="E13">
            <v>3.9797913192140214E-3</v>
          </cell>
          <cell r="F13">
            <v>2385.4311600000001</v>
          </cell>
          <cell r="G13">
            <v>4.0462845792018148E-3</v>
          </cell>
          <cell r="H13">
            <v>2507.2685311048335</v>
          </cell>
          <cell r="I13">
            <v>2385.4311600000001</v>
          </cell>
          <cell r="J13">
            <v>-121.83737110483344</v>
          </cell>
          <cell r="K13">
            <v>2507.2685311048335</v>
          </cell>
          <cell r="L13">
            <v>4.558670056554243E-3</v>
          </cell>
          <cell r="M13">
            <v>2325.5250839999999</v>
          </cell>
          <cell r="N13">
            <v>4.6292610601981156E-3</v>
          </cell>
          <cell r="O13">
            <v>5014.5370622096671</v>
          </cell>
          <cell r="P13">
            <v>4710.956244</v>
          </cell>
          <cell r="Q13">
            <v>-303.58081820966709</v>
          </cell>
          <cell r="R13">
            <v>2507.2685311048335</v>
          </cell>
          <cell r="S13">
            <v>3.6871596045659318E-3</v>
          </cell>
          <cell r="T13">
            <v>2275.1279279999999</v>
          </cell>
          <cell r="U13">
            <v>4.3385961333771619E-3</v>
          </cell>
          <cell r="V13">
            <v>7521.8055933145006</v>
          </cell>
          <cell r="W13">
            <v>6986.0841719999999</v>
          </cell>
          <cell r="X13">
            <v>-535.72142131450073</v>
          </cell>
          <cell r="Y13">
            <v>2507.2685311048335</v>
          </cell>
          <cell r="Z13">
            <v>3.6871596045659318E-3</v>
          </cell>
          <cell r="AA13">
            <v>0</v>
          </cell>
          <cell r="AB13" t="e">
            <v>#DIV/0!</v>
          </cell>
          <cell r="AC13">
            <v>10029.074124419334</v>
          </cell>
          <cell r="AD13">
            <v>6986.0841719999999</v>
          </cell>
          <cell r="AE13">
            <v>-3042.9899524193343</v>
          </cell>
          <cell r="AF13">
            <v>2507.2685311048335</v>
          </cell>
          <cell r="AG13">
            <v>3.6871596045659318E-3</v>
          </cell>
          <cell r="AH13">
            <v>0</v>
          </cell>
          <cell r="AI13" t="e">
            <v>#DIV/0!</v>
          </cell>
          <cell r="AJ13">
            <v>12536.342655524168</v>
          </cell>
          <cell r="AK13">
            <v>6986.0841719999999</v>
          </cell>
          <cell r="AL13">
            <v>-5550.2584835241678</v>
          </cell>
          <cell r="AM13">
            <v>2507.2685311048335</v>
          </cell>
          <cell r="AN13">
            <v>3.6871596045659318E-3</v>
          </cell>
          <cell r="AO13">
            <v>0</v>
          </cell>
          <cell r="AP13" t="e">
            <v>#DIV/0!</v>
          </cell>
          <cell r="AQ13">
            <v>15043.611186629001</v>
          </cell>
          <cell r="AR13">
            <v>6986.0841719999999</v>
          </cell>
          <cell r="AS13">
            <v>-8057.5270146290013</v>
          </cell>
          <cell r="AT13">
            <v>2507.2685311048335</v>
          </cell>
          <cell r="AU13">
            <v>4.0439815017819895E-3</v>
          </cell>
          <cell r="AV13">
            <v>0</v>
          </cell>
          <cell r="AW13" t="e">
            <v>#DIV/0!</v>
          </cell>
          <cell r="AX13">
            <v>17550.879717733835</v>
          </cell>
          <cell r="AY13">
            <v>6986.0841719999999</v>
          </cell>
          <cell r="AZ13">
            <v>-10564.795545733836</v>
          </cell>
          <cell r="BA13">
            <v>2507.2685311048335</v>
          </cell>
          <cell r="BB13">
            <v>4.0439815017819895E-3</v>
          </cell>
          <cell r="BC13">
            <v>0</v>
          </cell>
          <cell r="BD13" t="e">
            <v>#DIV/0!</v>
          </cell>
          <cell r="BE13">
            <v>20058.148248838668</v>
          </cell>
          <cell r="BF13">
            <v>6986.0841719999999</v>
          </cell>
          <cell r="BG13">
            <v>-13072.064076838669</v>
          </cell>
          <cell r="BH13">
            <v>2507.2685311048335</v>
          </cell>
          <cell r="BI13">
            <v>4.0439815017819895E-3</v>
          </cell>
          <cell r="BJ13">
            <v>0</v>
          </cell>
          <cell r="BK13" t="e">
            <v>#DIV/0!</v>
          </cell>
          <cell r="BL13">
            <v>22565.416779943502</v>
          </cell>
          <cell r="BM13">
            <v>6986.0841719999999</v>
          </cell>
          <cell r="BN13">
            <v>-15579.332607943503</v>
          </cell>
          <cell r="BO13">
            <v>2604.4296253652437</v>
          </cell>
          <cell r="BP13">
            <v>4.2006929441374902E-3</v>
          </cell>
          <cell r="BQ13">
            <v>0</v>
          </cell>
          <cell r="BR13" t="e">
            <v>#DIV/0!</v>
          </cell>
          <cell r="BS13">
            <v>25169.846405308745</v>
          </cell>
          <cell r="BT13">
            <v>6986.0841719999999</v>
          </cell>
          <cell r="BU13">
            <v>-18183.762233308746</v>
          </cell>
          <cell r="BV13">
            <v>2604.4296253652437</v>
          </cell>
          <cell r="BW13">
            <v>4.2006929441374902E-3</v>
          </cell>
          <cell r="BX13">
            <v>0</v>
          </cell>
          <cell r="BY13" t="e">
            <v>#DIV/0!</v>
          </cell>
          <cell r="BZ13">
            <v>27774.276030673987</v>
          </cell>
          <cell r="CA13">
            <v>6986.0841719999999</v>
          </cell>
          <cell r="CB13">
            <v>-20788.191858673988</v>
          </cell>
          <cell r="CC13">
            <v>2604.4296253652437</v>
          </cell>
          <cell r="CD13">
            <v>4.2006929441374902E-3</v>
          </cell>
          <cell r="CE13">
            <v>0</v>
          </cell>
          <cell r="CF13" t="e">
            <v>#DIV/0!</v>
          </cell>
          <cell r="CG13">
            <v>30378.70565603923</v>
          </cell>
          <cell r="CH13">
            <v>6986.0841719999999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7.403678981375823E-3</v>
          </cell>
          <cell r="C15">
            <v>5093.1954583333336</v>
          </cell>
          <cell r="D15">
            <v>5050</v>
          </cell>
          <cell r="E15">
            <v>8.0158730158730162E-3</v>
          </cell>
          <cell r="F15">
            <v>1226.42</v>
          </cell>
          <cell r="G15">
            <v>2.0803133692714445E-3</v>
          </cell>
          <cell r="H15">
            <v>5050</v>
          </cell>
          <cell r="I15">
            <v>1226.42</v>
          </cell>
          <cell r="J15">
            <v>-3823.58</v>
          </cell>
          <cell r="K15">
            <v>5050</v>
          </cell>
          <cell r="L15">
            <v>9.1818181818181816E-3</v>
          </cell>
          <cell r="M15">
            <v>1355.29</v>
          </cell>
          <cell r="N15">
            <v>2.6978815517587876E-3</v>
          </cell>
          <cell r="O15">
            <v>10100</v>
          </cell>
          <cell r="P15">
            <v>2581.71</v>
          </cell>
          <cell r="Q15">
            <v>-7518.29</v>
          </cell>
          <cell r="R15">
            <v>5050</v>
          </cell>
          <cell r="S15">
            <v>7.4264705882352939E-3</v>
          </cell>
          <cell r="T15">
            <v>1931.36</v>
          </cell>
          <cell r="U15">
            <v>3.6830416984619404E-3</v>
          </cell>
          <cell r="V15">
            <v>15150</v>
          </cell>
          <cell r="W15">
            <v>4513.07</v>
          </cell>
          <cell r="X15">
            <v>-10636.93</v>
          </cell>
          <cell r="Y15">
            <v>5050</v>
          </cell>
          <cell r="Z15">
            <v>7.4264705882352939E-3</v>
          </cell>
          <cell r="AA15">
            <v>0</v>
          </cell>
          <cell r="AB15" t="e">
            <v>#DIV/0!</v>
          </cell>
          <cell r="AC15">
            <v>20200</v>
          </cell>
          <cell r="AD15">
            <v>4513.07</v>
          </cell>
          <cell r="AE15">
            <v>-15686.93</v>
          </cell>
          <cell r="AF15">
            <v>5050</v>
          </cell>
          <cell r="AG15">
            <v>7.4264705882352939E-3</v>
          </cell>
          <cell r="AH15">
            <v>0</v>
          </cell>
          <cell r="AI15" t="e">
            <v>#DIV/0!</v>
          </cell>
          <cell r="AJ15">
            <v>25250</v>
          </cell>
          <cell r="AK15">
            <v>4513.07</v>
          </cell>
          <cell r="AL15">
            <v>-20736.93</v>
          </cell>
          <cell r="AM15">
            <v>5050</v>
          </cell>
          <cell r="AN15">
            <v>7.4264705882352939E-3</v>
          </cell>
          <cell r="AO15">
            <v>0</v>
          </cell>
          <cell r="AP15" t="e">
            <v>#DIV/0!</v>
          </cell>
          <cell r="AQ15">
            <v>30300</v>
          </cell>
          <cell r="AR15">
            <v>4513.07</v>
          </cell>
          <cell r="AS15">
            <v>-25786.93</v>
          </cell>
          <cell r="AT15">
            <v>5050</v>
          </cell>
          <cell r="AU15">
            <v>8.1451612903225799E-3</v>
          </cell>
          <cell r="AV15">
            <v>0</v>
          </cell>
          <cell r="AW15" t="e">
            <v>#DIV/0!</v>
          </cell>
          <cell r="AX15">
            <v>35350</v>
          </cell>
          <cell r="AY15">
            <v>4513.07</v>
          </cell>
          <cell r="AZ15">
            <v>-30836.93</v>
          </cell>
          <cell r="BA15">
            <v>5050</v>
          </cell>
          <cell r="BB15">
            <v>8.1451612903225799E-3</v>
          </cell>
          <cell r="BC15">
            <v>0</v>
          </cell>
          <cell r="BD15" t="e">
            <v>#DIV/0!</v>
          </cell>
          <cell r="BE15">
            <v>40400</v>
          </cell>
          <cell r="BF15">
            <v>4513.07</v>
          </cell>
          <cell r="BG15">
            <v>-35886.93</v>
          </cell>
          <cell r="BH15">
            <v>5050</v>
          </cell>
          <cell r="BI15">
            <v>8.1451612903225799E-3</v>
          </cell>
          <cell r="BJ15">
            <v>0</v>
          </cell>
          <cell r="BK15" t="e">
            <v>#DIV/0!</v>
          </cell>
          <cell r="BL15">
            <v>45450</v>
          </cell>
          <cell r="BM15">
            <v>4513.07</v>
          </cell>
          <cell r="BN15">
            <v>-40936.93</v>
          </cell>
          <cell r="BO15">
            <v>5050</v>
          </cell>
          <cell r="BP15">
            <v>8.1451612903225799E-3</v>
          </cell>
          <cell r="BQ15">
            <v>0</v>
          </cell>
          <cell r="BR15" t="e">
            <v>#DIV/0!</v>
          </cell>
          <cell r="BS15">
            <v>50500</v>
          </cell>
          <cell r="BT15">
            <v>4513.07</v>
          </cell>
          <cell r="BU15">
            <v>-45986.93</v>
          </cell>
          <cell r="BV15">
            <v>5050</v>
          </cell>
          <cell r="BW15">
            <v>8.1451612903225799E-3</v>
          </cell>
          <cell r="BX15">
            <v>0</v>
          </cell>
          <cell r="BY15" t="e">
            <v>#DIV/0!</v>
          </cell>
          <cell r="BZ15">
            <v>55550</v>
          </cell>
          <cell r="CA15">
            <v>4513.07</v>
          </cell>
          <cell r="CB15">
            <v>-51036.93</v>
          </cell>
          <cell r="CC15">
            <v>5050</v>
          </cell>
          <cell r="CD15">
            <v>8.1451612903225799E-3</v>
          </cell>
          <cell r="CE15">
            <v>0</v>
          </cell>
          <cell r="CF15" t="e">
            <v>#DIV/0!</v>
          </cell>
          <cell r="CG15">
            <v>60600</v>
          </cell>
          <cell r="CH15">
            <v>4513.07</v>
          </cell>
        </row>
        <row r="16">
          <cell r="A16" t="str">
            <v>Back Office</v>
          </cell>
          <cell r="B16">
            <v>9.9729225663640255E-3</v>
          </cell>
          <cell r="C16">
            <v>6860.6491514676973</v>
          </cell>
          <cell r="D16">
            <v>5000</v>
          </cell>
          <cell r="E16">
            <v>7.9365079365079361E-3</v>
          </cell>
          <cell r="F16">
            <v>7040.4606968493581</v>
          </cell>
          <cell r="G16">
            <v>1.194237252612145E-2</v>
          </cell>
          <cell r="H16">
            <v>5000</v>
          </cell>
          <cell r="I16">
            <v>7040.4606968493581</v>
          </cell>
          <cell r="J16">
            <v>2040.4606968493581</v>
          </cell>
          <cell r="K16">
            <v>5000</v>
          </cell>
          <cell r="L16">
            <v>9.0909090909090905E-3</v>
          </cell>
          <cell r="M16">
            <v>5567.394807816805</v>
          </cell>
          <cell r="N16">
            <v>1.1082625669315511E-2</v>
          </cell>
          <cell r="O16">
            <v>10000</v>
          </cell>
          <cell r="P16">
            <v>12607.855504666164</v>
          </cell>
          <cell r="Q16">
            <v>2607.8555046661641</v>
          </cell>
          <cell r="R16">
            <v>5000</v>
          </cell>
          <cell r="S16">
            <v>7.3529411764705881E-3</v>
          </cell>
          <cell r="T16">
            <v>6602.504355349728</v>
          </cell>
          <cell r="U16">
            <v>1.2590764463916423E-2</v>
          </cell>
          <cell r="V16">
            <v>15000</v>
          </cell>
          <cell r="W16">
            <v>19210.359860015891</v>
          </cell>
          <cell r="X16">
            <v>4210.3598600158912</v>
          </cell>
          <cell r="Y16">
            <v>5000</v>
          </cell>
          <cell r="Z16">
            <v>7.3529411764705881E-3</v>
          </cell>
          <cell r="AA16">
            <v>0</v>
          </cell>
          <cell r="AB16" t="e">
            <v>#DIV/0!</v>
          </cell>
          <cell r="AC16">
            <v>20000</v>
          </cell>
          <cell r="AD16">
            <v>19210.359860015891</v>
          </cell>
          <cell r="AE16">
            <v>-789.64013998410883</v>
          </cell>
          <cell r="AF16">
            <v>5000</v>
          </cell>
          <cell r="AG16">
            <v>7.3529411764705881E-3</v>
          </cell>
          <cell r="AH16">
            <v>0</v>
          </cell>
          <cell r="AI16" t="e">
            <v>#DIV/0!</v>
          </cell>
          <cell r="AJ16">
            <v>25000</v>
          </cell>
          <cell r="AK16">
            <v>19210.359860015891</v>
          </cell>
          <cell r="AL16">
            <v>-5789.6401399841088</v>
          </cell>
          <cell r="AM16">
            <v>5000</v>
          </cell>
          <cell r="AN16">
            <v>7.3529411764705881E-3</v>
          </cell>
          <cell r="AO16">
            <v>0</v>
          </cell>
          <cell r="AP16" t="e">
            <v>#DIV/0!</v>
          </cell>
          <cell r="AQ16">
            <v>30000</v>
          </cell>
          <cell r="AR16">
            <v>19210.359860015891</v>
          </cell>
          <cell r="AS16">
            <v>-10789.640139984109</v>
          </cell>
          <cell r="AT16">
            <v>5000</v>
          </cell>
          <cell r="AU16">
            <v>8.0645161290322578E-3</v>
          </cell>
          <cell r="AV16">
            <v>0</v>
          </cell>
          <cell r="AW16" t="e">
            <v>#DIV/0!</v>
          </cell>
          <cell r="AX16">
            <v>35000</v>
          </cell>
          <cell r="AY16">
            <v>19210.359860015891</v>
          </cell>
          <cell r="AZ16">
            <v>-15789.640139984109</v>
          </cell>
          <cell r="BA16">
            <v>5000</v>
          </cell>
          <cell r="BB16">
            <v>8.0645161290322578E-3</v>
          </cell>
          <cell r="BC16">
            <v>0</v>
          </cell>
          <cell r="BD16" t="e">
            <v>#DIV/0!</v>
          </cell>
          <cell r="BE16">
            <v>40000</v>
          </cell>
          <cell r="BF16">
            <v>19210.359860015891</v>
          </cell>
          <cell r="BG16">
            <v>-20789.640139984109</v>
          </cell>
          <cell r="BH16">
            <v>5000</v>
          </cell>
          <cell r="BI16">
            <v>8.0645161290322578E-3</v>
          </cell>
          <cell r="BJ16">
            <v>0</v>
          </cell>
          <cell r="BK16" t="e">
            <v>#DIV/0!</v>
          </cell>
          <cell r="BL16">
            <v>45000</v>
          </cell>
          <cell r="BM16">
            <v>19210.359860015891</v>
          </cell>
          <cell r="BN16">
            <v>-25789.640139984109</v>
          </cell>
          <cell r="BO16">
            <v>5000</v>
          </cell>
          <cell r="BP16">
            <v>8.0645161290322578E-3</v>
          </cell>
          <cell r="BQ16">
            <v>0</v>
          </cell>
          <cell r="BR16" t="e">
            <v>#DIV/0!</v>
          </cell>
          <cell r="BS16">
            <v>50000</v>
          </cell>
          <cell r="BT16">
            <v>19210.359860015891</v>
          </cell>
          <cell r="BU16">
            <v>-30789.640139984109</v>
          </cell>
          <cell r="BV16">
            <v>5000</v>
          </cell>
          <cell r="BW16">
            <v>8.0645161290322578E-3</v>
          </cell>
          <cell r="BX16">
            <v>0</v>
          </cell>
          <cell r="BY16" t="e">
            <v>#DIV/0!</v>
          </cell>
          <cell r="BZ16">
            <v>55000</v>
          </cell>
          <cell r="CA16">
            <v>19210.359860015891</v>
          </cell>
          <cell r="CB16">
            <v>-35789.640139984112</v>
          </cell>
          <cell r="CC16">
            <v>5000</v>
          </cell>
          <cell r="CD16">
            <v>8.0645161290322578E-3</v>
          </cell>
          <cell r="CE16">
            <v>0</v>
          </cell>
          <cell r="CF16" t="e">
            <v>#DIV/0!</v>
          </cell>
          <cell r="CG16">
            <v>60000</v>
          </cell>
          <cell r="CH16">
            <v>19210.359860015891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6.5447037725987678E-3</v>
          </cell>
          <cell r="C18">
            <v>4502.2826644143252</v>
          </cell>
          <cell r="D18">
            <v>4500</v>
          </cell>
          <cell r="E18">
            <v>7.1428571428571426E-3</v>
          </cell>
          <cell r="F18">
            <v>4441.198689294285</v>
          </cell>
          <cell r="G18">
            <v>7.5333776430013509E-3</v>
          </cell>
          <cell r="H18">
            <v>4500</v>
          </cell>
          <cell r="I18">
            <v>4441.198689294285</v>
          </cell>
          <cell r="J18">
            <v>-58.801310705714968</v>
          </cell>
          <cell r="K18">
            <v>4500</v>
          </cell>
          <cell r="L18">
            <v>8.1818181818181825E-3</v>
          </cell>
          <cell r="M18">
            <v>2509.2515105044208</v>
          </cell>
          <cell r="N18">
            <v>4.9949924805117339E-3</v>
          </cell>
          <cell r="O18">
            <v>9000</v>
          </cell>
          <cell r="P18">
            <v>6950.4501997987063</v>
          </cell>
          <cell r="Q18">
            <v>-2049.5498002012937</v>
          </cell>
          <cell r="R18">
            <v>4500</v>
          </cell>
          <cell r="S18">
            <v>6.6176470588235293E-3</v>
          </cell>
          <cell r="T18">
            <v>2627.4733101719216</v>
          </cell>
          <cell r="U18">
            <v>5.010507498839684E-3</v>
          </cell>
          <cell r="V18">
            <v>13500</v>
          </cell>
          <cell r="W18">
            <v>9577.9235099706275</v>
          </cell>
          <cell r="X18">
            <v>-3922.0764900293725</v>
          </cell>
          <cell r="Y18">
            <v>4500</v>
          </cell>
          <cell r="Z18">
            <v>6.6176470588235293E-3</v>
          </cell>
          <cell r="AA18">
            <v>0</v>
          </cell>
          <cell r="AB18" t="e">
            <v>#DIV/0!</v>
          </cell>
          <cell r="AC18">
            <v>18000</v>
          </cell>
          <cell r="AD18">
            <v>9577.9235099706275</v>
          </cell>
          <cell r="AE18">
            <v>-8422.0764900293725</v>
          </cell>
          <cell r="AF18">
            <v>4500</v>
          </cell>
          <cell r="AG18">
            <v>6.6176470588235293E-3</v>
          </cell>
          <cell r="AH18">
            <v>0</v>
          </cell>
          <cell r="AI18" t="e">
            <v>#DIV/0!</v>
          </cell>
          <cell r="AJ18">
            <v>22500</v>
          </cell>
          <cell r="AK18">
            <v>9577.9235099706275</v>
          </cell>
          <cell r="AL18">
            <v>-12922.076490029373</v>
          </cell>
          <cell r="AM18">
            <v>4500</v>
          </cell>
          <cell r="AN18">
            <v>6.6176470588235293E-3</v>
          </cell>
          <cell r="AO18">
            <v>0</v>
          </cell>
          <cell r="AP18" t="e">
            <v>#DIV/0!</v>
          </cell>
          <cell r="AQ18">
            <v>27000</v>
          </cell>
          <cell r="AR18">
            <v>9577.9235099706275</v>
          </cell>
          <cell r="AS18">
            <v>-17422.076490029373</v>
          </cell>
          <cell r="AT18">
            <v>4500</v>
          </cell>
          <cell r="AU18">
            <v>7.2580645161290326E-3</v>
          </cell>
          <cell r="AV18">
            <v>0</v>
          </cell>
          <cell r="AW18" t="e">
            <v>#DIV/0!</v>
          </cell>
          <cell r="AX18">
            <v>31500</v>
          </cell>
          <cell r="AY18">
            <v>9577.9235099706275</v>
          </cell>
          <cell r="AZ18">
            <v>-21922.076490029373</v>
          </cell>
          <cell r="BA18">
            <v>4500</v>
          </cell>
          <cell r="BB18">
            <v>7.2580645161290326E-3</v>
          </cell>
          <cell r="BC18">
            <v>0</v>
          </cell>
          <cell r="BD18" t="e">
            <v>#DIV/0!</v>
          </cell>
          <cell r="BE18">
            <v>36000</v>
          </cell>
          <cell r="BF18">
            <v>9577.9235099706275</v>
          </cell>
          <cell r="BG18">
            <v>-26422.076490029373</v>
          </cell>
          <cell r="BH18">
            <v>4500</v>
          </cell>
          <cell r="BI18">
            <v>7.2580645161290326E-3</v>
          </cell>
          <cell r="BJ18">
            <v>0</v>
          </cell>
          <cell r="BK18" t="e">
            <v>#DIV/0!</v>
          </cell>
          <cell r="BL18">
            <v>40500</v>
          </cell>
          <cell r="BM18">
            <v>9577.9235099706275</v>
          </cell>
          <cell r="BN18">
            <v>-30922.076490029373</v>
          </cell>
          <cell r="BO18">
            <v>4500</v>
          </cell>
          <cell r="BP18">
            <v>7.2580645161290326E-3</v>
          </cell>
          <cell r="BQ18">
            <v>0</v>
          </cell>
          <cell r="BR18" t="e">
            <v>#DIV/0!</v>
          </cell>
          <cell r="BS18">
            <v>45000</v>
          </cell>
          <cell r="BT18">
            <v>9577.9235099706275</v>
          </cell>
          <cell r="BU18">
            <v>-35422.076490029373</v>
          </cell>
          <cell r="BV18">
            <v>4500</v>
          </cell>
          <cell r="BW18">
            <v>7.2580645161290326E-3</v>
          </cell>
          <cell r="BX18">
            <v>0</v>
          </cell>
          <cell r="BY18" t="e">
            <v>#DIV/0!</v>
          </cell>
          <cell r="BZ18">
            <v>49500</v>
          </cell>
          <cell r="CA18">
            <v>9577.9235099706275</v>
          </cell>
          <cell r="CB18">
            <v>-39922.076490029373</v>
          </cell>
          <cell r="CC18">
            <v>4500</v>
          </cell>
          <cell r="CD18">
            <v>7.2580645161290326E-3</v>
          </cell>
          <cell r="CE18">
            <v>0</v>
          </cell>
          <cell r="CF18" t="e">
            <v>#DIV/0!</v>
          </cell>
          <cell r="CG18">
            <v>54000</v>
          </cell>
          <cell r="CH18">
            <v>9577.9235099706275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5.5918211049850045E-3</v>
          </cell>
          <cell r="C21">
            <v>3846.7683333333334</v>
          </cell>
          <cell r="D21">
            <v>4200</v>
          </cell>
          <cell r="E21">
            <v>6.6666666666666671E-3</v>
          </cell>
          <cell r="F21">
            <v>538.69000000000005</v>
          </cell>
          <cell r="G21">
            <v>9.137522291652407E-4</v>
          </cell>
          <cell r="H21">
            <v>4200</v>
          </cell>
          <cell r="I21">
            <v>538.69000000000005</v>
          </cell>
          <cell r="J21">
            <v>-3661.31</v>
          </cell>
          <cell r="K21">
            <v>4200</v>
          </cell>
          <cell r="L21">
            <v>7.6363636363636364E-3</v>
          </cell>
          <cell r="M21">
            <v>0</v>
          </cell>
          <cell r="N21">
            <v>0</v>
          </cell>
          <cell r="O21">
            <v>8400</v>
          </cell>
          <cell r="P21">
            <v>538.69000000000005</v>
          </cell>
          <cell r="Q21">
            <v>-7861.3099999999995</v>
          </cell>
          <cell r="R21">
            <v>4200</v>
          </cell>
          <cell r="S21">
            <v>6.1764705882352937E-3</v>
          </cell>
          <cell r="T21">
            <v>0</v>
          </cell>
          <cell r="U21">
            <v>0</v>
          </cell>
          <cell r="V21">
            <v>12600</v>
          </cell>
          <cell r="W21">
            <v>538.69000000000005</v>
          </cell>
          <cell r="X21">
            <v>-12061.31</v>
          </cell>
          <cell r="Y21">
            <v>4200</v>
          </cell>
          <cell r="Z21">
            <v>6.1764705882352937E-3</v>
          </cell>
          <cell r="AA21">
            <v>0</v>
          </cell>
          <cell r="AB21" t="e">
            <v>#DIV/0!</v>
          </cell>
          <cell r="AC21">
            <v>16800</v>
          </cell>
          <cell r="AD21">
            <v>538.69000000000005</v>
          </cell>
          <cell r="AE21">
            <v>-16261.31</v>
          </cell>
          <cell r="AF21">
            <v>4200</v>
          </cell>
          <cell r="AG21">
            <v>6.1764705882352937E-3</v>
          </cell>
          <cell r="AH21">
            <v>0</v>
          </cell>
          <cell r="AI21" t="e">
            <v>#DIV/0!</v>
          </cell>
          <cell r="AJ21">
            <v>21000</v>
          </cell>
          <cell r="AK21">
            <v>538.69000000000005</v>
          </cell>
          <cell r="AL21">
            <v>-20461.310000000001</v>
          </cell>
          <cell r="AM21">
            <v>4200</v>
          </cell>
          <cell r="AN21">
            <v>6.1764705882352937E-3</v>
          </cell>
          <cell r="AO21">
            <v>0</v>
          </cell>
          <cell r="AP21" t="e">
            <v>#DIV/0!</v>
          </cell>
          <cell r="AQ21">
            <v>25200</v>
          </cell>
          <cell r="AR21">
            <v>538.69000000000005</v>
          </cell>
          <cell r="AS21">
            <v>-24661.31</v>
          </cell>
          <cell r="AT21">
            <v>4200</v>
          </cell>
          <cell r="AU21">
            <v>6.7741935483870966E-3</v>
          </cell>
          <cell r="AV21">
            <v>0</v>
          </cell>
          <cell r="AW21" t="e">
            <v>#DIV/0!</v>
          </cell>
          <cell r="AX21">
            <v>29400</v>
          </cell>
          <cell r="AY21">
            <v>538.69000000000005</v>
          </cell>
          <cell r="AZ21">
            <v>-28861.31</v>
          </cell>
          <cell r="BA21">
            <v>4200</v>
          </cell>
          <cell r="BB21">
            <v>6.7741935483870966E-3</v>
          </cell>
          <cell r="BC21">
            <v>0</v>
          </cell>
          <cell r="BD21" t="e">
            <v>#DIV/0!</v>
          </cell>
          <cell r="BE21">
            <v>33600</v>
          </cell>
          <cell r="BF21">
            <v>538.69000000000005</v>
          </cell>
          <cell r="BG21">
            <v>-33061.31</v>
          </cell>
          <cell r="BH21">
            <v>4200</v>
          </cell>
          <cell r="BI21">
            <v>6.7741935483870966E-3</v>
          </cell>
          <cell r="BJ21">
            <v>0</v>
          </cell>
          <cell r="BK21" t="e">
            <v>#DIV/0!</v>
          </cell>
          <cell r="BL21">
            <v>37800</v>
          </cell>
          <cell r="BM21">
            <v>538.69000000000005</v>
          </cell>
          <cell r="BN21">
            <v>-37261.31</v>
          </cell>
          <cell r="BO21">
            <v>4200</v>
          </cell>
          <cell r="BP21">
            <v>6.7741935483870966E-3</v>
          </cell>
          <cell r="BQ21">
            <v>0</v>
          </cell>
          <cell r="BR21" t="e">
            <v>#DIV/0!</v>
          </cell>
          <cell r="BS21">
            <v>42000</v>
          </cell>
          <cell r="BT21">
            <v>538.69000000000005</v>
          </cell>
          <cell r="BU21">
            <v>-41461.31</v>
          </cell>
          <cell r="BV21">
            <v>4200</v>
          </cell>
          <cell r="BW21">
            <v>6.7741935483870966E-3</v>
          </cell>
          <cell r="BX21">
            <v>0</v>
          </cell>
          <cell r="BY21" t="e">
            <v>#DIV/0!</v>
          </cell>
          <cell r="BZ21">
            <v>46200</v>
          </cell>
          <cell r="CA21">
            <v>538.69000000000005</v>
          </cell>
          <cell r="CB21">
            <v>-45661.31</v>
          </cell>
          <cell r="CC21">
            <v>4200</v>
          </cell>
          <cell r="CD21">
            <v>6.7741935483870966E-3</v>
          </cell>
          <cell r="CE21">
            <v>0</v>
          </cell>
          <cell r="CF21" t="e">
            <v>#DIV/0!</v>
          </cell>
          <cell r="CG21">
            <v>50400</v>
          </cell>
          <cell r="CH21">
            <v>538.69000000000005</v>
          </cell>
        </row>
        <row r="22">
          <cell r="A22" t="str">
            <v>Controladoria Jurídica - Custas</v>
          </cell>
          <cell r="B22">
            <v>4.6824259272474603E-4</v>
          </cell>
          <cell r="C22">
            <v>322.11702488223295</v>
          </cell>
          <cell r="D22">
            <v>3000</v>
          </cell>
          <cell r="E22">
            <v>4.7619047619047623E-3</v>
          </cell>
          <cell r="F22">
            <v>1460.0229430336001</v>
          </cell>
          <cell r="G22">
            <v>2.4765620650640391E-3</v>
          </cell>
          <cell r="H22">
            <v>3000</v>
          </cell>
          <cell r="I22">
            <v>1460.0229430336001</v>
          </cell>
          <cell r="J22">
            <v>-1539.9770569663999</v>
          </cell>
          <cell r="K22">
            <v>3000</v>
          </cell>
          <cell r="L22">
            <v>5.454545454545455E-3</v>
          </cell>
          <cell r="M22">
            <v>3122.8689625440347</v>
          </cell>
          <cell r="N22">
            <v>6.2164780693487413E-3</v>
          </cell>
          <cell r="O22">
            <v>6000</v>
          </cell>
          <cell r="P22">
            <v>4582.891905577635</v>
          </cell>
          <cell r="Q22">
            <v>-1417.108094422365</v>
          </cell>
          <cell r="R22">
            <v>3000</v>
          </cell>
          <cell r="S22">
            <v>4.4117647058823529E-3</v>
          </cell>
          <cell r="T22">
            <v>2795.3353153605121</v>
          </cell>
          <cell r="U22">
            <v>5.3306149695841404E-3</v>
          </cell>
          <cell r="V22">
            <v>9000</v>
          </cell>
          <cell r="W22">
            <v>7378.2272209381472</v>
          </cell>
          <cell r="X22">
            <v>-1621.7727790618528</v>
          </cell>
          <cell r="Y22">
            <v>3000</v>
          </cell>
          <cell r="Z22">
            <v>4.4117647058823529E-3</v>
          </cell>
          <cell r="AA22">
            <v>0</v>
          </cell>
          <cell r="AB22" t="e">
            <v>#DIV/0!</v>
          </cell>
          <cell r="AC22">
            <v>12000</v>
          </cell>
          <cell r="AD22">
            <v>7378.2272209381472</v>
          </cell>
          <cell r="AE22">
            <v>-4621.7727790618528</v>
          </cell>
          <cell r="AF22">
            <v>3000</v>
          </cell>
          <cell r="AG22">
            <v>4.4117647058823529E-3</v>
          </cell>
          <cell r="AH22">
            <v>0</v>
          </cell>
          <cell r="AI22" t="e">
            <v>#DIV/0!</v>
          </cell>
          <cell r="AJ22">
            <v>15000</v>
          </cell>
          <cell r="AK22">
            <v>7378.2272209381472</v>
          </cell>
          <cell r="AL22">
            <v>-7621.7727790618528</v>
          </cell>
          <cell r="AM22">
            <v>3000</v>
          </cell>
          <cell r="AN22">
            <v>4.4117647058823529E-3</v>
          </cell>
          <cell r="AO22">
            <v>0</v>
          </cell>
          <cell r="AP22" t="e">
            <v>#DIV/0!</v>
          </cell>
          <cell r="AQ22">
            <v>18000</v>
          </cell>
          <cell r="AR22">
            <v>7378.2272209381472</v>
          </cell>
          <cell r="AS22">
            <v>-10621.772779061852</v>
          </cell>
          <cell r="AT22">
            <v>3000</v>
          </cell>
          <cell r="AU22">
            <v>4.8387096774193551E-3</v>
          </cell>
          <cell r="AV22">
            <v>0</v>
          </cell>
          <cell r="AW22" t="e">
            <v>#DIV/0!</v>
          </cell>
          <cell r="AX22">
            <v>21000</v>
          </cell>
          <cell r="AY22">
            <v>7378.2272209381472</v>
          </cell>
          <cell r="AZ22">
            <v>-13621.772779061852</v>
          </cell>
          <cell r="BA22">
            <v>3000</v>
          </cell>
          <cell r="BB22">
            <v>4.8387096774193551E-3</v>
          </cell>
          <cell r="BC22">
            <v>0</v>
          </cell>
          <cell r="BD22" t="e">
            <v>#DIV/0!</v>
          </cell>
          <cell r="BE22">
            <v>24000</v>
          </cell>
          <cell r="BF22">
            <v>7378.2272209381472</v>
          </cell>
          <cell r="BG22">
            <v>-16621.772779061852</v>
          </cell>
          <cell r="BH22">
            <v>3000</v>
          </cell>
          <cell r="BI22">
            <v>4.8387096774193551E-3</v>
          </cell>
          <cell r="BJ22">
            <v>0</v>
          </cell>
          <cell r="BK22" t="e">
            <v>#DIV/0!</v>
          </cell>
          <cell r="BL22">
            <v>27000</v>
          </cell>
          <cell r="BM22">
            <v>7378.2272209381472</v>
          </cell>
          <cell r="BN22">
            <v>-19621.772779061852</v>
          </cell>
          <cell r="BO22">
            <v>3000</v>
          </cell>
          <cell r="BP22">
            <v>4.8387096774193551E-3</v>
          </cell>
          <cell r="BQ22">
            <v>0</v>
          </cell>
          <cell r="BR22" t="e">
            <v>#DIV/0!</v>
          </cell>
          <cell r="BS22">
            <v>30000</v>
          </cell>
          <cell r="BT22">
            <v>7378.2272209381472</v>
          </cell>
          <cell r="BU22">
            <v>-22621.772779061852</v>
          </cell>
          <cell r="BV22">
            <v>3000</v>
          </cell>
          <cell r="BW22">
            <v>4.8387096774193551E-3</v>
          </cell>
          <cell r="BX22">
            <v>0</v>
          </cell>
          <cell r="BY22" t="e">
            <v>#DIV/0!</v>
          </cell>
          <cell r="BZ22">
            <v>33000</v>
          </cell>
          <cell r="CA22">
            <v>7378.2272209381472</v>
          </cell>
          <cell r="CB22">
            <v>-25621.772779061852</v>
          </cell>
          <cell r="CC22">
            <v>3000</v>
          </cell>
          <cell r="CD22">
            <v>4.8387096774193551E-3</v>
          </cell>
          <cell r="CE22">
            <v>0</v>
          </cell>
          <cell r="CF22" t="e">
            <v>#DIV/0!</v>
          </cell>
          <cell r="CG22">
            <v>36000</v>
          </cell>
          <cell r="CH22">
            <v>7378.2272209381472</v>
          </cell>
        </row>
        <row r="23">
          <cell r="A23" t="str">
            <v>GNA</v>
          </cell>
          <cell r="B23">
            <v>8.9819386105882554E-3</v>
          </cell>
          <cell r="C23">
            <v>6178.9238908864472</v>
          </cell>
          <cell r="D23">
            <v>6300</v>
          </cell>
          <cell r="E23">
            <v>0.01</v>
          </cell>
          <cell r="F23">
            <v>7611.6169408798278</v>
          </cell>
          <cell r="G23">
            <v>1.2911195580539554E-2</v>
          </cell>
          <cell r="H23">
            <v>6300</v>
          </cell>
          <cell r="I23">
            <v>7611.6169408798278</v>
          </cell>
          <cell r="J23">
            <v>1311.6169408798278</v>
          </cell>
          <cell r="K23">
            <v>5500</v>
          </cell>
          <cell r="L23">
            <v>0.01</v>
          </cell>
          <cell r="M23">
            <v>6615.3735230962784</v>
          </cell>
          <cell r="N23">
            <v>1.3168764017999827E-2</v>
          </cell>
          <cell r="O23">
            <v>11800</v>
          </cell>
          <cell r="P23">
            <v>14226.990463976106</v>
          </cell>
          <cell r="Q23">
            <v>2426.9904639761062</v>
          </cell>
          <cell r="R23">
            <v>6800</v>
          </cell>
          <cell r="S23">
            <v>0.01</v>
          </cell>
          <cell r="T23">
            <v>5394.3316350997684</v>
          </cell>
          <cell r="U23">
            <v>1.0286817759198093E-2</v>
          </cell>
          <cell r="V23">
            <v>18600</v>
          </cell>
          <cell r="W23">
            <v>19621.322099075875</v>
          </cell>
          <cell r="X23">
            <v>1021.3220990758746</v>
          </cell>
          <cell r="Y23">
            <v>6800</v>
          </cell>
          <cell r="Z23">
            <v>0.01</v>
          </cell>
          <cell r="AA23">
            <v>0</v>
          </cell>
          <cell r="AB23" t="e">
            <v>#DIV/0!</v>
          </cell>
          <cell r="AC23">
            <v>25400</v>
          </cell>
          <cell r="AD23">
            <v>19621.322099075875</v>
          </cell>
          <cell r="AE23">
            <v>-5778.6779009241254</v>
          </cell>
          <cell r="AF23">
            <v>6800</v>
          </cell>
          <cell r="AG23">
            <v>0.01</v>
          </cell>
          <cell r="AH23">
            <v>0</v>
          </cell>
          <cell r="AI23" t="e">
            <v>#DIV/0!</v>
          </cell>
          <cell r="AJ23">
            <v>32200</v>
          </cell>
          <cell r="AK23">
            <v>19621.322099075875</v>
          </cell>
          <cell r="AL23">
            <v>-12578.677900924125</v>
          </cell>
          <cell r="AM23">
            <v>6800</v>
          </cell>
          <cell r="AN23">
            <v>0.01</v>
          </cell>
          <cell r="AO23">
            <v>0</v>
          </cell>
          <cell r="AP23" t="e">
            <v>#DIV/0!</v>
          </cell>
          <cell r="AQ23">
            <v>39000</v>
          </cell>
          <cell r="AR23">
            <v>19621.322099075875</v>
          </cell>
          <cell r="AS23">
            <v>-19378.677900924125</v>
          </cell>
          <cell r="AT23">
            <v>6200</v>
          </cell>
          <cell r="AU23">
            <v>0.01</v>
          </cell>
          <cell r="AV23">
            <v>0</v>
          </cell>
          <cell r="AW23" t="e">
            <v>#DIV/0!</v>
          </cell>
          <cell r="AX23">
            <v>45200</v>
          </cell>
          <cell r="AY23">
            <v>19621.322099075875</v>
          </cell>
          <cell r="AZ23">
            <v>-25578.677900924125</v>
          </cell>
          <cell r="BA23">
            <v>6200</v>
          </cell>
          <cell r="BB23">
            <v>0.01</v>
          </cell>
          <cell r="BC23">
            <v>0</v>
          </cell>
          <cell r="BD23" t="e">
            <v>#DIV/0!</v>
          </cell>
          <cell r="BE23">
            <v>51400</v>
          </cell>
          <cell r="BF23">
            <v>19621.322099075875</v>
          </cell>
          <cell r="BG23">
            <v>-31778.677900924125</v>
          </cell>
          <cell r="BH23">
            <v>6200</v>
          </cell>
          <cell r="BI23">
            <v>0.01</v>
          </cell>
          <cell r="BJ23">
            <v>0</v>
          </cell>
          <cell r="BK23" t="e">
            <v>#DIV/0!</v>
          </cell>
          <cell r="BL23">
            <v>57600</v>
          </cell>
          <cell r="BM23">
            <v>19621.322099075875</v>
          </cell>
          <cell r="BN23">
            <v>-37978.677900924129</v>
          </cell>
          <cell r="BO23">
            <v>6200</v>
          </cell>
          <cell r="BP23">
            <v>0.01</v>
          </cell>
          <cell r="BQ23">
            <v>0</v>
          </cell>
          <cell r="BR23" t="e">
            <v>#DIV/0!</v>
          </cell>
          <cell r="BS23">
            <v>63800</v>
          </cell>
          <cell r="BT23">
            <v>19621.322099075875</v>
          </cell>
          <cell r="BU23">
            <v>-44178.677900924129</v>
          </cell>
          <cell r="BV23">
            <v>6200</v>
          </cell>
          <cell r="BW23">
            <v>0.01</v>
          </cell>
          <cell r="BX23">
            <v>0</v>
          </cell>
          <cell r="BY23" t="e">
            <v>#DIV/0!</v>
          </cell>
          <cell r="BZ23">
            <v>70000</v>
          </cell>
          <cell r="CA23">
            <v>19621.322099075875</v>
          </cell>
          <cell r="CB23">
            <v>-50378.677900924129</v>
          </cell>
          <cell r="CC23">
            <v>6200</v>
          </cell>
          <cell r="CD23">
            <v>0.01</v>
          </cell>
          <cell r="CE23">
            <v>0</v>
          </cell>
          <cell r="CF23" t="e">
            <v>#DIV/0!</v>
          </cell>
          <cell r="CG23">
            <v>76200</v>
          </cell>
          <cell r="CH23">
            <v>19621.322099075875</v>
          </cell>
        </row>
        <row r="24">
          <cell r="A24" t="str">
            <v>Correios</v>
          </cell>
          <cell r="B24">
            <v>3.667841191428785E-4</v>
          </cell>
          <cell r="C24">
            <v>252.32093591666668</v>
          </cell>
          <cell r="D24">
            <v>260</v>
          </cell>
          <cell r="E24">
            <v>4.1269841269841269E-4</v>
          </cell>
          <cell r="F24">
            <v>89.049893999999995</v>
          </cell>
          <cell r="G24">
            <v>1.5105076973663588E-4</v>
          </cell>
          <cell r="H24">
            <v>260</v>
          </cell>
          <cell r="I24">
            <v>89.049893999999995</v>
          </cell>
          <cell r="J24">
            <v>-170.95010600000001</v>
          </cell>
          <cell r="K24">
            <v>260</v>
          </cell>
          <cell r="L24">
            <v>4.7272727272727272E-4</v>
          </cell>
          <cell r="M24">
            <v>0</v>
          </cell>
          <cell r="N24">
            <v>0</v>
          </cell>
          <cell r="O24">
            <v>520</v>
          </cell>
          <cell r="P24">
            <v>89.049893999999995</v>
          </cell>
          <cell r="Q24">
            <v>-430.95010600000001</v>
          </cell>
          <cell r="R24">
            <v>260</v>
          </cell>
          <cell r="S24">
            <v>3.8235294117647061E-4</v>
          </cell>
          <cell r="T24">
            <v>345.54991799999999</v>
          </cell>
          <cell r="U24">
            <v>6.5895263280491695E-4</v>
          </cell>
          <cell r="V24">
            <v>780</v>
          </cell>
          <cell r="W24">
            <v>434.59981199999999</v>
          </cell>
          <cell r="X24">
            <v>-345.40018800000001</v>
          </cell>
          <cell r="Y24">
            <v>260</v>
          </cell>
          <cell r="Z24">
            <v>3.8235294117647061E-4</v>
          </cell>
          <cell r="AA24">
            <v>0</v>
          </cell>
          <cell r="AB24" t="e">
            <v>#DIV/0!</v>
          </cell>
          <cell r="AC24">
            <v>1040</v>
          </cell>
          <cell r="AD24">
            <v>434.59981199999999</v>
          </cell>
          <cell r="AE24">
            <v>-605.40018800000007</v>
          </cell>
          <cell r="AF24">
            <v>260</v>
          </cell>
          <cell r="AG24">
            <v>3.8235294117647061E-4</v>
          </cell>
          <cell r="AH24">
            <v>0</v>
          </cell>
          <cell r="AI24" t="e">
            <v>#DIV/0!</v>
          </cell>
          <cell r="AJ24">
            <v>1300</v>
          </cell>
          <cell r="AK24">
            <v>434.59981199999999</v>
          </cell>
          <cell r="AL24">
            <v>-865.40018800000007</v>
          </cell>
          <cell r="AM24">
            <v>260</v>
          </cell>
          <cell r="AN24">
            <v>3.8235294117647061E-4</v>
          </cell>
          <cell r="AO24">
            <v>0</v>
          </cell>
          <cell r="AP24" t="e">
            <v>#DIV/0!</v>
          </cell>
          <cell r="AQ24">
            <v>1560</v>
          </cell>
          <cell r="AR24">
            <v>434.59981199999999</v>
          </cell>
          <cell r="AS24">
            <v>-1125.4001880000001</v>
          </cell>
          <cell r="AT24">
            <v>260</v>
          </cell>
          <cell r="AU24">
            <v>4.1935483870967743E-4</v>
          </cell>
          <cell r="AV24">
            <v>0</v>
          </cell>
          <cell r="AW24" t="e">
            <v>#DIV/0!</v>
          </cell>
          <cell r="AX24">
            <v>1820</v>
          </cell>
          <cell r="AY24">
            <v>434.59981199999999</v>
          </cell>
          <cell r="AZ24">
            <v>-1385.4001880000001</v>
          </cell>
          <cell r="BA24">
            <v>260</v>
          </cell>
          <cell r="BB24">
            <v>4.1935483870967743E-4</v>
          </cell>
          <cell r="BC24">
            <v>0</v>
          </cell>
          <cell r="BD24" t="e">
            <v>#DIV/0!</v>
          </cell>
          <cell r="BE24">
            <v>2080</v>
          </cell>
          <cell r="BF24">
            <v>434.59981199999999</v>
          </cell>
          <cell r="BG24">
            <v>-1645.4001880000001</v>
          </cell>
          <cell r="BH24">
            <v>260</v>
          </cell>
          <cell r="BI24">
            <v>4.1935483870967743E-4</v>
          </cell>
          <cell r="BJ24">
            <v>0</v>
          </cell>
          <cell r="BK24" t="e">
            <v>#DIV/0!</v>
          </cell>
          <cell r="BL24">
            <v>2340</v>
          </cell>
          <cell r="BM24">
            <v>434.59981199999999</v>
          </cell>
          <cell r="BN24">
            <v>-1905.4001880000001</v>
          </cell>
          <cell r="BO24">
            <v>260</v>
          </cell>
          <cell r="BP24">
            <v>4.1935483870967743E-4</v>
          </cell>
          <cell r="BQ24">
            <v>0</v>
          </cell>
          <cell r="BR24" t="e">
            <v>#DIV/0!</v>
          </cell>
          <cell r="BS24">
            <v>2600</v>
          </cell>
          <cell r="BT24">
            <v>434.59981199999999</v>
          </cell>
          <cell r="BU24">
            <v>-2165.4001880000001</v>
          </cell>
          <cell r="BV24">
            <v>260</v>
          </cell>
          <cell r="BW24">
            <v>4.1935483870967743E-4</v>
          </cell>
          <cell r="BX24">
            <v>0</v>
          </cell>
          <cell r="BY24" t="e">
            <v>#DIV/0!</v>
          </cell>
          <cell r="BZ24">
            <v>2860</v>
          </cell>
          <cell r="CA24">
            <v>434.59981199999999</v>
          </cell>
          <cell r="CB24">
            <v>-2425.4001880000001</v>
          </cell>
          <cell r="CC24">
            <v>260</v>
          </cell>
          <cell r="CD24">
            <v>4.1935483870967743E-4</v>
          </cell>
          <cell r="CE24">
            <v>0</v>
          </cell>
          <cell r="CF24" t="e">
            <v>#DIV/0!</v>
          </cell>
          <cell r="CG24">
            <v>3120</v>
          </cell>
          <cell r="CH24">
            <v>434.59981199999999</v>
          </cell>
        </row>
        <row r="25">
          <cell r="A25" t="str">
            <v xml:space="preserve">Correspondentes </v>
          </cell>
          <cell r="B25">
            <v>3.4764852701757484E-2</v>
          </cell>
          <cell r="C25">
            <v>23915.703305833333</v>
          </cell>
          <cell r="D25">
            <v>23000</v>
          </cell>
          <cell r="E25">
            <v>3.650793650793651E-2</v>
          </cell>
          <cell r="F25">
            <v>26889.980175000001</v>
          </cell>
          <cell r="G25">
            <v>4.5612094761579715E-2</v>
          </cell>
          <cell r="H25">
            <v>23000</v>
          </cell>
          <cell r="I25">
            <v>26889.980175000001</v>
          </cell>
          <cell r="J25">
            <v>3889.9801750000006</v>
          </cell>
          <cell r="K25">
            <v>23000</v>
          </cell>
          <cell r="L25">
            <v>4.1818181818181817E-2</v>
          </cell>
          <cell r="M25">
            <v>16125.514863</v>
          </cell>
          <cell r="N25">
            <v>3.2099941017420502E-2</v>
          </cell>
          <cell r="O25">
            <v>46000</v>
          </cell>
          <cell r="P25">
            <v>43015.495038000001</v>
          </cell>
          <cell r="Q25">
            <v>-2984.5049619999991</v>
          </cell>
          <cell r="R25">
            <v>23000</v>
          </cell>
          <cell r="S25">
            <v>3.3823529411764704E-2</v>
          </cell>
          <cell r="T25">
            <v>5869.5549299999993</v>
          </cell>
          <cell r="U25">
            <v>1.119305337099394E-2</v>
          </cell>
          <cell r="V25">
            <v>69000</v>
          </cell>
          <cell r="W25">
            <v>48885.049967999999</v>
          </cell>
          <cell r="X25">
            <v>-20114.950032000001</v>
          </cell>
          <cell r="Y25">
            <v>23000</v>
          </cell>
          <cell r="Z25">
            <v>3.3823529411764704E-2</v>
          </cell>
          <cell r="AA25">
            <v>0</v>
          </cell>
          <cell r="AB25" t="e">
            <v>#DIV/0!</v>
          </cell>
          <cell r="AC25">
            <v>92000</v>
          </cell>
          <cell r="AD25">
            <v>48885.049967999999</v>
          </cell>
          <cell r="AE25">
            <v>-43114.950032000001</v>
          </cell>
          <cell r="AF25">
            <v>23000</v>
          </cell>
          <cell r="AG25">
            <v>3.3823529411764704E-2</v>
          </cell>
          <cell r="AH25">
            <v>0</v>
          </cell>
          <cell r="AI25" t="e">
            <v>#DIV/0!</v>
          </cell>
          <cell r="AJ25">
            <v>115000</v>
          </cell>
          <cell r="AK25">
            <v>48885.049967999999</v>
          </cell>
          <cell r="AL25">
            <v>-66114.950031999993</v>
          </cell>
          <cell r="AM25">
            <v>23000</v>
          </cell>
          <cell r="AN25">
            <v>3.3823529411764704E-2</v>
          </cell>
          <cell r="AO25">
            <v>0</v>
          </cell>
          <cell r="AP25" t="e">
            <v>#DIV/0!</v>
          </cell>
          <cell r="AQ25">
            <v>138000</v>
          </cell>
          <cell r="AR25">
            <v>48885.049967999999</v>
          </cell>
          <cell r="AS25">
            <v>-89114.950031999993</v>
          </cell>
          <cell r="AT25">
            <v>23000</v>
          </cell>
          <cell r="AU25">
            <v>3.7096774193548385E-2</v>
          </cell>
          <cell r="AV25">
            <v>0</v>
          </cell>
          <cell r="AW25" t="e">
            <v>#DIV/0!</v>
          </cell>
          <cell r="AX25">
            <v>161000</v>
          </cell>
          <cell r="AY25">
            <v>48885.049967999999</v>
          </cell>
          <cell r="AZ25">
            <v>-112114.95003199999</v>
          </cell>
          <cell r="BA25">
            <v>23000</v>
          </cell>
          <cell r="BB25">
            <v>3.7096774193548385E-2</v>
          </cell>
          <cell r="BC25">
            <v>0</v>
          </cell>
          <cell r="BD25" t="e">
            <v>#DIV/0!</v>
          </cell>
          <cell r="BE25">
            <v>184000</v>
          </cell>
          <cell r="BF25">
            <v>48885.049967999999</v>
          </cell>
          <cell r="BG25">
            <v>-135114.95003199999</v>
          </cell>
          <cell r="BH25">
            <v>23000</v>
          </cell>
          <cell r="BI25">
            <v>3.7096774193548385E-2</v>
          </cell>
          <cell r="BJ25">
            <v>0</v>
          </cell>
          <cell r="BK25" t="e">
            <v>#DIV/0!</v>
          </cell>
          <cell r="BL25">
            <v>207000</v>
          </cell>
          <cell r="BM25">
            <v>48885.049967999999</v>
          </cell>
          <cell r="BN25">
            <v>-158114.95003199999</v>
          </cell>
          <cell r="BO25">
            <v>23000</v>
          </cell>
          <cell r="BP25">
            <v>3.7096774193548385E-2</v>
          </cell>
          <cell r="BQ25">
            <v>0</v>
          </cell>
          <cell r="BR25" t="e">
            <v>#DIV/0!</v>
          </cell>
          <cell r="BS25">
            <v>230000</v>
          </cell>
          <cell r="BT25">
            <v>48885.049967999999</v>
          </cell>
          <cell r="BU25">
            <v>-181114.95003199999</v>
          </cell>
          <cell r="BV25">
            <v>23000</v>
          </cell>
          <cell r="BW25">
            <v>3.7096774193548385E-2</v>
          </cell>
          <cell r="BX25">
            <v>0</v>
          </cell>
          <cell r="BY25" t="e">
            <v>#DIV/0!</v>
          </cell>
          <cell r="BZ25">
            <v>253000</v>
          </cell>
          <cell r="CA25">
            <v>48885.049967999999</v>
          </cell>
          <cell r="CB25">
            <v>-204114.95003199999</v>
          </cell>
          <cell r="CC25">
            <v>23000</v>
          </cell>
          <cell r="CD25">
            <v>3.7096774193548385E-2</v>
          </cell>
          <cell r="CE25">
            <v>0</v>
          </cell>
          <cell r="CF25" t="e">
            <v>#DIV/0!</v>
          </cell>
          <cell r="CG25">
            <v>276000</v>
          </cell>
          <cell r="CH25">
            <v>48885.049967999999</v>
          </cell>
        </row>
        <row r="26">
          <cell r="A26" t="str">
            <v>Custas/Guias/Despesas</v>
          </cell>
          <cell r="B26">
            <v>4.8069129789395397E-4</v>
          </cell>
          <cell r="C26">
            <v>330.68083333333334</v>
          </cell>
          <cell r="D26">
            <v>100</v>
          </cell>
          <cell r="E26">
            <v>1.5873015873015873E-4</v>
          </cell>
          <cell r="F26">
            <v>864.33</v>
          </cell>
          <cell r="G26">
            <v>1.4661186660869748E-3</v>
          </cell>
          <cell r="H26">
            <v>100</v>
          </cell>
          <cell r="I26">
            <v>864.33</v>
          </cell>
          <cell r="J26">
            <v>764.33</v>
          </cell>
          <cell r="K26">
            <v>100</v>
          </cell>
          <cell r="L26">
            <v>1.8181818181818181E-4</v>
          </cell>
          <cell r="M26">
            <v>38.42</v>
          </cell>
          <cell r="N26">
            <v>7.6480022149187716E-5</v>
          </cell>
          <cell r="O26">
            <v>200</v>
          </cell>
          <cell r="P26">
            <v>902.75</v>
          </cell>
          <cell r="Q26">
            <v>702.75</v>
          </cell>
          <cell r="R26">
            <v>100</v>
          </cell>
          <cell r="S26">
            <v>1.4705882352941175E-4</v>
          </cell>
          <cell r="T26">
            <v>55.53</v>
          </cell>
          <cell r="U26">
            <v>1.0589393252194907E-4</v>
          </cell>
          <cell r="V26">
            <v>300</v>
          </cell>
          <cell r="W26">
            <v>958.28</v>
          </cell>
          <cell r="X26">
            <v>658.28</v>
          </cell>
          <cell r="Y26">
            <v>100</v>
          </cell>
          <cell r="Z26">
            <v>1.4705882352941175E-4</v>
          </cell>
          <cell r="AA26">
            <v>0</v>
          </cell>
          <cell r="AB26" t="e">
            <v>#DIV/0!</v>
          </cell>
          <cell r="AC26">
            <v>400</v>
          </cell>
          <cell r="AD26">
            <v>958.28</v>
          </cell>
          <cell r="AE26">
            <v>558.28</v>
          </cell>
          <cell r="AF26">
            <v>100</v>
          </cell>
          <cell r="AG26">
            <v>1.4705882352941175E-4</v>
          </cell>
          <cell r="AH26">
            <v>0</v>
          </cell>
          <cell r="AI26" t="e">
            <v>#DIV/0!</v>
          </cell>
          <cell r="AJ26">
            <v>500</v>
          </cell>
          <cell r="AK26">
            <v>958.28</v>
          </cell>
          <cell r="AL26">
            <v>458.28</v>
          </cell>
          <cell r="AM26">
            <v>100</v>
          </cell>
          <cell r="AN26">
            <v>1.4705882352941175E-4</v>
          </cell>
          <cell r="AO26">
            <v>0</v>
          </cell>
          <cell r="AP26" t="e">
            <v>#DIV/0!</v>
          </cell>
          <cell r="AQ26">
            <v>600</v>
          </cell>
          <cell r="AR26">
            <v>958.28</v>
          </cell>
          <cell r="AS26">
            <v>358.28</v>
          </cell>
          <cell r="AT26">
            <v>100</v>
          </cell>
          <cell r="AU26">
            <v>1.6129032258064516E-4</v>
          </cell>
          <cell r="AV26">
            <v>0</v>
          </cell>
          <cell r="AW26" t="e">
            <v>#DIV/0!</v>
          </cell>
          <cell r="AX26">
            <v>700</v>
          </cell>
          <cell r="AY26">
            <v>958.28</v>
          </cell>
          <cell r="AZ26">
            <v>258.27999999999997</v>
          </cell>
          <cell r="BA26">
            <v>100</v>
          </cell>
          <cell r="BB26">
            <v>1.6129032258064516E-4</v>
          </cell>
          <cell r="BC26">
            <v>0</v>
          </cell>
          <cell r="BD26" t="e">
            <v>#DIV/0!</v>
          </cell>
          <cell r="BE26">
            <v>800</v>
          </cell>
          <cell r="BF26">
            <v>958.28</v>
          </cell>
          <cell r="BG26">
            <v>158.27999999999997</v>
          </cell>
          <cell r="BH26">
            <v>100</v>
          </cell>
          <cell r="BI26">
            <v>1.6129032258064516E-4</v>
          </cell>
          <cell r="BJ26">
            <v>0</v>
          </cell>
          <cell r="BK26" t="e">
            <v>#DIV/0!</v>
          </cell>
          <cell r="BL26">
            <v>900</v>
          </cell>
          <cell r="BM26">
            <v>958.28</v>
          </cell>
          <cell r="BN26">
            <v>58.279999999999973</v>
          </cell>
          <cell r="BO26">
            <v>100</v>
          </cell>
          <cell r="BP26">
            <v>1.6129032258064516E-4</v>
          </cell>
          <cell r="BQ26">
            <v>0</v>
          </cell>
          <cell r="BR26" t="e">
            <v>#DIV/0!</v>
          </cell>
          <cell r="BS26">
            <v>1000</v>
          </cell>
          <cell r="BT26">
            <v>958.28</v>
          </cell>
          <cell r="BU26">
            <v>-41.720000000000027</v>
          </cell>
          <cell r="BV26">
            <v>100</v>
          </cell>
          <cell r="BW26">
            <v>1.6129032258064516E-4</v>
          </cell>
          <cell r="BX26">
            <v>0</v>
          </cell>
          <cell r="BY26" t="e">
            <v>#DIV/0!</v>
          </cell>
          <cell r="BZ26">
            <v>1100</v>
          </cell>
          <cell r="CA26">
            <v>958.28</v>
          </cell>
          <cell r="CB26">
            <v>-141.72000000000003</v>
          </cell>
          <cell r="CC26">
            <v>100</v>
          </cell>
          <cell r="CD26">
            <v>1.6129032258064516E-4</v>
          </cell>
          <cell r="CE26">
            <v>0</v>
          </cell>
          <cell r="CF26" t="e">
            <v>#DIV/0!</v>
          </cell>
          <cell r="CG26">
            <v>1200</v>
          </cell>
          <cell r="CH26">
            <v>958.28</v>
          </cell>
        </row>
        <row r="27">
          <cell r="A27" t="str">
            <v>Deslocamento</v>
          </cell>
          <cell r="B27">
            <v>3.0664360104653253E-5</v>
          </cell>
          <cell r="C27">
            <v>21.094861083333331</v>
          </cell>
          <cell r="D27">
            <v>25</v>
          </cell>
          <cell r="E27">
            <v>3.9682539682539683E-5</v>
          </cell>
          <cell r="F27">
            <v>0</v>
          </cell>
          <cell r="G27">
            <v>0</v>
          </cell>
          <cell r="H27">
            <v>25</v>
          </cell>
          <cell r="I27">
            <v>0</v>
          </cell>
          <cell r="J27">
            <v>-25</v>
          </cell>
          <cell r="K27">
            <v>25</v>
          </cell>
          <cell r="L27">
            <v>4.5454545454545452E-5</v>
          </cell>
          <cell r="M27">
            <v>0</v>
          </cell>
          <cell r="N27">
            <v>0</v>
          </cell>
          <cell r="O27">
            <v>50</v>
          </cell>
          <cell r="P27">
            <v>0</v>
          </cell>
          <cell r="Q27">
            <v>-50</v>
          </cell>
          <cell r="R27">
            <v>25</v>
          </cell>
          <cell r="S27">
            <v>3.6764705882352938E-5</v>
          </cell>
          <cell r="T27">
            <v>0</v>
          </cell>
          <cell r="U27">
            <v>0</v>
          </cell>
          <cell r="V27">
            <v>75</v>
          </cell>
          <cell r="W27">
            <v>0</v>
          </cell>
          <cell r="X27">
            <v>-75</v>
          </cell>
          <cell r="Y27">
            <v>25</v>
          </cell>
          <cell r="Z27">
            <v>3.6764705882352938E-5</v>
          </cell>
          <cell r="AA27">
            <v>0</v>
          </cell>
          <cell r="AB27" t="e">
            <v>#DIV/0!</v>
          </cell>
          <cell r="AC27">
            <v>100</v>
          </cell>
          <cell r="AD27">
            <v>0</v>
          </cell>
          <cell r="AE27">
            <v>-100</v>
          </cell>
          <cell r="AF27">
            <v>25</v>
          </cell>
          <cell r="AG27">
            <v>3.6764705882352938E-5</v>
          </cell>
          <cell r="AH27">
            <v>0</v>
          </cell>
          <cell r="AI27" t="e">
            <v>#DIV/0!</v>
          </cell>
          <cell r="AJ27">
            <v>125</v>
          </cell>
          <cell r="AK27">
            <v>0</v>
          </cell>
          <cell r="AL27">
            <v>-125</v>
          </cell>
          <cell r="AM27">
            <v>25</v>
          </cell>
          <cell r="AN27">
            <v>3.6764705882352938E-5</v>
          </cell>
          <cell r="AO27">
            <v>0</v>
          </cell>
          <cell r="AP27" t="e">
            <v>#DIV/0!</v>
          </cell>
          <cell r="AQ27">
            <v>150</v>
          </cell>
          <cell r="AR27">
            <v>0</v>
          </cell>
          <cell r="AS27">
            <v>-150</v>
          </cell>
          <cell r="AT27">
            <v>25</v>
          </cell>
          <cell r="AU27">
            <v>4.032258064516129E-5</v>
          </cell>
          <cell r="AV27">
            <v>0</v>
          </cell>
          <cell r="AW27" t="e">
            <v>#DIV/0!</v>
          </cell>
          <cell r="AX27">
            <v>175</v>
          </cell>
          <cell r="AY27">
            <v>0</v>
          </cell>
          <cell r="AZ27">
            <v>-175</v>
          </cell>
          <cell r="BA27">
            <v>25</v>
          </cell>
          <cell r="BB27">
            <v>4.032258064516129E-5</v>
          </cell>
          <cell r="BC27">
            <v>0</v>
          </cell>
          <cell r="BD27" t="e">
            <v>#DIV/0!</v>
          </cell>
          <cell r="BE27">
            <v>200</v>
          </cell>
          <cell r="BF27">
            <v>0</v>
          </cell>
          <cell r="BG27">
            <v>-200</v>
          </cell>
          <cell r="BH27">
            <v>25</v>
          </cell>
          <cell r="BI27">
            <v>4.032258064516129E-5</v>
          </cell>
          <cell r="BJ27">
            <v>0</v>
          </cell>
          <cell r="BK27" t="e">
            <v>#DIV/0!</v>
          </cell>
          <cell r="BL27">
            <v>225</v>
          </cell>
          <cell r="BM27">
            <v>0</v>
          </cell>
          <cell r="BN27">
            <v>-225</v>
          </cell>
          <cell r="BO27">
            <v>25</v>
          </cell>
          <cell r="BP27">
            <v>4.032258064516129E-5</v>
          </cell>
          <cell r="BQ27">
            <v>0</v>
          </cell>
          <cell r="BR27" t="e">
            <v>#DIV/0!</v>
          </cell>
          <cell r="BS27">
            <v>250</v>
          </cell>
          <cell r="BT27">
            <v>0</v>
          </cell>
          <cell r="BU27">
            <v>-250</v>
          </cell>
          <cell r="BV27">
            <v>25</v>
          </cell>
          <cell r="BW27">
            <v>4.032258064516129E-5</v>
          </cell>
          <cell r="BX27">
            <v>0</v>
          </cell>
          <cell r="BY27" t="e">
            <v>#DIV/0!</v>
          </cell>
          <cell r="BZ27">
            <v>275</v>
          </cell>
          <cell r="CA27">
            <v>0</v>
          </cell>
          <cell r="CB27">
            <v>-275</v>
          </cell>
          <cell r="CC27">
            <v>25</v>
          </cell>
          <cell r="CD27">
            <v>4.032258064516129E-5</v>
          </cell>
          <cell r="CE27">
            <v>0</v>
          </cell>
          <cell r="CF27" t="e">
            <v>#DIV/0!</v>
          </cell>
          <cell r="CG27">
            <v>300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3.1500866265339387E-3</v>
          </cell>
          <cell r="C30">
            <v>2167.0316797876312</v>
          </cell>
          <cell r="D30">
            <v>4852.7131257548735</v>
          </cell>
          <cell r="E30">
            <v>7.7027192472299581E-3</v>
          </cell>
          <cell r="F30">
            <v>5086.9190583578375</v>
          </cell>
          <cell r="G30">
            <v>8.6286799999213282E-3</v>
          </cell>
          <cell r="H30">
            <v>4852.7131257548735</v>
          </cell>
          <cell r="I30">
            <v>5086.9190583578375</v>
          </cell>
          <cell r="J30">
            <v>234.20593260296391</v>
          </cell>
          <cell r="K30">
            <v>4852.7131257548735</v>
          </cell>
          <cell r="L30">
            <v>8.8231147740997704E-3</v>
          </cell>
          <cell r="M30">
            <v>4852.7131257548735</v>
          </cell>
          <cell r="N30">
            <v>9.6599585461058478E-3</v>
          </cell>
          <cell r="O30">
            <v>9705.4262515097471</v>
          </cell>
          <cell r="P30">
            <v>9939.6321841127101</v>
          </cell>
          <cell r="Q30">
            <v>234.205932602963</v>
          </cell>
          <cell r="R30">
            <v>4852.7131257548735</v>
          </cell>
          <cell r="S30">
            <v>7.1363428319924614E-3</v>
          </cell>
          <cell r="T30">
            <v>5020.2056133443011</v>
          </cell>
          <cell r="U30">
            <v>9.5733714112334126E-3</v>
          </cell>
          <cell r="V30">
            <v>14558.139377264621</v>
          </cell>
          <cell r="W30">
            <v>14959.83779745701</v>
          </cell>
          <cell r="X30">
            <v>401.69842019238968</v>
          </cell>
          <cell r="Y30">
            <v>4852.7131257548735</v>
          </cell>
          <cell r="Z30">
            <v>7.1363428319924614E-3</v>
          </cell>
          <cell r="AA30">
            <v>0</v>
          </cell>
          <cell r="AB30" t="e">
            <v>#DIV/0!</v>
          </cell>
          <cell r="AC30">
            <v>19410.852503019494</v>
          </cell>
          <cell r="AD30">
            <v>14959.83779745701</v>
          </cell>
          <cell r="AE30">
            <v>-4451.0147055624839</v>
          </cell>
          <cell r="AF30">
            <v>4852.7131257548735</v>
          </cell>
          <cell r="AG30">
            <v>7.1363428319924614E-3</v>
          </cell>
          <cell r="AH30">
            <v>0</v>
          </cell>
          <cell r="AI30" t="e">
            <v>#DIV/0!</v>
          </cell>
          <cell r="AJ30">
            <v>24263.56562877437</v>
          </cell>
          <cell r="AK30">
            <v>14959.83779745701</v>
          </cell>
          <cell r="AL30">
            <v>-9303.7278313173592</v>
          </cell>
          <cell r="AM30">
            <v>4852.7131257548735</v>
          </cell>
          <cell r="AN30">
            <v>7.1363428319924614E-3</v>
          </cell>
          <cell r="AO30">
            <v>0</v>
          </cell>
          <cell r="AP30" t="e">
            <v>#DIV/0!</v>
          </cell>
          <cell r="AQ30">
            <v>29116.278754529245</v>
          </cell>
          <cell r="AR30">
            <v>14959.83779745701</v>
          </cell>
          <cell r="AS30">
            <v>-14156.440957072235</v>
          </cell>
          <cell r="AT30">
            <v>4852.7131257548735</v>
          </cell>
          <cell r="AU30">
            <v>7.8269566544433445E-3</v>
          </cell>
          <cell r="AV30">
            <v>0</v>
          </cell>
          <cell r="AW30" t="e">
            <v>#DIV/0!</v>
          </cell>
          <cell r="AX30">
            <v>33968.99188028412</v>
          </cell>
          <cell r="AY30">
            <v>14959.83779745701</v>
          </cell>
          <cell r="AZ30">
            <v>-19009.15408282711</v>
          </cell>
          <cell r="BA30">
            <v>4852.7131257548735</v>
          </cell>
          <cell r="BB30">
            <v>7.8269566544433445E-3</v>
          </cell>
          <cell r="BC30">
            <v>0</v>
          </cell>
          <cell r="BD30" t="e">
            <v>#DIV/0!</v>
          </cell>
          <cell r="BE30">
            <v>38821.705006038996</v>
          </cell>
          <cell r="BF30">
            <v>14959.83779745701</v>
          </cell>
          <cell r="BG30">
            <v>-23861.867208581985</v>
          </cell>
          <cell r="BH30">
            <v>4852.7131257548735</v>
          </cell>
          <cell r="BI30">
            <v>7.8269566544433445E-3</v>
          </cell>
          <cell r="BJ30">
            <v>0</v>
          </cell>
          <cell r="BK30" t="e">
            <v>#DIV/0!</v>
          </cell>
          <cell r="BL30">
            <v>43674.418131793871</v>
          </cell>
          <cell r="BM30">
            <v>14959.83779745701</v>
          </cell>
          <cell r="BN30">
            <v>-28714.580334336861</v>
          </cell>
          <cell r="BO30">
            <v>4852.7131257548735</v>
          </cell>
          <cell r="BP30">
            <v>7.8269566544433445E-3</v>
          </cell>
          <cell r="BQ30">
            <v>0</v>
          </cell>
          <cell r="BR30" t="e">
            <v>#DIV/0!</v>
          </cell>
          <cell r="BS30">
            <v>48527.131257548746</v>
          </cell>
          <cell r="BT30">
            <v>14959.83779745701</v>
          </cell>
          <cell r="BU30">
            <v>-33567.293460091736</v>
          </cell>
          <cell r="BV30">
            <v>4852.7131257548735</v>
          </cell>
          <cell r="BW30">
            <v>7.8269566544433445E-3</v>
          </cell>
          <cell r="BX30">
            <v>0</v>
          </cell>
          <cell r="BY30" t="e">
            <v>#DIV/0!</v>
          </cell>
          <cell r="BZ30">
            <v>53379.844383303622</v>
          </cell>
          <cell r="CA30">
            <v>14959.83779745701</v>
          </cell>
          <cell r="CB30">
            <v>-38420.006585846611</v>
          </cell>
          <cell r="CC30">
            <v>4852.7131257548735</v>
          </cell>
          <cell r="CD30">
            <v>7.8269566544433445E-3</v>
          </cell>
          <cell r="CE30">
            <v>0</v>
          </cell>
          <cell r="CF30" t="e">
            <v>#DIV/0!</v>
          </cell>
          <cell r="CG30">
            <v>58232.557509058497</v>
          </cell>
          <cell r="CH30">
            <v>14959.83779745701</v>
          </cell>
        </row>
        <row r="31">
          <cell r="A31" t="str">
            <v>Encargos Rescisórios</v>
          </cell>
          <cell r="B31">
            <v>1.0488239620781051E-3</v>
          </cell>
          <cell r="C31">
            <v>721.51499999999999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6.2443582366273476E-5</v>
          </cell>
          <cell r="C33">
            <v>42.956666666666671</v>
          </cell>
          <cell r="D33">
            <v>40</v>
          </cell>
          <cell r="E33">
            <v>6.3492063492063489E-5</v>
          </cell>
          <cell r="F33">
            <v>0</v>
          </cell>
          <cell r="G33">
            <v>0</v>
          </cell>
          <cell r="H33">
            <v>40</v>
          </cell>
          <cell r="I33">
            <v>0</v>
          </cell>
          <cell r="J33">
            <v>-40</v>
          </cell>
          <cell r="K33">
            <v>40</v>
          </cell>
          <cell r="L33">
            <v>7.2727272727272728E-5</v>
          </cell>
          <cell r="M33">
            <v>0</v>
          </cell>
          <cell r="N33">
            <v>0</v>
          </cell>
          <cell r="O33">
            <v>80</v>
          </cell>
          <cell r="P33">
            <v>0</v>
          </cell>
          <cell r="Q33">
            <v>-80</v>
          </cell>
          <cell r="R33">
            <v>40</v>
          </cell>
          <cell r="S33">
            <v>5.8823529411764708E-5</v>
          </cell>
          <cell r="T33">
            <v>0</v>
          </cell>
          <cell r="U33">
            <v>0</v>
          </cell>
          <cell r="V33">
            <v>120</v>
          </cell>
          <cell r="W33">
            <v>0</v>
          </cell>
          <cell r="X33">
            <v>-120</v>
          </cell>
          <cell r="Y33">
            <v>40</v>
          </cell>
          <cell r="Z33">
            <v>5.8823529411764708E-5</v>
          </cell>
          <cell r="AA33">
            <v>0</v>
          </cell>
          <cell r="AB33" t="e">
            <v>#DIV/0!</v>
          </cell>
          <cell r="AC33">
            <v>160</v>
          </cell>
          <cell r="AD33">
            <v>0</v>
          </cell>
          <cell r="AE33">
            <v>-160</v>
          </cell>
          <cell r="AF33">
            <v>40</v>
          </cell>
          <cell r="AG33">
            <v>5.8823529411764708E-5</v>
          </cell>
          <cell r="AH33">
            <v>0</v>
          </cell>
          <cell r="AI33" t="e">
            <v>#DIV/0!</v>
          </cell>
          <cell r="AJ33">
            <v>200</v>
          </cell>
          <cell r="AK33">
            <v>0</v>
          </cell>
          <cell r="AL33">
            <v>-200</v>
          </cell>
          <cell r="AM33">
            <v>40</v>
          </cell>
          <cell r="AN33">
            <v>5.8823529411764708E-5</v>
          </cell>
          <cell r="AO33">
            <v>0</v>
          </cell>
          <cell r="AP33" t="e">
            <v>#DIV/0!</v>
          </cell>
          <cell r="AQ33">
            <v>240</v>
          </cell>
          <cell r="AR33">
            <v>0</v>
          </cell>
          <cell r="AS33">
            <v>-240</v>
          </cell>
          <cell r="AT33">
            <v>40</v>
          </cell>
          <cell r="AU33">
            <v>6.4516129032258067E-5</v>
          </cell>
          <cell r="AV33">
            <v>0</v>
          </cell>
          <cell r="AW33" t="e">
            <v>#DIV/0!</v>
          </cell>
          <cell r="AX33">
            <v>280</v>
          </cell>
          <cell r="AY33">
            <v>0</v>
          </cell>
          <cell r="AZ33">
            <v>-280</v>
          </cell>
          <cell r="BA33">
            <v>40</v>
          </cell>
          <cell r="BB33">
            <v>6.4516129032258067E-5</v>
          </cell>
          <cell r="BC33">
            <v>0</v>
          </cell>
          <cell r="BD33" t="e">
            <v>#DIV/0!</v>
          </cell>
          <cell r="BE33">
            <v>320</v>
          </cell>
          <cell r="BF33">
            <v>0</v>
          </cell>
          <cell r="BG33">
            <v>-320</v>
          </cell>
          <cell r="BH33">
            <v>40</v>
          </cell>
          <cell r="BI33">
            <v>6.4516129032258067E-5</v>
          </cell>
          <cell r="BJ33">
            <v>0</v>
          </cell>
          <cell r="BK33" t="e">
            <v>#DIV/0!</v>
          </cell>
          <cell r="BL33">
            <v>360</v>
          </cell>
          <cell r="BM33">
            <v>0</v>
          </cell>
          <cell r="BN33">
            <v>-360</v>
          </cell>
          <cell r="BO33">
            <v>40</v>
          </cell>
          <cell r="BP33">
            <v>6.4516129032258067E-5</v>
          </cell>
          <cell r="BQ33">
            <v>0</v>
          </cell>
          <cell r="BR33" t="e">
            <v>#DIV/0!</v>
          </cell>
          <cell r="BS33">
            <v>400</v>
          </cell>
          <cell r="BT33">
            <v>0</v>
          </cell>
          <cell r="BU33">
            <v>-400</v>
          </cell>
          <cell r="BV33">
            <v>40</v>
          </cell>
          <cell r="BW33">
            <v>6.4516129032258067E-5</v>
          </cell>
          <cell r="BX33">
            <v>0</v>
          </cell>
          <cell r="BY33" t="e">
            <v>#DIV/0!</v>
          </cell>
          <cell r="BZ33">
            <v>440</v>
          </cell>
          <cell r="CA33">
            <v>0</v>
          </cell>
          <cell r="CB33">
            <v>-440</v>
          </cell>
          <cell r="CC33">
            <v>40</v>
          </cell>
          <cell r="CD33">
            <v>6.4516129032258067E-5</v>
          </cell>
          <cell r="CE33">
            <v>0</v>
          </cell>
          <cell r="CF33" t="e">
            <v>#DIV/0!</v>
          </cell>
          <cell r="CG33">
            <v>480</v>
          </cell>
          <cell r="CH33">
            <v>0</v>
          </cell>
        </row>
        <row r="34">
          <cell r="A34" t="str">
            <v>Férias</v>
          </cell>
          <cell r="B34">
            <v>1.774658126918457E-3</v>
          </cell>
          <cell r="C34">
            <v>1220.8363888888887</v>
          </cell>
          <cell r="D34">
            <v>302.57416666666666</v>
          </cell>
          <cell r="E34">
            <v>4.8027645502645501E-4</v>
          </cell>
          <cell r="F34">
            <v>2338.31</v>
          </cell>
          <cell r="G34">
            <v>3.9663553713255749E-3</v>
          </cell>
          <cell r="H34">
            <v>302.57416666666666</v>
          </cell>
          <cell r="I34">
            <v>2338.31</v>
          </cell>
          <cell r="J34">
            <v>2035.7358333333332</v>
          </cell>
          <cell r="K34">
            <v>302.57416666666666</v>
          </cell>
          <cell r="L34">
            <v>5.5013484848484844E-4</v>
          </cell>
          <cell r="M34">
            <v>2794.63</v>
          </cell>
          <cell r="N34">
            <v>5.5630755934092781E-3</v>
          </cell>
          <cell r="O34">
            <v>605.14833333333331</v>
          </cell>
          <cell r="P34">
            <v>5132.9400000000005</v>
          </cell>
          <cell r="Q34">
            <v>4527.791666666667</v>
          </cell>
          <cell r="R34">
            <v>302.57416666666666</v>
          </cell>
          <cell r="S34">
            <v>4.4496200980392154E-4</v>
          </cell>
          <cell r="T34">
            <v>3709.04</v>
          </cell>
          <cell r="U34">
            <v>7.073020556117594E-3</v>
          </cell>
          <cell r="V34">
            <v>907.72249999999997</v>
          </cell>
          <cell r="W34">
            <v>8841.98</v>
          </cell>
          <cell r="X34">
            <v>7934.2574999999997</v>
          </cell>
          <cell r="Y34">
            <v>302.57416666666666</v>
          </cell>
          <cell r="Z34">
            <v>4.4496200980392154E-4</v>
          </cell>
          <cell r="AA34">
            <v>0</v>
          </cell>
          <cell r="AB34" t="e">
            <v>#DIV/0!</v>
          </cell>
          <cell r="AC34">
            <v>1210.2966666666666</v>
          </cell>
          <cell r="AD34">
            <v>8841.98</v>
          </cell>
          <cell r="AE34">
            <v>7631.6833333333325</v>
          </cell>
          <cell r="AF34">
            <v>302.57416666666666</v>
          </cell>
          <cell r="AG34">
            <v>4.4496200980392154E-4</v>
          </cell>
          <cell r="AH34">
            <v>0</v>
          </cell>
          <cell r="AI34" t="e">
            <v>#DIV/0!</v>
          </cell>
          <cell r="AJ34">
            <v>1512.8708333333334</v>
          </cell>
          <cell r="AK34">
            <v>8841.98</v>
          </cell>
          <cell r="AL34">
            <v>7329.1091666666662</v>
          </cell>
          <cell r="AM34">
            <v>302.57416666666666</v>
          </cell>
          <cell r="AN34">
            <v>4.4496200980392154E-4</v>
          </cell>
          <cell r="AO34">
            <v>0</v>
          </cell>
          <cell r="AP34" t="e">
            <v>#DIV/0!</v>
          </cell>
          <cell r="AQ34">
            <v>1815.4450000000002</v>
          </cell>
          <cell r="AR34">
            <v>8841.98</v>
          </cell>
          <cell r="AS34">
            <v>7026.5349999999999</v>
          </cell>
          <cell r="AT34">
            <v>302.57416666666666</v>
          </cell>
          <cell r="AU34">
            <v>4.8802284946236559E-4</v>
          </cell>
          <cell r="AV34">
            <v>0</v>
          </cell>
          <cell r="AW34" t="e">
            <v>#DIV/0!</v>
          </cell>
          <cell r="AX34">
            <v>2118.0191666666669</v>
          </cell>
          <cell r="AY34">
            <v>8841.98</v>
          </cell>
          <cell r="AZ34">
            <v>6723.9608333333326</v>
          </cell>
          <cell r="BA34">
            <v>302.57416666666666</v>
          </cell>
          <cell r="BB34">
            <v>4.8802284946236559E-4</v>
          </cell>
          <cell r="BC34">
            <v>0</v>
          </cell>
          <cell r="BD34" t="e">
            <v>#DIV/0!</v>
          </cell>
          <cell r="BE34">
            <v>2420.5933333333337</v>
          </cell>
          <cell r="BF34">
            <v>8841.98</v>
          </cell>
          <cell r="BG34">
            <v>6421.3866666666654</v>
          </cell>
          <cell r="BH34">
            <v>302.57416666666666</v>
          </cell>
          <cell r="BI34">
            <v>4.8802284946236559E-4</v>
          </cell>
          <cell r="BJ34">
            <v>0</v>
          </cell>
          <cell r="BK34" t="e">
            <v>#DIV/0!</v>
          </cell>
          <cell r="BL34">
            <v>2723.1675000000005</v>
          </cell>
          <cell r="BM34">
            <v>8841.98</v>
          </cell>
          <cell r="BN34">
            <v>6118.8124999999991</v>
          </cell>
          <cell r="BO34">
            <v>302.57416666666666</v>
          </cell>
          <cell r="BP34">
            <v>4.8802284946236559E-4</v>
          </cell>
          <cell r="BQ34">
            <v>0</v>
          </cell>
          <cell r="BR34" t="e">
            <v>#DIV/0!</v>
          </cell>
          <cell r="BS34">
            <v>3025.7416666666672</v>
          </cell>
          <cell r="BT34">
            <v>8841.98</v>
          </cell>
          <cell r="BU34">
            <v>5816.2383333333328</v>
          </cell>
          <cell r="BV34">
            <v>302.57416666666666</v>
          </cell>
          <cell r="BW34">
            <v>4.8802284946236559E-4</v>
          </cell>
          <cell r="BX34">
            <v>0</v>
          </cell>
          <cell r="BY34" t="e">
            <v>#DIV/0!</v>
          </cell>
          <cell r="BZ34">
            <v>3328.315833333334</v>
          </cell>
          <cell r="CA34">
            <v>8841.98</v>
          </cell>
          <cell r="CB34">
            <v>5513.6641666666656</v>
          </cell>
          <cell r="CC34">
            <v>302.57416666666666</v>
          </cell>
          <cell r="CD34">
            <v>4.8802284946236559E-4</v>
          </cell>
          <cell r="CE34">
            <v>0</v>
          </cell>
          <cell r="CF34" t="e">
            <v>#DIV/0!</v>
          </cell>
          <cell r="CG34">
            <v>3630.8900000000008</v>
          </cell>
          <cell r="CH34">
            <v>8841.98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80</v>
          </cell>
          <cell r="E35">
            <v>1.2698412698412698E-4</v>
          </cell>
          <cell r="F35">
            <v>0</v>
          </cell>
          <cell r="G35">
            <v>0</v>
          </cell>
          <cell r="H35">
            <v>80</v>
          </cell>
          <cell r="I35">
            <v>0</v>
          </cell>
          <cell r="J35">
            <v>-80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80</v>
          </cell>
          <cell r="P35">
            <v>0</v>
          </cell>
          <cell r="Q35">
            <v>-80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80</v>
          </cell>
          <cell r="W35">
            <v>0</v>
          </cell>
          <cell r="X35">
            <v>-80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80</v>
          </cell>
          <cell r="AD35">
            <v>0</v>
          </cell>
          <cell r="AE35">
            <v>-80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80</v>
          </cell>
          <cell r="AK35">
            <v>0</v>
          </cell>
          <cell r="AL35">
            <v>-80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80</v>
          </cell>
          <cell r="AR35">
            <v>0</v>
          </cell>
          <cell r="AS35">
            <v>-80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80</v>
          </cell>
          <cell r="AY35">
            <v>0</v>
          </cell>
          <cell r="AZ35">
            <v>-80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80</v>
          </cell>
          <cell r="BF35">
            <v>0</v>
          </cell>
          <cell r="BG35">
            <v>-80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80</v>
          </cell>
          <cell r="BM35">
            <v>0</v>
          </cell>
          <cell r="BN35">
            <v>-80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80</v>
          </cell>
          <cell r="BT35">
            <v>0</v>
          </cell>
          <cell r="BU35">
            <v>-80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80</v>
          </cell>
          <cell r="CA35">
            <v>0</v>
          </cell>
          <cell r="CB35">
            <v>-80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80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Serviços de IA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1600</v>
          </cell>
          <cell r="N37">
            <v>3.1850087308355111E-3</v>
          </cell>
          <cell r="O37">
            <v>0</v>
          </cell>
          <cell r="P37">
            <v>1600</v>
          </cell>
          <cell r="Q37">
            <v>1600</v>
          </cell>
          <cell r="R37">
            <v>0</v>
          </cell>
          <cell r="S37">
            <v>0</v>
          </cell>
          <cell r="T37">
            <v>3200</v>
          </cell>
          <cell r="U37">
            <v>6.1022975701465346E-3</v>
          </cell>
          <cell r="V37">
            <v>0</v>
          </cell>
          <cell r="W37">
            <v>4800</v>
          </cell>
          <cell r="X37">
            <v>4800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4800</v>
          </cell>
          <cell r="AE37">
            <v>4800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4800</v>
          </cell>
          <cell r="AL37">
            <v>4800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4800</v>
          </cell>
          <cell r="AS37">
            <v>4800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4800</v>
          </cell>
          <cell r="AZ37">
            <v>4800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4800</v>
          </cell>
          <cell r="BG37">
            <v>4800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4800</v>
          </cell>
          <cell r="BN37">
            <v>4800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4800</v>
          </cell>
          <cell r="BU37">
            <v>4800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4800</v>
          </cell>
          <cell r="CB37">
            <v>4800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4800</v>
          </cell>
        </row>
        <row r="38">
          <cell r="A38" t="str">
            <v>IR s/ Salário</v>
          </cell>
          <cell r="B38">
            <v>2.9086811874586314E-4</v>
          </cell>
          <cell r="C38">
            <v>200.09622041920215</v>
          </cell>
          <cell r="D38">
            <v>60</v>
          </cell>
          <cell r="E38">
            <v>9.5238095238095241E-5</v>
          </cell>
          <cell r="F38">
            <v>1.75</v>
          </cell>
          <cell r="G38">
            <v>2.968435280103902E-6</v>
          </cell>
          <cell r="H38">
            <v>60</v>
          </cell>
          <cell r="I38">
            <v>1.75</v>
          </cell>
          <cell r="J38">
            <v>-58.25</v>
          </cell>
          <cell r="K38">
            <v>60</v>
          </cell>
          <cell r="L38">
            <v>1.0909090909090909E-4</v>
          </cell>
          <cell r="M38">
            <v>0</v>
          </cell>
          <cell r="N38">
            <v>0</v>
          </cell>
          <cell r="O38">
            <v>120</v>
          </cell>
          <cell r="P38">
            <v>1.75</v>
          </cell>
          <cell r="Q38">
            <v>-118.25</v>
          </cell>
          <cell r="R38">
            <v>2000</v>
          </cell>
          <cell r="S38">
            <v>2.9411764705882353E-3</v>
          </cell>
          <cell r="T38">
            <v>37.979999999999997</v>
          </cell>
          <cell r="U38">
            <v>7.2426644285676677E-5</v>
          </cell>
          <cell r="V38">
            <v>2120</v>
          </cell>
          <cell r="W38">
            <v>39.729999999999997</v>
          </cell>
          <cell r="X38">
            <v>-2080.27</v>
          </cell>
          <cell r="Y38">
            <v>60</v>
          </cell>
          <cell r="Z38">
            <v>8.8235294117647065E-5</v>
          </cell>
          <cell r="AA38">
            <v>0</v>
          </cell>
          <cell r="AB38" t="e">
            <v>#DIV/0!</v>
          </cell>
          <cell r="AC38">
            <v>2180</v>
          </cell>
          <cell r="AD38">
            <v>39.729999999999997</v>
          </cell>
          <cell r="AE38">
            <v>-2140.27</v>
          </cell>
          <cell r="AF38">
            <v>60</v>
          </cell>
          <cell r="AG38">
            <v>8.8235294117647065E-5</v>
          </cell>
          <cell r="AH38">
            <v>0</v>
          </cell>
          <cell r="AI38" t="e">
            <v>#DIV/0!</v>
          </cell>
          <cell r="AJ38">
            <v>2240</v>
          </cell>
          <cell r="AK38">
            <v>39.729999999999997</v>
          </cell>
          <cell r="AL38">
            <v>-2200.27</v>
          </cell>
          <cell r="AM38">
            <v>60</v>
          </cell>
          <cell r="AN38">
            <v>8.8235294117647065E-5</v>
          </cell>
          <cell r="AO38">
            <v>0</v>
          </cell>
          <cell r="AP38" t="e">
            <v>#DIV/0!</v>
          </cell>
          <cell r="AQ38">
            <v>2300</v>
          </cell>
          <cell r="AR38">
            <v>39.729999999999997</v>
          </cell>
          <cell r="AS38">
            <v>-2260.27</v>
          </cell>
          <cell r="AT38">
            <v>60</v>
          </cell>
          <cell r="AU38">
            <v>9.6774193548387094E-5</v>
          </cell>
          <cell r="AV38">
            <v>0</v>
          </cell>
          <cell r="AW38" t="e">
            <v>#DIV/0!</v>
          </cell>
          <cell r="AX38">
            <v>2360</v>
          </cell>
          <cell r="AY38">
            <v>39.729999999999997</v>
          </cell>
          <cell r="AZ38">
            <v>-2320.27</v>
          </cell>
          <cell r="BA38">
            <v>60</v>
          </cell>
          <cell r="BB38">
            <v>9.6774193548387094E-5</v>
          </cell>
          <cell r="BC38">
            <v>0</v>
          </cell>
          <cell r="BD38" t="e">
            <v>#DIV/0!</v>
          </cell>
          <cell r="BE38">
            <v>2420</v>
          </cell>
          <cell r="BF38">
            <v>39.729999999999997</v>
          </cell>
          <cell r="BG38">
            <v>-2380.27</v>
          </cell>
          <cell r="BH38">
            <v>60</v>
          </cell>
          <cell r="BI38">
            <v>9.6774193548387094E-5</v>
          </cell>
          <cell r="BJ38">
            <v>0</v>
          </cell>
          <cell r="BK38" t="e">
            <v>#DIV/0!</v>
          </cell>
          <cell r="BL38">
            <v>2480</v>
          </cell>
          <cell r="BM38">
            <v>39.729999999999997</v>
          </cell>
          <cell r="BN38">
            <v>-2440.27</v>
          </cell>
          <cell r="BO38">
            <v>60</v>
          </cell>
          <cell r="BP38">
            <v>9.6774193548387094E-5</v>
          </cell>
          <cell r="BQ38">
            <v>0</v>
          </cell>
          <cell r="BR38" t="e">
            <v>#DIV/0!</v>
          </cell>
          <cell r="BS38">
            <v>2540</v>
          </cell>
          <cell r="BT38">
            <v>39.729999999999997</v>
          </cell>
          <cell r="BU38">
            <v>-2500.27</v>
          </cell>
          <cell r="BV38">
            <v>60</v>
          </cell>
          <cell r="BW38">
            <v>9.6774193548387094E-5</v>
          </cell>
          <cell r="BX38">
            <v>0</v>
          </cell>
          <cell r="BY38" t="e">
            <v>#DIV/0!</v>
          </cell>
          <cell r="BZ38">
            <v>2600</v>
          </cell>
          <cell r="CA38">
            <v>39.729999999999997</v>
          </cell>
          <cell r="CB38">
            <v>-2560.27</v>
          </cell>
          <cell r="CC38">
            <v>60</v>
          </cell>
          <cell r="CD38">
            <v>9.6774193548387094E-5</v>
          </cell>
          <cell r="CE38">
            <v>0</v>
          </cell>
          <cell r="CF38" t="e">
            <v>#DIV/0!</v>
          </cell>
          <cell r="CG38">
            <v>2660</v>
          </cell>
          <cell r="CH38">
            <v>39.729999999999997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5.8629063297391346E-3</v>
          </cell>
          <cell r="C40">
            <v>4033.2553540445465</v>
          </cell>
          <cell r="D40">
            <v>4200</v>
          </cell>
          <cell r="E40">
            <v>6.6666666666666671E-3</v>
          </cell>
          <cell r="F40">
            <v>1967.6779868335689</v>
          </cell>
          <cell r="G40">
            <v>3.3376712891431928E-3</v>
          </cell>
          <cell r="H40">
            <v>4200</v>
          </cell>
          <cell r="I40">
            <v>1967.6779868335689</v>
          </cell>
          <cell r="J40">
            <v>-2232.3220131664311</v>
          </cell>
          <cell r="K40">
            <v>4200</v>
          </cell>
          <cell r="L40">
            <v>7.6363636363636364E-3</v>
          </cell>
          <cell r="M40">
            <v>2662.6930387375414</v>
          </cell>
          <cell r="N40">
            <v>5.3004378599462547E-3</v>
          </cell>
          <cell r="O40">
            <v>8400</v>
          </cell>
          <cell r="P40">
            <v>4630.3710255711103</v>
          </cell>
          <cell r="Q40">
            <v>-3769.6289744288897</v>
          </cell>
          <cell r="R40">
            <v>4200</v>
          </cell>
          <cell r="S40">
            <v>6.1764705882352937E-3</v>
          </cell>
          <cell r="T40">
            <v>1655.1547191425818</v>
          </cell>
          <cell r="U40">
            <v>3.1563270690126081E-3</v>
          </cell>
          <cell r="V40">
            <v>12600</v>
          </cell>
          <cell r="W40">
            <v>6285.5257447136919</v>
          </cell>
          <cell r="X40">
            <v>-6314.4742552863081</v>
          </cell>
          <cell r="Y40">
            <v>4200</v>
          </cell>
          <cell r="Z40">
            <v>6.1764705882352937E-3</v>
          </cell>
          <cell r="AA40">
            <v>0</v>
          </cell>
          <cell r="AB40" t="e">
            <v>#DIV/0!</v>
          </cell>
          <cell r="AC40">
            <v>16800</v>
          </cell>
          <cell r="AD40">
            <v>6285.5257447136919</v>
          </cell>
          <cell r="AE40">
            <v>-10514.474255286308</v>
          </cell>
          <cell r="AF40">
            <v>4200</v>
          </cell>
          <cell r="AG40">
            <v>6.1764705882352937E-3</v>
          </cell>
          <cell r="AH40">
            <v>0</v>
          </cell>
          <cell r="AI40" t="e">
            <v>#DIV/0!</v>
          </cell>
          <cell r="AJ40">
            <v>21000</v>
          </cell>
          <cell r="AK40">
            <v>6285.5257447136919</v>
          </cell>
          <cell r="AL40">
            <v>-14714.474255286308</v>
          </cell>
          <cell r="AM40">
            <v>4200</v>
          </cell>
          <cell r="AN40">
            <v>6.1764705882352937E-3</v>
          </cell>
          <cell r="AO40">
            <v>0</v>
          </cell>
          <cell r="AP40" t="e">
            <v>#DIV/0!</v>
          </cell>
          <cell r="AQ40">
            <v>25200</v>
          </cell>
          <cell r="AR40">
            <v>6285.5257447136919</v>
          </cell>
          <cell r="AS40">
            <v>-18914.47425528631</v>
          </cell>
          <cell r="AT40">
            <v>4200</v>
          </cell>
          <cell r="AU40">
            <v>6.7741935483870966E-3</v>
          </cell>
          <cell r="AV40">
            <v>0</v>
          </cell>
          <cell r="AW40" t="e">
            <v>#DIV/0!</v>
          </cell>
          <cell r="AX40">
            <v>29400</v>
          </cell>
          <cell r="AY40">
            <v>6285.5257447136919</v>
          </cell>
          <cell r="AZ40">
            <v>-23114.47425528631</v>
          </cell>
          <cell r="BA40">
            <v>4200</v>
          </cell>
          <cell r="BB40">
            <v>6.7741935483870966E-3</v>
          </cell>
          <cell r="BC40">
            <v>0</v>
          </cell>
          <cell r="BD40" t="e">
            <v>#DIV/0!</v>
          </cell>
          <cell r="BE40">
            <v>33600</v>
          </cell>
          <cell r="BF40">
            <v>6285.5257447136919</v>
          </cell>
          <cell r="BG40">
            <v>-27314.47425528631</v>
          </cell>
          <cell r="BH40">
            <v>4200</v>
          </cell>
          <cell r="BI40">
            <v>6.7741935483870966E-3</v>
          </cell>
          <cell r="BJ40">
            <v>0</v>
          </cell>
          <cell r="BK40" t="e">
            <v>#DIV/0!</v>
          </cell>
          <cell r="BL40">
            <v>37800</v>
          </cell>
          <cell r="BM40">
            <v>6285.5257447136919</v>
          </cell>
          <cell r="BN40">
            <v>-31514.47425528631</v>
          </cell>
          <cell r="BO40">
            <v>4200</v>
          </cell>
          <cell r="BP40">
            <v>6.7741935483870966E-3</v>
          </cell>
          <cell r="BQ40">
            <v>0</v>
          </cell>
          <cell r="BR40" t="e">
            <v>#DIV/0!</v>
          </cell>
          <cell r="BS40">
            <v>42000</v>
          </cell>
          <cell r="BT40">
            <v>6285.5257447136919</v>
          </cell>
          <cell r="BU40">
            <v>-35714.47425528631</v>
          </cell>
          <cell r="BV40">
            <v>4200</v>
          </cell>
          <cell r="BW40">
            <v>6.7741935483870966E-3</v>
          </cell>
          <cell r="BX40">
            <v>0</v>
          </cell>
          <cell r="BY40" t="e">
            <v>#DIV/0!</v>
          </cell>
          <cell r="BZ40">
            <v>46200</v>
          </cell>
          <cell r="CA40">
            <v>6285.5257447136919</v>
          </cell>
          <cell r="CB40">
            <v>-39914.47425528631</v>
          </cell>
          <cell r="CC40">
            <v>4200</v>
          </cell>
          <cell r="CD40">
            <v>6.7741935483870966E-3</v>
          </cell>
          <cell r="CE40">
            <v>0</v>
          </cell>
          <cell r="CF40" t="e">
            <v>#DIV/0!</v>
          </cell>
          <cell r="CG40">
            <v>50400</v>
          </cell>
          <cell r="CH40">
            <v>6285.5257447136919</v>
          </cell>
        </row>
        <row r="41">
          <cell r="A41" t="str">
            <v>Pauta - Gestão de Pauta</v>
          </cell>
          <cell r="B41">
            <v>3.1324668907428042E-3</v>
          </cell>
          <cell r="C41">
            <v>2154.9105764099477</v>
          </cell>
          <cell r="D41">
            <v>2150</v>
          </cell>
          <cell r="E41">
            <v>3.4126984126984128E-3</v>
          </cell>
          <cell r="F41">
            <v>1867.396981915693</v>
          </cell>
          <cell r="G41">
            <v>3.1675697617589097E-3</v>
          </cell>
          <cell r="H41">
            <v>2150</v>
          </cell>
          <cell r="I41">
            <v>1867.396981915693</v>
          </cell>
          <cell r="J41">
            <v>-282.603018084307</v>
          </cell>
          <cell r="K41">
            <v>2150</v>
          </cell>
          <cell r="L41">
            <v>3.9090909090909089E-3</v>
          </cell>
          <cell r="M41">
            <v>1803.7434642729927</v>
          </cell>
          <cell r="N41">
            <v>3.5905866761856082E-3</v>
          </cell>
          <cell r="O41">
            <v>4300</v>
          </cell>
          <cell r="P41">
            <v>3671.1404461886859</v>
          </cell>
          <cell r="Q41">
            <v>-628.85955381131407</v>
          </cell>
          <cell r="R41">
            <v>2150</v>
          </cell>
          <cell r="S41">
            <v>3.1617647058823531E-3</v>
          </cell>
          <cell r="T41">
            <v>1580.9840660531158</v>
          </cell>
          <cell r="U41">
            <v>3.0148860077238489E-3</v>
          </cell>
          <cell r="V41">
            <v>6450</v>
          </cell>
          <cell r="W41">
            <v>5252.1245122418022</v>
          </cell>
          <cell r="X41">
            <v>-1197.8754877581978</v>
          </cell>
          <cell r="Y41">
            <v>2150</v>
          </cell>
          <cell r="Z41">
            <v>3.1617647058823531E-3</v>
          </cell>
          <cell r="AA41">
            <v>0</v>
          </cell>
          <cell r="AB41" t="e">
            <v>#DIV/0!</v>
          </cell>
          <cell r="AC41">
            <v>8600</v>
          </cell>
          <cell r="AD41">
            <v>5252.1245122418022</v>
          </cell>
          <cell r="AE41">
            <v>-3347.8754877581978</v>
          </cell>
          <cell r="AF41">
            <v>2150</v>
          </cell>
          <cell r="AG41">
            <v>3.1617647058823531E-3</v>
          </cell>
          <cell r="AH41">
            <v>0</v>
          </cell>
          <cell r="AI41" t="e">
            <v>#DIV/0!</v>
          </cell>
          <cell r="AJ41">
            <v>10750</v>
          </cell>
          <cell r="AK41">
            <v>5252.1245122418022</v>
          </cell>
          <cell r="AL41">
            <v>-5497.8754877581978</v>
          </cell>
          <cell r="AM41">
            <v>2150</v>
          </cell>
          <cell r="AN41">
            <v>3.1617647058823531E-3</v>
          </cell>
          <cell r="AO41">
            <v>0</v>
          </cell>
          <cell r="AP41" t="e">
            <v>#DIV/0!</v>
          </cell>
          <cell r="AQ41">
            <v>12900</v>
          </cell>
          <cell r="AR41">
            <v>5252.1245122418022</v>
          </cell>
          <cell r="AS41">
            <v>-7647.8754877581978</v>
          </cell>
          <cell r="AT41">
            <v>2150</v>
          </cell>
          <cell r="AU41">
            <v>3.4677419354838708E-3</v>
          </cell>
          <cell r="AV41">
            <v>0</v>
          </cell>
          <cell r="AW41" t="e">
            <v>#DIV/0!</v>
          </cell>
          <cell r="AX41">
            <v>15050</v>
          </cell>
          <cell r="AY41">
            <v>5252.1245122418022</v>
          </cell>
          <cell r="AZ41">
            <v>-9797.8754877581978</v>
          </cell>
          <cell r="BA41">
            <v>2150</v>
          </cell>
          <cell r="BB41">
            <v>3.4677419354838708E-3</v>
          </cell>
          <cell r="BC41">
            <v>0</v>
          </cell>
          <cell r="BD41" t="e">
            <v>#DIV/0!</v>
          </cell>
          <cell r="BE41">
            <v>17200</v>
          </cell>
          <cell r="BF41">
            <v>5252.1245122418022</v>
          </cell>
          <cell r="BG41">
            <v>-11947.875487758198</v>
          </cell>
          <cell r="BH41">
            <v>2150</v>
          </cell>
          <cell r="BI41">
            <v>3.4677419354838708E-3</v>
          </cell>
          <cell r="BJ41">
            <v>0</v>
          </cell>
          <cell r="BK41" t="e">
            <v>#DIV/0!</v>
          </cell>
          <cell r="BL41">
            <v>19350</v>
          </cell>
          <cell r="BM41">
            <v>5252.1245122418022</v>
          </cell>
          <cell r="BN41">
            <v>-14097.875487758198</v>
          </cell>
          <cell r="BO41">
            <v>2150</v>
          </cell>
          <cell r="BP41">
            <v>3.4677419354838708E-3</v>
          </cell>
          <cell r="BQ41">
            <v>0</v>
          </cell>
          <cell r="BR41" t="e">
            <v>#DIV/0!</v>
          </cell>
          <cell r="BS41">
            <v>21500</v>
          </cell>
          <cell r="BT41">
            <v>5252.1245122418022</v>
          </cell>
          <cell r="BU41">
            <v>-16247.875487758198</v>
          </cell>
          <cell r="BV41">
            <v>2150</v>
          </cell>
          <cell r="BW41">
            <v>3.4677419354838708E-3</v>
          </cell>
          <cell r="BX41">
            <v>0</v>
          </cell>
          <cell r="BY41" t="e">
            <v>#DIV/0!</v>
          </cell>
          <cell r="BZ41">
            <v>23650</v>
          </cell>
          <cell r="CA41">
            <v>5252.1245122418022</v>
          </cell>
          <cell r="CB41">
            <v>-18397.875487758196</v>
          </cell>
          <cell r="CC41">
            <v>2150</v>
          </cell>
          <cell r="CD41">
            <v>3.4677419354838708E-3</v>
          </cell>
          <cell r="CE41">
            <v>0</v>
          </cell>
          <cell r="CF41" t="e">
            <v>#DIV/0!</v>
          </cell>
          <cell r="CG41">
            <v>25800</v>
          </cell>
          <cell r="CH41">
            <v>5252.1245122418022</v>
          </cell>
        </row>
        <row r="42">
          <cell r="A42" t="str">
            <v>Seguro de Vida</v>
          </cell>
          <cell r="B42">
            <v>9.6618539459871703E-4</v>
          </cell>
          <cell r="C42">
            <v>664.66564475000007</v>
          </cell>
          <cell r="D42">
            <v>607</v>
          </cell>
          <cell r="E42">
            <v>9.6349206349206353E-4</v>
          </cell>
          <cell r="F42">
            <v>610.03000499999996</v>
          </cell>
          <cell r="G42">
            <v>1.0347626221508342E-3</v>
          </cell>
          <cell r="H42">
            <v>607</v>
          </cell>
          <cell r="I42">
            <v>610.03000499999996</v>
          </cell>
          <cell r="J42">
            <v>3.0300049999999601</v>
          </cell>
          <cell r="K42">
            <v>607</v>
          </cell>
          <cell r="L42">
            <v>1.1036363636363637E-3</v>
          </cell>
          <cell r="M42">
            <v>598.51997700000004</v>
          </cell>
          <cell r="N42">
            <v>1.1914320952027934E-3</v>
          </cell>
          <cell r="O42">
            <v>1214</v>
          </cell>
          <cell r="P42">
            <v>1208.549982</v>
          </cell>
          <cell r="Q42">
            <v>-5.450018</v>
          </cell>
          <cell r="R42">
            <v>607</v>
          </cell>
          <cell r="S42">
            <v>8.9264705882352937E-4</v>
          </cell>
          <cell r="T42">
            <v>621.54002800000001</v>
          </cell>
          <cell r="U42">
            <v>1.1852569383166277E-3</v>
          </cell>
          <cell r="V42">
            <v>1821</v>
          </cell>
          <cell r="W42">
            <v>1830.0900099999999</v>
          </cell>
          <cell r="X42">
            <v>9.0900099999998929</v>
          </cell>
          <cell r="Y42">
            <v>607</v>
          </cell>
          <cell r="Z42">
            <v>8.9264705882352937E-4</v>
          </cell>
          <cell r="AA42">
            <v>0</v>
          </cell>
          <cell r="AB42" t="e">
            <v>#DIV/0!</v>
          </cell>
          <cell r="AC42">
            <v>2428</v>
          </cell>
          <cell r="AD42">
            <v>1830.0900099999999</v>
          </cell>
          <cell r="AE42">
            <v>-597.90999000000011</v>
          </cell>
          <cell r="AF42">
            <v>607</v>
          </cell>
          <cell r="AG42">
            <v>8.9264705882352937E-4</v>
          </cell>
          <cell r="AH42">
            <v>0</v>
          </cell>
          <cell r="AI42" t="e">
            <v>#DIV/0!</v>
          </cell>
          <cell r="AJ42">
            <v>3035</v>
          </cell>
          <cell r="AK42">
            <v>1830.0900099999999</v>
          </cell>
          <cell r="AL42">
            <v>-1204.9099900000001</v>
          </cell>
          <cell r="AM42">
            <v>607</v>
          </cell>
          <cell r="AN42">
            <v>8.9264705882352937E-4</v>
          </cell>
          <cell r="AO42">
            <v>0</v>
          </cell>
          <cell r="AP42" t="e">
            <v>#DIV/0!</v>
          </cell>
          <cell r="AQ42">
            <v>3642</v>
          </cell>
          <cell r="AR42">
            <v>1830.0900099999999</v>
          </cell>
          <cell r="AS42">
            <v>-1811.9099900000001</v>
          </cell>
          <cell r="AT42">
            <v>607</v>
          </cell>
          <cell r="AU42">
            <v>9.7903225806451606E-4</v>
          </cell>
          <cell r="AV42">
            <v>0</v>
          </cell>
          <cell r="AW42" t="e">
            <v>#DIV/0!</v>
          </cell>
          <cell r="AX42">
            <v>4249</v>
          </cell>
          <cell r="AY42">
            <v>1830.0900099999999</v>
          </cell>
          <cell r="AZ42">
            <v>-2418.9099900000001</v>
          </cell>
          <cell r="BA42">
            <v>607</v>
          </cell>
          <cell r="BB42">
            <v>9.7903225806451606E-4</v>
          </cell>
          <cell r="BC42">
            <v>0</v>
          </cell>
          <cell r="BD42" t="e">
            <v>#DIV/0!</v>
          </cell>
          <cell r="BE42">
            <v>4856</v>
          </cell>
          <cell r="BF42">
            <v>1830.0900099999999</v>
          </cell>
          <cell r="BG42">
            <v>-3025.9099900000001</v>
          </cell>
          <cell r="BH42">
            <v>607</v>
          </cell>
          <cell r="BI42">
            <v>9.7903225806451606E-4</v>
          </cell>
          <cell r="BJ42">
            <v>0</v>
          </cell>
          <cell r="BK42" t="e">
            <v>#DIV/0!</v>
          </cell>
          <cell r="BL42">
            <v>5463</v>
          </cell>
          <cell r="BM42">
            <v>1830.0900099999999</v>
          </cell>
          <cell r="BN42">
            <v>-3632.9099900000001</v>
          </cell>
          <cell r="BO42">
            <v>607</v>
          </cell>
          <cell r="BP42">
            <v>9.7903225806451606E-4</v>
          </cell>
          <cell r="BQ42">
            <v>0</v>
          </cell>
          <cell r="BR42" t="e">
            <v>#DIV/0!</v>
          </cell>
          <cell r="BS42">
            <v>6070</v>
          </cell>
          <cell r="BT42">
            <v>1830.0900099999999</v>
          </cell>
          <cell r="BU42">
            <v>-4239.9099900000001</v>
          </cell>
          <cell r="BV42">
            <v>607</v>
          </cell>
          <cell r="BW42">
            <v>9.7903225806451606E-4</v>
          </cell>
          <cell r="BX42">
            <v>0</v>
          </cell>
          <cell r="BY42" t="e">
            <v>#DIV/0!</v>
          </cell>
          <cell r="BZ42">
            <v>6677</v>
          </cell>
          <cell r="CA42">
            <v>1830.0900099999999</v>
          </cell>
          <cell r="CB42">
            <v>-4846.9099900000001</v>
          </cell>
          <cell r="CC42">
            <v>607</v>
          </cell>
          <cell r="CD42">
            <v>9.7903225806451606E-4</v>
          </cell>
          <cell r="CE42">
            <v>0</v>
          </cell>
          <cell r="CF42" t="e">
            <v>#DIV/0!</v>
          </cell>
          <cell r="CG42">
            <v>7284</v>
          </cell>
          <cell r="CH42">
            <v>1830.0900099999999</v>
          </cell>
        </row>
        <row r="43">
          <cell r="A43" t="str">
            <v>Plano de Saúde</v>
          </cell>
          <cell r="B43">
            <v>2.9063991800674805E-2</v>
          </cell>
          <cell r="C43">
            <v>19993.923482177514</v>
          </cell>
          <cell r="D43">
            <v>22300</v>
          </cell>
          <cell r="E43">
            <v>3.5396825396825399E-2</v>
          </cell>
          <cell r="F43">
            <v>21084.410292987843</v>
          </cell>
          <cell r="G43">
            <v>3.5764404213651978E-2</v>
          </cell>
          <cell r="H43">
            <v>22300</v>
          </cell>
          <cell r="I43">
            <v>21084.410292987843</v>
          </cell>
          <cell r="J43">
            <v>-1215.5897070121573</v>
          </cell>
          <cell r="K43">
            <v>22300</v>
          </cell>
          <cell r="L43">
            <v>4.0545454545454544E-2</v>
          </cell>
          <cell r="M43">
            <v>20354.989996370245</v>
          </cell>
          <cell r="N43">
            <v>4.051926303406795E-2</v>
          </cell>
          <cell r="O43">
            <v>44600</v>
          </cell>
          <cell r="P43">
            <v>41439.400289358091</v>
          </cell>
          <cell r="Q43">
            <v>-3160.599710641909</v>
          </cell>
          <cell r="R43">
            <v>22300</v>
          </cell>
          <cell r="S43">
            <v>3.2794117647058821E-2</v>
          </cell>
          <cell r="T43">
            <v>20546.519528999997</v>
          </cell>
          <cell r="U43">
            <v>3.9181555061495309E-2</v>
          </cell>
          <cell r="V43">
            <v>66900</v>
          </cell>
          <cell r="W43">
            <v>61985.919818358088</v>
          </cell>
          <cell r="X43">
            <v>-4914.0801816419116</v>
          </cell>
          <cell r="Y43">
            <v>22300</v>
          </cell>
          <cell r="Z43">
            <v>3.2794117647058821E-2</v>
          </cell>
          <cell r="AA43">
            <v>0</v>
          </cell>
          <cell r="AB43" t="e">
            <v>#DIV/0!</v>
          </cell>
          <cell r="AC43">
            <v>89200</v>
          </cell>
          <cell r="AD43">
            <v>61985.919818358088</v>
          </cell>
          <cell r="AE43">
            <v>-27214.080181641912</v>
          </cell>
          <cell r="AF43">
            <v>22300</v>
          </cell>
          <cell r="AG43">
            <v>3.2794117647058821E-2</v>
          </cell>
          <cell r="AH43">
            <v>0</v>
          </cell>
          <cell r="AI43" t="e">
            <v>#DIV/0!</v>
          </cell>
          <cell r="AJ43">
            <v>111500</v>
          </cell>
          <cell r="AK43">
            <v>61985.919818358088</v>
          </cell>
          <cell r="AL43">
            <v>-49514.080181641912</v>
          </cell>
          <cell r="AM43">
            <v>22300</v>
          </cell>
          <cell r="AN43">
            <v>3.2794117647058821E-2</v>
          </cell>
          <cell r="AO43">
            <v>0</v>
          </cell>
          <cell r="AP43" t="e">
            <v>#DIV/0!</v>
          </cell>
          <cell r="AQ43">
            <v>133800</v>
          </cell>
          <cell r="AR43">
            <v>61985.919818358088</v>
          </cell>
          <cell r="AS43">
            <v>-71814.080181641912</v>
          </cell>
          <cell r="AT43">
            <v>22300</v>
          </cell>
          <cell r="AU43">
            <v>3.5967741935483868E-2</v>
          </cell>
          <cell r="AV43">
            <v>0</v>
          </cell>
          <cell r="AW43" t="e">
            <v>#DIV/0!</v>
          </cell>
          <cell r="AX43">
            <v>156100</v>
          </cell>
          <cell r="AY43">
            <v>61985.919818358088</v>
          </cell>
          <cell r="AZ43">
            <v>-94114.080181641912</v>
          </cell>
          <cell r="BA43">
            <v>22300</v>
          </cell>
          <cell r="BB43">
            <v>3.5967741935483868E-2</v>
          </cell>
          <cell r="BC43">
            <v>0</v>
          </cell>
          <cell r="BD43" t="e">
            <v>#DIV/0!</v>
          </cell>
          <cell r="BE43">
            <v>178400</v>
          </cell>
          <cell r="BF43">
            <v>61985.919818358088</v>
          </cell>
          <cell r="BG43">
            <v>-116414.08018164191</v>
          </cell>
          <cell r="BH43">
            <v>22300</v>
          </cell>
          <cell r="BI43">
            <v>3.5967741935483868E-2</v>
          </cell>
          <cell r="BJ43">
            <v>0</v>
          </cell>
          <cell r="BK43" t="e">
            <v>#DIV/0!</v>
          </cell>
          <cell r="BL43">
            <v>200700</v>
          </cell>
          <cell r="BM43">
            <v>61985.919818358088</v>
          </cell>
          <cell r="BN43">
            <v>-138714.08018164191</v>
          </cell>
          <cell r="BO43">
            <v>25645</v>
          </cell>
          <cell r="BP43">
            <v>4.1362903225806449E-2</v>
          </cell>
          <cell r="BQ43">
            <v>0</v>
          </cell>
          <cell r="BR43" t="e">
            <v>#DIV/0!</v>
          </cell>
          <cell r="BS43">
            <v>226345</v>
          </cell>
          <cell r="BT43">
            <v>61985.919818358088</v>
          </cell>
          <cell r="BU43">
            <v>-164359.08018164191</v>
          </cell>
          <cell r="BV43">
            <v>25645</v>
          </cell>
          <cell r="BW43">
            <v>4.1362903225806449E-2</v>
          </cell>
          <cell r="BX43">
            <v>0</v>
          </cell>
          <cell r="BY43" t="e">
            <v>#DIV/0!</v>
          </cell>
          <cell r="BZ43">
            <v>251990</v>
          </cell>
          <cell r="CA43">
            <v>61985.919818358088</v>
          </cell>
          <cell r="CB43">
            <v>-190004.08018164191</v>
          </cell>
          <cell r="CC43">
            <v>25645</v>
          </cell>
          <cell r="CD43">
            <v>4.1362903225806449E-2</v>
          </cell>
          <cell r="CE43">
            <v>0</v>
          </cell>
          <cell r="CF43" t="e">
            <v>#DIV/0!</v>
          </cell>
          <cell r="CG43">
            <v>277635</v>
          </cell>
          <cell r="CH43">
            <v>61985.919818358088</v>
          </cell>
        </row>
        <row r="44">
          <cell r="A44" t="str">
            <v>Plano Odontológico</v>
          </cell>
          <cell r="B44">
            <v>3.3013367860066864E-4</v>
          </cell>
          <cell r="C44">
            <v>227.10808460516765</v>
          </cell>
          <cell r="D44">
            <v>220.5</v>
          </cell>
          <cell r="E44">
            <v>3.5E-4</v>
          </cell>
          <cell r="F44">
            <v>264.740004</v>
          </cell>
          <cell r="G44">
            <v>4.4906489595911327E-4</v>
          </cell>
          <cell r="H44">
            <v>220.5</v>
          </cell>
          <cell r="I44">
            <v>264.740004</v>
          </cell>
          <cell r="J44">
            <v>44.240003999999999</v>
          </cell>
          <cell r="K44">
            <v>220.5</v>
          </cell>
          <cell r="L44">
            <v>4.0090909090909093E-4</v>
          </cell>
          <cell r="M44">
            <v>249.140018</v>
          </cell>
          <cell r="N44">
            <v>4.9594570783157278E-4</v>
          </cell>
          <cell r="O44">
            <v>441</v>
          </cell>
          <cell r="P44">
            <v>513.88002200000005</v>
          </cell>
          <cell r="Q44">
            <v>72.880022000000054</v>
          </cell>
          <cell r="R44">
            <v>220.5</v>
          </cell>
          <cell r="S44">
            <v>3.2426470588235295E-4</v>
          </cell>
          <cell r="T44">
            <v>249.13998699999999</v>
          </cell>
          <cell r="U44">
            <v>4.7510198040513719E-4</v>
          </cell>
          <cell r="V44">
            <v>661.5</v>
          </cell>
          <cell r="W44">
            <v>763.02000900000007</v>
          </cell>
          <cell r="X44">
            <v>101.52000900000007</v>
          </cell>
          <cell r="Y44">
            <v>220.5</v>
          </cell>
          <cell r="Z44">
            <v>3.2426470588235295E-4</v>
          </cell>
          <cell r="AA44">
            <v>0</v>
          </cell>
          <cell r="AB44" t="e">
            <v>#DIV/0!</v>
          </cell>
          <cell r="AC44">
            <v>882</v>
          </cell>
          <cell r="AD44">
            <v>763.02000900000007</v>
          </cell>
          <cell r="AE44">
            <v>-118.97999099999993</v>
          </cell>
          <cell r="AF44">
            <v>220.5</v>
          </cell>
          <cell r="AG44">
            <v>3.2426470588235295E-4</v>
          </cell>
          <cell r="AH44">
            <v>0</v>
          </cell>
          <cell r="AI44" t="e">
            <v>#DIV/0!</v>
          </cell>
          <cell r="AJ44">
            <v>1102.5</v>
          </cell>
          <cell r="AK44">
            <v>763.02000900000007</v>
          </cell>
          <cell r="AL44">
            <v>-339.47999099999993</v>
          </cell>
          <cell r="AM44">
            <v>220.5</v>
          </cell>
          <cell r="AN44">
            <v>3.2426470588235295E-4</v>
          </cell>
          <cell r="AO44">
            <v>0</v>
          </cell>
          <cell r="AP44" t="e">
            <v>#DIV/0!</v>
          </cell>
          <cell r="AQ44">
            <v>1323</v>
          </cell>
          <cell r="AR44">
            <v>763.02000900000007</v>
          </cell>
          <cell r="AS44">
            <v>-559.97999099999993</v>
          </cell>
          <cell r="AT44">
            <v>220.5</v>
          </cell>
          <cell r="AU44">
            <v>3.556451612903226E-4</v>
          </cell>
          <cell r="AV44">
            <v>0</v>
          </cell>
          <cell r="AW44" t="e">
            <v>#DIV/0!</v>
          </cell>
          <cell r="AX44">
            <v>1543.5</v>
          </cell>
          <cell r="AY44">
            <v>763.02000900000007</v>
          </cell>
          <cell r="AZ44">
            <v>-780.47999099999993</v>
          </cell>
          <cell r="BA44">
            <v>220.5</v>
          </cell>
          <cell r="BB44">
            <v>3.556451612903226E-4</v>
          </cell>
          <cell r="BC44">
            <v>0</v>
          </cell>
          <cell r="BD44" t="e">
            <v>#DIV/0!</v>
          </cell>
          <cell r="BE44">
            <v>1764</v>
          </cell>
          <cell r="BF44">
            <v>763.02000900000007</v>
          </cell>
          <cell r="BG44">
            <v>-1000.9799909999999</v>
          </cell>
          <cell r="BH44">
            <v>220.5</v>
          </cell>
          <cell r="BI44">
            <v>3.556451612903226E-4</v>
          </cell>
          <cell r="BJ44">
            <v>0</v>
          </cell>
          <cell r="BK44" t="e">
            <v>#DIV/0!</v>
          </cell>
          <cell r="BL44">
            <v>1984.5</v>
          </cell>
          <cell r="BM44">
            <v>763.02000900000007</v>
          </cell>
          <cell r="BN44">
            <v>-1221.4799909999999</v>
          </cell>
          <cell r="BO44">
            <v>220.5</v>
          </cell>
          <cell r="BP44">
            <v>3.556451612903226E-4</v>
          </cell>
          <cell r="BQ44">
            <v>0</v>
          </cell>
          <cell r="BR44" t="e">
            <v>#DIV/0!</v>
          </cell>
          <cell r="BS44">
            <v>2205</v>
          </cell>
          <cell r="BT44">
            <v>763.02000900000007</v>
          </cell>
          <cell r="BU44">
            <v>-1441.9799909999999</v>
          </cell>
          <cell r="BV44">
            <v>220.5</v>
          </cell>
          <cell r="BW44">
            <v>3.556451612903226E-4</v>
          </cell>
          <cell r="BX44">
            <v>0</v>
          </cell>
          <cell r="BY44" t="e">
            <v>#DIV/0!</v>
          </cell>
          <cell r="BZ44">
            <v>2425.5</v>
          </cell>
          <cell r="CA44">
            <v>763.02000900000007</v>
          </cell>
          <cell r="CB44">
            <v>-1662.4799909999999</v>
          </cell>
          <cell r="CC44">
            <v>220.5</v>
          </cell>
          <cell r="CD44">
            <v>3.556451612903226E-4</v>
          </cell>
          <cell r="CE44">
            <v>0</v>
          </cell>
          <cell r="CF44" t="e">
            <v>#DIV/0!</v>
          </cell>
          <cell r="CG44">
            <v>2646</v>
          </cell>
          <cell r="CH44">
            <v>763.02000900000007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0.2174612960691677</v>
          </cell>
          <cell r="C46">
            <v>149597.63764594577</v>
          </cell>
          <cell r="D46">
            <v>157200</v>
          </cell>
          <cell r="E46">
            <v>0.24952380952380954</v>
          </cell>
          <cell r="F46">
            <v>159132.88975000003</v>
          </cell>
          <cell r="G46">
            <v>0.26992896237644842</v>
          </cell>
          <cell r="H46">
            <v>157200</v>
          </cell>
          <cell r="I46">
            <v>159132.88975000003</v>
          </cell>
          <cell r="J46">
            <v>1932.8897500000312</v>
          </cell>
          <cell r="K46">
            <v>157200</v>
          </cell>
          <cell r="L46">
            <v>0.2858181818181818</v>
          </cell>
          <cell r="M46">
            <v>155873.98066715978</v>
          </cell>
          <cell r="N46">
            <v>0.3102874933343685</v>
          </cell>
          <cell r="O46">
            <v>314400</v>
          </cell>
          <cell r="P46">
            <v>315006.87041715981</v>
          </cell>
          <cell r="Q46">
            <v>606.8704171598074</v>
          </cell>
          <cell r="R46">
            <v>157200</v>
          </cell>
          <cell r="S46">
            <v>0.23117647058823529</v>
          </cell>
          <cell r="T46">
            <v>159656.35</v>
          </cell>
          <cell r="U46">
            <v>0.30445954895733268</v>
          </cell>
          <cell r="V46">
            <v>471600</v>
          </cell>
          <cell r="W46">
            <v>474663.22041715984</v>
          </cell>
          <cell r="X46">
            <v>3063.2204171598423</v>
          </cell>
          <cell r="Y46">
            <v>158700</v>
          </cell>
          <cell r="Z46">
            <v>0.23338235294117646</v>
          </cell>
          <cell r="AA46">
            <v>0</v>
          </cell>
          <cell r="AB46" t="e">
            <v>#DIV/0!</v>
          </cell>
          <cell r="AC46">
            <v>630300</v>
          </cell>
          <cell r="AD46">
            <v>474663.22041715984</v>
          </cell>
          <cell r="AE46">
            <v>-155636.77958284016</v>
          </cell>
          <cell r="AF46">
            <v>158700</v>
          </cell>
          <cell r="AG46">
            <v>0.23338235294117646</v>
          </cell>
          <cell r="AH46">
            <v>0</v>
          </cell>
          <cell r="AI46" t="e">
            <v>#DIV/0!</v>
          </cell>
          <cell r="AJ46">
            <v>789000</v>
          </cell>
          <cell r="AK46">
            <v>474663.22041715984</v>
          </cell>
          <cell r="AL46">
            <v>-314336.77958284016</v>
          </cell>
          <cell r="AM46">
            <v>158700</v>
          </cell>
          <cell r="AN46">
            <v>0.23338235294117646</v>
          </cell>
          <cell r="AO46">
            <v>0</v>
          </cell>
          <cell r="AP46" t="e">
            <v>#DIV/0!</v>
          </cell>
          <cell r="AQ46">
            <v>947700</v>
          </cell>
          <cell r="AR46">
            <v>474663.22041715984</v>
          </cell>
          <cell r="AS46">
            <v>-473036.77958284016</v>
          </cell>
          <cell r="AT46">
            <v>158700</v>
          </cell>
          <cell r="AU46">
            <v>0.25596774193548388</v>
          </cell>
          <cell r="AV46">
            <v>0</v>
          </cell>
          <cell r="AW46" t="e">
            <v>#DIV/0!</v>
          </cell>
          <cell r="AX46">
            <v>1106400</v>
          </cell>
          <cell r="AY46">
            <v>474663.22041715984</v>
          </cell>
          <cell r="AZ46">
            <v>-631736.77958284016</v>
          </cell>
          <cell r="BA46">
            <v>158700</v>
          </cell>
          <cell r="BB46">
            <v>0.25596774193548388</v>
          </cell>
          <cell r="BC46">
            <v>0</v>
          </cell>
          <cell r="BD46" t="e">
            <v>#DIV/0!</v>
          </cell>
          <cell r="BE46">
            <v>1265100</v>
          </cell>
          <cell r="BF46">
            <v>474663.22041715984</v>
          </cell>
          <cell r="BG46">
            <v>-790436.77958284016</v>
          </cell>
          <cell r="BH46">
            <v>160200</v>
          </cell>
          <cell r="BI46">
            <v>0.25838709677419353</v>
          </cell>
          <cell r="BJ46">
            <v>0</v>
          </cell>
          <cell r="BK46" t="e">
            <v>#DIV/0!</v>
          </cell>
          <cell r="BL46">
            <v>1425300</v>
          </cell>
          <cell r="BM46">
            <v>474663.22041715984</v>
          </cell>
          <cell r="BN46">
            <v>-950636.77958284016</v>
          </cell>
          <cell r="BO46">
            <v>160200</v>
          </cell>
          <cell r="BP46">
            <v>0.25838709677419353</v>
          </cell>
          <cell r="BQ46">
            <v>0</v>
          </cell>
          <cell r="BR46" t="e">
            <v>#DIV/0!</v>
          </cell>
          <cell r="BS46">
            <v>1585500</v>
          </cell>
          <cell r="BT46">
            <v>474663.22041715984</v>
          </cell>
          <cell r="BU46">
            <v>-1110836.7795828402</v>
          </cell>
          <cell r="BV46">
            <v>160200</v>
          </cell>
          <cell r="BW46">
            <v>0.25838709677419353</v>
          </cell>
          <cell r="BX46">
            <v>0</v>
          </cell>
          <cell r="BY46" t="e">
            <v>#DIV/0!</v>
          </cell>
          <cell r="BZ46">
            <v>1745700</v>
          </cell>
          <cell r="CA46">
            <v>474663.22041715984</v>
          </cell>
          <cell r="CB46">
            <v>-1271036.7795828402</v>
          </cell>
          <cell r="CC46">
            <v>160200</v>
          </cell>
          <cell r="CD46">
            <v>0.25838709677419353</v>
          </cell>
          <cell r="CE46">
            <v>0</v>
          </cell>
          <cell r="CF46" t="e">
            <v>#DIV/0!</v>
          </cell>
          <cell r="CG46">
            <v>1905900</v>
          </cell>
          <cell r="CH46">
            <v>474663.22041715984</v>
          </cell>
        </row>
        <row r="47">
          <cell r="A47" t="str">
            <v>Pesquisas/Consultas</v>
          </cell>
          <cell r="B47">
            <v>9.7739531935189155E-4</v>
          </cell>
          <cell r="C47">
            <v>672.37726190476189</v>
          </cell>
          <cell r="D47">
            <v>2200</v>
          </cell>
          <cell r="E47">
            <v>3.4920634920634921E-3</v>
          </cell>
          <cell r="F47">
            <v>58.9</v>
          </cell>
          <cell r="G47">
            <v>9.9909050284639905E-5</v>
          </cell>
          <cell r="H47">
            <v>2200</v>
          </cell>
          <cell r="I47">
            <v>58.9</v>
          </cell>
          <cell r="J47">
            <v>-2141.1</v>
          </cell>
          <cell r="K47">
            <v>2200</v>
          </cell>
          <cell r="L47">
            <v>4.0000000000000001E-3</v>
          </cell>
          <cell r="M47">
            <v>58.9</v>
          </cell>
          <cell r="N47">
            <v>1.1724813390388226E-4</v>
          </cell>
          <cell r="O47">
            <v>4400</v>
          </cell>
          <cell r="P47">
            <v>117.8</v>
          </cell>
          <cell r="Q47">
            <v>-4282.2</v>
          </cell>
          <cell r="R47">
            <v>2200</v>
          </cell>
          <cell r="S47">
            <v>3.2352941176470589E-3</v>
          </cell>
          <cell r="T47">
            <v>40.479999999999997</v>
          </cell>
          <cell r="U47">
            <v>7.7194064262353651E-5</v>
          </cell>
          <cell r="V47">
            <v>6600</v>
          </cell>
          <cell r="W47">
            <v>158.28</v>
          </cell>
          <cell r="X47">
            <v>-6441.72</v>
          </cell>
          <cell r="Y47">
            <v>2200</v>
          </cell>
          <cell r="Z47">
            <v>3.2352941176470589E-3</v>
          </cell>
          <cell r="AA47">
            <v>0</v>
          </cell>
          <cell r="AB47" t="e">
            <v>#DIV/0!</v>
          </cell>
          <cell r="AC47">
            <v>8800</v>
          </cell>
          <cell r="AD47">
            <v>158.28</v>
          </cell>
          <cell r="AE47">
            <v>-8641.7199999999993</v>
          </cell>
          <cell r="AF47">
            <v>2200</v>
          </cell>
          <cell r="AG47">
            <v>3.2352941176470589E-3</v>
          </cell>
          <cell r="AH47">
            <v>0</v>
          </cell>
          <cell r="AI47" t="e">
            <v>#DIV/0!</v>
          </cell>
          <cell r="AJ47">
            <v>11000</v>
          </cell>
          <cell r="AK47">
            <v>158.28</v>
          </cell>
          <cell r="AL47">
            <v>-10841.72</v>
          </cell>
          <cell r="AM47">
            <v>2200</v>
          </cell>
          <cell r="AN47">
            <v>3.2352941176470589E-3</v>
          </cell>
          <cell r="AO47">
            <v>0</v>
          </cell>
          <cell r="AP47" t="e">
            <v>#DIV/0!</v>
          </cell>
          <cell r="AQ47">
            <v>13200</v>
          </cell>
          <cell r="AR47">
            <v>158.28</v>
          </cell>
          <cell r="AS47">
            <v>-13041.72</v>
          </cell>
          <cell r="AT47">
            <v>2200</v>
          </cell>
          <cell r="AU47">
            <v>3.5483870967741938E-3</v>
          </cell>
          <cell r="AV47">
            <v>0</v>
          </cell>
          <cell r="AW47" t="e">
            <v>#DIV/0!</v>
          </cell>
          <cell r="AX47">
            <v>15400</v>
          </cell>
          <cell r="AY47">
            <v>158.28</v>
          </cell>
          <cell r="AZ47">
            <v>-15241.72</v>
          </cell>
          <cell r="BA47">
            <v>2200</v>
          </cell>
          <cell r="BB47">
            <v>3.5483870967741938E-3</v>
          </cell>
          <cell r="BC47">
            <v>0</v>
          </cell>
          <cell r="BD47" t="e">
            <v>#DIV/0!</v>
          </cell>
          <cell r="BE47">
            <v>17600</v>
          </cell>
          <cell r="BF47">
            <v>158.28</v>
          </cell>
          <cell r="BG47">
            <v>-17441.72</v>
          </cell>
          <cell r="BH47">
            <v>2200</v>
          </cell>
          <cell r="BI47">
            <v>3.5483870967741938E-3</v>
          </cell>
          <cell r="BJ47">
            <v>0</v>
          </cell>
          <cell r="BK47" t="e">
            <v>#DIV/0!</v>
          </cell>
          <cell r="BL47">
            <v>19800</v>
          </cell>
          <cell r="BM47">
            <v>158.28</v>
          </cell>
          <cell r="BN47">
            <v>-19641.72</v>
          </cell>
          <cell r="BO47">
            <v>2200</v>
          </cell>
          <cell r="BP47">
            <v>3.5483870967741938E-3</v>
          </cell>
          <cell r="BQ47">
            <v>0</v>
          </cell>
          <cell r="BR47" t="e">
            <v>#DIV/0!</v>
          </cell>
          <cell r="BS47">
            <v>22000</v>
          </cell>
          <cell r="BT47">
            <v>158.28</v>
          </cell>
          <cell r="BU47">
            <v>-21841.72</v>
          </cell>
          <cell r="BV47">
            <v>2200</v>
          </cell>
          <cell r="BW47">
            <v>3.5483870967741938E-3</v>
          </cell>
          <cell r="BX47">
            <v>0</v>
          </cell>
          <cell r="BY47" t="e">
            <v>#DIV/0!</v>
          </cell>
          <cell r="BZ47">
            <v>24200</v>
          </cell>
          <cell r="CA47">
            <v>158.28</v>
          </cell>
          <cell r="CB47">
            <v>-24041.72</v>
          </cell>
          <cell r="CC47">
            <v>2200</v>
          </cell>
          <cell r="CD47">
            <v>3.5483870967741938E-3</v>
          </cell>
          <cell r="CE47">
            <v>0</v>
          </cell>
          <cell r="CF47" t="e">
            <v>#DIV/0!</v>
          </cell>
          <cell r="CG47">
            <v>26400</v>
          </cell>
          <cell r="CH47">
            <v>158.28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6.1759280750716935E-4</v>
          </cell>
          <cell r="C49">
            <v>424.85916666666662</v>
          </cell>
          <cell r="D49">
            <v>300</v>
          </cell>
          <cell r="E49">
            <v>4.7619047619047619E-4</v>
          </cell>
          <cell r="F49">
            <v>0</v>
          </cell>
          <cell r="G49">
            <v>0</v>
          </cell>
          <cell r="H49">
            <v>300</v>
          </cell>
          <cell r="I49">
            <v>0</v>
          </cell>
          <cell r="J49">
            <v>-300</v>
          </cell>
          <cell r="K49">
            <v>300</v>
          </cell>
          <cell r="L49">
            <v>5.4545454545454548E-4</v>
          </cell>
          <cell r="M49">
            <v>0</v>
          </cell>
          <cell r="N49">
            <v>0</v>
          </cell>
          <cell r="O49">
            <v>600</v>
          </cell>
          <cell r="P49">
            <v>0</v>
          </cell>
          <cell r="Q49">
            <v>-600</v>
          </cell>
          <cell r="R49">
            <v>300</v>
          </cell>
          <cell r="S49">
            <v>4.4117647058823531E-4</v>
          </cell>
          <cell r="T49">
            <v>0</v>
          </cell>
          <cell r="U49">
            <v>0</v>
          </cell>
          <cell r="V49">
            <v>900</v>
          </cell>
          <cell r="W49">
            <v>0</v>
          </cell>
          <cell r="X49">
            <v>-900</v>
          </cell>
          <cell r="Y49">
            <v>300</v>
          </cell>
          <cell r="Z49">
            <v>4.4117647058823531E-4</v>
          </cell>
          <cell r="AA49">
            <v>0</v>
          </cell>
          <cell r="AB49" t="e">
            <v>#DIV/0!</v>
          </cell>
          <cell r="AC49">
            <v>1200</v>
          </cell>
          <cell r="AD49">
            <v>0</v>
          </cell>
          <cell r="AE49">
            <v>-1200</v>
          </cell>
          <cell r="AF49">
            <v>300</v>
          </cell>
          <cell r="AG49">
            <v>4.4117647058823531E-4</v>
          </cell>
          <cell r="AH49">
            <v>0</v>
          </cell>
          <cell r="AI49" t="e">
            <v>#DIV/0!</v>
          </cell>
          <cell r="AJ49">
            <v>1500</v>
          </cell>
          <cell r="AK49">
            <v>0</v>
          </cell>
          <cell r="AL49">
            <v>-1500</v>
          </cell>
          <cell r="AM49">
            <v>300</v>
          </cell>
          <cell r="AN49">
            <v>4.4117647058823531E-4</v>
          </cell>
          <cell r="AO49">
            <v>0</v>
          </cell>
          <cell r="AP49" t="e">
            <v>#DIV/0!</v>
          </cell>
          <cell r="AQ49">
            <v>1800</v>
          </cell>
          <cell r="AR49">
            <v>0</v>
          </cell>
          <cell r="AS49">
            <v>-1800</v>
          </cell>
          <cell r="AT49">
            <v>300</v>
          </cell>
          <cell r="AU49">
            <v>4.8387096774193548E-4</v>
          </cell>
          <cell r="AV49">
            <v>0</v>
          </cell>
          <cell r="AW49" t="e">
            <v>#DIV/0!</v>
          </cell>
          <cell r="AX49">
            <v>2100</v>
          </cell>
          <cell r="AY49">
            <v>0</v>
          </cell>
          <cell r="AZ49">
            <v>-2100</v>
          </cell>
          <cell r="BA49">
            <v>300</v>
          </cell>
          <cell r="BB49">
            <v>4.8387096774193548E-4</v>
          </cell>
          <cell r="BC49">
            <v>0</v>
          </cell>
          <cell r="BD49" t="e">
            <v>#DIV/0!</v>
          </cell>
          <cell r="BE49">
            <v>2400</v>
          </cell>
          <cell r="BF49">
            <v>0</v>
          </cell>
          <cell r="BG49">
            <v>-2400</v>
          </cell>
          <cell r="BH49">
            <v>300</v>
          </cell>
          <cell r="BI49">
            <v>4.8387096774193548E-4</v>
          </cell>
          <cell r="BJ49">
            <v>0</v>
          </cell>
          <cell r="BK49" t="e">
            <v>#DIV/0!</v>
          </cell>
          <cell r="BL49">
            <v>2700</v>
          </cell>
          <cell r="BM49">
            <v>0</v>
          </cell>
          <cell r="BN49">
            <v>-2700</v>
          </cell>
          <cell r="BO49">
            <v>300</v>
          </cell>
          <cell r="BP49">
            <v>4.8387096774193548E-4</v>
          </cell>
          <cell r="BQ49">
            <v>0</v>
          </cell>
          <cell r="BR49" t="e">
            <v>#DIV/0!</v>
          </cell>
          <cell r="BS49">
            <v>3000</v>
          </cell>
          <cell r="BT49">
            <v>0</v>
          </cell>
          <cell r="BU49">
            <v>-3000</v>
          </cell>
          <cell r="BV49">
            <v>300</v>
          </cell>
          <cell r="BW49">
            <v>4.8387096774193548E-4</v>
          </cell>
          <cell r="BX49">
            <v>0</v>
          </cell>
          <cell r="BY49" t="e">
            <v>#DIV/0!</v>
          </cell>
          <cell r="BZ49">
            <v>3300</v>
          </cell>
          <cell r="CA49">
            <v>0</v>
          </cell>
          <cell r="CB49">
            <v>-3300</v>
          </cell>
          <cell r="CC49">
            <v>300</v>
          </cell>
          <cell r="CD49">
            <v>4.8387096774193548E-4</v>
          </cell>
          <cell r="CE49">
            <v>0</v>
          </cell>
          <cell r="CF49" t="e">
            <v>#DIV/0!</v>
          </cell>
          <cell r="CG49">
            <v>3600</v>
          </cell>
          <cell r="CH49">
            <v>0</v>
          </cell>
        </row>
        <row r="50">
          <cell r="A50" t="str">
            <v>Vale Alimentação / Refeição</v>
          </cell>
          <cell r="B50">
            <v>4.3637721885068812E-3</v>
          </cell>
          <cell r="C50">
            <v>3001.9595322289883</v>
          </cell>
          <cell r="D50">
            <v>3517.5</v>
          </cell>
          <cell r="E50">
            <v>5.5833333333333334E-3</v>
          </cell>
          <cell r="F50">
            <v>2099.4990571428571</v>
          </cell>
          <cell r="G50">
            <v>3.561272612438706E-3</v>
          </cell>
          <cell r="H50">
            <v>3517.5</v>
          </cell>
          <cell r="I50">
            <v>2099.4990571428571</v>
          </cell>
          <cell r="J50">
            <v>-1418.0009428571429</v>
          </cell>
          <cell r="K50">
            <v>3517.5</v>
          </cell>
          <cell r="L50">
            <v>6.3954545454545453E-3</v>
          </cell>
          <cell r="M50">
            <v>2992.9186902248521</v>
          </cell>
          <cell r="N50">
            <v>5.9577950994043356E-3</v>
          </cell>
          <cell r="O50">
            <v>7035</v>
          </cell>
          <cell r="P50">
            <v>5092.4177473677091</v>
          </cell>
          <cell r="Q50">
            <v>-1942.5822526322909</v>
          </cell>
          <cell r="R50">
            <v>3517.5</v>
          </cell>
          <cell r="S50">
            <v>5.1727941176470584E-3</v>
          </cell>
          <cell r="T50">
            <v>2807.0595309999999</v>
          </cell>
          <cell r="U50">
            <v>5.3529726735243657E-3</v>
          </cell>
          <cell r="V50">
            <v>10552.5</v>
          </cell>
          <cell r="W50">
            <v>7899.477278367709</v>
          </cell>
          <cell r="X50">
            <v>-2653.022721632291</v>
          </cell>
          <cell r="Y50">
            <v>3517.5</v>
          </cell>
          <cell r="Z50">
            <v>5.1727941176470584E-3</v>
          </cell>
          <cell r="AA50">
            <v>0</v>
          </cell>
          <cell r="AB50" t="e">
            <v>#DIV/0!</v>
          </cell>
          <cell r="AC50">
            <v>14070</v>
          </cell>
          <cell r="AD50">
            <v>7899.477278367709</v>
          </cell>
          <cell r="AE50">
            <v>-6170.522721632291</v>
          </cell>
          <cell r="AF50">
            <v>3517.5</v>
          </cell>
          <cell r="AG50">
            <v>5.1727941176470584E-3</v>
          </cell>
          <cell r="AH50">
            <v>0</v>
          </cell>
          <cell r="AI50" t="e">
            <v>#DIV/0!</v>
          </cell>
          <cell r="AJ50">
            <v>17587.5</v>
          </cell>
          <cell r="AK50">
            <v>7899.477278367709</v>
          </cell>
          <cell r="AL50">
            <v>-9688.022721632291</v>
          </cell>
          <cell r="AM50">
            <v>3517.5</v>
          </cell>
          <cell r="AN50">
            <v>5.1727941176470584E-3</v>
          </cell>
          <cell r="AO50">
            <v>0</v>
          </cell>
          <cell r="AP50" t="e">
            <v>#DIV/0!</v>
          </cell>
          <cell r="AQ50">
            <v>21105</v>
          </cell>
          <cell r="AR50">
            <v>7899.477278367709</v>
          </cell>
          <cell r="AS50">
            <v>-13205.522721632291</v>
          </cell>
          <cell r="AT50">
            <v>3517.5</v>
          </cell>
          <cell r="AU50">
            <v>5.6733870967741939E-3</v>
          </cell>
          <cell r="AV50">
            <v>0</v>
          </cell>
          <cell r="AW50" t="e">
            <v>#DIV/0!</v>
          </cell>
          <cell r="AX50">
            <v>24622.5</v>
          </cell>
          <cell r="AY50">
            <v>7899.477278367709</v>
          </cell>
          <cell r="AZ50">
            <v>-16723.022721632289</v>
          </cell>
          <cell r="BA50">
            <v>3517.5</v>
          </cell>
          <cell r="BB50">
            <v>5.6733870967741939E-3</v>
          </cell>
          <cell r="BC50">
            <v>0</v>
          </cell>
          <cell r="BD50" t="e">
            <v>#DIV/0!</v>
          </cell>
          <cell r="BE50">
            <v>28140</v>
          </cell>
          <cell r="BF50">
            <v>7899.477278367709</v>
          </cell>
          <cell r="BG50">
            <v>-20240.522721632289</v>
          </cell>
          <cell r="BH50">
            <v>3517.5</v>
          </cell>
          <cell r="BI50">
            <v>5.6733870967741939E-3</v>
          </cell>
          <cell r="BJ50">
            <v>0</v>
          </cell>
          <cell r="BK50" t="e">
            <v>#DIV/0!</v>
          </cell>
          <cell r="BL50">
            <v>31657.5</v>
          </cell>
          <cell r="BM50">
            <v>7899.477278367709</v>
          </cell>
          <cell r="BN50">
            <v>-23758.022721632289</v>
          </cell>
          <cell r="BO50">
            <v>3517.5</v>
          </cell>
          <cell r="BP50">
            <v>5.6733870967741939E-3</v>
          </cell>
          <cell r="BQ50">
            <v>0</v>
          </cell>
          <cell r="BR50" t="e">
            <v>#DIV/0!</v>
          </cell>
          <cell r="BS50">
            <v>35175</v>
          </cell>
          <cell r="BT50">
            <v>7899.477278367709</v>
          </cell>
          <cell r="BU50">
            <v>-27275.522721632289</v>
          </cell>
          <cell r="BV50">
            <v>3517.5</v>
          </cell>
          <cell r="BW50">
            <v>5.6733870967741939E-3</v>
          </cell>
          <cell r="BX50">
            <v>0</v>
          </cell>
          <cell r="BY50" t="e">
            <v>#DIV/0!</v>
          </cell>
          <cell r="BZ50">
            <v>38692.5</v>
          </cell>
          <cell r="CA50">
            <v>7899.477278367709</v>
          </cell>
          <cell r="CB50">
            <v>-30793.022721632289</v>
          </cell>
          <cell r="CC50">
            <v>3517.5</v>
          </cell>
          <cell r="CD50">
            <v>5.6733870967741939E-3</v>
          </cell>
          <cell r="CE50">
            <v>0</v>
          </cell>
          <cell r="CF50" t="e">
            <v>#DIV/0!</v>
          </cell>
          <cell r="CG50">
            <v>42210</v>
          </cell>
          <cell r="CH50">
            <v>7899.477278367709</v>
          </cell>
        </row>
        <row r="51">
          <cell r="A51" t="str">
            <v>Vale Transporte</v>
          </cell>
          <cell r="B51">
            <v>4.7430343358472338E-4</v>
          </cell>
          <cell r="C51">
            <v>326.28644487185835</v>
          </cell>
          <cell r="D51">
            <v>330</v>
          </cell>
          <cell r="E51">
            <v>5.2380952380952383E-4</v>
          </cell>
          <cell r="F51">
            <v>194.74284748571432</v>
          </cell>
          <cell r="G51">
            <v>3.3033230801399308E-4</v>
          </cell>
          <cell r="H51">
            <v>330</v>
          </cell>
          <cell r="I51">
            <v>194.74284748571432</v>
          </cell>
          <cell r="J51">
            <v>-135.25715251428568</v>
          </cell>
          <cell r="K51">
            <v>330</v>
          </cell>
          <cell r="L51">
            <v>5.9999999999999995E-4</v>
          </cell>
          <cell r="M51">
            <v>457.92089047928988</v>
          </cell>
          <cell r="N51">
            <v>9.1155127138031885E-4</v>
          </cell>
          <cell r="O51">
            <v>660</v>
          </cell>
          <cell r="P51">
            <v>652.6637379650042</v>
          </cell>
          <cell r="Q51">
            <v>-7.3362620349957979</v>
          </cell>
          <cell r="R51">
            <v>330</v>
          </cell>
          <cell r="S51">
            <v>4.8529411764705881E-4</v>
          </cell>
          <cell r="T51">
            <v>0</v>
          </cell>
          <cell r="U51">
            <v>0</v>
          </cell>
          <cell r="V51">
            <v>990</v>
          </cell>
          <cell r="W51">
            <v>652.6637379650042</v>
          </cell>
          <cell r="X51">
            <v>-337.3362620349958</v>
          </cell>
          <cell r="Y51">
            <v>330</v>
          </cell>
          <cell r="Z51">
            <v>4.8529411764705881E-4</v>
          </cell>
          <cell r="AA51">
            <v>0</v>
          </cell>
          <cell r="AB51" t="e">
            <v>#DIV/0!</v>
          </cell>
          <cell r="AC51">
            <v>1320</v>
          </cell>
          <cell r="AD51">
            <v>652.6637379650042</v>
          </cell>
          <cell r="AE51">
            <v>-667.3362620349958</v>
          </cell>
          <cell r="AF51">
            <v>330</v>
          </cell>
          <cell r="AG51">
            <v>4.8529411764705881E-4</v>
          </cell>
          <cell r="AH51">
            <v>0</v>
          </cell>
          <cell r="AI51" t="e">
            <v>#DIV/0!</v>
          </cell>
          <cell r="AJ51">
            <v>1650</v>
          </cell>
          <cell r="AK51">
            <v>652.6637379650042</v>
          </cell>
          <cell r="AL51">
            <v>-997.3362620349958</v>
          </cell>
          <cell r="AM51">
            <v>330</v>
          </cell>
          <cell r="AN51">
            <v>4.8529411764705881E-4</v>
          </cell>
          <cell r="AO51">
            <v>0</v>
          </cell>
          <cell r="AP51" t="e">
            <v>#DIV/0!</v>
          </cell>
          <cell r="AQ51">
            <v>1980</v>
          </cell>
          <cell r="AR51">
            <v>652.6637379650042</v>
          </cell>
          <cell r="AS51">
            <v>-1327.3362620349958</v>
          </cell>
          <cell r="AT51">
            <v>330</v>
          </cell>
          <cell r="AU51">
            <v>5.3225806451612906E-4</v>
          </cell>
          <cell r="AV51">
            <v>0</v>
          </cell>
          <cell r="AW51" t="e">
            <v>#DIV/0!</v>
          </cell>
          <cell r="AX51">
            <v>2310</v>
          </cell>
          <cell r="AY51">
            <v>652.6637379650042</v>
          </cell>
          <cell r="AZ51">
            <v>-1657.3362620349958</v>
          </cell>
          <cell r="BA51">
            <v>330</v>
          </cell>
          <cell r="BB51">
            <v>5.3225806451612906E-4</v>
          </cell>
          <cell r="BC51">
            <v>0</v>
          </cell>
          <cell r="BD51" t="e">
            <v>#DIV/0!</v>
          </cell>
          <cell r="BE51">
            <v>2640</v>
          </cell>
          <cell r="BF51">
            <v>652.6637379650042</v>
          </cell>
          <cell r="BG51">
            <v>-1987.3362620349958</v>
          </cell>
          <cell r="BH51">
            <v>330</v>
          </cell>
          <cell r="BI51">
            <v>5.3225806451612906E-4</v>
          </cell>
          <cell r="BJ51">
            <v>0</v>
          </cell>
          <cell r="BK51" t="e">
            <v>#DIV/0!</v>
          </cell>
          <cell r="BL51">
            <v>2970</v>
          </cell>
          <cell r="BM51">
            <v>652.6637379650042</v>
          </cell>
          <cell r="BN51">
            <v>-2317.3362620349958</v>
          </cell>
          <cell r="BO51">
            <v>330</v>
          </cell>
          <cell r="BP51">
            <v>5.3225806451612906E-4</v>
          </cell>
          <cell r="BQ51">
            <v>0</v>
          </cell>
          <cell r="BR51" t="e">
            <v>#DIV/0!</v>
          </cell>
          <cell r="BS51">
            <v>3300</v>
          </cell>
          <cell r="BT51">
            <v>652.6637379650042</v>
          </cell>
          <cell r="BU51">
            <v>-2647.3362620349958</v>
          </cell>
          <cell r="BV51">
            <v>330</v>
          </cell>
          <cell r="BW51">
            <v>5.3225806451612906E-4</v>
          </cell>
          <cell r="BX51">
            <v>0</v>
          </cell>
          <cell r="BY51" t="e">
            <v>#DIV/0!</v>
          </cell>
          <cell r="BZ51">
            <v>3630</v>
          </cell>
          <cell r="CA51">
            <v>652.6637379650042</v>
          </cell>
          <cell r="CB51">
            <v>-2977.3362620349958</v>
          </cell>
          <cell r="CC51">
            <v>330</v>
          </cell>
          <cell r="CD51">
            <v>5.3225806451612906E-4</v>
          </cell>
          <cell r="CE51">
            <v>0</v>
          </cell>
          <cell r="CF51" t="e">
            <v>#DIV/0!</v>
          </cell>
          <cell r="CG51">
            <v>3960</v>
          </cell>
          <cell r="CH51">
            <v>652.6637379650042</v>
          </cell>
        </row>
        <row r="52">
          <cell r="A52" t="str">
            <v>Viagens - Alimentação / Hospedagem</v>
          </cell>
          <cell r="B52">
            <v>1.7091429234801216E-4</v>
          </cell>
          <cell r="C52">
            <v>117.57666691666667</v>
          </cell>
          <cell r="D52">
            <v>100</v>
          </cell>
          <cell r="E52">
            <v>1.5873015873015873E-4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1.8181818181818181E-4</v>
          </cell>
          <cell r="M52">
            <v>0</v>
          </cell>
          <cell r="N52">
            <v>0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1.4705882352941175E-4</v>
          </cell>
          <cell r="T52">
            <v>0</v>
          </cell>
          <cell r="U52">
            <v>0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1.4705882352941175E-4</v>
          </cell>
          <cell r="AA52">
            <v>0</v>
          </cell>
          <cell r="AB52" t="e">
            <v>#DIV/0!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1.4705882352941175E-4</v>
          </cell>
          <cell r="AH52">
            <v>0</v>
          </cell>
          <cell r="AI52" t="e">
            <v>#DIV/0!</v>
          </cell>
          <cell r="AJ52">
            <v>500</v>
          </cell>
          <cell r="AK52">
            <v>0</v>
          </cell>
          <cell r="AL52">
            <v>-500</v>
          </cell>
          <cell r="AM52">
            <v>100</v>
          </cell>
          <cell r="AN52">
            <v>1.4705882352941175E-4</v>
          </cell>
          <cell r="AO52">
            <v>0</v>
          </cell>
          <cell r="AP52" t="e">
            <v>#DIV/0!</v>
          </cell>
          <cell r="AQ52">
            <v>600</v>
          </cell>
          <cell r="AR52">
            <v>0</v>
          </cell>
          <cell r="AS52">
            <v>-600</v>
          </cell>
          <cell r="AT52">
            <v>100</v>
          </cell>
          <cell r="AU52">
            <v>1.6129032258064516E-4</v>
          </cell>
          <cell r="AV52">
            <v>0</v>
          </cell>
          <cell r="AW52" t="e">
            <v>#DIV/0!</v>
          </cell>
          <cell r="AX52">
            <v>700</v>
          </cell>
          <cell r="AY52">
            <v>0</v>
          </cell>
          <cell r="AZ52">
            <v>-700</v>
          </cell>
          <cell r="BA52">
            <v>100</v>
          </cell>
          <cell r="BB52">
            <v>1.6129032258064516E-4</v>
          </cell>
          <cell r="BC52">
            <v>0</v>
          </cell>
          <cell r="BD52" t="e">
            <v>#DIV/0!</v>
          </cell>
          <cell r="BE52">
            <v>800</v>
          </cell>
          <cell r="BF52">
            <v>0</v>
          </cell>
          <cell r="BG52">
            <v>-800</v>
          </cell>
          <cell r="BH52">
            <v>100</v>
          </cell>
          <cell r="BI52">
            <v>1.6129032258064516E-4</v>
          </cell>
          <cell r="BJ52">
            <v>0</v>
          </cell>
          <cell r="BK52" t="e">
            <v>#DIV/0!</v>
          </cell>
          <cell r="BL52">
            <v>900</v>
          </cell>
          <cell r="BM52">
            <v>0</v>
          </cell>
          <cell r="BN52">
            <v>-900</v>
          </cell>
          <cell r="BO52">
            <v>100</v>
          </cell>
          <cell r="BP52">
            <v>1.6129032258064516E-4</v>
          </cell>
          <cell r="BQ52">
            <v>0</v>
          </cell>
          <cell r="BR52" t="e">
            <v>#DIV/0!</v>
          </cell>
          <cell r="BS52">
            <v>1000</v>
          </cell>
          <cell r="BT52">
            <v>0</v>
          </cell>
          <cell r="BU52">
            <v>-1000</v>
          </cell>
          <cell r="BV52">
            <v>100</v>
          </cell>
          <cell r="BW52">
            <v>1.6129032258064516E-4</v>
          </cell>
          <cell r="BX52">
            <v>0</v>
          </cell>
          <cell r="BY52" t="e">
            <v>#DIV/0!</v>
          </cell>
          <cell r="BZ52">
            <v>1100</v>
          </cell>
          <cell r="CA52">
            <v>0</v>
          </cell>
          <cell r="CB52">
            <v>-1100</v>
          </cell>
          <cell r="CC52">
            <v>100</v>
          </cell>
          <cell r="CD52">
            <v>1.6129032258064516E-4</v>
          </cell>
          <cell r="CE52">
            <v>0</v>
          </cell>
          <cell r="CF52" t="e">
            <v>#DIV/0!</v>
          </cell>
          <cell r="CG52">
            <v>1200</v>
          </cell>
          <cell r="CH52">
            <v>0</v>
          </cell>
        </row>
        <row r="53">
          <cell r="A53" t="str">
            <v>Viagens - Passagens / Traslados</v>
          </cell>
          <cell r="B53">
            <v>5.7074437295232222E-4</v>
          </cell>
          <cell r="C53">
            <v>392.63083333333333</v>
          </cell>
          <cell r="D53">
            <v>500</v>
          </cell>
          <cell r="E53">
            <v>7.9365079365079365E-4</v>
          </cell>
          <cell r="F53">
            <v>0</v>
          </cell>
          <cell r="G53">
            <v>0</v>
          </cell>
          <cell r="H53">
            <v>500</v>
          </cell>
          <cell r="I53">
            <v>0</v>
          </cell>
          <cell r="J53">
            <v>-500</v>
          </cell>
          <cell r="K53">
            <v>500</v>
          </cell>
          <cell r="L53">
            <v>9.0909090909090909E-4</v>
          </cell>
          <cell r="M53">
            <v>0</v>
          </cell>
          <cell r="N53">
            <v>0</v>
          </cell>
          <cell r="O53">
            <v>1000</v>
          </cell>
          <cell r="P53">
            <v>0</v>
          </cell>
          <cell r="Q53">
            <v>-1000</v>
          </cell>
          <cell r="R53">
            <v>500</v>
          </cell>
          <cell r="S53">
            <v>7.3529411764705881E-4</v>
          </cell>
          <cell r="T53">
            <v>0</v>
          </cell>
          <cell r="U53">
            <v>0</v>
          </cell>
          <cell r="V53">
            <v>1500</v>
          </cell>
          <cell r="W53">
            <v>0</v>
          </cell>
          <cell r="X53">
            <v>-1500</v>
          </cell>
          <cell r="Y53">
            <v>500</v>
          </cell>
          <cell r="Z53">
            <v>7.3529411764705881E-4</v>
          </cell>
          <cell r="AA53">
            <v>0</v>
          </cell>
          <cell r="AB53" t="e">
            <v>#DIV/0!</v>
          </cell>
          <cell r="AC53">
            <v>2000</v>
          </cell>
          <cell r="AD53">
            <v>0</v>
          </cell>
          <cell r="AE53">
            <v>-2000</v>
          </cell>
          <cell r="AF53">
            <v>500</v>
          </cell>
          <cell r="AG53">
            <v>7.3529411764705881E-4</v>
          </cell>
          <cell r="AH53">
            <v>0</v>
          </cell>
          <cell r="AI53" t="e">
            <v>#DIV/0!</v>
          </cell>
          <cell r="AJ53">
            <v>2500</v>
          </cell>
          <cell r="AK53">
            <v>0</v>
          </cell>
          <cell r="AL53">
            <v>-2500</v>
          </cell>
          <cell r="AM53">
            <v>500</v>
          </cell>
          <cell r="AN53">
            <v>7.3529411764705881E-4</v>
          </cell>
          <cell r="AO53">
            <v>0</v>
          </cell>
          <cell r="AP53" t="e">
            <v>#DIV/0!</v>
          </cell>
          <cell r="AQ53">
            <v>3000</v>
          </cell>
          <cell r="AR53">
            <v>0</v>
          </cell>
          <cell r="AS53">
            <v>-3000</v>
          </cell>
          <cell r="AT53">
            <v>500</v>
          </cell>
          <cell r="AU53">
            <v>8.0645161290322581E-4</v>
          </cell>
          <cell r="AV53">
            <v>0</v>
          </cell>
          <cell r="AW53" t="e">
            <v>#DIV/0!</v>
          </cell>
          <cell r="AX53">
            <v>3500</v>
          </cell>
          <cell r="AY53">
            <v>0</v>
          </cell>
          <cell r="AZ53">
            <v>-3500</v>
          </cell>
          <cell r="BA53">
            <v>500</v>
          </cell>
          <cell r="BB53">
            <v>8.0645161290322581E-4</v>
          </cell>
          <cell r="BC53">
            <v>0</v>
          </cell>
          <cell r="BD53" t="e">
            <v>#DIV/0!</v>
          </cell>
          <cell r="BE53">
            <v>4000</v>
          </cell>
          <cell r="BF53">
            <v>0</v>
          </cell>
          <cell r="BG53">
            <v>-4000</v>
          </cell>
          <cell r="BH53">
            <v>500</v>
          </cell>
          <cell r="BI53">
            <v>8.0645161290322581E-4</v>
          </cell>
          <cell r="BJ53">
            <v>0</v>
          </cell>
          <cell r="BK53" t="e">
            <v>#DIV/0!</v>
          </cell>
          <cell r="BL53">
            <v>4500</v>
          </cell>
          <cell r="BM53">
            <v>0</v>
          </cell>
          <cell r="BN53">
            <v>-4500</v>
          </cell>
          <cell r="BO53">
            <v>500</v>
          </cell>
          <cell r="BP53">
            <v>8.0645161290322581E-4</v>
          </cell>
          <cell r="BQ53">
            <v>0</v>
          </cell>
          <cell r="BR53" t="e">
            <v>#DIV/0!</v>
          </cell>
          <cell r="BS53">
            <v>5000</v>
          </cell>
          <cell r="BT53">
            <v>0</v>
          </cell>
          <cell r="BU53">
            <v>-5000</v>
          </cell>
          <cell r="BV53">
            <v>500</v>
          </cell>
          <cell r="BW53">
            <v>8.0645161290322581E-4</v>
          </cell>
          <cell r="BX53">
            <v>0</v>
          </cell>
          <cell r="BY53" t="e">
            <v>#DIV/0!</v>
          </cell>
          <cell r="BZ53">
            <v>5500</v>
          </cell>
          <cell r="CA53">
            <v>0</v>
          </cell>
          <cell r="CB53">
            <v>-5500</v>
          </cell>
          <cell r="CC53">
            <v>500</v>
          </cell>
          <cell r="CD53">
            <v>8.0645161290322581E-4</v>
          </cell>
          <cell r="CE53">
            <v>0</v>
          </cell>
          <cell r="CF53" t="e">
            <v>#DIV/0!</v>
          </cell>
          <cell r="CG53">
            <v>6000</v>
          </cell>
          <cell r="CH53">
            <v>0</v>
          </cell>
        </row>
        <row r="54">
          <cell r="A54" t="str">
            <v>Santander - Total</v>
          </cell>
          <cell r="B54">
            <v>0.35549526499805395</v>
          </cell>
          <cell r="C54">
            <v>244555.02105125424</v>
          </cell>
          <cell r="D54">
            <v>252902.55582352637</v>
          </cell>
          <cell r="E54">
            <v>0.40143262829131166</v>
          </cell>
          <cell r="F54">
            <v>247254.46648278058</v>
          </cell>
          <cell r="G54">
            <v>0.419405075126145</v>
          </cell>
          <cell r="H54">
            <v>252902.55582352637</v>
          </cell>
          <cell r="I54">
            <v>247254.46648278058</v>
          </cell>
          <cell r="J54">
            <v>-5648.0893407457579</v>
          </cell>
          <cell r="K54">
            <v>252022.55582352637</v>
          </cell>
          <cell r="L54">
            <v>0.45822282877004789</v>
          </cell>
          <cell r="M54">
            <v>231959.78861896112</v>
          </cell>
          <cell r="N54">
            <v>0.4617462199713443</v>
          </cell>
          <cell r="O54">
            <v>504925.11164705275</v>
          </cell>
          <cell r="P54">
            <v>479214.2551017417</v>
          </cell>
          <cell r="Q54">
            <v>-25710.856545311017</v>
          </cell>
          <cell r="R54">
            <v>255262.55582352637</v>
          </cell>
          <cell r="S54">
            <v>0.3753861115051858</v>
          </cell>
          <cell r="T54">
            <v>227021.22086552196</v>
          </cell>
          <cell r="U54">
            <v>0.43292220139355442</v>
          </cell>
          <cell r="V54">
            <v>760187.66747057915</v>
          </cell>
          <cell r="W54">
            <v>706235.4759672638</v>
          </cell>
          <cell r="X54">
            <v>-53952.191503315422</v>
          </cell>
          <cell r="Y54">
            <v>254822.55582352637</v>
          </cell>
          <cell r="Z54">
            <v>0.37473905268165636</v>
          </cell>
          <cell r="AA54">
            <v>0</v>
          </cell>
          <cell r="AB54" t="e">
            <v>#DIV/0!</v>
          </cell>
          <cell r="AC54">
            <v>1015010.2232941055</v>
          </cell>
          <cell r="AD54">
            <v>706235.4759672638</v>
          </cell>
          <cell r="AE54">
            <v>-308774.74732684175</v>
          </cell>
          <cell r="AF54">
            <v>254822.55582352637</v>
          </cell>
          <cell r="AG54">
            <v>0.37473905268165636</v>
          </cell>
          <cell r="AH54">
            <v>0</v>
          </cell>
          <cell r="AI54" t="e">
            <v>#DIV/0!</v>
          </cell>
          <cell r="AJ54">
            <v>1269832.7791176317</v>
          </cell>
          <cell r="AK54">
            <v>706235.4759672638</v>
          </cell>
          <cell r="AL54">
            <v>-563597.30315036804</v>
          </cell>
          <cell r="AM54">
            <v>254822.55582352637</v>
          </cell>
          <cell r="AN54">
            <v>0.37473905268165636</v>
          </cell>
          <cell r="AO54">
            <v>0</v>
          </cell>
          <cell r="AP54" t="e">
            <v>#DIV/0!</v>
          </cell>
          <cell r="AQ54">
            <v>1524655.3349411583</v>
          </cell>
          <cell r="AR54">
            <v>706235.4759672638</v>
          </cell>
          <cell r="AS54">
            <v>-818419.85897389438</v>
          </cell>
          <cell r="AT54">
            <v>254222.55582352637</v>
          </cell>
          <cell r="AU54">
            <v>0.41003638036052642</v>
          </cell>
          <cell r="AV54">
            <v>0</v>
          </cell>
          <cell r="AW54" t="e">
            <v>#DIV/0!</v>
          </cell>
          <cell r="AX54">
            <v>1778877.8907646846</v>
          </cell>
          <cell r="AY54">
            <v>706235.4759672638</v>
          </cell>
          <cell r="AZ54">
            <v>-1072642.4147974208</v>
          </cell>
          <cell r="BA54">
            <v>254222.55582352637</v>
          </cell>
          <cell r="BB54">
            <v>0.41003638036052642</v>
          </cell>
          <cell r="BC54">
            <v>0</v>
          </cell>
          <cell r="BD54" t="e">
            <v>#DIV/0!</v>
          </cell>
          <cell r="BE54">
            <v>2033100.446588211</v>
          </cell>
          <cell r="BF54">
            <v>706235.4759672638</v>
          </cell>
          <cell r="BG54">
            <v>-1326864.9706209474</v>
          </cell>
          <cell r="BH54">
            <v>255722.55582352637</v>
          </cell>
          <cell r="BI54">
            <v>0.41245573519923606</v>
          </cell>
          <cell r="BJ54">
            <v>0</v>
          </cell>
          <cell r="BK54" t="e">
            <v>#DIV/0!</v>
          </cell>
          <cell r="BL54">
            <v>2288823.0024117371</v>
          </cell>
          <cell r="BM54">
            <v>706235.4759672638</v>
          </cell>
          <cell r="BN54">
            <v>-1582587.5264444738</v>
          </cell>
          <cell r="BO54">
            <v>259164.71691778678</v>
          </cell>
          <cell r="BP54">
            <v>0.41800760793191416</v>
          </cell>
          <cell r="BQ54">
            <v>0</v>
          </cell>
          <cell r="BR54" t="e">
            <v>#DIV/0!</v>
          </cell>
          <cell r="BS54">
            <v>2547987.7193295239</v>
          </cell>
          <cell r="BT54">
            <v>706235.4759672638</v>
          </cell>
          <cell r="BU54">
            <v>-1841752.2433622605</v>
          </cell>
          <cell r="BV54">
            <v>264864.71691778675</v>
          </cell>
          <cell r="BW54">
            <v>0.4272011563190109</v>
          </cell>
          <cell r="BX54">
            <v>0</v>
          </cell>
          <cell r="BY54" t="e">
            <v>#DIV/0!</v>
          </cell>
          <cell r="BZ54">
            <v>2812852.4362473111</v>
          </cell>
          <cell r="CA54">
            <v>706235.4759672638</v>
          </cell>
          <cell r="CB54">
            <v>-2106616.9602800473</v>
          </cell>
          <cell r="CC54">
            <v>264864.71691778675</v>
          </cell>
          <cell r="CD54">
            <v>0.4272011563190109</v>
          </cell>
          <cell r="CE54">
            <v>0</v>
          </cell>
          <cell r="CF54" t="e">
            <v>#DIV/0!</v>
          </cell>
          <cell r="CG54">
            <v>3077717.1531650978</v>
          </cell>
          <cell r="CH54">
            <v>706235.4759672638</v>
          </cell>
        </row>
        <row r="55">
          <cell r="A55" t="str">
            <v>Distribuição Anual de Lucros</v>
          </cell>
          <cell r="F55">
            <v>31500</v>
          </cell>
          <cell r="M55">
            <v>452856.17999999993</v>
          </cell>
          <cell r="T55">
            <v>4165.46</v>
          </cell>
          <cell r="AO55">
            <v>0</v>
          </cell>
          <cell r="AV55">
            <v>0</v>
          </cell>
          <cell r="BQ55">
            <v>0</v>
          </cell>
        </row>
        <row r="56">
          <cell r="A56" t="str">
            <v>Ajuste Mensal de Lucros</v>
          </cell>
          <cell r="F56">
            <v>9635.5482499999998</v>
          </cell>
          <cell r="M56">
            <v>42943.665249999998</v>
          </cell>
          <cell r="T56">
            <v>161.61000000000001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Distribuição Anual de Lucros ACORDO</v>
          </cell>
          <cell r="M57">
            <v>0</v>
          </cell>
        </row>
        <row r="58">
          <cell r="A58" t="str">
            <v>Ajuste Mensal de Lucros ACORDO</v>
          </cell>
        </row>
        <row r="59">
          <cell r="A59" t="str">
            <v>Impostos</v>
          </cell>
          <cell r="B59">
            <v>0.17349999999999999</v>
          </cell>
          <cell r="C59">
            <v>119355.44669666665</v>
          </cell>
          <cell r="D59">
            <v>109304.99999999999</v>
          </cell>
          <cell r="F59">
            <v>143433.04451997438</v>
          </cell>
          <cell r="H59">
            <v>109304.99999999999</v>
          </cell>
          <cell r="I59">
            <v>143433.04451997438</v>
          </cell>
          <cell r="J59">
            <v>34128.044519974399</v>
          </cell>
          <cell r="K59">
            <v>95425</v>
          </cell>
          <cell r="M59">
            <v>117260.6102088749</v>
          </cell>
          <cell r="O59">
            <v>204730</v>
          </cell>
          <cell r="P59">
            <v>260693.6547288493</v>
          </cell>
          <cell r="Q59">
            <v>55963.654728849302</v>
          </cell>
          <cell r="R59">
            <v>117979.99999999999</v>
          </cell>
          <cell r="T59">
            <v>98880.764843704208</v>
          </cell>
          <cell r="V59">
            <v>322710</v>
          </cell>
          <cell r="W59">
            <v>359574.41957255348</v>
          </cell>
          <cell r="X59">
            <v>36864.419572553481</v>
          </cell>
          <cell r="Y59">
            <v>117979.99999999999</v>
          </cell>
          <cell r="AA59">
            <v>0</v>
          </cell>
          <cell r="AC59">
            <v>440690</v>
          </cell>
          <cell r="AD59">
            <v>359574.41957255348</v>
          </cell>
          <cell r="AE59">
            <v>-81115.580427446519</v>
          </cell>
          <cell r="AF59">
            <v>117979.99999999999</v>
          </cell>
          <cell r="AH59">
            <v>0</v>
          </cell>
          <cell r="AJ59">
            <v>558670</v>
          </cell>
          <cell r="AK59">
            <v>359574.41957255348</v>
          </cell>
          <cell r="AL59">
            <v>-199095.58042744652</v>
          </cell>
          <cell r="AM59">
            <v>117979.99999999999</v>
          </cell>
          <cell r="AO59">
            <v>0</v>
          </cell>
          <cell r="AQ59">
            <v>676650</v>
          </cell>
          <cell r="AR59">
            <v>359574.41957255348</v>
          </cell>
          <cell r="AS59">
            <v>-317075.58042744652</v>
          </cell>
          <cell r="AT59">
            <v>107569.99999999999</v>
          </cell>
          <cell r="AV59">
            <v>0</v>
          </cell>
          <cell r="AX59">
            <v>784220</v>
          </cell>
          <cell r="AY59">
            <v>359574.41957255348</v>
          </cell>
          <cell r="AZ59">
            <v>-424645.58042744652</v>
          </cell>
          <cell r="BA59">
            <v>107569.99999999999</v>
          </cell>
          <cell r="BC59">
            <v>0</v>
          </cell>
          <cell r="BE59">
            <v>891790</v>
          </cell>
          <cell r="BF59">
            <v>359574.41957255348</v>
          </cell>
          <cell r="BG59">
            <v>-532215.58042744652</v>
          </cell>
          <cell r="BH59">
            <v>107569.99999999999</v>
          </cell>
          <cell r="BJ59">
            <v>0</v>
          </cell>
          <cell r="BL59">
            <v>999360</v>
          </cell>
          <cell r="BM59">
            <v>359574.41957255348</v>
          </cell>
          <cell r="BN59">
            <v>-639785.58042744652</v>
          </cell>
          <cell r="BO59">
            <v>107569.99999999999</v>
          </cell>
          <cell r="BQ59">
            <v>0</v>
          </cell>
          <cell r="BS59">
            <v>1106930</v>
          </cell>
          <cell r="BT59">
            <v>359574.41957255348</v>
          </cell>
          <cell r="BU59">
            <v>-747355.58042744652</v>
          </cell>
          <cell r="BV59">
            <v>107569.99999999999</v>
          </cell>
          <cell r="BX59">
            <v>0</v>
          </cell>
          <cell r="BZ59">
            <v>1214500</v>
          </cell>
          <cell r="CA59">
            <v>359574.41957255348</v>
          </cell>
          <cell r="CB59">
            <v>-854925.58042744652</v>
          </cell>
          <cell r="CC59">
            <v>107569.99999999999</v>
          </cell>
          <cell r="CE59">
            <v>0</v>
          </cell>
          <cell r="CG59">
            <v>1322070</v>
          </cell>
          <cell r="CH59">
            <v>359574.41957255348</v>
          </cell>
        </row>
        <row r="60">
          <cell r="F60">
            <v>0.16875927810854152</v>
          </cell>
          <cell r="CH60">
            <v>9635.5482499999998</v>
          </cell>
        </row>
        <row r="61">
          <cell r="A61" t="str">
            <v>Margem de Contribuição</v>
          </cell>
          <cell r="B61">
            <v>0.47100473500194612</v>
          </cell>
          <cell r="C61">
            <v>324017.17891874572</v>
          </cell>
          <cell r="D61">
            <v>0.42506737170868836</v>
          </cell>
          <cell r="F61">
            <v>0.33729680505339465</v>
          </cell>
          <cell r="H61">
            <v>0.42506737170868836</v>
          </cell>
          <cell r="I61">
            <v>0.33729680505339465</v>
          </cell>
          <cell r="K61">
            <v>0.36827717122995213</v>
          </cell>
          <cell r="M61">
            <v>0.30483123796717682</v>
          </cell>
          <cell r="O61">
            <v>0.39859736301097232</v>
          </cell>
          <cell r="P61">
            <v>0.32236014068902158</v>
          </cell>
          <cell r="R61">
            <v>0.45111388849481421</v>
          </cell>
          <cell r="T61">
            <v>0.37851534515645585</v>
          </cell>
          <cell r="V61">
            <v>0.41779695297280695</v>
          </cell>
          <cell r="W61">
            <v>0.3405793450742286</v>
          </cell>
          <cell r="Y61">
            <v>0.4517609473183436</v>
          </cell>
          <cell r="AA61">
            <v>0</v>
          </cell>
          <cell r="AC61">
            <v>0.42688967586846244</v>
          </cell>
          <cell r="AD61">
            <v>0.3405793450742286</v>
          </cell>
          <cell r="AF61">
            <v>0.4517609473183436</v>
          </cell>
          <cell r="AH61">
            <v>0</v>
          </cell>
          <cell r="AJ61">
            <v>0.43214199406284731</v>
          </cell>
          <cell r="AK61">
            <v>0.3405793450742286</v>
          </cell>
          <cell r="AM61">
            <v>0.4517609473183436</v>
          </cell>
          <cell r="AO61">
            <v>0</v>
          </cell>
          <cell r="AQ61">
            <v>0.43556273463047229</v>
          </cell>
          <cell r="AR61">
            <v>0.3405793450742286</v>
          </cell>
          <cell r="AT61">
            <v>0.41646361963947365</v>
          </cell>
          <cell r="AV61">
            <v>0</v>
          </cell>
          <cell r="AX61">
            <v>0.4329429445210875</v>
          </cell>
          <cell r="AY61">
            <v>0.3405793450742286</v>
          </cell>
          <cell r="BA61">
            <v>0.41646361963947365</v>
          </cell>
          <cell r="BC61">
            <v>0</v>
          </cell>
          <cell r="BE61">
            <v>0.43095516603342204</v>
          </cell>
          <cell r="BF61">
            <v>0.3405793450742286</v>
          </cell>
          <cell r="BH61">
            <v>0.41404426480076395</v>
          </cell>
          <cell r="BJ61">
            <v>0</v>
          </cell>
          <cell r="BL61">
            <v>0.42913489541462896</v>
          </cell>
          <cell r="BM61">
            <v>0.3405793450742286</v>
          </cell>
          <cell r="BO61">
            <v>0.40849239206808591</v>
          </cell>
          <cell r="BQ61">
            <v>0</v>
          </cell>
          <cell r="BS61">
            <v>0.4271288841176295</v>
          </cell>
          <cell r="BT61">
            <v>0.3405793450742286</v>
          </cell>
          <cell r="BV61">
            <v>0.39929884368098911</v>
          </cell>
          <cell r="BX61">
            <v>0</v>
          </cell>
          <cell r="BZ61">
            <v>0.42466393767895555</v>
          </cell>
          <cell r="CA61">
            <v>0.3405793450742286</v>
          </cell>
          <cell r="CC61">
            <v>0.39929884368098911</v>
          </cell>
          <cell r="CE61">
            <v>0</v>
          </cell>
          <cell r="CG61">
            <v>0.42260011113318918</v>
          </cell>
          <cell r="CH61">
            <v>0.3405793450742286</v>
          </cell>
        </row>
        <row r="63">
          <cell r="A63" t="str">
            <v>Rateio</v>
          </cell>
          <cell r="C63">
            <v>88851.842834395138</v>
          </cell>
          <cell r="F63">
            <v>128682.24133964046</v>
          </cell>
          <cell r="I63">
            <v>128682.24133964046</v>
          </cell>
          <cell r="M63">
            <v>110503.06986146746</v>
          </cell>
          <cell r="P63">
            <v>239185.31120110792</v>
          </cell>
          <cell r="T63">
            <v>112571.25733764067</v>
          </cell>
          <cell r="W63">
            <v>351756.5685387486</v>
          </cell>
          <cell r="AA63">
            <v>0</v>
          </cell>
          <cell r="AD63">
            <v>351756.5685387486</v>
          </cell>
          <cell r="AH63">
            <v>0</v>
          </cell>
          <cell r="AK63">
            <v>351756.5685387486</v>
          </cell>
          <cell r="AO63">
            <v>0</v>
          </cell>
          <cell r="AR63">
            <v>351756.5685387486</v>
          </cell>
          <cell r="AV63">
            <v>0</v>
          </cell>
          <cell r="AY63">
            <v>351756.5685387486</v>
          </cell>
          <cell r="BC63">
            <v>0</v>
          </cell>
          <cell r="BF63">
            <v>351756.5685387486</v>
          </cell>
          <cell r="BJ63">
            <v>0</v>
          </cell>
          <cell r="BM63">
            <v>351756.5685387486</v>
          </cell>
          <cell r="BQ63">
            <v>0</v>
          </cell>
          <cell r="BT63">
            <v>351756.5685387486</v>
          </cell>
          <cell r="BX63">
            <v>0</v>
          </cell>
          <cell r="CA63">
            <v>351756.5685387486</v>
          </cell>
          <cell r="CE63">
            <v>0</v>
          </cell>
          <cell r="CH63">
            <v>351756.5685387486</v>
          </cell>
        </row>
        <row r="65">
          <cell r="A65" t="str">
            <v>Resultado</v>
          </cell>
          <cell r="C65">
            <v>130607.28387035402</v>
          </cell>
          <cell r="F65">
            <v>70166.429136604478</v>
          </cell>
          <cell r="G65">
            <v>0.11901971641600406</v>
          </cell>
          <cell r="I65">
            <v>70166.429136604478</v>
          </cell>
          <cell r="J65">
            <v>0.11901971641600406</v>
          </cell>
          <cell r="M65">
            <v>42629.942310696526</v>
          </cell>
          <cell r="N65">
            <v>8.4860461534114126E-2</v>
          </cell>
          <cell r="P65">
            <v>112796.371447301</v>
          </cell>
          <cell r="Q65">
            <v>0.10330382506093023</v>
          </cell>
          <cell r="T65">
            <v>85919.407953133268</v>
          </cell>
          <cell r="U65">
            <v>0.1638455607440106</v>
          </cell>
          <cell r="W65">
            <v>198715.77940043429</v>
          </cell>
          <cell r="X65">
            <v>0.1229462120258801</v>
          </cell>
          <cell r="AA65">
            <v>0</v>
          </cell>
          <cell r="AB65" t="e">
            <v>#DIV/0!</v>
          </cell>
          <cell r="AD65">
            <v>198715.77940043429</v>
          </cell>
          <cell r="AE65">
            <v>0.1229462120258801</v>
          </cell>
          <cell r="AH65">
            <v>0</v>
          </cell>
          <cell r="AI65" t="e">
            <v>#DIV/0!</v>
          </cell>
          <cell r="AK65">
            <v>198715.77940043429</v>
          </cell>
          <cell r="AL65">
            <v>0.1229462120258801</v>
          </cell>
          <cell r="AO65">
            <v>0</v>
          </cell>
          <cell r="AP65" t="e">
            <v>#DIV/0!</v>
          </cell>
          <cell r="AR65">
            <v>198715.77940043429</v>
          </cell>
          <cell r="AS65">
            <v>0.1229462120258801</v>
          </cell>
          <cell r="AV65">
            <v>0</v>
          </cell>
          <cell r="AW65" t="e">
            <v>#DIV/0!</v>
          </cell>
          <cell r="AY65">
            <v>198715.77940043429</v>
          </cell>
          <cell r="AZ65">
            <v>0.1229462120258801</v>
          </cell>
          <cell r="BC65">
            <v>0</v>
          </cell>
          <cell r="BD65" t="e">
            <v>#DIV/0!</v>
          </cell>
          <cell r="BF65">
            <v>198715.77940043429</v>
          </cell>
          <cell r="BG65">
            <v>0.1229462120258801</v>
          </cell>
          <cell r="BJ65">
            <v>0</v>
          </cell>
          <cell r="BK65" t="e">
            <v>#DIV/0!</v>
          </cell>
          <cell r="BM65">
            <v>198715.77940043429</v>
          </cell>
          <cell r="BN65">
            <v>0.1229462120258801</v>
          </cell>
          <cell r="BQ65">
            <v>0</v>
          </cell>
          <cell r="BR65" t="e">
            <v>#DIV/0!</v>
          </cell>
          <cell r="BT65">
            <v>198715.77940043429</v>
          </cell>
          <cell r="BU65">
            <v>0.1229462120258801</v>
          </cell>
          <cell r="BX65">
            <v>0</v>
          </cell>
          <cell r="BY65" t="e">
            <v>#DIV/0!</v>
          </cell>
          <cell r="CA65">
            <v>198715.77940043429</v>
          </cell>
          <cell r="CB65">
            <v>0.1229462120258801</v>
          </cell>
          <cell r="CE65">
            <v>0</v>
          </cell>
          <cell r="CF65" t="e">
            <v>#DIV/0!</v>
          </cell>
          <cell r="CH65">
            <v>198715.77940043429</v>
          </cell>
        </row>
        <row r="67">
          <cell r="A67" t="str">
            <v>Santander Pronto? N</v>
          </cell>
          <cell r="CG67" t="str">
            <v>Total Ano</v>
          </cell>
        </row>
        <row r="68">
          <cell r="CG68" t="str">
            <v>Receita</v>
          </cell>
          <cell r="CH68">
            <v>7620000</v>
          </cell>
        </row>
        <row r="69">
          <cell r="A69" t="str">
            <v>Impostos - Cálculo Aproximado %</v>
          </cell>
          <cell r="B69">
            <v>0.17349999999999999</v>
          </cell>
          <cell r="CG69" t="str">
            <v>Desp Dir</v>
          </cell>
          <cell r="CH69">
            <v>3077717.1531650978</v>
          </cell>
        </row>
        <row r="70">
          <cell r="CG70" t="str">
            <v>Imposto</v>
          </cell>
          <cell r="CH70">
            <v>1322070</v>
          </cell>
        </row>
        <row r="71">
          <cell r="CG71" t="str">
            <v>MC</v>
          </cell>
          <cell r="CH71">
            <v>3220212.8468349017</v>
          </cell>
        </row>
        <row r="72">
          <cell r="CG72" t="str">
            <v>MC %</v>
          </cell>
          <cell r="CH72">
            <v>0.42260011113318918</v>
          </cell>
        </row>
        <row r="73">
          <cell r="CG73" t="str">
            <v>Rateio</v>
          </cell>
          <cell r="CH73">
            <v>1685115.5309927</v>
          </cell>
        </row>
        <row r="74">
          <cell r="CG74" t="str">
            <v>ML</v>
          </cell>
          <cell r="CH74">
            <v>1535097.3158422017</v>
          </cell>
        </row>
        <row r="75">
          <cell r="CG75" t="str">
            <v>ML %</v>
          </cell>
          <cell r="CH75">
            <v>0.20145634066170626</v>
          </cell>
        </row>
      </sheetData>
      <sheetData sheetId="16">
        <row r="12">
          <cell r="A12" t="str">
            <v>13º (+ Encargos)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511.72</v>
          </cell>
          <cell r="BW12">
            <v>1.3110137503750091E-2</v>
          </cell>
          <cell r="BX12">
            <v>0</v>
          </cell>
          <cell r="BY12" t="e">
            <v>#DIV/0!</v>
          </cell>
          <cell r="BZ12">
            <v>511.72</v>
          </cell>
          <cell r="CA12">
            <v>0</v>
          </cell>
          <cell r="CB12">
            <v>-511.72</v>
          </cell>
          <cell r="CC12">
            <v>511.72</v>
          </cell>
          <cell r="CD12">
            <v>1.3110137503750091E-2</v>
          </cell>
          <cell r="CE12">
            <v>0</v>
          </cell>
          <cell r="CF12" t="e">
            <v>#DIV/0!</v>
          </cell>
          <cell r="CG12">
            <v>1023.44</v>
          </cell>
          <cell r="CH12">
            <v>0</v>
          </cell>
        </row>
        <row r="13">
          <cell r="A13" t="str">
            <v>Acordo</v>
          </cell>
          <cell r="B13">
            <v>2.5537174464868509E-5</v>
          </cell>
          <cell r="C13">
            <v>0.83333333333333337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9.9540149034950181E-4</v>
          </cell>
          <cell r="C14">
            <v>32.482107333333339</v>
          </cell>
          <cell r="D14">
            <v>208.93904425873609</v>
          </cell>
          <cell r="E14">
            <v>6.9646348086245362E-3</v>
          </cell>
          <cell r="F14">
            <v>199.68332799999999</v>
          </cell>
          <cell r="G14">
            <v>6.5858617414248019E-3</v>
          </cell>
          <cell r="H14">
            <v>208.93904425873609</v>
          </cell>
          <cell r="I14">
            <v>199.68332799999999</v>
          </cell>
          <cell r="J14">
            <v>-9.2557162587361006</v>
          </cell>
          <cell r="K14">
            <v>208.93904425873609</v>
          </cell>
          <cell r="L14">
            <v>6.9646348086245362E-3</v>
          </cell>
          <cell r="M14">
            <v>202.15673799999999</v>
          </cell>
          <cell r="N14">
            <v>6.2937963262764633E-3</v>
          </cell>
          <cell r="O14">
            <v>417.87808851747218</v>
          </cell>
          <cell r="P14">
            <v>401.84006599999998</v>
          </cell>
          <cell r="Q14">
            <v>-16.0380225174722</v>
          </cell>
          <cell r="R14">
            <v>208.93904425873609</v>
          </cell>
          <cell r="S14">
            <v>5.3529656846208005E-3</v>
          </cell>
          <cell r="T14">
            <v>198.134264</v>
          </cell>
          <cell r="U14">
            <v>6.9180958100558661E-3</v>
          </cell>
          <cell r="V14">
            <v>626.81713277620827</v>
          </cell>
          <cell r="W14">
            <v>599.97433000000001</v>
          </cell>
          <cell r="X14">
            <v>-26.842802776208259</v>
          </cell>
          <cell r="Y14">
            <v>208.93904425873609</v>
          </cell>
          <cell r="Z14">
            <v>5.3529656846208005E-3</v>
          </cell>
          <cell r="AA14">
            <v>0</v>
          </cell>
          <cell r="AB14">
            <v>0</v>
          </cell>
          <cell r="AC14">
            <v>835.75617703494436</v>
          </cell>
          <cell r="AD14">
            <v>599.97433000000001</v>
          </cell>
          <cell r="AE14">
            <v>-235.78184703494435</v>
          </cell>
          <cell r="AF14">
            <v>208.93904425873609</v>
          </cell>
          <cell r="AG14">
            <v>5.3529656846208005E-3</v>
          </cell>
          <cell r="AH14">
            <v>0</v>
          </cell>
          <cell r="AI14" t="e">
            <v>#DIV/0!</v>
          </cell>
          <cell r="AJ14">
            <v>1044.6952212936803</v>
          </cell>
          <cell r="AK14">
            <v>599.97433000000001</v>
          </cell>
          <cell r="AL14">
            <v>-444.72089129368032</v>
          </cell>
          <cell r="AM14">
            <v>208.93904425873609</v>
          </cell>
          <cell r="AN14">
            <v>5.3529656846208005E-3</v>
          </cell>
          <cell r="AO14">
            <v>0</v>
          </cell>
          <cell r="AP14" t="e">
            <v>#DIV/0!</v>
          </cell>
          <cell r="AQ14">
            <v>1253.6342655524163</v>
          </cell>
          <cell r="AR14">
            <v>599.97433000000001</v>
          </cell>
          <cell r="AS14">
            <v>-653.6599355524163</v>
          </cell>
          <cell r="AT14">
            <v>208.93904425873609</v>
          </cell>
          <cell r="AU14">
            <v>5.3529656846208005E-3</v>
          </cell>
          <cell r="AV14">
            <v>0</v>
          </cell>
          <cell r="AW14" t="e">
            <v>#DIV/0!</v>
          </cell>
          <cell r="AX14">
            <v>1462.5733098111523</v>
          </cell>
          <cell r="AY14">
            <v>599.97433000000001</v>
          </cell>
          <cell r="AZ14">
            <v>-862.59897981115228</v>
          </cell>
          <cell r="BA14">
            <v>208.93904425873609</v>
          </cell>
          <cell r="BB14">
            <v>5.3529656846208005E-3</v>
          </cell>
          <cell r="BC14">
            <v>0</v>
          </cell>
          <cell r="BD14" t="e">
            <v>#DIV/0!</v>
          </cell>
          <cell r="BE14">
            <v>1671.5123540698883</v>
          </cell>
          <cell r="BF14">
            <v>599.97433000000001</v>
          </cell>
          <cell r="BG14">
            <v>-1071.5380240698883</v>
          </cell>
          <cell r="BH14">
            <v>208.93904425873609</v>
          </cell>
          <cell r="BI14">
            <v>5.3529656846208005E-3</v>
          </cell>
          <cell r="BJ14">
            <v>0</v>
          </cell>
          <cell r="BK14">
            <v>0</v>
          </cell>
          <cell r="BL14">
            <v>1880.4513983286242</v>
          </cell>
          <cell r="BM14">
            <v>599.97433000000001</v>
          </cell>
          <cell r="BN14">
            <v>-1280.4770683286242</v>
          </cell>
          <cell r="BO14">
            <v>217.03580211377027</v>
          </cell>
          <cell r="BP14">
            <v>5.5604025813886949E-3</v>
          </cell>
          <cell r="BQ14">
            <v>0</v>
          </cell>
          <cell r="BR14" t="e">
            <v>#DIV/0!</v>
          </cell>
          <cell r="BS14">
            <v>2097.4872004423946</v>
          </cell>
          <cell r="BT14">
            <v>599.97433000000001</v>
          </cell>
          <cell r="BU14">
            <v>-1497.5128704423946</v>
          </cell>
          <cell r="BV14">
            <v>217.03580211377027</v>
          </cell>
          <cell r="BW14">
            <v>5.5604025813886949E-3</v>
          </cell>
          <cell r="BX14">
            <v>0</v>
          </cell>
          <cell r="BY14" t="e">
            <v>#DIV/0!</v>
          </cell>
          <cell r="BZ14">
            <v>2314.523002556165</v>
          </cell>
          <cell r="CA14">
            <v>599.97433000000001</v>
          </cell>
          <cell r="CB14">
            <v>-1714.548672556165</v>
          </cell>
          <cell r="CC14">
            <v>217.03580211377027</v>
          </cell>
          <cell r="CD14">
            <v>5.5604025813886949E-3</v>
          </cell>
          <cell r="CE14">
            <v>0</v>
          </cell>
          <cell r="CF14" t="e">
            <v>#DIV/0!</v>
          </cell>
          <cell r="CG14">
            <v>2531.5588046699354</v>
          </cell>
          <cell r="CH14">
            <v>599.97433000000001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1.3037749051293969E-2</v>
          </cell>
          <cell r="C16">
            <v>425.45</v>
          </cell>
          <cell r="D16">
            <v>303</v>
          </cell>
          <cell r="E16">
            <v>1.01E-2</v>
          </cell>
          <cell r="F16">
            <v>0</v>
          </cell>
          <cell r="G16">
            <v>0</v>
          </cell>
          <cell r="H16">
            <v>303</v>
          </cell>
          <cell r="I16">
            <v>0</v>
          </cell>
          <cell r="J16">
            <v>-303</v>
          </cell>
          <cell r="K16">
            <v>303</v>
          </cell>
          <cell r="L16">
            <v>1.01E-2</v>
          </cell>
          <cell r="M16">
            <v>0</v>
          </cell>
          <cell r="N16">
            <v>0</v>
          </cell>
          <cell r="O16">
            <v>606</v>
          </cell>
          <cell r="P16">
            <v>0</v>
          </cell>
          <cell r="Q16">
            <v>-606</v>
          </cell>
          <cell r="R16">
            <v>303</v>
          </cell>
          <cell r="S16">
            <v>7.7627836778634361E-3</v>
          </cell>
          <cell r="T16">
            <v>0</v>
          </cell>
          <cell r="U16">
            <v>0</v>
          </cell>
          <cell r="V16">
            <v>909</v>
          </cell>
          <cell r="W16">
            <v>0</v>
          </cell>
          <cell r="X16">
            <v>-909</v>
          </cell>
          <cell r="Y16">
            <v>303</v>
          </cell>
          <cell r="Z16">
            <v>7.7627836778634361E-3</v>
          </cell>
          <cell r="AA16">
            <v>0</v>
          </cell>
          <cell r="AB16">
            <v>0</v>
          </cell>
          <cell r="AC16">
            <v>1212</v>
          </cell>
          <cell r="AD16">
            <v>0</v>
          </cell>
          <cell r="AE16">
            <v>-1212</v>
          </cell>
          <cell r="AF16">
            <v>303</v>
          </cell>
          <cell r="AG16">
            <v>7.7627836778634361E-3</v>
          </cell>
          <cell r="AH16">
            <v>0</v>
          </cell>
          <cell r="AI16" t="e">
            <v>#DIV/0!</v>
          </cell>
          <cell r="AJ16">
            <v>1515</v>
          </cell>
          <cell r="AK16">
            <v>0</v>
          </cell>
          <cell r="AL16">
            <v>-1515</v>
          </cell>
          <cell r="AM16">
            <v>303</v>
          </cell>
          <cell r="AN16">
            <v>7.7627836778634361E-3</v>
          </cell>
          <cell r="AO16">
            <v>0</v>
          </cell>
          <cell r="AP16" t="e">
            <v>#DIV/0!</v>
          </cell>
          <cell r="AQ16">
            <v>1818</v>
          </cell>
          <cell r="AR16">
            <v>0</v>
          </cell>
          <cell r="AS16">
            <v>-1818</v>
          </cell>
          <cell r="AT16">
            <v>303</v>
          </cell>
          <cell r="AU16">
            <v>7.7627836778634361E-3</v>
          </cell>
          <cell r="AV16">
            <v>0</v>
          </cell>
          <cell r="AW16" t="e">
            <v>#DIV/0!</v>
          </cell>
          <cell r="AX16">
            <v>2121</v>
          </cell>
          <cell r="AY16">
            <v>0</v>
          </cell>
          <cell r="AZ16">
            <v>-2121</v>
          </cell>
          <cell r="BA16">
            <v>303</v>
          </cell>
          <cell r="BB16">
            <v>7.7627836778634361E-3</v>
          </cell>
          <cell r="BC16">
            <v>0</v>
          </cell>
          <cell r="BD16" t="e">
            <v>#DIV/0!</v>
          </cell>
          <cell r="BE16">
            <v>2424</v>
          </cell>
          <cell r="BF16">
            <v>0</v>
          </cell>
          <cell r="BG16">
            <v>-2424</v>
          </cell>
          <cell r="BH16">
            <v>303</v>
          </cell>
          <cell r="BI16">
            <v>7.7627836778634361E-3</v>
          </cell>
          <cell r="BJ16">
            <v>0</v>
          </cell>
          <cell r="BK16">
            <v>0</v>
          </cell>
          <cell r="BL16">
            <v>2727</v>
          </cell>
          <cell r="BM16">
            <v>0</v>
          </cell>
          <cell r="BN16">
            <v>-2727</v>
          </cell>
          <cell r="BO16">
            <v>303</v>
          </cell>
          <cell r="BP16">
            <v>7.7627836778634361E-3</v>
          </cell>
          <cell r="BQ16">
            <v>0</v>
          </cell>
          <cell r="BR16" t="e">
            <v>#DIV/0!</v>
          </cell>
          <cell r="BS16">
            <v>3030</v>
          </cell>
          <cell r="BT16">
            <v>0</v>
          </cell>
          <cell r="BU16">
            <v>-3030</v>
          </cell>
          <cell r="BV16">
            <v>303</v>
          </cell>
          <cell r="BW16">
            <v>7.7627836778634361E-3</v>
          </cell>
          <cell r="BX16">
            <v>0</v>
          </cell>
          <cell r="BY16" t="e">
            <v>#DIV/0!</v>
          </cell>
          <cell r="BZ16">
            <v>3333</v>
          </cell>
          <cell r="CA16">
            <v>0</v>
          </cell>
          <cell r="CB16">
            <v>-3333</v>
          </cell>
          <cell r="CC16">
            <v>303</v>
          </cell>
          <cell r="CD16">
            <v>7.7627836778634361E-3</v>
          </cell>
          <cell r="CE16">
            <v>0</v>
          </cell>
          <cell r="CF16" t="e">
            <v>#DIV/0!</v>
          </cell>
          <cell r="CG16">
            <v>3636</v>
          </cell>
          <cell r="CH16">
            <v>0</v>
          </cell>
        </row>
        <row r="17">
          <cell r="A17" t="str">
            <v>Back Office / Encerramento</v>
          </cell>
          <cell r="B17">
            <v>1.008325253153363E-2</v>
          </cell>
          <cell r="C17">
            <v>329.03837715109404</v>
          </cell>
          <cell r="D17">
            <v>330</v>
          </cell>
          <cell r="E17">
            <v>1.0999999999999999E-2</v>
          </cell>
          <cell r="F17">
            <v>0</v>
          </cell>
          <cell r="G17">
            <v>0</v>
          </cell>
          <cell r="H17">
            <v>330</v>
          </cell>
          <cell r="I17">
            <v>0</v>
          </cell>
          <cell r="J17">
            <v>-330</v>
          </cell>
          <cell r="K17">
            <v>330</v>
          </cell>
          <cell r="L17">
            <v>1.0999999999999999E-2</v>
          </cell>
          <cell r="M17">
            <v>0</v>
          </cell>
          <cell r="N17">
            <v>0</v>
          </cell>
          <cell r="O17">
            <v>660</v>
          </cell>
          <cell r="P17">
            <v>0</v>
          </cell>
          <cell r="Q17">
            <v>-660</v>
          </cell>
          <cell r="R17">
            <v>330</v>
          </cell>
          <cell r="S17">
            <v>8.4545168768809693E-3</v>
          </cell>
          <cell r="T17">
            <v>0</v>
          </cell>
          <cell r="U17">
            <v>0</v>
          </cell>
          <cell r="V17">
            <v>990</v>
          </cell>
          <cell r="W17">
            <v>0</v>
          </cell>
          <cell r="X17">
            <v>-990</v>
          </cell>
          <cell r="Y17">
            <v>330</v>
          </cell>
          <cell r="Z17">
            <v>8.4545168768809693E-3</v>
          </cell>
          <cell r="AA17">
            <v>0</v>
          </cell>
          <cell r="AB17">
            <v>0</v>
          </cell>
          <cell r="AC17">
            <v>1320</v>
          </cell>
          <cell r="AD17">
            <v>0</v>
          </cell>
          <cell r="AE17">
            <v>-1320</v>
          </cell>
          <cell r="AF17">
            <v>330</v>
          </cell>
          <cell r="AG17">
            <v>8.4545168768809693E-3</v>
          </cell>
          <cell r="AH17">
            <v>0</v>
          </cell>
          <cell r="AI17" t="e">
            <v>#DIV/0!</v>
          </cell>
          <cell r="AJ17">
            <v>1650</v>
          </cell>
          <cell r="AK17">
            <v>0</v>
          </cell>
          <cell r="AL17">
            <v>-1650</v>
          </cell>
          <cell r="AM17">
            <v>330</v>
          </cell>
          <cell r="AN17">
            <v>8.4545168768809693E-3</v>
          </cell>
          <cell r="AO17">
            <v>0</v>
          </cell>
          <cell r="AP17" t="e">
            <v>#DIV/0!</v>
          </cell>
          <cell r="AQ17">
            <v>1980</v>
          </cell>
          <cell r="AR17">
            <v>0</v>
          </cell>
          <cell r="AS17">
            <v>-1980</v>
          </cell>
          <cell r="AT17">
            <v>330</v>
          </cell>
          <cell r="AU17">
            <v>8.4545168768809693E-3</v>
          </cell>
          <cell r="AV17">
            <v>0</v>
          </cell>
          <cell r="AW17" t="e">
            <v>#DIV/0!</v>
          </cell>
          <cell r="AX17">
            <v>2310</v>
          </cell>
          <cell r="AY17">
            <v>0</v>
          </cell>
          <cell r="AZ17">
            <v>-2310</v>
          </cell>
          <cell r="BA17">
            <v>330</v>
          </cell>
          <cell r="BB17">
            <v>8.4545168768809693E-3</v>
          </cell>
          <cell r="BC17">
            <v>0</v>
          </cell>
          <cell r="BD17" t="e">
            <v>#DIV/0!</v>
          </cell>
          <cell r="BE17">
            <v>2640</v>
          </cell>
          <cell r="BF17">
            <v>0</v>
          </cell>
          <cell r="BG17">
            <v>-2640</v>
          </cell>
          <cell r="BH17">
            <v>330</v>
          </cell>
          <cell r="BI17">
            <v>8.4545168768809693E-3</v>
          </cell>
          <cell r="BJ17">
            <v>0</v>
          </cell>
          <cell r="BK17">
            <v>0</v>
          </cell>
          <cell r="BL17">
            <v>2970</v>
          </cell>
          <cell r="BM17">
            <v>0</v>
          </cell>
          <cell r="BN17">
            <v>-2970</v>
          </cell>
          <cell r="BO17">
            <v>330</v>
          </cell>
          <cell r="BP17">
            <v>8.4545168768809693E-3</v>
          </cell>
          <cell r="BQ17">
            <v>0</v>
          </cell>
          <cell r="BR17" t="e">
            <v>#DIV/0!</v>
          </cell>
          <cell r="BS17">
            <v>3300</v>
          </cell>
          <cell r="BT17">
            <v>0</v>
          </cell>
          <cell r="BU17">
            <v>-3300</v>
          </cell>
          <cell r="BV17">
            <v>330</v>
          </cell>
          <cell r="BW17">
            <v>8.4545168768809693E-3</v>
          </cell>
          <cell r="BX17">
            <v>0</v>
          </cell>
          <cell r="BY17" t="e">
            <v>#DIV/0!</v>
          </cell>
          <cell r="BZ17">
            <v>3630</v>
          </cell>
          <cell r="CA17">
            <v>0</v>
          </cell>
          <cell r="CB17">
            <v>-3630</v>
          </cell>
          <cell r="CC17">
            <v>330</v>
          </cell>
          <cell r="CD17">
            <v>8.4545168768809693E-3</v>
          </cell>
          <cell r="CE17">
            <v>0</v>
          </cell>
          <cell r="CF17" t="e">
            <v>#DIV/0!</v>
          </cell>
          <cell r="CG17">
            <v>3960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1.3147853447576765E-2</v>
          </cell>
          <cell r="C19">
            <v>429.04294501023293</v>
          </cell>
          <cell r="D19">
            <v>430</v>
          </cell>
          <cell r="E19">
            <v>1.4333333333333333E-2</v>
          </cell>
          <cell r="F19">
            <v>988.11358398174286</v>
          </cell>
          <cell r="G19">
            <v>3.2589498152432152E-2</v>
          </cell>
          <cell r="H19">
            <v>430</v>
          </cell>
          <cell r="I19">
            <v>988.11358398174286</v>
          </cell>
          <cell r="J19">
            <v>558.11358398174286</v>
          </cell>
          <cell r="K19">
            <v>430</v>
          </cell>
          <cell r="L19">
            <v>1.4333333333333333E-2</v>
          </cell>
          <cell r="M19">
            <v>729.8923418920092</v>
          </cell>
          <cell r="N19">
            <v>2.2723920980448606E-2</v>
          </cell>
          <cell r="O19">
            <v>860</v>
          </cell>
          <cell r="P19">
            <v>1718.0059258737519</v>
          </cell>
          <cell r="Q19">
            <v>858.00592587375195</v>
          </cell>
          <cell r="R19">
            <v>430</v>
          </cell>
          <cell r="S19">
            <v>1.1016491688057021E-2</v>
          </cell>
          <cell r="T19">
            <v>598.5482423872952</v>
          </cell>
          <cell r="U19">
            <v>2.0899030809612262E-2</v>
          </cell>
          <cell r="V19">
            <v>1290</v>
          </cell>
          <cell r="W19">
            <v>2316.5541682610474</v>
          </cell>
          <cell r="X19">
            <v>1026.5541682610474</v>
          </cell>
          <cell r="Y19">
            <v>430</v>
          </cell>
          <cell r="Z19">
            <v>1.1016491688057021E-2</v>
          </cell>
          <cell r="AA19">
            <v>0</v>
          </cell>
          <cell r="AB19">
            <v>0</v>
          </cell>
          <cell r="AC19">
            <v>1720</v>
          </cell>
          <cell r="AD19">
            <v>2316.5541682610474</v>
          </cell>
          <cell r="AE19">
            <v>596.55416826104738</v>
          </cell>
          <cell r="AF19">
            <v>430</v>
          </cell>
          <cell r="AG19">
            <v>1.1016491688057021E-2</v>
          </cell>
          <cell r="AH19">
            <v>0</v>
          </cell>
          <cell r="AI19" t="e">
            <v>#DIV/0!</v>
          </cell>
          <cell r="AJ19">
            <v>2150</v>
          </cell>
          <cell r="AK19">
            <v>2316.5541682610474</v>
          </cell>
          <cell r="AL19">
            <v>166.55416826104738</v>
          </cell>
          <cell r="AM19">
            <v>430</v>
          </cell>
          <cell r="AN19">
            <v>1.1016491688057021E-2</v>
          </cell>
          <cell r="AO19">
            <v>0</v>
          </cell>
          <cell r="AP19" t="e">
            <v>#DIV/0!</v>
          </cell>
          <cell r="AQ19">
            <v>2580</v>
          </cell>
          <cell r="AR19">
            <v>2316.5541682610474</v>
          </cell>
          <cell r="AS19">
            <v>-263.44583173895262</v>
          </cell>
          <cell r="AT19">
            <v>430</v>
          </cell>
          <cell r="AU19">
            <v>1.1016491688057021E-2</v>
          </cell>
          <cell r="AV19">
            <v>0</v>
          </cell>
          <cell r="AW19" t="e">
            <v>#DIV/0!</v>
          </cell>
          <cell r="AX19">
            <v>3010</v>
          </cell>
          <cell r="AY19">
            <v>2316.5541682610474</v>
          </cell>
          <cell r="AZ19">
            <v>-693.44583173895262</v>
          </cell>
          <cell r="BA19">
            <v>430</v>
          </cell>
          <cell r="BB19">
            <v>1.1016491688057021E-2</v>
          </cell>
          <cell r="BC19">
            <v>0</v>
          </cell>
          <cell r="BD19" t="e">
            <v>#DIV/0!</v>
          </cell>
          <cell r="BE19">
            <v>3440</v>
          </cell>
          <cell r="BF19">
            <v>2316.5541682610474</v>
          </cell>
          <cell r="BG19">
            <v>-1123.4458317389526</v>
          </cell>
          <cell r="BH19">
            <v>430</v>
          </cell>
          <cell r="BI19">
            <v>1.1016491688057021E-2</v>
          </cell>
          <cell r="BJ19">
            <v>0</v>
          </cell>
          <cell r="BK19">
            <v>0</v>
          </cell>
          <cell r="BL19">
            <v>3870</v>
          </cell>
          <cell r="BM19">
            <v>2316.5541682610474</v>
          </cell>
          <cell r="BN19">
            <v>-1553.4458317389526</v>
          </cell>
          <cell r="BO19">
            <v>430</v>
          </cell>
          <cell r="BP19">
            <v>1.1016491688057021E-2</v>
          </cell>
          <cell r="BQ19">
            <v>0</v>
          </cell>
          <cell r="BR19" t="e">
            <v>#DIV/0!</v>
          </cell>
          <cell r="BS19">
            <v>4300</v>
          </cell>
          <cell r="BT19">
            <v>2316.5541682610474</v>
          </cell>
          <cell r="BU19">
            <v>-1983.4458317389526</v>
          </cell>
          <cell r="BV19">
            <v>430</v>
          </cell>
          <cell r="BW19">
            <v>1.1016491688057021E-2</v>
          </cell>
          <cell r="BX19">
            <v>0</v>
          </cell>
          <cell r="BY19" t="e">
            <v>#DIV/0!</v>
          </cell>
          <cell r="BZ19">
            <v>4730</v>
          </cell>
          <cell r="CA19">
            <v>2316.5541682610474</v>
          </cell>
          <cell r="CB19">
            <v>-2413.4458317389526</v>
          </cell>
          <cell r="CC19">
            <v>430</v>
          </cell>
          <cell r="CD19">
            <v>1.1016491688057021E-2</v>
          </cell>
          <cell r="CE19">
            <v>0</v>
          </cell>
          <cell r="CF19" t="e">
            <v>#DIV/0!</v>
          </cell>
          <cell r="CG19">
            <v>5160</v>
          </cell>
          <cell r="CH19">
            <v>2316.5541682610474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3.0042631637036774E-4</v>
          </cell>
          <cell r="C23">
            <v>9.8035616268505681</v>
          </cell>
          <cell r="D23">
            <v>100</v>
          </cell>
          <cell r="E23">
            <v>3.3333333333333335E-3</v>
          </cell>
          <cell r="F23">
            <v>51.228875194161411</v>
          </cell>
          <cell r="G23">
            <v>1.6896067016544001E-3</v>
          </cell>
          <cell r="H23">
            <v>100</v>
          </cell>
          <cell r="I23">
            <v>51.228875194161411</v>
          </cell>
          <cell r="J23">
            <v>-48.771124805838589</v>
          </cell>
          <cell r="K23">
            <v>100</v>
          </cell>
          <cell r="L23">
            <v>3.3333333333333335E-3</v>
          </cell>
          <cell r="M23">
            <v>74.709783792919495</v>
          </cell>
          <cell r="N23">
            <v>2.325958399530495E-3</v>
          </cell>
          <cell r="O23">
            <v>200</v>
          </cell>
          <cell r="P23">
            <v>125.93865898708091</v>
          </cell>
          <cell r="Q23">
            <v>-74.061341012919087</v>
          </cell>
          <cell r="R23">
            <v>100</v>
          </cell>
          <cell r="S23">
            <v>2.5619748111760515E-3</v>
          </cell>
          <cell r="T23">
            <v>26.37108788075955</v>
          </cell>
          <cell r="U23">
            <v>9.2077820812707929E-4</v>
          </cell>
          <cell r="V23">
            <v>300</v>
          </cell>
          <cell r="W23">
            <v>152.30974686784046</v>
          </cell>
          <cell r="X23">
            <v>-147.69025313215954</v>
          </cell>
          <cell r="Y23">
            <v>100</v>
          </cell>
          <cell r="Z23">
            <v>2.5619748111760515E-3</v>
          </cell>
          <cell r="AA23">
            <v>0</v>
          </cell>
          <cell r="AB23">
            <v>0</v>
          </cell>
          <cell r="AC23">
            <v>400</v>
          </cell>
          <cell r="AD23">
            <v>152.30974686784046</v>
          </cell>
          <cell r="AE23">
            <v>-247.69025313215954</v>
          </cell>
          <cell r="AF23">
            <v>100</v>
          </cell>
          <cell r="AG23">
            <v>2.5619748111760515E-3</v>
          </cell>
          <cell r="AH23">
            <v>0</v>
          </cell>
          <cell r="AI23" t="e">
            <v>#DIV/0!</v>
          </cell>
          <cell r="AJ23">
            <v>500</v>
          </cell>
          <cell r="AK23">
            <v>152.30974686784046</v>
          </cell>
          <cell r="AL23">
            <v>-347.69025313215957</v>
          </cell>
          <cell r="AM23">
            <v>100</v>
          </cell>
          <cell r="AN23">
            <v>2.5619748111760515E-3</v>
          </cell>
          <cell r="AO23">
            <v>0</v>
          </cell>
          <cell r="AP23" t="e">
            <v>#DIV/0!</v>
          </cell>
          <cell r="AQ23">
            <v>600</v>
          </cell>
          <cell r="AR23">
            <v>152.30974686784046</v>
          </cell>
          <cell r="AS23">
            <v>-447.69025313215957</v>
          </cell>
          <cell r="AT23">
            <v>100</v>
          </cell>
          <cell r="AU23">
            <v>2.5619748111760515E-3</v>
          </cell>
          <cell r="AV23">
            <v>0</v>
          </cell>
          <cell r="AW23" t="e">
            <v>#DIV/0!</v>
          </cell>
          <cell r="AX23">
            <v>700</v>
          </cell>
          <cell r="AY23">
            <v>152.30974686784046</v>
          </cell>
          <cell r="AZ23">
            <v>-547.69025313215957</v>
          </cell>
          <cell r="BA23">
            <v>100</v>
          </cell>
          <cell r="BB23">
            <v>2.5619748111760515E-3</v>
          </cell>
          <cell r="BC23">
            <v>0</v>
          </cell>
          <cell r="BD23" t="e">
            <v>#DIV/0!</v>
          </cell>
          <cell r="BE23">
            <v>800</v>
          </cell>
          <cell r="BF23">
            <v>152.30974686784046</v>
          </cell>
          <cell r="BG23">
            <v>-647.69025313215957</v>
          </cell>
          <cell r="BH23">
            <v>100</v>
          </cell>
          <cell r="BI23">
            <v>2.5619748111760515E-3</v>
          </cell>
          <cell r="BJ23">
            <v>0</v>
          </cell>
          <cell r="BK23">
            <v>0</v>
          </cell>
          <cell r="BL23">
            <v>900</v>
          </cell>
          <cell r="BM23">
            <v>152.30974686784046</v>
          </cell>
          <cell r="BN23">
            <v>-747.69025313215957</v>
          </cell>
          <cell r="BO23">
            <v>100</v>
          </cell>
          <cell r="BP23">
            <v>2.5619748111760515E-3</v>
          </cell>
          <cell r="BQ23">
            <v>0</v>
          </cell>
          <cell r="BR23" t="e">
            <v>#DIV/0!</v>
          </cell>
          <cell r="BS23">
            <v>1000</v>
          </cell>
          <cell r="BT23">
            <v>152.30974686784046</v>
          </cell>
          <cell r="BU23">
            <v>-847.69025313215957</v>
          </cell>
          <cell r="BV23">
            <v>100</v>
          </cell>
          <cell r="BW23">
            <v>2.5619748111760515E-3</v>
          </cell>
          <cell r="BX23">
            <v>0</v>
          </cell>
          <cell r="BY23" t="e">
            <v>#DIV/0!</v>
          </cell>
          <cell r="BZ23">
            <v>1100</v>
          </cell>
          <cell r="CA23">
            <v>152.30974686784046</v>
          </cell>
          <cell r="CB23">
            <v>-947.69025313215957</v>
          </cell>
          <cell r="CC23">
            <v>100</v>
          </cell>
          <cell r="CD23">
            <v>2.5619748111760515E-3</v>
          </cell>
          <cell r="CE23">
            <v>0</v>
          </cell>
          <cell r="CF23" t="e">
            <v>#DIV/0!</v>
          </cell>
          <cell r="CG23">
            <v>1200</v>
          </cell>
          <cell r="CH23">
            <v>152.30974686784046</v>
          </cell>
        </row>
        <row r="24">
          <cell r="A24" t="str">
            <v>GNA</v>
          </cell>
          <cell r="B24">
            <v>3.1834617166351255E-2</v>
          </cell>
          <cell r="C24">
            <v>1038.8325331419019</v>
          </cell>
          <cell r="D24">
            <v>300</v>
          </cell>
          <cell r="E24">
            <v>0</v>
          </cell>
          <cell r="F24">
            <v>391.46745000195926</v>
          </cell>
          <cell r="G24">
            <v>1.2911195580539554E-2</v>
          </cell>
          <cell r="H24">
            <v>300</v>
          </cell>
          <cell r="I24">
            <v>391.46745000195926</v>
          </cell>
          <cell r="J24">
            <v>91.467450001959264</v>
          </cell>
          <cell r="K24">
            <v>300</v>
          </cell>
          <cell r="L24">
            <v>0</v>
          </cell>
          <cell r="M24">
            <v>422.98070025815446</v>
          </cell>
          <cell r="N24">
            <v>1.3168764017999827E-2</v>
          </cell>
          <cell r="O24">
            <v>600</v>
          </cell>
          <cell r="P24">
            <v>814.44815026011372</v>
          </cell>
          <cell r="Q24">
            <v>214.44815026011372</v>
          </cell>
          <cell r="R24">
            <v>390.32389999999998</v>
          </cell>
          <cell r="S24">
            <v>0</v>
          </cell>
          <cell r="T24">
            <v>294.61446062343339</v>
          </cell>
          <cell r="U24">
            <v>1.0286817759198093E-2</v>
          </cell>
          <cell r="V24">
            <v>990.32389999999998</v>
          </cell>
          <cell r="W24">
            <v>1109.0626108835472</v>
          </cell>
          <cell r="X24">
            <v>118.73871088354724</v>
          </cell>
          <cell r="Y24">
            <v>390.32389999999998</v>
          </cell>
          <cell r="Z24">
            <v>0</v>
          </cell>
          <cell r="AA24">
            <v>0</v>
          </cell>
          <cell r="AB24">
            <v>0</v>
          </cell>
          <cell r="AC24">
            <v>1380.6478</v>
          </cell>
          <cell r="AD24">
            <v>1109.0626108835472</v>
          </cell>
          <cell r="AE24">
            <v>-271.58518911645274</v>
          </cell>
          <cell r="AF24">
            <v>390.32389999999998</v>
          </cell>
          <cell r="AG24">
            <v>0</v>
          </cell>
          <cell r="AH24">
            <v>0</v>
          </cell>
          <cell r="AI24" t="e">
            <v>#DIV/0!</v>
          </cell>
          <cell r="AJ24">
            <v>1770.9717000000001</v>
          </cell>
          <cell r="AK24">
            <v>1109.0626108835472</v>
          </cell>
          <cell r="AL24">
            <v>-661.90908911645283</v>
          </cell>
          <cell r="AM24">
            <v>390.32389999999998</v>
          </cell>
          <cell r="AN24">
            <v>0</v>
          </cell>
          <cell r="AO24">
            <v>0</v>
          </cell>
          <cell r="AP24" t="e">
            <v>#DIV/0!</v>
          </cell>
          <cell r="AQ24">
            <v>2161.2955999999999</v>
          </cell>
          <cell r="AR24">
            <v>1109.0626108835472</v>
          </cell>
          <cell r="AS24">
            <v>-1052.2329891164527</v>
          </cell>
          <cell r="AT24">
            <v>390.32389999999998</v>
          </cell>
          <cell r="AU24">
            <v>0</v>
          </cell>
          <cell r="AV24">
            <v>0</v>
          </cell>
          <cell r="AW24" t="e">
            <v>#DIV/0!</v>
          </cell>
          <cell r="AX24">
            <v>2551.6194999999998</v>
          </cell>
          <cell r="AY24">
            <v>1109.0626108835472</v>
          </cell>
          <cell r="AZ24">
            <v>-1442.5568891164526</v>
          </cell>
          <cell r="BA24">
            <v>390.32389999999998</v>
          </cell>
          <cell r="BB24">
            <v>0</v>
          </cell>
          <cell r="BC24">
            <v>0</v>
          </cell>
          <cell r="BD24" t="e">
            <v>#DIV/0!</v>
          </cell>
          <cell r="BE24">
            <v>2941.9433999999997</v>
          </cell>
          <cell r="BF24">
            <v>1109.0626108835472</v>
          </cell>
          <cell r="BG24">
            <v>-1832.8807891164524</v>
          </cell>
          <cell r="BH24">
            <v>390.32389999999998</v>
          </cell>
          <cell r="BI24">
            <v>0</v>
          </cell>
          <cell r="BJ24">
            <v>0</v>
          </cell>
          <cell r="BK24">
            <v>0</v>
          </cell>
          <cell r="BL24">
            <v>3332.2672999999995</v>
          </cell>
          <cell r="BM24">
            <v>1109.0626108835472</v>
          </cell>
          <cell r="BN24">
            <v>-2223.2046891164523</v>
          </cell>
          <cell r="BO24">
            <v>390.32389999999998</v>
          </cell>
          <cell r="BP24">
            <v>0</v>
          </cell>
          <cell r="BQ24">
            <v>0</v>
          </cell>
          <cell r="BR24" t="e">
            <v>#DIV/0!</v>
          </cell>
          <cell r="BS24">
            <v>3722.5911999999994</v>
          </cell>
          <cell r="BT24">
            <v>1109.0626108835472</v>
          </cell>
          <cell r="BU24">
            <v>-2613.5285891164522</v>
          </cell>
          <cell r="BV24">
            <v>390.32389999999998</v>
          </cell>
          <cell r="BW24">
            <v>0</v>
          </cell>
          <cell r="BX24">
            <v>0</v>
          </cell>
          <cell r="BY24" t="e">
            <v>#DIV/0!</v>
          </cell>
          <cell r="BZ24">
            <v>4112.9150999999993</v>
          </cell>
          <cell r="CA24">
            <v>1109.0626108835472</v>
          </cell>
          <cell r="CB24">
            <v>-3003.852489116452</v>
          </cell>
          <cell r="CC24">
            <v>390.32389999999998</v>
          </cell>
          <cell r="CD24">
            <v>0.01</v>
          </cell>
          <cell r="CE24">
            <v>0</v>
          </cell>
          <cell r="CF24" t="e">
            <v>#DIV/0!</v>
          </cell>
          <cell r="CG24">
            <v>4503.2389999999996</v>
          </cell>
          <cell r="CH24">
            <v>1109.0626108835472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 xml:space="preserve">Correspondentes </v>
          </cell>
          <cell r="B26">
            <v>3.6826457289075701E-2</v>
          </cell>
          <cell r="C26">
            <v>1201.7270919999999</v>
          </cell>
          <cell r="D26">
            <v>1300</v>
          </cell>
          <cell r="E26">
            <v>4.3333333333333335E-2</v>
          </cell>
          <cell r="F26">
            <v>1667.8991169999999</v>
          </cell>
          <cell r="G26">
            <v>5.5009865336411605E-2</v>
          </cell>
          <cell r="H26">
            <v>1300</v>
          </cell>
          <cell r="I26">
            <v>1667.8991169999999</v>
          </cell>
          <cell r="J26">
            <v>367.89911699999993</v>
          </cell>
          <cell r="K26">
            <v>1300</v>
          </cell>
          <cell r="L26">
            <v>4.3333333333333335E-2</v>
          </cell>
          <cell r="M26">
            <v>617.80264799999998</v>
          </cell>
          <cell r="N26">
            <v>1.9234204483188043E-2</v>
          </cell>
          <cell r="O26">
            <v>2600</v>
          </cell>
          <cell r="P26">
            <v>2285.7017649999998</v>
          </cell>
          <cell r="Q26">
            <v>-314.2982350000002</v>
          </cell>
          <cell r="R26">
            <v>1300</v>
          </cell>
          <cell r="S26">
            <v>3.330567254528867E-2</v>
          </cell>
          <cell r="T26">
            <v>483.40622100000007</v>
          </cell>
          <cell r="U26">
            <v>1.6878708833798887E-2</v>
          </cell>
          <cell r="V26">
            <v>3900</v>
          </cell>
          <cell r="W26">
            <v>2769.107986</v>
          </cell>
          <cell r="X26">
            <v>-1130.892014</v>
          </cell>
          <cell r="Y26">
            <v>1300</v>
          </cell>
          <cell r="Z26">
            <v>3.330567254528867E-2</v>
          </cell>
          <cell r="AA26">
            <v>0</v>
          </cell>
          <cell r="AB26">
            <v>0</v>
          </cell>
          <cell r="AC26">
            <v>5200</v>
          </cell>
          <cell r="AD26">
            <v>2769.107986</v>
          </cell>
          <cell r="AE26">
            <v>-2430.892014</v>
          </cell>
          <cell r="AF26">
            <v>1300</v>
          </cell>
          <cell r="AG26">
            <v>3.330567254528867E-2</v>
          </cell>
          <cell r="AH26">
            <v>0</v>
          </cell>
          <cell r="AI26" t="e">
            <v>#DIV/0!</v>
          </cell>
          <cell r="AJ26">
            <v>6500</v>
          </cell>
          <cell r="AK26">
            <v>2769.107986</v>
          </cell>
          <cell r="AL26">
            <v>-3730.892014</v>
          </cell>
          <cell r="AM26">
            <v>1300</v>
          </cell>
          <cell r="AN26">
            <v>3.330567254528867E-2</v>
          </cell>
          <cell r="AO26">
            <v>0</v>
          </cell>
          <cell r="AP26" t="e">
            <v>#DIV/0!</v>
          </cell>
          <cell r="AQ26">
            <v>7800</v>
          </cell>
          <cell r="AR26">
            <v>2769.107986</v>
          </cell>
          <cell r="AS26">
            <v>-5030.892014</v>
          </cell>
          <cell r="AT26">
            <v>1300</v>
          </cell>
          <cell r="AU26">
            <v>3.330567254528867E-2</v>
          </cell>
          <cell r="AV26">
            <v>0</v>
          </cell>
          <cell r="AW26" t="e">
            <v>#DIV/0!</v>
          </cell>
          <cell r="AX26">
            <v>9100</v>
          </cell>
          <cell r="AY26">
            <v>2769.107986</v>
          </cell>
          <cell r="AZ26">
            <v>-6330.892014</v>
          </cell>
          <cell r="BA26">
            <v>1300</v>
          </cell>
          <cell r="BB26">
            <v>3.330567254528867E-2</v>
          </cell>
          <cell r="BC26">
            <v>0</v>
          </cell>
          <cell r="BD26" t="e">
            <v>#DIV/0!</v>
          </cell>
          <cell r="BE26">
            <v>10400</v>
          </cell>
          <cell r="BF26">
            <v>2769.107986</v>
          </cell>
          <cell r="BG26">
            <v>-7630.892014</v>
          </cell>
          <cell r="BH26">
            <v>1300</v>
          </cell>
          <cell r="BI26">
            <v>3.330567254528867E-2</v>
          </cell>
          <cell r="BJ26">
            <v>0</v>
          </cell>
          <cell r="BK26">
            <v>0</v>
          </cell>
          <cell r="BL26">
            <v>11700</v>
          </cell>
          <cell r="BM26">
            <v>2769.107986</v>
          </cell>
          <cell r="BN26">
            <v>-8930.8920140000009</v>
          </cell>
          <cell r="BO26">
            <v>1300</v>
          </cell>
          <cell r="BP26">
            <v>3.330567254528867E-2</v>
          </cell>
          <cell r="BQ26">
            <v>0</v>
          </cell>
          <cell r="BR26" t="e">
            <v>#DIV/0!</v>
          </cell>
          <cell r="BS26">
            <v>13000</v>
          </cell>
          <cell r="BT26">
            <v>2769.107986</v>
          </cell>
          <cell r="BU26">
            <v>-10230.892014000001</v>
          </cell>
          <cell r="BV26">
            <v>1300</v>
          </cell>
          <cell r="BW26">
            <v>3.330567254528867E-2</v>
          </cell>
          <cell r="BX26">
            <v>0</v>
          </cell>
          <cell r="BY26" t="e">
            <v>#DIV/0!</v>
          </cell>
          <cell r="BZ26">
            <v>14300</v>
          </cell>
          <cell r="CA26">
            <v>2769.107986</v>
          </cell>
          <cell r="CB26">
            <v>-11530.892014000001</v>
          </cell>
          <cell r="CC26">
            <v>1300</v>
          </cell>
          <cell r="CD26">
            <v>3.330567254528867E-2</v>
          </cell>
          <cell r="CE26">
            <v>0</v>
          </cell>
          <cell r="CF26" t="e">
            <v>#DIV/0!</v>
          </cell>
          <cell r="CG26">
            <v>15600</v>
          </cell>
          <cell r="CH26">
            <v>2769.107986</v>
          </cell>
        </row>
        <row r="27">
          <cell r="A27" t="str">
            <v>Custas/Guias/Despesas</v>
          </cell>
          <cell r="B27">
            <v>2.0593177488469964E-4</v>
          </cell>
          <cell r="C27">
            <v>6.72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8.6060277946606878E-5</v>
          </cell>
          <cell r="C28">
            <v>2.8083333333333336</v>
          </cell>
          <cell r="D28">
            <v>0</v>
          </cell>
          <cell r="E28">
            <v>0</v>
          </cell>
          <cell r="F28">
            <v>76.910398000000001</v>
          </cell>
          <cell r="G28">
            <v>2.5366226253298154E-3</v>
          </cell>
          <cell r="H28">
            <v>0</v>
          </cell>
          <cell r="I28">
            <v>76.910398000000001</v>
          </cell>
          <cell r="J28">
            <v>76.910398000000001</v>
          </cell>
          <cell r="K28">
            <v>0</v>
          </cell>
          <cell r="L28">
            <v>0</v>
          </cell>
          <cell r="M28">
            <v>13.7</v>
          </cell>
          <cell r="N28">
            <v>4.2652552926525529E-4</v>
          </cell>
          <cell r="O28">
            <v>0</v>
          </cell>
          <cell r="P28">
            <v>90.610398000000004</v>
          </cell>
          <cell r="Q28">
            <v>90.610398000000004</v>
          </cell>
          <cell r="R28">
            <v>0</v>
          </cell>
          <cell r="S28">
            <v>0</v>
          </cell>
          <cell r="T28">
            <v>39.909998000000002</v>
          </cell>
          <cell r="U28">
            <v>1.3935055167597766E-3</v>
          </cell>
          <cell r="V28">
            <v>0</v>
          </cell>
          <cell r="W28">
            <v>130.52039600000001</v>
          </cell>
          <cell r="X28">
            <v>130.52039600000001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130.52039600000001</v>
          </cell>
          <cell r="AE28">
            <v>130.52039600000001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130.52039600000001</v>
          </cell>
          <cell r="AL28">
            <v>130.52039600000001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130.52039600000001</v>
          </cell>
          <cell r="AS28">
            <v>130.52039600000001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130.52039600000001</v>
          </cell>
          <cell r="AZ28">
            <v>130.52039600000001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130.52039600000001</v>
          </cell>
          <cell r="BG28">
            <v>130.52039600000001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130.52039600000001</v>
          </cell>
          <cell r="BN28">
            <v>130.52039600000001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130.52039600000001</v>
          </cell>
          <cell r="BU28">
            <v>130.52039600000001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130.52039600000001</v>
          </cell>
          <cell r="CB28">
            <v>130.52039600000001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130.52039600000001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3.4787864161390908E-3</v>
          </cell>
          <cell r="C31">
            <v>113.52033812918684</v>
          </cell>
          <cell r="D31">
            <v>468.38070170822374</v>
          </cell>
          <cell r="E31">
            <v>1.5612690056940791E-2</v>
          </cell>
          <cell r="F31">
            <v>802.23010913557823</v>
          </cell>
          <cell r="G31">
            <v>2.6458776686529625E-2</v>
          </cell>
          <cell r="H31">
            <v>468.38070170822374</v>
          </cell>
          <cell r="I31">
            <v>802.23010913557823</v>
          </cell>
          <cell r="J31">
            <v>333.84940742735449</v>
          </cell>
          <cell r="K31">
            <v>468.38070170822374</v>
          </cell>
          <cell r="L31">
            <v>1.5612690056940791E-2</v>
          </cell>
          <cell r="M31">
            <v>468.38070170822374</v>
          </cell>
          <cell r="N31">
            <v>1.4582213627279694E-2</v>
          </cell>
          <cell r="O31">
            <v>936.76140341644748</v>
          </cell>
          <cell r="P31">
            <v>1270.610810843802</v>
          </cell>
          <cell r="Q31">
            <v>333.84940742735455</v>
          </cell>
          <cell r="R31">
            <v>468.38070170822374</v>
          </cell>
          <cell r="S31">
            <v>1.199979559817433E-2</v>
          </cell>
          <cell r="T31">
            <v>853.44953362220031</v>
          </cell>
          <cell r="U31">
            <v>2.9799215559434367E-2</v>
          </cell>
          <cell r="V31">
            <v>1405.1421051246712</v>
          </cell>
          <cell r="W31">
            <v>2124.0603444660023</v>
          </cell>
          <cell r="X31">
            <v>718.91823934133117</v>
          </cell>
          <cell r="Y31">
            <v>468.38070170822374</v>
          </cell>
          <cell r="Z31">
            <v>1.199979559817433E-2</v>
          </cell>
          <cell r="AA31">
            <v>0</v>
          </cell>
          <cell r="AB31">
            <v>0</v>
          </cell>
          <cell r="AC31">
            <v>1873.522806832895</v>
          </cell>
          <cell r="AD31">
            <v>2124.0603444660023</v>
          </cell>
          <cell r="AE31">
            <v>250.53753763310738</v>
          </cell>
          <cell r="AF31">
            <v>468.38070170822374</v>
          </cell>
          <cell r="AG31">
            <v>1.199979559817433E-2</v>
          </cell>
          <cell r="AH31">
            <v>0</v>
          </cell>
          <cell r="AI31" t="e">
            <v>#DIV/0!</v>
          </cell>
          <cell r="AJ31">
            <v>2341.9035085411188</v>
          </cell>
          <cell r="AK31">
            <v>2124.0603444660023</v>
          </cell>
          <cell r="AL31">
            <v>-217.84316407511642</v>
          </cell>
          <cell r="AM31">
            <v>468.38070170822374</v>
          </cell>
          <cell r="AN31">
            <v>1.199979559817433E-2</v>
          </cell>
          <cell r="AO31">
            <v>0</v>
          </cell>
          <cell r="AP31" t="e">
            <v>#DIV/0!</v>
          </cell>
          <cell r="AQ31">
            <v>2810.2842102493423</v>
          </cell>
          <cell r="AR31">
            <v>2124.0603444660023</v>
          </cell>
          <cell r="AS31">
            <v>-686.22386578333999</v>
          </cell>
          <cell r="AT31">
            <v>468.38070170822374</v>
          </cell>
          <cell r="AU31">
            <v>1.199979559817433E-2</v>
          </cell>
          <cell r="AV31">
            <v>0</v>
          </cell>
          <cell r="AW31" t="e">
            <v>#DIV/0!</v>
          </cell>
          <cell r="AX31">
            <v>3278.6649119575659</v>
          </cell>
          <cell r="AY31">
            <v>2124.0603444660023</v>
          </cell>
          <cell r="AZ31">
            <v>-1154.6045674915636</v>
          </cell>
          <cell r="BA31">
            <v>468.38070170822374</v>
          </cell>
          <cell r="BB31">
            <v>1.199979559817433E-2</v>
          </cell>
          <cell r="BC31">
            <v>0</v>
          </cell>
          <cell r="BD31" t="e">
            <v>#DIV/0!</v>
          </cell>
          <cell r="BE31">
            <v>3747.0456136657895</v>
          </cell>
          <cell r="BF31">
            <v>2124.0603444660023</v>
          </cell>
          <cell r="BG31">
            <v>-1622.9852691997871</v>
          </cell>
          <cell r="BH31">
            <v>468.38070170822374</v>
          </cell>
          <cell r="BI31">
            <v>1.199979559817433E-2</v>
          </cell>
          <cell r="BJ31">
            <v>0</v>
          </cell>
          <cell r="BK31">
            <v>0</v>
          </cell>
          <cell r="BL31">
            <v>4215.426315374013</v>
          </cell>
          <cell r="BM31">
            <v>2124.0603444660023</v>
          </cell>
          <cell r="BN31">
            <v>-2091.3659709080107</v>
          </cell>
          <cell r="BO31">
            <v>468.38070170822374</v>
          </cell>
          <cell r="BP31">
            <v>1.199979559817433E-2</v>
          </cell>
          <cell r="BQ31">
            <v>0</v>
          </cell>
          <cell r="BR31" t="e">
            <v>#DIV/0!</v>
          </cell>
          <cell r="BS31">
            <v>4683.8070170822366</v>
          </cell>
          <cell r="BT31">
            <v>2124.0603444660023</v>
          </cell>
          <cell r="BU31">
            <v>-2559.7466726162343</v>
          </cell>
          <cell r="BV31">
            <v>468.38070170822374</v>
          </cell>
          <cell r="BW31">
            <v>1.199979559817433E-2</v>
          </cell>
          <cell r="BX31">
            <v>0</v>
          </cell>
          <cell r="BY31" t="e">
            <v>#DIV/0!</v>
          </cell>
          <cell r="BZ31">
            <v>5152.1877187904602</v>
          </cell>
          <cell r="CA31">
            <v>2124.0603444660023</v>
          </cell>
          <cell r="CB31">
            <v>-3028.1273743244578</v>
          </cell>
          <cell r="CC31">
            <v>468.38070170822374</v>
          </cell>
          <cell r="CD31">
            <v>1.199979559817433E-2</v>
          </cell>
          <cell r="CE31">
            <v>0</v>
          </cell>
          <cell r="CF31" t="e">
            <v>#DIV/0!</v>
          </cell>
          <cell r="CG31">
            <v>5620.5684204986837</v>
          </cell>
          <cell r="CH31">
            <v>2124.0603444660023</v>
          </cell>
        </row>
        <row r="32">
          <cell r="A32" t="str">
            <v>Encargos Rescisórios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Back Office / 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0</v>
          </cell>
          <cell r="C35">
            <v>0</v>
          </cell>
          <cell r="D35">
            <v>14.208333333333334</v>
          </cell>
          <cell r="E35">
            <v>4.7361111111111112E-4</v>
          </cell>
          <cell r="F35">
            <v>0</v>
          </cell>
          <cell r="G35">
            <v>0</v>
          </cell>
          <cell r="H35">
            <v>14.208333333333334</v>
          </cell>
          <cell r="I35">
            <v>0</v>
          </cell>
          <cell r="J35">
            <v>-14.208333333333334</v>
          </cell>
          <cell r="K35">
            <v>14.208333333333334</v>
          </cell>
          <cell r="L35">
            <v>4.7361111111111112E-4</v>
          </cell>
          <cell r="M35">
            <v>0</v>
          </cell>
          <cell r="N35">
            <v>0</v>
          </cell>
          <cell r="O35">
            <v>28.416666666666668</v>
          </cell>
          <cell r="P35">
            <v>0</v>
          </cell>
          <cell r="Q35">
            <v>-28.416666666666668</v>
          </cell>
          <cell r="R35">
            <v>14.208333333333334</v>
          </cell>
          <cell r="S35">
            <v>3.6401392108793064E-4</v>
          </cell>
          <cell r="T35">
            <v>0</v>
          </cell>
          <cell r="U35">
            <v>0</v>
          </cell>
          <cell r="V35">
            <v>42.625</v>
          </cell>
          <cell r="W35">
            <v>0</v>
          </cell>
          <cell r="X35">
            <v>-42.625</v>
          </cell>
          <cell r="Y35">
            <v>14.208333333333334</v>
          </cell>
          <cell r="Z35">
            <v>3.6401392108793064E-4</v>
          </cell>
          <cell r="AA35">
            <v>0</v>
          </cell>
          <cell r="AB35">
            <v>0</v>
          </cell>
          <cell r="AC35">
            <v>56.833333333333336</v>
          </cell>
          <cell r="AD35">
            <v>0</v>
          </cell>
          <cell r="AE35">
            <v>-56.833333333333336</v>
          </cell>
          <cell r="AF35">
            <v>14.208333333333334</v>
          </cell>
          <cell r="AG35">
            <v>3.6401392108793064E-4</v>
          </cell>
          <cell r="AH35">
            <v>0</v>
          </cell>
          <cell r="AI35" t="e">
            <v>#DIV/0!</v>
          </cell>
          <cell r="AJ35">
            <v>71.041666666666671</v>
          </cell>
          <cell r="AK35">
            <v>0</v>
          </cell>
          <cell r="AL35">
            <v>-71.041666666666671</v>
          </cell>
          <cell r="AM35">
            <v>14.208333333333334</v>
          </cell>
          <cell r="AN35">
            <v>3.6401392108793064E-4</v>
          </cell>
          <cell r="AO35">
            <v>0</v>
          </cell>
          <cell r="AP35" t="e">
            <v>#DIV/0!</v>
          </cell>
          <cell r="AQ35">
            <v>85.25</v>
          </cell>
          <cell r="AR35">
            <v>0</v>
          </cell>
          <cell r="AS35">
            <v>-85.25</v>
          </cell>
          <cell r="AT35">
            <v>14.208333333333334</v>
          </cell>
          <cell r="AU35">
            <v>3.6401392108793064E-4</v>
          </cell>
          <cell r="AV35">
            <v>0</v>
          </cell>
          <cell r="AW35" t="e">
            <v>#DIV/0!</v>
          </cell>
          <cell r="AX35">
            <v>99.458333333333329</v>
          </cell>
          <cell r="AY35">
            <v>0</v>
          </cell>
          <cell r="AZ35">
            <v>-99.458333333333329</v>
          </cell>
          <cell r="BA35">
            <v>14.208333333333334</v>
          </cell>
          <cell r="BB35">
            <v>3.6401392108793064E-4</v>
          </cell>
          <cell r="BC35">
            <v>0</v>
          </cell>
          <cell r="BD35" t="e">
            <v>#DIV/0!</v>
          </cell>
          <cell r="BE35">
            <v>113.66666666666666</v>
          </cell>
          <cell r="BF35">
            <v>0</v>
          </cell>
          <cell r="BG35">
            <v>-113.66666666666666</v>
          </cell>
          <cell r="BH35">
            <v>14.208333333333334</v>
          </cell>
          <cell r="BI35">
            <v>3.6401392108793064E-4</v>
          </cell>
          <cell r="BJ35">
            <v>0</v>
          </cell>
          <cell r="BK35">
            <v>0</v>
          </cell>
          <cell r="BL35">
            <v>127.87499999999999</v>
          </cell>
          <cell r="BM35">
            <v>0</v>
          </cell>
          <cell r="BN35">
            <v>-127.87499999999999</v>
          </cell>
          <cell r="BO35">
            <v>14.208333333333334</v>
          </cell>
          <cell r="BP35">
            <v>3.6401392108793064E-4</v>
          </cell>
          <cell r="BQ35">
            <v>0</v>
          </cell>
          <cell r="BR35" t="e">
            <v>#DIV/0!</v>
          </cell>
          <cell r="BS35">
            <v>142.08333333333331</v>
          </cell>
          <cell r="BT35">
            <v>0</v>
          </cell>
          <cell r="BU35">
            <v>-142.08333333333331</v>
          </cell>
          <cell r="BV35">
            <v>14.208333333333334</v>
          </cell>
          <cell r="BW35">
            <v>3.6401392108793064E-4</v>
          </cell>
          <cell r="BX35">
            <v>0</v>
          </cell>
          <cell r="BY35" t="e">
            <v>#DIV/0!</v>
          </cell>
          <cell r="BZ35">
            <v>156.29166666666666</v>
          </cell>
          <cell r="CA35">
            <v>0</v>
          </cell>
          <cell r="CB35">
            <v>-156.29166666666666</v>
          </cell>
          <cell r="CC35">
            <v>14.208333333333334</v>
          </cell>
          <cell r="CD35">
            <v>3.6401392108793064E-4</v>
          </cell>
          <cell r="CE35">
            <v>0</v>
          </cell>
          <cell r="CF35" t="e">
            <v>#DIV/0!</v>
          </cell>
          <cell r="CG35">
            <v>170.5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Consultoria de Projetos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3.5982269143821792E-4</v>
          </cell>
          <cell r="C39">
            <v>11.741794037460501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11.647397260273999</v>
          </cell>
          <cell r="N39">
            <v>3.6262133437963882E-4</v>
          </cell>
          <cell r="O39">
            <v>0</v>
          </cell>
          <cell r="P39">
            <v>11.647397260273999</v>
          </cell>
          <cell r="Q39">
            <v>11.647397260273999</v>
          </cell>
          <cell r="R39">
            <v>200</v>
          </cell>
          <cell r="S39">
            <v>5.1239496223521031E-3</v>
          </cell>
          <cell r="T39">
            <v>0</v>
          </cell>
          <cell r="U39">
            <v>0</v>
          </cell>
          <cell r="V39">
            <v>200</v>
          </cell>
          <cell r="W39">
            <v>11.647397260273999</v>
          </cell>
          <cell r="X39">
            <v>-188.352602739726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200</v>
          </cell>
          <cell r="AD39">
            <v>11.647397260273999</v>
          </cell>
          <cell r="AE39">
            <v>-188.352602739726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200</v>
          </cell>
          <cell r="AK39">
            <v>11.647397260273999</v>
          </cell>
          <cell r="AL39">
            <v>-188.352602739726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200</v>
          </cell>
          <cell r="AR39">
            <v>11.647397260273999</v>
          </cell>
          <cell r="AS39">
            <v>-188.352602739726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200</v>
          </cell>
          <cell r="AY39">
            <v>11.647397260273999</v>
          </cell>
          <cell r="AZ39">
            <v>-188.352602739726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200</v>
          </cell>
          <cell r="BF39">
            <v>11.647397260273999</v>
          </cell>
          <cell r="BG39">
            <v>-188.352602739726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200</v>
          </cell>
          <cell r="BM39">
            <v>11.647397260273999</v>
          </cell>
          <cell r="BN39">
            <v>-188.352602739726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200</v>
          </cell>
          <cell r="BT39">
            <v>11.647397260273999</v>
          </cell>
          <cell r="BU39">
            <v>-188.352602739726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200</v>
          </cell>
          <cell r="CA39">
            <v>11.647397260273999</v>
          </cell>
          <cell r="CB39">
            <v>-188.352602739726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200</v>
          </cell>
          <cell r="CH39">
            <v>11.647397260273999</v>
          </cell>
        </row>
        <row r="40">
          <cell r="A40" t="str">
            <v>Pauta</v>
          </cell>
          <cell r="B40">
            <v>2.2541306633206963E-2</v>
          </cell>
          <cell r="C40">
            <v>735.57167493924851</v>
          </cell>
          <cell r="D40">
            <v>740</v>
          </cell>
          <cell r="E40">
            <v>2.4666666666666667E-2</v>
          </cell>
          <cell r="F40">
            <v>728.76962475317362</v>
          </cell>
          <cell r="G40">
            <v>2.403593749185929E-2</v>
          </cell>
          <cell r="H40">
            <v>740</v>
          </cell>
          <cell r="I40">
            <v>728.76962475317362</v>
          </cell>
          <cell r="J40">
            <v>-11.230375246826384</v>
          </cell>
          <cell r="K40">
            <v>740</v>
          </cell>
          <cell r="L40">
            <v>2.4666666666666667E-2</v>
          </cell>
          <cell r="M40">
            <v>806.87667840531572</v>
          </cell>
          <cell r="N40">
            <v>2.5120693599169231E-2</v>
          </cell>
          <cell r="O40">
            <v>1480</v>
          </cell>
          <cell r="P40">
            <v>1535.6463031584894</v>
          </cell>
          <cell r="Q40">
            <v>55.646303158489445</v>
          </cell>
          <cell r="R40">
            <v>740</v>
          </cell>
          <cell r="S40">
            <v>1.8958613602702783E-2</v>
          </cell>
          <cell r="T40">
            <v>973.62042302504813</v>
          </cell>
          <cell r="U40">
            <v>3.3995126502271232E-2</v>
          </cell>
          <cell r="V40">
            <v>2220</v>
          </cell>
          <cell r="W40">
            <v>2509.2667261835377</v>
          </cell>
          <cell r="X40">
            <v>289.26672618353768</v>
          </cell>
          <cell r="Y40">
            <v>740</v>
          </cell>
          <cell r="Z40">
            <v>1.8958613602702783E-2</v>
          </cell>
          <cell r="AA40">
            <v>0</v>
          </cell>
          <cell r="AB40">
            <v>0</v>
          </cell>
          <cell r="AC40">
            <v>2960</v>
          </cell>
          <cell r="AD40">
            <v>2509.2667261835377</v>
          </cell>
          <cell r="AE40">
            <v>-450.73327381646232</v>
          </cell>
          <cell r="AF40">
            <v>740</v>
          </cell>
          <cell r="AG40">
            <v>1.8958613602702783E-2</v>
          </cell>
          <cell r="AH40">
            <v>0</v>
          </cell>
          <cell r="AI40" t="e">
            <v>#DIV/0!</v>
          </cell>
          <cell r="AJ40">
            <v>3700</v>
          </cell>
          <cell r="AK40">
            <v>2509.2667261835377</v>
          </cell>
          <cell r="AL40">
            <v>-1190.7332738164623</v>
          </cell>
          <cell r="AM40">
            <v>740</v>
          </cell>
          <cell r="AN40">
            <v>1.8958613602702783E-2</v>
          </cell>
          <cell r="AO40">
            <v>0</v>
          </cell>
          <cell r="AP40" t="e">
            <v>#DIV/0!</v>
          </cell>
          <cell r="AQ40">
            <v>4440</v>
          </cell>
          <cell r="AR40">
            <v>2509.2667261835377</v>
          </cell>
          <cell r="AS40">
            <v>-1930.7332738164623</v>
          </cell>
          <cell r="AT40">
            <v>740</v>
          </cell>
          <cell r="AU40">
            <v>1.8958613602702783E-2</v>
          </cell>
          <cell r="AV40">
            <v>0</v>
          </cell>
          <cell r="AW40" t="e">
            <v>#DIV/0!</v>
          </cell>
          <cell r="AX40">
            <v>5180</v>
          </cell>
          <cell r="AY40">
            <v>2509.2667261835377</v>
          </cell>
          <cell r="AZ40">
            <v>-2670.7332738164623</v>
          </cell>
          <cell r="BA40">
            <v>740</v>
          </cell>
          <cell r="BB40">
            <v>1.8958613602702783E-2</v>
          </cell>
          <cell r="BC40">
            <v>0</v>
          </cell>
          <cell r="BD40" t="e">
            <v>#DIV/0!</v>
          </cell>
          <cell r="BE40">
            <v>5920</v>
          </cell>
          <cell r="BF40">
            <v>2509.2667261835377</v>
          </cell>
          <cell r="BG40">
            <v>-3410.7332738164623</v>
          </cell>
          <cell r="BH40">
            <v>740</v>
          </cell>
          <cell r="BI40">
            <v>1.8958613602702783E-2</v>
          </cell>
          <cell r="BJ40">
            <v>0</v>
          </cell>
          <cell r="BK40">
            <v>0</v>
          </cell>
          <cell r="BL40">
            <v>6660</v>
          </cell>
          <cell r="BM40">
            <v>2509.2667261835377</v>
          </cell>
          <cell r="BN40">
            <v>-4150.7332738164623</v>
          </cell>
          <cell r="BO40">
            <v>740</v>
          </cell>
          <cell r="BP40">
            <v>1.8958613602702783E-2</v>
          </cell>
          <cell r="BQ40">
            <v>0</v>
          </cell>
          <cell r="BR40" t="e">
            <v>#DIV/0!</v>
          </cell>
          <cell r="BS40">
            <v>7400</v>
          </cell>
          <cell r="BT40">
            <v>2509.2667261835377</v>
          </cell>
          <cell r="BU40">
            <v>-4890.7332738164623</v>
          </cell>
          <cell r="BV40">
            <v>740</v>
          </cell>
          <cell r="BW40">
            <v>1.8958613602702783E-2</v>
          </cell>
          <cell r="BX40">
            <v>0</v>
          </cell>
          <cell r="BY40" t="e">
            <v>#DIV/0!</v>
          </cell>
          <cell r="BZ40">
            <v>8140</v>
          </cell>
          <cell r="CA40">
            <v>2509.2667261835377</v>
          </cell>
          <cell r="CB40">
            <v>-5630.7332738164623</v>
          </cell>
          <cell r="CC40">
            <v>740</v>
          </cell>
          <cell r="CD40">
            <v>1.8958613602702783E-2</v>
          </cell>
          <cell r="CE40">
            <v>0</v>
          </cell>
          <cell r="CF40" t="e">
            <v>#DIV/0!</v>
          </cell>
          <cell r="CG40">
            <v>8880</v>
          </cell>
          <cell r="CH40">
            <v>2509.2667261835377</v>
          </cell>
        </row>
        <row r="41">
          <cell r="A41" t="str">
            <v>Pauta - Gestão de Pauta</v>
          </cell>
          <cell r="B41">
            <v>1.022958475206877E-2</v>
          </cell>
          <cell r="C41">
            <v>333.81351456030012</v>
          </cell>
          <cell r="D41">
            <v>350</v>
          </cell>
          <cell r="E41">
            <v>1.1666666666666667E-2</v>
          </cell>
          <cell r="F41">
            <v>474.50251179824988</v>
          </cell>
          <cell r="G41">
            <v>1.5649818990707449E-2</v>
          </cell>
          <cell r="H41">
            <v>350</v>
          </cell>
          <cell r="I41">
            <v>474.50251179824988</v>
          </cell>
          <cell r="J41">
            <v>124.50251179824988</v>
          </cell>
          <cell r="K41">
            <v>350</v>
          </cell>
          <cell r="L41">
            <v>1.1666666666666667E-2</v>
          </cell>
          <cell r="M41">
            <v>337.14831107906406</v>
          </cell>
          <cell r="N41">
            <v>1.0496522760867499E-2</v>
          </cell>
          <cell r="O41">
            <v>700</v>
          </cell>
          <cell r="P41">
            <v>811.65082287731389</v>
          </cell>
          <cell r="Q41">
            <v>111.65082287731389</v>
          </cell>
          <cell r="R41">
            <v>350</v>
          </cell>
          <cell r="S41">
            <v>8.9669118391161803E-3</v>
          </cell>
          <cell r="T41">
            <v>429.40307966874752</v>
          </cell>
          <cell r="U41">
            <v>1.49931242901099E-2</v>
          </cell>
          <cell r="V41">
            <v>1050</v>
          </cell>
          <cell r="W41">
            <v>1241.0539025460614</v>
          </cell>
          <cell r="X41">
            <v>191.05390254606141</v>
          </cell>
          <cell r="Y41">
            <v>350</v>
          </cell>
          <cell r="Z41">
            <v>8.9669118391161803E-3</v>
          </cell>
          <cell r="AA41">
            <v>0</v>
          </cell>
          <cell r="AB41">
            <v>0</v>
          </cell>
          <cell r="AC41">
            <v>1400</v>
          </cell>
          <cell r="AD41">
            <v>1241.0539025460614</v>
          </cell>
          <cell r="AE41">
            <v>-158.94609745393859</v>
          </cell>
          <cell r="AF41">
            <v>350</v>
          </cell>
          <cell r="AG41">
            <v>8.9669118391161803E-3</v>
          </cell>
          <cell r="AH41">
            <v>0</v>
          </cell>
          <cell r="AI41" t="e">
            <v>#DIV/0!</v>
          </cell>
          <cell r="AJ41">
            <v>1750</v>
          </cell>
          <cell r="AK41">
            <v>1241.0539025460614</v>
          </cell>
          <cell r="AL41">
            <v>-508.94609745393859</v>
          </cell>
          <cell r="AM41">
            <v>350</v>
          </cell>
          <cell r="AN41">
            <v>8.9669118391161803E-3</v>
          </cell>
          <cell r="AO41">
            <v>0</v>
          </cell>
          <cell r="AP41" t="e">
            <v>#DIV/0!</v>
          </cell>
          <cell r="AQ41">
            <v>2100</v>
          </cell>
          <cell r="AR41">
            <v>1241.0539025460614</v>
          </cell>
          <cell r="AS41">
            <v>-858.94609745393859</v>
          </cell>
          <cell r="AT41">
            <v>350</v>
          </cell>
          <cell r="AU41">
            <v>8.9669118391161803E-3</v>
          </cell>
          <cell r="AV41">
            <v>0</v>
          </cell>
          <cell r="AW41" t="e">
            <v>#DIV/0!</v>
          </cell>
          <cell r="AX41">
            <v>2450</v>
          </cell>
          <cell r="AY41">
            <v>1241.0539025460614</v>
          </cell>
          <cell r="AZ41">
            <v>-1208.9460974539386</v>
          </cell>
          <cell r="BA41">
            <v>350</v>
          </cell>
          <cell r="BB41">
            <v>8.9669118391161803E-3</v>
          </cell>
          <cell r="BC41">
            <v>0</v>
          </cell>
          <cell r="BD41" t="e">
            <v>#DIV/0!</v>
          </cell>
          <cell r="BE41">
            <v>2800</v>
          </cell>
          <cell r="BF41">
            <v>1241.0539025460614</v>
          </cell>
          <cell r="BG41">
            <v>-1558.9460974539386</v>
          </cell>
          <cell r="BH41">
            <v>350</v>
          </cell>
          <cell r="BI41">
            <v>8.9669118391161803E-3</v>
          </cell>
          <cell r="BJ41">
            <v>0</v>
          </cell>
          <cell r="BK41">
            <v>0</v>
          </cell>
          <cell r="BL41">
            <v>3150</v>
          </cell>
          <cell r="BM41">
            <v>1241.0539025460614</v>
          </cell>
          <cell r="BN41">
            <v>-1908.9460974539386</v>
          </cell>
          <cell r="BO41">
            <v>350</v>
          </cell>
          <cell r="BP41">
            <v>8.9669118391161803E-3</v>
          </cell>
          <cell r="BQ41">
            <v>0</v>
          </cell>
          <cell r="BR41" t="e">
            <v>#DIV/0!</v>
          </cell>
          <cell r="BS41">
            <v>3500</v>
          </cell>
          <cell r="BT41">
            <v>1241.0539025460614</v>
          </cell>
          <cell r="BU41">
            <v>-2258.9460974539388</v>
          </cell>
          <cell r="BV41">
            <v>350</v>
          </cell>
          <cell r="BW41">
            <v>8.9669118391161803E-3</v>
          </cell>
          <cell r="BX41">
            <v>0</v>
          </cell>
          <cell r="BY41" t="e">
            <v>#DIV/0!</v>
          </cell>
          <cell r="BZ41">
            <v>3850</v>
          </cell>
          <cell r="CA41">
            <v>1241.0539025460614</v>
          </cell>
          <cell r="CB41">
            <v>-2608.9460974539388</v>
          </cell>
          <cell r="CC41">
            <v>350</v>
          </cell>
          <cell r="CD41">
            <v>8.9669118391161803E-3</v>
          </cell>
          <cell r="CE41">
            <v>0</v>
          </cell>
          <cell r="CF41" t="e">
            <v>#DIV/0!</v>
          </cell>
          <cell r="CG41">
            <v>4200</v>
          </cell>
          <cell r="CH41">
            <v>1241.0539025460614</v>
          </cell>
        </row>
        <row r="42">
          <cell r="A42" t="str">
            <v>Seguro de Vida</v>
          </cell>
          <cell r="B42">
            <v>1.5501080656611828E-3</v>
          </cell>
          <cell r="C42">
            <v>50.583384749999993</v>
          </cell>
          <cell r="D42">
            <v>36.42</v>
          </cell>
          <cell r="E42">
            <v>1.214E-3</v>
          </cell>
          <cell r="F42">
            <v>34.530002000000003</v>
          </cell>
          <cell r="G42">
            <v>1.1388523087071242E-3</v>
          </cell>
          <cell r="H42">
            <v>36.42</v>
          </cell>
          <cell r="I42">
            <v>34.530002000000003</v>
          </cell>
          <cell r="J42">
            <v>-1.8899979999999985</v>
          </cell>
          <cell r="K42">
            <v>36.42</v>
          </cell>
          <cell r="L42">
            <v>1.214E-3</v>
          </cell>
          <cell r="M42">
            <v>34.530006999999998</v>
          </cell>
          <cell r="N42">
            <v>1.0750313511830635E-3</v>
          </cell>
          <cell r="O42">
            <v>72.84</v>
          </cell>
          <cell r="P42">
            <v>69.060009000000008</v>
          </cell>
          <cell r="Q42">
            <v>-3.7799909999999954</v>
          </cell>
          <cell r="R42">
            <v>36.42</v>
          </cell>
          <cell r="S42">
            <v>9.3307122623031806E-4</v>
          </cell>
          <cell r="T42">
            <v>34.530008000000002</v>
          </cell>
          <cell r="U42">
            <v>1.2056567039106145E-3</v>
          </cell>
          <cell r="V42">
            <v>109.26</v>
          </cell>
          <cell r="W42">
            <v>103.59001700000002</v>
          </cell>
          <cell r="X42">
            <v>-5.6699829999999878</v>
          </cell>
          <cell r="Y42">
            <v>36.42</v>
          </cell>
          <cell r="Z42">
            <v>9.3307122623031806E-4</v>
          </cell>
          <cell r="AA42">
            <v>0</v>
          </cell>
          <cell r="AB42">
            <v>0</v>
          </cell>
          <cell r="AC42">
            <v>145.68</v>
          </cell>
          <cell r="AD42">
            <v>103.59001700000002</v>
          </cell>
          <cell r="AE42">
            <v>-42.089982999999989</v>
          </cell>
          <cell r="AF42">
            <v>36.42</v>
          </cell>
          <cell r="AG42">
            <v>9.3307122623031806E-4</v>
          </cell>
          <cell r="AH42">
            <v>0</v>
          </cell>
          <cell r="AI42" t="e">
            <v>#DIV/0!</v>
          </cell>
          <cell r="AJ42">
            <v>182.10000000000002</v>
          </cell>
          <cell r="AK42">
            <v>103.59001700000002</v>
          </cell>
          <cell r="AL42">
            <v>-78.509983000000005</v>
          </cell>
          <cell r="AM42">
            <v>36.42</v>
          </cell>
          <cell r="AN42">
            <v>9.3307122623031806E-4</v>
          </cell>
          <cell r="AO42">
            <v>0</v>
          </cell>
          <cell r="AP42" t="e">
            <v>#DIV/0!</v>
          </cell>
          <cell r="AQ42">
            <v>218.52000000000004</v>
          </cell>
          <cell r="AR42">
            <v>103.59001700000002</v>
          </cell>
          <cell r="AS42">
            <v>-114.92998300000002</v>
          </cell>
          <cell r="AT42">
            <v>36.42</v>
          </cell>
          <cell r="AU42">
            <v>9.3307122623031806E-4</v>
          </cell>
          <cell r="AV42">
            <v>0</v>
          </cell>
          <cell r="AW42" t="e">
            <v>#DIV/0!</v>
          </cell>
          <cell r="AX42">
            <v>254.94000000000005</v>
          </cell>
          <cell r="AY42">
            <v>103.59001700000002</v>
          </cell>
          <cell r="AZ42">
            <v>-151.34998300000004</v>
          </cell>
          <cell r="BA42">
            <v>36.42</v>
          </cell>
          <cell r="BB42">
            <v>9.3307122623031806E-4</v>
          </cell>
          <cell r="BC42">
            <v>0</v>
          </cell>
          <cell r="BD42" t="e">
            <v>#DIV/0!</v>
          </cell>
          <cell r="BE42">
            <v>291.36000000000007</v>
          </cell>
          <cell r="BF42">
            <v>103.59001700000002</v>
          </cell>
          <cell r="BG42">
            <v>-187.76998300000005</v>
          </cell>
          <cell r="BH42">
            <v>36.42</v>
          </cell>
          <cell r="BI42">
            <v>9.3307122623031806E-4</v>
          </cell>
          <cell r="BJ42">
            <v>0</v>
          </cell>
          <cell r="BK42">
            <v>0</v>
          </cell>
          <cell r="BL42">
            <v>327.78000000000009</v>
          </cell>
          <cell r="BM42">
            <v>103.59001700000002</v>
          </cell>
          <cell r="BN42">
            <v>-224.18998300000007</v>
          </cell>
          <cell r="BO42">
            <v>36.42</v>
          </cell>
          <cell r="BP42">
            <v>9.3307122623031806E-4</v>
          </cell>
          <cell r="BQ42">
            <v>0</v>
          </cell>
          <cell r="BR42" t="e">
            <v>#DIV/0!</v>
          </cell>
          <cell r="BS42">
            <v>364.2000000000001</v>
          </cell>
          <cell r="BT42">
            <v>103.59001700000002</v>
          </cell>
          <cell r="BU42">
            <v>-260.60998300000006</v>
          </cell>
          <cell r="BV42">
            <v>36.42</v>
          </cell>
          <cell r="BW42">
            <v>9.3307122623031806E-4</v>
          </cell>
          <cell r="BX42">
            <v>0</v>
          </cell>
          <cell r="BY42" t="e">
            <v>#DIV/0!</v>
          </cell>
          <cell r="BZ42">
            <v>400.62000000000012</v>
          </cell>
          <cell r="CA42">
            <v>103.59001700000002</v>
          </cell>
          <cell r="CB42">
            <v>-297.02998300000013</v>
          </cell>
          <cell r="CC42">
            <v>36.42</v>
          </cell>
          <cell r="CD42">
            <v>9.3307122623031806E-4</v>
          </cell>
          <cell r="CE42">
            <v>0</v>
          </cell>
          <cell r="CF42" t="e">
            <v>#DIV/0!</v>
          </cell>
          <cell r="CG42">
            <v>437.04000000000013</v>
          </cell>
          <cell r="CH42">
            <v>103.59001700000002</v>
          </cell>
        </row>
        <row r="43">
          <cell r="A43" t="str">
            <v>Plano de Saúde</v>
          </cell>
          <cell r="B43">
            <v>0.10158581152033014</v>
          </cell>
          <cell r="C43">
            <v>3314.9651325</v>
          </cell>
          <cell r="D43">
            <v>2750</v>
          </cell>
          <cell r="E43">
            <v>9.166666666666666E-2</v>
          </cell>
          <cell r="F43">
            <v>2857.4306059999999</v>
          </cell>
          <cell r="G43">
            <v>9.424243423482849E-2</v>
          </cell>
          <cell r="H43">
            <v>2750</v>
          </cell>
          <cell r="I43">
            <v>2857.4306059999999</v>
          </cell>
          <cell r="J43">
            <v>107.4306059999999</v>
          </cell>
          <cell r="K43">
            <v>2750</v>
          </cell>
          <cell r="L43">
            <v>9.166666666666666E-2</v>
          </cell>
          <cell r="M43">
            <v>2851.540227</v>
          </cell>
          <cell r="N43">
            <v>8.8777715660024903E-2</v>
          </cell>
          <cell r="O43">
            <v>5500</v>
          </cell>
          <cell r="P43">
            <v>5708.9708329999994</v>
          </cell>
          <cell r="Q43">
            <v>208.9708329999994</v>
          </cell>
          <cell r="R43">
            <v>2750</v>
          </cell>
          <cell r="S43">
            <v>7.045430730734141E-2</v>
          </cell>
          <cell r="T43">
            <v>3552.522270180662</v>
          </cell>
          <cell r="U43">
            <v>0.12404058205938065</v>
          </cell>
          <cell r="V43">
            <v>8250</v>
          </cell>
          <cell r="W43">
            <v>9261.4931031806609</v>
          </cell>
          <cell r="X43">
            <v>1011.4931031806609</v>
          </cell>
          <cell r="Y43">
            <v>2750</v>
          </cell>
          <cell r="Z43">
            <v>7.045430730734141E-2</v>
          </cell>
          <cell r="AA43">
            <v>0</v>
          </cell>
          <cell r="AB43">
            <v>0</v>
          </cell>
          <cell r="AC43">
            <v>11000</v>
          </cell>
          <cell r="AD43">
            <v>9261.4931031806609</v>
          </cell>
          <cell r="AE43">
            <v>-1738.5068968193391</v>
          </cell>
          <cell r="AF43">
            <v>2750</v>
          </cell>
          <cell r="AG43">
            <v>7.045430730734141E-2</v>
          </cell>
          <cell r="AH43">
            <v>0</v>
          </cell>
          <cell r="AI43" t="e">
            <v>#DIV/0!</v>
          </cell>
          <cell r="AJ43">
            <v>13750</v>
          </cell>
          <cell r="AK43">
            <v>9261.4931031806609</v>
          </cell>
          <cell r="AL43">
            <v>-4488.5068968193391</v>
          </cell>
          <cell r="AM43">
            <v>2750</v>
          </cell>
          <cell r="AN43">
            <v>7.045430730734141E-2</v>
          </cell>
          <cell r="AO43">
            <v>0</v>
          </cell>
          <cell r="AP43" t="e">
            <v>#DIV/0!</v>
          </cell>
          <cell r="AQ43">
            <v>16500</v>
          </cell>
          <cell r="AR43">
            <v>9261.4931031806609</v>
          </cell>
          <cell r="AS43">
            <v>-7238.5068968193391</v>
          </cell>
          <cell r="AT43">
            <v>2750</v>
          </cell>
          <cell r="AU43">
            <v>7.045430730734141E-2</v>
          </cell>
          <cell r="AV43">
            <v>0</v>
          </cell>
          <cell r="AW43" t="e">
            <v>#DIV/0!</v>
          </cell>
          <cell r="AX43">
            <v>19250</v>
          </cell>
          <cell r="AY43">
            <v>9261.4931031806609</v>
          </cell>
          <cell r="AZ43">
            <v>-9988.5068968193391</v>
          </cell>
          <cell r="BA43">
            <v>2750</v>
          </cell>
          <cell r="BB43">
            <v>7.045430730734141E-2</v>
          </cell>
          <cell r="BC43">
            <v>0</v>
          </cell>
          <cell r="BD43" t="e">
            <v>#DIV/0!</v>
          </cell>
          <cell r="BE43">
            <v>22000</v>
          </cell>
          <cell r="BF43">
            <v>9261.4931031806609</v>
          </cell>
          <cell r="BG43">
            <v>-12738.506896819339</v>
          </cell>
          <cell r="BH43">
            <v>2750</v>
          </cell>
          <cell r="BI43">
            <v>7.045430730734141E-2</v>
          </cell>
          <cell r="BJ43">
            <v>0</v>
          </cell>
          <cell r="BK43">
            <v>0</v>
          </cell>
          <cell r="BL43">
            <v>24750</v>
          </cell>
          <cell r="BM43">
            <v>9261.4931031806609</v>
          </cell>
          <cell r="BN43">
            <v>-15488.506896819339</v>
          </cell>
          <cell r="BO43">
            <v>3162.5</v>
          </cell>
          <cell r="BP43">
            <v>8.1022453403442635E-2</v>
          </cell>
          <cell r="BQ43">
            <v>0</v>
          </cell>
          <cell r="BR43" t="e">
            <v>#DIV/0!</v>
          </cell>
          <cell r="BS43">
            <v>27912.5</v>
          </cell>
          <cell r="BT43">
            <v>9261.4931031806609</v>
          </cell>
          <cell r="BU43">
            <v>-18651.006896819337</v>
          </cell>
          <cell r="BV43">
            <v>3162.5</v>
          </cell>
          <cell r="BW43">
            <v>8.1022453403442635E-2</v>
          </cell>
          <cell r="BX43">
            <v>0</v>
          </cell>
          <cell r="BY43" t="e">
            <v>#DIV/0!</v>
          </cell>
          <cell r="BZ43">
            <v>31075</v>
          </cell>
          <cell r="CA43">
            <v>9261.4931031806609</v>
          </cell>
          <cell r="CB43">
            <v>-21813.506896819337</v>
          </cell>
          <cell r="CC43">
            <v>3162.5</v>
          </cell>
          <cell r="CD43">
            <v>8.1022453403442635E-2</v>
          </cell>
          <cell r="CE43">
            <v>0</v>
          </cell>
          <cell r="CF43" t="e">
            <v>#DIV/0!</v>
          </cell>
          <cell r="CG43">
            <v>34237.5</v>
          </cell>
          <cell r="CH43">
            <v>9261.4931031806609</v>
          </cell>
        </row>
        <row r="44">
          <cell r="A44" t="str">
            <v>Plano Odontológico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0.34482421788194462</v>
          </cell>
          <cell r="C46">
            <v>11252.361348626597</v>
          </cell>
          <cell r="D46">
            <v>14000</v>
          </cell>
          <cell r="E46">
            <v>0.46666666666666667</v>
          </cell>
          <cell r="F46">
            <v>11032.907424242425</v>
          </cell>
          <cell r="G46">
            <v>0.36388217098424885</v>
          </cell>
          <cell r="H46">
            <v>14000</v>
          </cell>
          <cell r="I46">
            <v>11032.907424242425</v>
          </cell>
          <cell r="J46">
            <v>-2967.0925757575751</v>
          </cell>
          <cell r="K46">
            <v>14000</v>
          </cell>
          <cell r="L46">
            <v>0.46666666666666667</v>
          </cell>
          <cell r="M46">
            <v>9828.5928082191786</v>
          </cell>
          <cell r="N46">
            <v>0.30599604010645015</v>
          </cell>
          <cell r="O46">
            <v>28000</v>
          </cell>
          <cell r="P46">
            <v>20861.500232461603</v>
          </cell>
          <cell r="Q46">
            <v>-7138.4997675383966</v>
          </cell>
          <cell r="R46">
            <v>14000</v>
          </cell>
          <cell r="S46">
            <v>0.35867647356464721</v>
          </cell>
          <cell r="T46">
            <v>10767.889399191767</v>
          </cell>
          <cell r="U46">
            <v>0.37597379187122087</v>
          </cell>
          <cell r="V46">
            <v>42000</v>
          </cell>
          <cell r="W46">
            <v>31629.389631653372</v>
          </cell>
          <cell r="X46">
            <v>-10370.610368346628</v>
          </cell>
          <cell r="Y46">
            <v>14000</v>
          </cell>
          <cell r="Z46">
            <v>0.35867647356464721</v>
          </cell>
          <cell r="AA46">
            <v>0</v>
          </cell>
          <cell r="AB46">
            <v>0</v>
          </cell>
          <cell r="AC46">
            <v>56000</v>
          </cell>
          <cell r="AD46">
            <v>31629.389631653372</v>
          </cell>
          <cell r="AE46">
            <v>-24370.610368346628</v>
          </cell>
          <cell r="AF46">
            <v>14000</v>
          </cell>
          <cell r="AG46">
            <v>0.35867647356464721</v>
          </cell>
          <cell r="AH46">
            <v>0</v>
          </cell>
          <cell r="AI46" t="e">
            <v>#DIV/0!</v>
          </cell>
          <cell r="AJ46">
            <v>70000</v>
          </cell>
          <cell r="AK46">
            <v>31629.389631653372</v>
          </cell>
          <cell r="AL46">
            <v>-38370.610368346628</v>
          </cell>
          <cell r="AM46">
            <v>14000</v>
          </cell>
          <cell r="AN46">
            <v>0.35867647356464721</v>
          </cell>
          <cell r="AO46">
            <v>0</v>
          </cell>
          <cell r="AP46" t="e">
            <v>#DIV/0!</v>
          </cell>
          <cell r="AQ46">
            <v>84000</v>
          </cell>
          <cell r="AR46">
            <v>31629.389631653372</v>
          </cell>
          <cell r="AS46">
            <v>-52370.610368346628</v>
          </cell>
          <cell r="AT46">
            <v>14000</v>
          </cell>
          <cell r="AU46">
            <v>0.35867647356464721</v>
          </cell>
          <cell r="AV46">
            <v>0</v>
          </cell>
          <cell r="AW46" t="e">
            <v>#DIV/0!</v>
          </cell>
          <cell r="AX46">
            <v>98000</v>
          </cell>
          <cell r="AY46">
            <v>31629.389631653372</v>
          </cell>
          <cell r="AZ46">
            <v>-66370.610368346621</v>
          </cell>
          <cell r="BA46">
            <v>14000</v>
          </cell>
          <cell r="BB46">
            <v>0.35867647356464721</v>
          </cell>
          <cell r="BC46">
            <v>0</v>
          </cell>
          <cell r="BD46" t="e">
            <v>#DIV/0!</v>
          </cell>
          <cell r="BE46">
            <v>112000</v>
          </cell>
          <cell r="BF46">
            <v>31629.389631653372</v>
          </cell>
          <cell r="BG46">
            <v>-80370.610368346621</v>
          </cell>
          <cell r="BH46">
            <v>14000</v>
          </cell>
          <cell r="BI46">
            <v>0.35867647356464721</v>
          </cell>
          <cell r="BJ46">
            <v>0</v>
          </cell>
          <cell r="BK46">
            <v>0</v>
          </cell>
          <cell r="BL46">
            <v>126000</v>
          </cell>
          <cell r="BM46">
            <v>31629.389631653372</v>
          </cell>
          <cell r="BN46">
            <v>-94370.610368346621</v>
          </cell>
          <cell r="BO46">
            <v>14000</v>
          </cell>
          <cell r="BP46">
            <v>0.35867647356464721</v>
          </cell>
          <cell r="BQ46">
            <v>0</v>
          </cell>
          <cell r="BR46" t="e">
            <v>#DIV/0!</v>
          </cell>
          <cell r="BS46">
            <v>140000</v>
          </cell>
          <cell r="BT46">
            <v>31629.389631653372</v>
          </cell>
          <cell r="BU46">
            <v>-108370.61036834662</v>
          </cell>
          <cell r="BV46">
            <v>14000</v>
          </cell>
          <cell r="BW46">
            <v>0.35867647356464721</v>
          </cell>
          <cell r="BX46">
            <v>0</v>
          </cell>
          <cell r="BY46" t="e">
            <v>#DIV/0!</v>
          </cell>
          <cell r="BZ46">
            <v>154000</v>
          </cell>
          <cell r="CA46">
            <v>31629.389631653372</v>
          </cell>
          <cell r="CB46">
            <v>-122370.61036834662</v>
          </cell>
          <cell r="CC46">
            <v>14000</v>
          </cell>
          <cell r="CD46">
            <v>0.35867647356464721</v>
          </cell>
          <cell r="CE46">
            <v>0</v>
          </cell>
          <cell r="CF46" t="e">
            <v>#DIV/0!</v>
          </cell>
          <cell r="CG46">
            <v>168000</v>
          </cell>
          <cell r="CH46">
            <v>31629.389631653372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Alimentação / Refeição</v>
          </cell>
          <cell r="B48">
            <v>2.9644933436254058E-3</v>
          </cell>
          <cell r="C48">
            <v>96.737840871408181</v>
          </cell>
          <cell r="D48">
            <v>351.75</v>
          </cell>
          <cell r="E48">
            <v>1.1724999999999999E-2</v>
          </cell>
          <cell r="F48">
            <v>357.70575757575801</v>
          </cell>
          <cell r="G48">
            <v>1.1797683297353496E-2</v>
          </cell>
          <cell r="H48">
            <v>351.75</v>
          </cell>
          <cell r="I48">
            <v>357.70575757575801</v>
          </cell>
          <cell r="J48">
            <v>5.9557575757580139</v>
          </cell>
          <cell r="K48">
            <v>351.75</v>
          </cell>
          <cell r="L48">
            <v>1.1724999999999999E-2</v>
          </cell>
          <cell r="M48">
            <v>336.63917808219202</v>
          </cell>
          <cell r="N48">
            <v>1.0480671795834123E-2</v>
          </cell>
          <cell r="O48">
            <v>703.5</v>
          </cell>
          <cell r="P48">
            <v>694.34493565795003</v>
          </cell>
          <cell r="Q48">
            <v>-9.1550643420499682</v>
          </cell>
          <cell r="R48">
            <v>351.75</v>
          </cell>
          <cell r="S48">
            <v>9.0117463983117613E-3</v>
          </cell>
          <cell r="T48">
            <v>527.01682981589499</v>
          </cell>
          <cell r="U48">
            <v>1.8401425622063372E-2</v>
          </cell>
          <cell r="V48">
            <v>1055.25</v>
          </cell>
          <cell r="W48">
            <v>1221.361765473845</v>
          </cell>
          <cell r="X48">
            <v>166.11176547384503</v>
          </cell>
          <cell r="Y48">
            <v>351.75</v>
          </cell>
          <cell r="Z48">
            <v>9.0117463983117613E-3</v>
          </cell>
          <cell r="AA48">
            <v>0</v>
          </cell>
          <cell r="AB48">
            <v>0</v>
          </cell>
          <cell r="AC48">
            <v>1407</v>
          </cell>
          <cell r="AD48">
            <v>1221.361765473845</v>
          </cell>
          <cell r="AE48">
            <v>-185.63823452615497</v>
          </cell>
          <cell r="AF48">
            <v>351.75</v>
          </cell>
          <cell r="AG48">
            <v>9.0117463983117613E-3</v>
          </cell>
          <cell r="AH48">
            <v>0</v>
          </cell>
          <cell r="AI48" t="e">
            <v>#DIV/0!</v>
          </cell>
          <cell r="AJ48">
            <v>1758.75</v>
          </cell>
          <cell r="AK48">
            <v>1221.361765473845</v>
          </cell>
          <cell r="AL48">
            <v>-537.38823452615497</v>
          </cell>
          <cell r="AM48">
            <v>351.75</v>
          </cell>
          <cell r="AN48">
            <v>9.0117463983117613E-3</v>
          </cell>
          <cell r="AO48">
            <v>0</v>
          </cell>
          <cell r="AP48" t="e">
            <v>#DIV/0!</v>
          </cell>
          <cell r="AQ48">
            <v>2110.5</v>
          </cell>
          <cell r="AR48">
            <v>1221.361765473845</v>
          </cell>
          <cell r="AS48">
            <v>-889.13823452615497</v>
          </cell>
          <cell r="AT48">
            <v>351.75</v>
          </cell>
          <cell r="AU48">
            <v>9.0117463983117613E-3</v>
          </cell>
          <cell r="AV48">
            <v>0</v>
          </cell>
          <cell r="AW48" t="e">
            <v>#DIV/0!</v>
          </cell>
          <cell r="AX48">
            <v>2462.25</v>
          </cell>
          <cell r="AY48">
            <v>1221.361765473845</v>
          </cell>
          <cell r="AZ48">
            <v>-1240.888234526155</v>
          </cell>
          <cell r="BA48">
            <v>351.75</v>
          </cell>
          <cell r="BB48">
            <v>9.0117463983117613E-3</v>
          </cell>
          <cell r="BC48">
            <v>0</v>
          </cell>
          <cell r="BD48" t="e">
            <v>#DIV/0!</v>
          </cell>
          <cell r="BE48">
            <v>2814</v>
          </cell>
          <cell r="BF48">
            <v>1221.361765473845</v>
          </cell>
          <cell r="BG48">
            <v>-1592.638234526155</v>
          </cell>
          <cell r="BH48">
            <v>351.75</v>
          </cell>
          <cell r="BI48">
            <v>9.0117463983117613E-3</v>
          </cell>
          <cell r="BJ48">
            <v>0</v>
          </cell>
          <cell r="BK48">
            <v>0</v>
          </cell>
          <cell r="BL48">
            <v>3165.75</v>
          </cell>
          <cell r="BM48">
            <v>1221.361765473845</v>
          </cell>
          <cell r="BN48">
            <v>-1944.388234526155</v>
          </cell>
          <cell r="BO48">
            <v>351.75</v>
          </cell>
          <cell r="BP48">
            <v>9.0117463983117613E-3</v>
          </cell>
          <cell r="BQ48">
            <v>0</v>
          </cell>
          <cell r="BR48" t="e">
            <v>#DIV/0!</v>
          </cell>
          <cell r="BS48">
            <v>3517.5</v>
          </cell>
          <cell r="BT48">
            <v>1221.361765473845</v>
          </cell>
          <cell r="BU48">
            <v>-2296.138234526155</v>
          </cell>
          <cell r="BV48">
            <v>351.75</v>
          </cell>
          <cell r="BW48">
            <v>9.0117463983117613E-3</v>
          </cell>
          <cell r="BX48">
            <v>0</v>
          </cell>
          <cell r="BY48" t="e">
            <v>#DIV/0!</v>
          </cell>
          <cell r="BZ48">
            <v>3869.25</v>
          </cell>
          <cell r="CA48">
            <v>1221.361765473845</v>
          </cell>
          <cell r="CB48">
            <v>-2647.888234526155</v>
          </cell>
          <cell r="CC48">
            <v>351.75</v>
          </cell>
          <cell r="CD48">
            <v>9.0117463983117613E-3</v>
          </cell>
          <cell r="CE48">
            <v>0</v>
          </cell>
          <cell r="CF48" t="e">
            <v>#DIV/0!</v>
          </cell>
          <cell r="CG48">
            <v>4221</v>
          </cell>
          <cell r="CH48">
            <v>1221.361765473845</v>
          </cell>
        </row>
        <row r="49">
          <cell r="A49" t="str">
            <v>Vale Transporte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Viagens - Alimentação / Hospedagem</v>
          </cell>
          <cell r="B50">
            <v>1.5322304678921106E-3</v>
          </cell>
          <cell r="C50">
            <v>50</v>
          </cell>
          <cell r="D50">
            <v>210</v>
          </cell>
          <cell r="E50">
            <v>7.0000000000000001E-3</v>
          </cell>
          <cell r="F50">
            <v>0</v>
          </cell>
          <cell r="G50">
            <v>0</v>
          </cell>
          <cell r="H50">
            <v>210</v>
          </cell>
          <cell r="I50">
            <v>0</v>
          </cell>
          <cell r="J50">
            <v>-210</v>
          </cell>
          <cell r="K50">
            <v>210</v>
          </cell>
          <cell r="L50">
            <v>7.0000000000000001E-3</v>
          </cell>
          <cell r="M50">
            <v>0</v>
          </cell>
          <cell r="N50">
            <v>0</v>
          </cell>
          <cell r="O50">
            <v>420</v>
          </cell>
          <cell r="P50">
            <v>0</v>
          </cell>
          <cell r="Q50">
            <v>-420</v>
          </cell>
          <cell r="R50">
            <v>210</v>
          </cell>
          <cell r="S50">
            <v>5.3801471034697085E-3</v>
          </cell>
          <cell r="T50">
            <v>0</v>
          </cell>
          <cell r="U50">
            <v>0</v>
          </cell>
          <cell r="V50">
            <v>630</v>
          </cell>
          <cell r="W50">
            <v>0</v>
          </cell>
          <cell r="X50">
            <v>-630</v>
          </cell>
          <cell r="Y50">
            <v>210</v>
          </cell>
          <cell r="Z50">
            <v>5.3801471034697085E-3</v>
          </cell>
          <cell r="AA50">
            <v>0</v>
          </cell>
          <cell r="AB50">
            <v>0</v>
          </cell>
          <cell r="AC50">
            <v>840</v>
          </cell>
          <cell r="AD50">
            <v>0</v>
          </cell>
          <cell r="AE50">
            <v>-840</v>
          </cell>
          <cell r="AF50">
            <v>210</v>
          </cell>
          <cell r="AG50">
            <v>5.3801471034697085E-3</v>
          </cell>
          <cell r="AH50">
            <v>0</v>
          </cell>
          <cell r="AI50" t="e">
            <v>#DIV/0!</v>
          </cell>
          <cell r="AJ50">
            <v>1050</v>
          </cell>
          <cell r="AK50">
            <v>0</v>
          </cell>
          <cell r="AL50">
            <v>-1050</v>
          </cell>
          <cell r="AM50">
            <v>210</v>
          </cell>
          <cell r="AN50">
            <v>5.3801471034697085E-3</v>
          </cell>
          <cell r="AO50">
            <v>0</v>
          </cell>
          <cell r="AP50" t="e">
            <v>#DIV/0!</v>
          </cell>
          <cell r="AQ50">
            <v>1260</v>
          </cell>
          <cell r="AR50">
            <v>0</v>
          </cell>
          <cell r="AS50">
            <v>-1260</v>
          </cell>
          <cell r="AT50">
            <v>210</v>
          </cell>
          <cell r="AU50">
            <v>5.3801471034697085E-3</v>
          </cell>
          <cell r="AV50">
            <v>0</v>
          </cell>
          <cell r="AW50" t="e">
            <v>#DIV/0!</v>
          </cell>
          <cell r="AX50">
            <v>1470</v>
          </cell>
          <cell r="AY50">
            <v>0</v>
          </cell>
          <cell r="AZ50">
            <v>-1470</v>
          </cell>
          <cell r="BA50">
            <v>210</v>
          </cell>
          <cell r="BB50">
            <v>5.3801471034697085E-3</v>
          </cell>
          <cell r="BC50">
            <v>0</v>
          </cell>
          <cell r="BD50" t="e">
            <v>#DIV/0!</v>
          </cell>
          <cell r="BE50">
            <v>1680</v>
          </cell>
          <cell r="BF50">
            <v>0</v>
          </cell>
          <cell r="BG50">
            <v>-1680</v>
          </cell>
          <cell r="BH50">
            <v>210</v>
          </cell>
          <cell r="BI50">
            <v>5.3801471034697085E-3</v>
          </cell>
          <cell r="BJ50">
            <v>0</v>
          </cell>
          <cell r="BK50">
            <v>0</v>
          </cell>
          <cell r="BL50">
            <v>1890</v>
          </cell>
          <cell r="BM50">
            <v>0</v>
          </cell>
          <cell r="BN50">
            <v>-1890</v>
          </cell>
          <cell r="BO50">
            <v>210</v>
          </cell>
          <cell r="BP50">
            <v>5.3801471034697085E-3</v>
          </cell>
          <cell r="BQ50">
            <v>0</v>
          </cell>
          <cell r="BR50" t="e">
            <v>#DIV/0!</v>
          </cell>
          <cell r="BS50">
            <v>2100</v>
          </cell>
          <cell r="BT50">
            <v>0</v>
          </cell>
          <cell r="BU50">
            <v>-2100</v>
          </cell>
          <cell r="BV50">
            <v>210</v>
          </cell>
          <cell r="BW50">
            <v>5.3801471034697085E-3</v>
          </cell>
          <cell r="BX50">
            <v>0</v>
          </cell>
          <cell r="BY50" t="e">
            <v>#DIV/0!</v>
          </cell>
          <cell r="BZ50">
            <v>2310</v>
          </cell>
          <cell r="CA50">
            <v>0</v>
          </cell>
          <cell r="CB50">
            <v>-2310</v>
          </cell>
          <cell r="CC50">
            <v>210</v>
          </cell>
          <cell r="CD50">
            <v>5.3801471034697085E-3</v>
          </cell>
          <cell r="CE50">
            <v>0</v>
          </cell>
          <cell r="CF50" t="e">
            <v>#DIV/0!</v>
          </cell>
          <cell r="CG50">
            <v>2520</v>
          </cell>
          <cell r="CH50">
            <v>0</v>
          </cell>
        </row>
        <row r="51">
          <cell r="A51" t="str">
            <v>Viagens - Passagens / Traslados</v>
          </cell>
          <cell r="B51">
            <v>1.7994003871435646E-3</v>
          </cell>
          <cell r="C51">
            <v>58.718333333333327</v>
          </cell>
          <cell r="D51">
            <v>250</v>
          </cell>
          <cell r="E51">
            <v>8.3333333333333332E-3</v>
          </cell>
          <cell r="F51">
            <v>168.12</v>
          </cell>
          <cell r="G51">
            <v>5.5448548812664913E-3</v>
          </cell>
          <cell r="H51">
            <v>250</v>
          </cell>
          <cell r="I51">
            <v>168.12</v>
          </cell>
          <cell r="J51">
            <v>-81.88</v>
          </cell>
          <cell r="K51">
            <v>250</v>
          </cell>
          <cell r="L51">
            <v>8.3333333333333332E-3</v>
          </cell>
          <cell r="M51">
            <v>168.12</v>
          </cell>
          <cell r="N51">
            <v>5.2341220423412207E-3</v>
          </cell>
          <cell r="O51">
            <v>500</v>
          </cell>
          <cell r="P51">
            <v>336.24</v>
          </cell>
          <cell r="Q51">
            <v>-163.76</v>
          </cell>
          <cell r="R51">
            <v>250</v>
          </cell>
          <cell r="S51">
            <v>6.4049370279401288E-3</v>
          </cell>
          <cell r="T51">
            <v>168.12</v>
          </cell>
          <cell r="U51">
            <v>5.8701117318435752E-3</v>
          </cell>
          <cell r="V51">
            <v>750</v>
          </cell>
          <cell r="W51">
            <v>504.36</v>
          </cell>
          <cell r="X51">
            <v>-245.64</v>
          </cell>
          <cell r="Y51">
            <v>250</v>
          </cell>
          <cell r="Z51">
            <v>6.4049370279401288E-3</v>
          </cell>
          <cell r="AA51">
            <v>0</v>
          </cell>
          <cell r="AB51">
            <v>0</v>
          </cell>
          <cell r="AC51">
            <v>1000</v>
          </cell>
          <cell r="AD51">
            <v>504.36</v>
          </cell>
          <cell r="AE51">
            <v>-495.64</v>
          </cell>
          <cell r="AF51">
            <v>250</v>
          </cell>
          <cell r="AG51">
            <v>6.4049370279401288E-3</v>
          </cell>
          <cell r="AH51">
            <v>0</v>
          </cell>
          <cell r="AI51" t="e">
            <v>#DIV/0!</v>
          </cell>
          <cell r="AJ51">
            <v>1250</v>
          </cell>
          <cell r="AK51">
            <v>504.36</v>
          </cell>
          <cell r="AL51">
            <v>-745.64</v>
          </cell>
          <cell r="AM51">
            <v>250</v>
          </cell>
          <cell r="AN51">
            <v>6.4049370279401288E-3</v>
          </cell>
          <cell r="AO51">
            <v>0</v>
          </cell>
          <cell r="AP51" t="e">
            <v>#DIV/0!</v>
          </cell>
          <cell r="AQ51">
            <v>1500</v>
          </cell>
          <cell r="AR51">
            <v>504.36</v>
          </cell>
          <cell r="AS51">
            <v>-995.64</v>
          </cell>
          <cell r="AT51">
            <v>250</v>
          </cell>
          <cell r="AU51">
            <v>6.4049370279401288E-3</v>
          </cell>
          <cell r="AV51">
            <v>0</v>
          </cell>
          <cell r="AW51" t="e">
            <v>#DIV/0!</v>
          </cell>
          <cell r="AX51">
            <v>1750</v>
          </cell>
          <cell r="AY51">
            <v>504.36</v>
          </cell>
          <cell r="AZ51">
            <v>-1245.6399999999999</v>
          </cell>
          <cell r="BA51">
            <v>250</v>
          </cell>
          <cell r="BB51">
            <v>6.4049370279401288E-3</v>
          </cell>
          <cell r="BC51">
            <v>0</v>
          </cell>
          <cell r="BD51" t="e">
            <v>#DIV/0!</v>
          </cell>
          <cell r="BE51">
            <v>2000</v>
          </cell>
          <cell r="BF51">
            <v>504.36</v>
          </cell>
          <cell r="BG51">
            <v>-1495.6399999999999</v>
          </cell>
          <cell r="BH51">
            <v>250</v>
          </cell>
          <cell r="BI51">
            <v>6.4049370279401288E-3</v>
          </cell>
          <cell r="BJ51">
            <v>0</v>
          </cell>
          <cell r="BK51">
            <v>0</v>
          </cell>
          <cell r="BL51">
            <v>2250</v>
          </cell>
          <cell r="BM51">
            <v>504.36</v>
          </cell>
          <cell r="BN51">
            <v>-1745.6399999999999</v>
          </cell>
          <cell r="BO51">
            <v>250</v>
          </cell>
          <cell r="BP51">
            <v>6.4049370279401288E-3</v>
          </cell>
          <cell r="BQ51">
            <v>0</v>
          </cell>
          <cell r="BR51" t="e">
            <v>#DIV/0!</v>
          </cell>
          <cell r="BS51">
            <v>2500</v>
          </cell>
          <cell r="BT51">
            <v>504.36</v>
          </cell>
          <cell r="BU51">
            <v>-1995.6399999999999</v>
          </cell>
          <cell r="BV51">
            <v>250</v>
          </cell>
          <cell r="BW51">
            <v>6.4049370279401288E-3</v>
          </cell>
          <cell r="BX51">
            <v>0</v>
          </cell>
          <cell r="BY51" t="e">
            <v>#DIV/0!</v>
          </cell>
          <cell r="BZ51">
            <v>2750</v>
          </cell>
          <cell r="CA51">
            <v>504.36</v>
          </cell>
          <cell r="CB51">
            <v>-2245.64</v>
          </cell>
          <cell r="CC51">
            <v>250</v>
          </cell>
          <cell r="CD51">
            <v>6.4049370279401288E-3</v>
          </cell>
          <cell r="CE51">
            <v>0</v>
          </cell>
          <cell r="CF51" t="e">
            <v>#DIV/0!</v>
          </cell>
          <cell r="CG51">
            <v>3000</v>
          </cell>
          <cell r="CH51">
            <v>504.36</v>
          </cell>
        </row>
        <row r="52">
          <cell r="A52" t="str">
            <v>MadeiraMadeira - Total</v>
          </cell>
          <cell r="B52">
            <v>0.59740904867929734</v>
          </cell>
          <cell r="C52">
            <v>19494.75164467761</v>
          </cell>
          <cell r="D52">
            <v>22142.698079300295</v>
          </cell>
          <cell r="E52">
            <v>0.72808993597667637</v>
          </cell>
          <cell r="F52">
            <v>19831.498787683046</v>
          </cell>
          <cell r="G52">
            <v>0.65407317901329309</v>
          </cell>
          <cell r="H52">
            <v>22142.698079300295</v>
          </cell>
          <cell r="I52">
            <v>19831.498787683046</v>
          </cell>
          <cell r="J52">
            <v>-2311.1992916172453</v>
          </cell>
          <cell r="K52">
            <v>22142.698079300295</v>
          </cell>
          <cell r="L52">
            <v>0.72808993597667637</v>
          </cell>
          <cell r="M52">
            <v>16904.717520697326</v>
          </cell>
          <cell r="N52">
            <v>0.52629880201423818</v>
          </cell>
          <cell r="O52">
            <v>44285.39615860059</v>
          </cell>
          <cell r="P52">
            <v>36736.216308380383</v>
          </cell>
          <cell r="Q52">
            <v>-7549.1798502202073</v>
          </cell>
          <cell r="R52">
            <v>22433.021979300291</v>
          </cell>
          <cell r="S52">
            <v>0.56472837249526087</v>
          </cell>
          <cell r="T52">
            <v>18947.535817395805</v>
          </cell>
          <cell r="U52">
            <v>0.66157597127778656</v>
          </cell>
          <cell r="V52">
            <v>66718.418137900881</v>
          </cell>
          <cell r="W52">
            <v>55683.752125776191</v>
          </cell>
          <cell r="X52">
            <v>-11034.666012124691</v>
          </cell>
          <cell r="Y52">
            <v>22233.021979300291</v>
          </cell>
          <cell r="Z52">
            <v>0.55960442287290879</v>
          </cell>
          <cell r="AA52">
            <v>0</v>
          </cell>
          <cell r="AB52">
            <v>0</v>
          </cell>
          <cell r="AC52">
            <v>88951.440117201171</v>
          </cell>
          <cell r="AD52">
            <v>55683.752125776191</v>
          </cell>
          <cell r="AE52">
            <v>-33267.687991424988</v>
          </cell>
          <cell r="AF52">
            <v>22233.021979300291</v>
          </cell>
          <cell r="AG52">
            <v>0.55960442287290879</v>
          </cell>
          <cell r="AH52">
            <v>0</v>
          </cell>
          <cell r="AI52" t="e">
            <v>#DIV/0!</v>
          </cell>
          <cell r="AJ52">
            <v>111184.46209650146</v>
          </cell>
          <cell r="AK52">
            <v>55683.752125776191</v>
          </cell>
          <cell r="AL52">
            <v>-55500.709970725271</v>
          </cell>
          <cell r="AM52">
            <v>22233.021979300291</v>
          </cell>
          <cell r="AN52">
            <v>0.55960442287290879</v>
          </cell>
          <cell r="AO52">
            <v>0</v>
          </cell>
          <cell r="AP52" t="e">
            <v>#DIV/0!</v>
          </cell>
          <cell r="AQ52">
            <v>133417.48407580177</v>
          </cell>
          <cell r="AR52">
            <v>55683.752125776191</v>
          </cell>
          <cell r="AS52">
            <v>-77733.731950025569</v>
          </cell>
          <cell r="AT52">
            <v>22233.021979300291</v>
          </cell>
          <cell r="AU52">
            <v>0.55960442287290879</v>
          </cell>
          <cell r="AV52">
            <v>0</v>
          </cell>
          <cell r="AW52" t="e">
            <v>#DIV/0!</v>
          </cell>
          <cell r="AX52">
            <v>155650.50605510204</v>
          </cell>
          <cell r="AY52">
            <v>55683.752125776191</v>
          </cell>
          <cell r="AZ52">
            <v>-99966.75392932586</v>
          </cell>
          <cell r="BA52">
            <v>22233.021979300291</v>
          </cell>
          <cell r="BB52">
            <v>0.55960442287290879</v>
          </cell>
          <cell r="BC52">
            <v>0</v>
          </cell>
          <cell r="BD52" t="e">
            <v>#DIV/0!</v>
          </cell>
          <cell r="BE52">
            <v>177883.52803440235</v>
          </cell>
          <cell r="BF52">
            <v>55683.752125776191</v>
          </cell>
          <cell r="BG52">
            <v>-122199.77590862615</v>
          </cell>
          <cell r="BH52">
            <v>22233.021979300291</v>
          </cell>
          <cell r="BI52">
            <v>0.55960442287290879</v>
          </cell>
          <cell r="BJ52">
            <v>0</v>
          </cell>
          <cell r="BK52">
            <v>0</v>
          </cell>
          <cell r="BL52">
            <v>200116.55001370265</v>
          </cell>
          <cell r="BM52">
            <v>55683.752125776191</v>
          </cell>
          <cell r="BN52">
            <v>-144432.79788792646</v>
          </cell>
          <cell r="BO52">
            <v>22653.618737155328</v>
          </cell>
          <cell r="BP52">
            <v>0.57038000586577786</v>
          </cell>
          <cell r="BQ52">
            <v>0</v>
          </cell>
          <cell r="BR52" t="e">
            <v>#DIV/0!</v>
          </cell>
          <cell r="BS52">
            <v>222770.16875085796</v>
          </cell>
          <cell r="BT52">
            <v>55683.752125776191</v>
          </cell>
          <cell r="BU52">
            <v>-167086.41662508179</v>
          </cell>
          <cell r="BV52">
            <v>23165.338737155325</v>
          </cell>
          <cell r="BW52">
            <v>0.58349014336952798</v>
          </cell>
          <cell r="BX52">
            <v>0</v>
          </cell>
          <cell r="BY52" t="e">
            <v>#DIV/0!</v>
          </cell>
          <cell r="BZ52">
            <v>245935.5074880133</v>
          </cell>
          <cell r="CA52">
            <v>55683.752125776191</v>
          </cell>
          <cell r="CB52">
            <v>-190251.75536223711</v>
          </cell>
          <cell r="CC52">
            <v>23165.338737155325</v>
          </cell>
          <cell r="CD52">
            <v>0.59349014336952788</v>
          </cell>
          <cell r="CE52">
            <v>0</v>
          </cell>
          <cell r="CF52" t="e">
            <v>#DIV/0!</v>
          </cell>
          <cell r="CG52">
            <v>269100.84622516861</v>
          </cell>
          <cell r="CH52">
            <v>55683.752125776191</v>
          </cell>
        </row>
        <row r="53">
          <cell r="A53" t="str">
            <v>Distribuição Anual de Lucros</v>
          </cell>
          <cell r="F53">
            <v>0</v>
          </cell>
          <cell r="M53">
            <v>31028.880000000001</v>
          </cell>
          <cell r="T53">
            <v>0</v>
          </cell>
          <cell r="AA53">
            <v>0</v>
          </cell>
          <cell r="AH53">
            <v>0</v>
          </cell>
          <cell r="AO53">
            <v>0</v>
          </cell>
          <cell r="AV53">
            <v>0</v>
          </cell>
          <cell r="BC53">
            <v>0</v>
          </cell>
          <cell r="BJ53">
            <v>0</v>
          </cell>
          <cell r="BQ53">
            <v>0</v>
          </cell>
          <cell r="BX53">
            <v>0</v>
          </cell>
          <cell r="CE53">
            <v>0</v>
          </cell>
        </row>
        <row r="54">
          <cell r="A54" t="str">
            <v>Ajuste Mensal de Lucros</v>
          </cell>
          <cell r="F54">
            <v>670.55499999999995</v>
          </cell>
          <cell r="M54">
            <v>2953.4349999999999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Impostos</v>
          </cell>
          <cell r="B55">
            <v>0.16</v>
          </cell>
          <cell r="C55">
            <v>5661.6809166666662</v>
          </cell>
          <cell r="D55">
            <v>5205</v>
          </cell>
          <cell r="F55">
            <v>7561.6760775233561</v>
          </cell>
          <cell r="H55">
            <v>5205</v>
          </cell>
          <cell r="I55">
            <v>7561.6760775233561</v>
          </cell>
          <cell r="J55">
            <v>2356.6760775233561</v>
          </cell>
          <cell r="K55">
            <v>5205</v>
          </cell>
          <cell r="M55">
            <v>7613.4900134894706</v>
          </cell>
          <cell r="O55">
            <v>10410</v>
          </cell>
          <cell r="P55">
            <v>15175.166091012827</v>
          </cell>
          <cell r="Q55">
            <v>4765.1660910128267</v>
          </cell>
          <cell r="R55">
            <v>6772.1196649999993</v>
          </cell>
          <cell r="T55">
            <v>5430.5643719750296</v>
          </cell>
          <cell r="V55">
            <v>17182.119664999998</v>
          </cell>
          <cell r="W55">
            <v>20605.730462987856</v>
          </cell>
          <cell r="X55">
            <v>3423.6107979878579</v>
          </cell>
          <cell r="Y55">
            <v>6772.1196649999993</v>
          </cell>
          <cell r="AA55">
            <v>0</v>
          </cell>
          <cell r="AC55">
            <v>23954.239329999997</v>
          </cell>
          <cell r="AD55">
            <v>20605.730462987856</v>
          </cell>
          <cell r="AE55">
            <v>-3348.5088670121404</v>
          </cell>
          <cell r="AF55">
            <v>6772.1196649999993</v>
          </cell>
          <cell r="AH55">
            <v>0</v>
          </cell>
          <cell r="AJ55">
            <v>30726.358994999995</v>
          </cell>
          <cell r="AK55">
            <v>20605.730462987856</v>
          </cell>
          <cell r="AL55">
            <v>-10120.628532012139</v>
          </cell>
          <cell r="AM55">
            <v>6772.1196649999993</v>
          </cell>
          <cell r="AO55">
            <v>0</v>
          </cell>
          <cell r="AQ55">
            <v>37498.478659999993</v>
          </cell>
          <cell r="AR55">
            <v>20605.730462987856</v>
          </cell>
          <cell r="AS55">
            <v>-16892.748197012137</v>
          </cell>
          <cell r="AT55">
            <v>6772.1196649999993</v>
          </cell>
          <cell r="AV55">
            <v>0</v>
          </cell>
          <cell r="AX55">
            <v>44270.598324999992</v>
          </cell>
          <cell r="AY55">
            <v>20605.730462987856</v>
          </cell>
          <cell r="AZ55">
            <v>-23664.867862012135</v>
          </cell>
          <cell r="BA55">
            <v>6772.1196649999993</v>
          </cell>
          <cell r="BC55">
            <v>0</v>
          </cell>
          <cell r="BE55">
            <v>51042.71798999999</v>
          </cell>
          <cell r="BF55">
            <v>20605.730462987856</v>
          </cell>
          <cell r="BG55">
            <v>-30436.987527012134</v>
          </cell>
          <cell r="BH55">
            <v>6772.1196649999993</v>
          </cell>
          <cell r="BJ55">
            <v>0</v>
          </cell>
          <cell r="BL55">
            <v>57814.837654999988</v>
          </cell>
          <cell r="BM55">
            <v>20605.730462987856</v>
          </cell>
          <cell r="BN55">
            <v>-37209.107192012132</v>
          </cell>
          <cell r="BO55">
            <v>6772.1196649999993</v>
          </cell>
          <cell r="BQ55">
            <v>0</v>
          </cell>
          <cell r="BS55">
            <v>64586.957319999987</v>
          </cell>
          <cell r="BT55">
            <v>20605.730462987856</v>
          </cell>
          <cell r="BU55">
            <v>-43981.22685701213</v>
          </cell>
          <cell r="BV55">
            <v>6772.1196649999993</v>
          </cell>
          <cell r="BX55">
            <v>0</v>
          </cell>
          <cell r="BZ55">
            <v>71359.076984999992</v>
          </cell>
          <cell r="CA55">
            <v>20605.730462987856</v>
          </cell>
          <cell r="CB55">
            <v>-50753.346522012136</v>
          </cell>
          <cell r="CC55">
            <v>6772.1196649999993</v>
          </cell>
          <cell r="CE55">
            <v>0</v>
          </cell>
          <cell r="CG55">
            <v>78131.196649999998</v>
          </cell>
          <cell r="CH55">
            <v>20605.730462987856</v>
          </cell>
        </row>
        <row r="56">
          <cell r="F56">
            <v>8.8968549779040659E-3</v>
          </cell>
        </row>
        <row r="57">
          <cell r="A57" t="str">
            <v>Margem de Contribuição</v>
          </cell>
          <cell r="B57">
            <v>0.17349999999999999</v>
          </cell>
          <cell r="C57">
            <v>7475.7341053223918</v>
          </cell>
          <cell r="D57">
            <v>8.8410064023323506E-2</v>
          </cell>
          <cell r="F57">
            <v>9.6531171991873305E-2</v>
          </cell>
          <cell r="H57">
            <v>8.8410064023323506E-2</v>
          </cell>
          <cell r="I57">
            <v>9.6531171991873305E-2</v>
          </cell>
          <cell r="K57">
            <v>8.8410064023323506E-2</v>
          </cell>
          <cell r="M57">
            <v>0.23666850765296399</v>
          </cell>
          <cell r="O57">
            <v>8.8410064023323506E-2</v>
          </cell>
          <cell r="P57">
            <v>0.16861975657602163</v>
          </cell>
          <cell r="R57">
            <v>0.2517716275047393</v>
          </cell>
          <cell r="T57">
            <v>0.14880935092978931</v>
          </cell>
          <cell r="V57">
            <v>0.15279700103268357</v>
          </cell>
          <cell r="W57">
            <v>0.16239039757615231</v>
          </cell>
          <cell r="Y57">
            <v>0.25689557712709138</v>
          </cell>
          <cell r="AA57">
            <v>0</v>
          </cell>
          <cell r="AC57">
            <v>0.18222678189759062</v>
          </cell>
          <cell r="AD57">
            <v>0.16239039757615231</v>
          </cell>
          <cell r="AF57">
            <v>0.25689557712709138</v>
          </cell>
          <cell r="AH57">
            <v>0</v>
          </cell>
          <cell r="AJ57">
            <v>0.19868385761612414</v>
          </cell>
          <cell r="AK57">
            <v>0.16239039757615231</v>
          </cell>
          <cell r="AM57">
            <v>0.25689557712709138</v>
          </cell>
          <cell r="AO57">
            <v>0</v>
          </cell>
          <cell r="AQ57">
            <v>0.20919673025845348</v>
          </cell>
          <cell r="AR57">
            <v>0.16239039757615231</v>
          </cell>
          <cell r="AT57">
            <v>0.25689557712709138</v>
          </cell>
          <cell r="AV57">
            <v>0</v>
          </cell>
          <cell r="AX57">
            <v>0.21649327268386989</v>
          </cell>
          <cell r="AY57">
            <v>0.16239039757615231</v>
          </cell>
          <cell r="BA57">
            <v>0.25689557712709138</v>
          </cell>
          <cell r="BC57">
            <v>0</v>
          </cell>
          <cell r="BE57">
            <v>0.22185366984149893</v>
          </cell>
          <cell r="BF57">
            <v>0.16239039757615231</v>
          </cell>
          <cell r="BH57">
            <v>0.25689557712709138</v>
          </cell>
          <cell r="BJ57">
            <v>0</v>
          </cell>
          <cell r="BL57">
            <v>0.22595829071484569</v>
          </cell>
          <cell r="BM57">
            <v>0.16239039757615231</v>
          </cell>
          <cell r="BO57">
            <v>0.2461199941342222</v>
          </cell>
          <cell r="BQ57">
            <v>0</v>
          </cell>
          <cell r="BS57">
            <v>0.22807230063065237</v>
          </cell>
          <cell r="BT57">
            <v>0.16239039757615231</v>
          </cell>
          <cell r="BV57">
            <v>0.23300985663047216</v>
          </cell>
          <cell r="BX57">
            <v>0</v>
          </cell>
          <cell r="BZ57">
            <v>0.2285408846075786</v>
          </cell>
          <cell r="CA57">
            <v>0.16239039757615231</v>
          </cell>
          <cell r="CC57">
            <v>0.23300985663047216</v>
          </cell>
          <cell r="CE57">
            <v>0</v>
          </cell>
          <cell r="CG57">
            <v>0.22892823837427118</v>
          </cell>
          <cell r="CH57">
            <v>0.16239039757615231</v>
          </cell>
        </row>
        <row r="59">
          <cell r="A59" t="str">
            <v>Rateio</v>
          </cell>
          <cell r="C59">
            <v>3917.9344113851107</v>
          </cell>
          <cell r="F59">
            <v>6618.1613274856836</v>
          </cell>
          <cell r="I59">
            <v>6618.1613274856836</v>
          </cell>
          <cell r="M59">
            <v>7065.4613390299737</v>
          </cell>
          <cell r="P59">
            <v>13683.622666515657</v>
          </cell>
          <cell r="T59">
            <v>6148.1426255724327</v>
          </cell>
          <cell r="W59">
            <v>19831.76529208809</v>
          </cell>
          <cell r="AA59">
            <v>0</v>
          </cell>
          <cell r="AD59">
            <v>19831.76529208809</v>
          </cell>
          <cell r="AH59">
            <v>0</v>
          </cell>
          <cell r="AK59">
            <v>19831.76529208809</v>
          </cell>
          <cell r="AO59">
            <v>0</v>
          </cell>
          <cell r="AR59">
            <v>19831.76529208809</v>
          </cell>
          <cell r="AV59">
            <v>0</v>
          </cell>
          <cell r="AY59">
            <v>19831.76529208809</v>
          </cell>
          <cell r="BC59">
            <v>0</v>
          </cell>
          <cell r="BF59">
            <v>19831.76529208809</v>
          </cell>
          <cell r="BJ59">
            <v>0</v>
          </cell>
          <cell r="BM59">
            <v>19831.76529208809</v>
          </cell>
          <cell r="BQ59">
            <v>0</v>
          </cell>
          <cell r="BT59">
            <v>19831.76529208809</v>
          </cell>
          <cell r="BX59">
            <v>0</v>
          </cell>
          <cell r="CA59">
            <v>19831.76529208809</v>
          </cell>
          <cell r="CE59">
            <v>0</v>
          </cell>
          <cell r="CH59">
            <v>19831.76529208809</v>
          </cell>
        </row>
        <row r="61">
          <cell r="A61" t="str">
            <v>Resultado</v>
          </cell>
          <cell r="C61">
            <v>-1702.888135600012</v>
          </cell>
          <cell r="F61">
            <v>-3691.3361926920852</v>
          </cell>
          <cell r="G61">
            <v>-0.12174591664551732</v>
          </cell>
          <cell r="I61">
            <v>-3691.3361926920852</v>
          </cell>
          <cell r="J61">
            <v>-0.12174591664551732</v>
          </cell>
          <cell r="M61">
            <v>536.33112678322959</v>
          </cell>
          <cell r="N61">
            <v>1.6697731219901295E-2</v>
          </cell>
          <cell r="P61">
            <v>-3155.0050659088556</v>
          </cell>
          <cell r="Q61">
            <v>-5.0528588499501211E-2</v>
          </cell>
          <cell r="T61">
            <v>-1886.2428149432671</v>
          </cell>
          <cell r="U61">
            <v>-6.5860433482655981E-2</v>
          </cell>
          <cell r="W61">
            <v>-5041.2478808521228</v>
          </cell>
          <cell r="X61">
            <v>-5.5349669311068543E-2</v>
          </cell>
          <cell r="AA61">
            <v>0</v>
          </cell>
          <cell r="AB61" t="e">
            <v>#DIV/0!</v>
          </cell>
          <cell r="AD61">
            <v>-5041.2478808521228</v>
          </cell>
          <cell r="AE61">
            <v>-5.5349669311068543E-2</v>
          </cell>
          <cell r="AH61">
            <v>0</v>
          </cell>
          <cell r="AI61" t="e">
            <v>#DIV/0!</v>
          </cell>
          <cell r="AK61">
            <v>-5041.2478808521228</v>
          </cell>
          <cell r="AL61">
            <v>-5.5349669311068543E-2</v>
          </cell>
          <cell r="AO61">
            <v>0</v>
          </cell>
          <cell r="AP61" t="e">
            <v>#DIV/0!</v>
          </cell>
          <cell r="AR61">
            <v>-5041.2478808521228</v>
          </cell>
          <cell r="AS61">
            <v>-5.5349669311068543E-2</v>
          </cell>
          <cell r="AV61">
            <v>0</v>
          </cell>
          <cell r="AW61" t="e">
            <v>#DIV/0!</v>
          </cell>
          <cell r="AY61">
            <v>-5041.2478808521228</v>
          </cell>
          <cell r="AZ61">
            <v>-5.5349669311068543E-2</v>
          </cell>
          <cell r="BC61">
            <v>0</v>
          </cell>
          <cell r="BD61" t="e">
            <v>#DIV/0!</v>
          </cell>
          <cell r="BF61">
            <v>-5041.2478808521228</v>
          </cell>
          <cell r="BG61">
            <v>-5.5349669311068543E-2</v>
          </cell>
          <cell r="BJ61">
            <v>0</v>
          </cell>
          <cell r="BK61" t="e">
            <v>#DIV/0!</v>
          </cell>
          <cell r="BM61">
            <v>-5041.2478808521228</v>
          </cell>
          <cell r="BN61">
            <v>-5.5349669311068543E-2</v>
          </cell>
          <cell r="BQ61">
            <v>0</v>
          </cell>
          <cell r="BR61" t="e">
            <v>#DIV/0!</v>
          </cell>
          <cell r="BT61">
            <v>-5041.2478808521228</v>
          </cell>
          <cell r="BU61">
            <v>-5.5349669311068543E-2</v>
          </cell>
          <cell r="BX61">
            <v>0</v>
          </cell>
          <cell r="BY61" t="e">
            <v>#DIV/0!</v>
          </cell>
          <cell r="CA61">
            <v>-5041.2478808521228</v>
          </cell>
          <cell r="CB61">
            <v>-5.5349669311068543E-2</v>
          </cell>
          <cell r="CE61">
            <v>0</v>
          </cell>
          <cell r="CF61" t="e">
            <v>#DIV/0!</v>
          </cell>
          <cell r="CH61">
            <v>-5041.2478808521228</v>
          </cell>
        </row>
        <row r="63">
          <cell r="A63" t="str">
            <v>MadeiraMadeira Pronto? N</v>
          </cell>
          <cell r="CG63" t="str">
            <v>Total Ano</v>
          </cell>
        </row>
        <row r="64">
          <cell r="CG64" t="str">
            <v>Receita</v>
          </cell>
          <cell r="CH64">
            <v>450323.90000000008</v>
          </cell>
        </row>
        <row r="65">
          <cell r="A65" t="str">
            <v>Impostos - Cálculo Aproximado %</v>
          </cell>
          <cell r="B65">
            <v>0.17349999999999999</v>
          </cell>
          <cell r="CG65" t="str">
            <v>Desp Dir</v>
          </cell>
          <cell r="CH65">
            <v>269100.84622516861</v>
          </cell>
        </row>
        <row r="66">
          <cell r="CG66" t="str">
            <v>Imposto</v>
          </cell>
          <cell r="CH66">
            <v>78131.196649999998</v>
          </cell>
        </row>
        <row r="67">
          <cell r="CG67" t="str">
            <v>MC</v>
          </cell>
          <cell r="CH67">
            <v>103091.85712483147</v>
          </cell>
        </row>
        <row r="68">
          <cell r="CG68" t="str">
            <v>MC %</v>
          </cell>
          <cell r="CH68">
            <v>0.22892823837427118</v>
          </cell>
        </row>
        <row r="69">
          <cell r="CG69" t="str">
            <v>Rateio</v>
          </cell>
          <cell r="CH69">
            <v>99586.32517942306</v>
          </cell>
        </row>
        <row r="70">
          <cell r="CG70" t="str">
            <v>ML</v>
          </cell>
          <cell r="CH70">
            <v>3505.5319454084092</v>
          </cell>
        </row>
        <row r="71">
          <cell r="CG71" t="str">
            <v>ML %</v>
          </cell>
          <cell r="CH71">
            <v>7.784467902788212E-3</v>
          </cell>
        </row>
      </sheetData>
      <sheetData sheetId="17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6.5086556358092708E-4</v>
          </cell>
          <cell r="C13">
            <v>265.15714059510134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5.7692509325351568E-3</v>
          </cell>
          <cell r="C15">
            <v>2350.3441666666663</v>
          </cell>
          <cell r="D15">
            <v>2283</v>
          </cell>
          <cell r="E15">
            <v>6.9181818181818181E-3</v>
          </cell>
          <cell r="F15">
            <v>1514.19</v>
          </cell>
          <cell r="G15">
            <v>4.3130900184177737E-3</v>
          </cell>
          <cell r="H15">
            <v>2283</v>
          </cell>
          <cell r="I15">
            <v>1514.19</v>
          </cell>
          <cell r="J15">
            <v>-768.81</v>
          </cell>
          <cell r="K15">
            <v>2283</v>
          </cell>
          <cell r="L15">
            <v>6.7147058823529412E-3</v>
          </cell>
          <cell r="M15">
            <v>1309.9100000000001</v>
          </cell>
          <cell r="N15">
            <v>5.1288239624782354E-3</v>
          </cell>
          <cell r="O15">
            <v>4566</v>
          </cell>
          <cell r="P15">
            <v>2824.1000000000004</v>
          </cell>
          <cell r="Q15">
            <v>-1741.8999999999996</v>
          </cell>
          <cell r="R15">
            <v>2283</v>
          </cell>
          <cell r="S15">
            <v>5.4357142857142859E-3</v>
          </cell>
          <cell r="T15">
            <v>1322.6</v>
          </cell>
          <cell r="U15">
            <v>8.2708485918170493E-3</v>
          </cell>
          <cell r="V15">
            <v>6849</v>
          </cell>
          <cell r="W15">
            <v>4146.7000000000007</v>
          </cell>
          <cell r="X15">
            <v>-2702.2999999999993</v>
          </cell>
          <cell r="Y15">
            <v>2283</v>
          </cell>
          <cell r="Z15">
            <v>5.7074999999999999E-3</v>
          </cell>
          <cell r="AA15">
            <v>0</v>
          </cell>
          <cell r="AB15">
            <v>0</v>
          </cell>
          <cell r="AC15">
            <v>9132</v>
          </cell>
          <cell r="AD15">
            <v>4146.7000000000007</v>
          </cell>
          <cell r="AE15">
            <v>-4985.2999999999993</v>
          </cell>
          <cell r="AF15">
            <v>2283</v>
          </cell>
          <cell r="AG15">
            <v>5.7074999999999999E-3</v>
          </cell>
          <cell r="AH15">
            <v>0</v>
          </cell>
          <cell r="AI15">
            <v>0</v>
          </cell>
          <cell r="AJ15">
            <v>11415</v>
          </cell>
          <cell r="AK15">
            <v>4146.7000000000007</v>
          </cell>
          <cell r="AL15">
            <v>-7268.2999999999993</v>
          </cell>
          <cell r="AM15">
            <v>2283</v>
          </cell>
          <cell r="AN15">
            <v>5.7074999999999999E-3</v>
          </cell>
          <cell r="AO15">
            <v>0</v>
          </cell>
          <cell r="AP15" t="e">
            <v>#DIV/0!</v>
          </cell>
          <cell r="AQ15">
            <v>13698</v>
          </cell>
          <cell r="AR15">
            <v>4146.7000000000007</v>
          </cell>
          <cell r="AS15">
            <v>-9551.2999999999993</v>
          </cell>
          <cell r="AT15">
            <v>2283</v>
          </cell>
          <cell r="AU15">
            <v>3.9362068965517237E-3</v>
          </cell>
          <cell r="AV15">
            <v>0</v>
          </cell>
          <cell r="AW15" t="e">
            <v>#DIV/0!</v>
          </cell>
          <cell r="AX15">
            <v>15981</v>
          </cell>
          <cell r="AY15">
            <v>4146.7000000000007</v>
          </cell>
          <cell r="AZ15">
            <v>-11834.3</v>
          </cell>
          <cell r="BA15">
            <v>2283</v>
          </cell>
          <cell r="BB15">
            <v>3.9362068965517237E-3</v>
          </cell>
          <cell r="BC15">
            <v>0</v>
          </cell>
          <cell r="BD15" t="e">
            <v>#DIV/0!</v>
          </cell>
          <cell r="BE15">
            <v>18264</v>
          </cell>
          <cell r="BF15">
            <v>4146.7000000000007</v>
          </cell>
          <cell r="BG15">
            <v>-14117.3</v>
          </cell>
          <cell r="BH15">
            <v>2283</v>
          </cell>
          <cell r="BI15">
            <v>3.9362068965517237E-3</v>
          </cell>
          <cell r="BJ15">
            <v>0</v>
          </cell>
          <cell r="BK15" t="e">
            <v>#DIV/0!</v>
          </cell>
          <cell r="BL15">
            <v>20547</v>
          </cell>
          <cell r="BM15">
            <v>4146.7000000000007</v>
          </cell>
          <cell r="BN15">
            <v>-16400.3</v>
          </cell>
          <cell r="BO15">
            <v>2283</v>
          </cell>
          <cell r="BP15">
            <v>3.9362068965517237E-3</v>
          </cell>
          <cell r="BQ15">
            <v>0</v>
          </cell>
          <cell r="BR15" t="e">
            <v>#DIV/0!</v>
          </cell>
          <cell r="BS15">
            <v>22830</v>
          </cell>
          <cell r="BT15">
            <v>4146.7000000000007</v>
          </cell>
          <cell r="BU15">
            <v>-18683.3</v>
          </cell>
          <cell r="BV15">
            <v>2283</v>
          </cell>
          <cell r="BW15">
            <v>3.9362068965517237E-3</v>
          </cell>
          <cell r="BX15">
            <v>0</v>
          </cell>
          <cell r="BY15" t="e">
            <v>#DIV/0!</v>
          </cell>
          <cell r="BZ15">
            <v>25113</v>
          </cell>
          <cell r="CA15">
            <v>4146.7000000000007</v>
          </cell>
          <cell r="CB15">
            <v>-20966.3</v>
          </cell>
          <cell r="CC15">
            <v>2283</v>
          </cell>
          <cell r="CD15">
            <v>3.9362068965517237E-3</v>
          </cell>
          <cell r="CE15">
            <v>0</v>
          </cell>
          <cell r="CF15" t="e">
            <v>#DIV/0!</v>
          </cell>
          <cell r="CG15">
            <v>27396</v>
          </cell>
          <cell r="CH15">
            <v>4146.7000000000007</v>
          </cell>
        </row>
        <row r="16">
          <cell r="A16" t="str">
            <v>Back Office / Encerramento</v>
          </cell>
          <cell r="B16">
            <v>2.0283760563284271E-2</v>
          </cell>
          <cell r="C16">
            <v>8263.4329613098416</v>
          </cell>
          <cell r="D16">
            <v>8000</v>
          </cell>
          <cell r="E16">
            <v>2.4242424242424242E-2</v>
          </cell>
          <cell r="F16">
            <v>10671.081544005125</v>
          </cell>
          <cell r="G16">
            <v>3.0396010601820532E-2</v>
          </cell>
          <cell r="H16">
            <v>8000</v>
          </cell>
          <cell r="I16">
            <v>10671.081544005125</v>
          </cell>
          <cell r="J16">
            <v>2671.0815440051247</v>
          </cell>
          <cell r="K16">
            <v>8000</v>
          </cell>
          <cell r="L16">
            <v>2.3529411764705882E-2</v>
          </cell>
          <cell r="M16">
            <v>6922.1981070573966</v>
          </cell>
          <cell r="N16">
            <v>2.7103186878867595E-2</v>
          </cell>
          <cell r="O16">
            <v>16000</v>
          </cell>
          <cell r="P16">
            <v>17593.279651062519</v>
          </cell>
          <cell r="Q16">
            <v>1593.2796510625194</v>
          </cell>
          <cell r="R16">
            <v>8000</v>
          </cell>
          <cell r="S16">
            <v>1.9047619047619049E-2</v>
          </cell>
          <cell r="T16">
            <v>7569.6317538798276</v>
          </cell>
          <cell r="U16">
            <v>4.7336517565515344E-2</v>
          </cell>
          <cell r="V16">
            <v>24000</v>
          </cell>
          <cell r="W16">
            <v>25162.911404942348</v>
          </cell>
          <cell r="X16">
            <v>1162.9114049423479</v>
          </cell>
          <cell r="Y16">
            <v>8000</v>
          </cell>
          <cell r="Z16">
            <v>0.02</v>
          </cell>
          <cell r="AA16">
            <v>0</v>
          </cell>
          <cell r="AB16">
            <v>0</v>
          </cell>
          <cell r="AC16">
            <v>32000</v>
          </cell>
          <cell r="AD16">
            <v>25162.911404942348</v>
          </cell>
          <cell r="AE16">
            <v>-6837.0885950576521</v>
          </cell>
          <cell r="AF16">
            <v>8000</v>
          </cell>
          <cell r="AG16">
            <v>0.02</v>
          </cell>
          <cell r="AH16">
            <v>0</v>
          </cell>
          <cell r="AI16">
            <v>0</v>
          </cell>
          <cell r="AJ16">
            <v>40000</v>
          </cell>
          <cell r="AK16">
            <v>25162.911404942348</v>
          </cell>
          <cell r="AL16">
            <v>-14837.088595057652</v>
          </cell>
          <cell r="AM16">
            <v>8000</v>
          </cell>
          <cell r="AN16">
            <v>0.02</v>
          </cell>
          <cell r="AO16">
            <v>0</v>
          </cell>
          <cell r="AP16" t="e">
            <v>#DIV/0!</v>
          </cell>
          <cell r="AQ16">
            <v>48000</v>
          </cell>
          <cell r="AR16">
            <v>25162.911404942348</v>
          </cell>
          <cell r="AS16">
            <v>-22837.088595057652</v>
          </cell>
          <cell r="AT16">
            <v>8000</v>
          </cell>
          <cell r="AU16">
            <v>1.3793103448275862E-2</v>
          </cell>
          <cell r="AV16">
            <v>0</v>
          </cell>
          <cell r="AW16" t="e">
            <v>#DIV/0!</v>
          </cell>
          <cell r="AX16">
            <v>56000</v>
          </cell>
          <cell r="AY16">
            <v>25162.911404942348</v>
          </cell>
          <cell r="AZ16">
            <v>-30837.088595057652</v>
          </cell>
          <cell r="BA16">
            <v>8000</v>
          </cell>
          <cell r="BB16">
            <v>1.3793103448275862E-2</v>
          </cell>
          <cell r="BC16">
            <v>0</v>
          </cell>
          <cell r="BD16" t="e">
            <v>#DIV/0!</v>
          </cell>
          <cell r="BE16">
            <v>64000</v>
          </cell>
          <cell r="BF16">
            <v>25162.911404942348</v>
          </cell>
          <cell r="BG16">
            <v>-38837.088595057648</v>
          </cell>
          <cell r="BH16">
            <v>8000</v>
          </cell>
          <cell r="BI16">
            <v>1.3793103448275862E-2</v>
          </cell>
          <cell r="BJ16">
            <v>0</v>
          </cell>
          <cell r="BK16" t="e">
            <v>#DIV/0!</v>
          </cell>
          <cell r="BL16">
            <v>72000</v>
          </cell>
          <cell r="BM16">
            <v>25162.911404942348</v>
          </cell>
          <cell r="BN16">
            <v>-46837.088595057648</v>
          </cell>
          <cell r="BO16">
            <v>8000</v>
          </cell>
          <cell r="BP16">
            <v>1.3793103448275862E-2</v>
          </cell>
          <cell r="BQ16">
            <v>0</v>
          </cell>
          <cell r="BR16" t="e">
            <v>#DIV/0!</v>
          </cell>
          <cell r="BS16">
            <v>80000</v>
          </cell>
          <cell r="BT16">
            <v>25162.911404942348</v>
          </cell>
          <cell r="BU16">
            <v>-54837.088595057648</v>
          </cell>
          <cell r="BV16">
            <v>8000</v>
          </cell>
          <cell r="BW16">
            <v>1.3793103448275862E-2</v>
          </cell>
          <cell r="BX16">
            <v>0</v>
          </cell>
          <cell r="BY16" t="e">
            <v>#DIV/0!</v>
          </cell>
          <cell r="BZ16">
            <v>88000</v>
          </cell>
          <cell r="CA16">
            <v>25162.911404942348</v>
          </cell>
          <cell r="CB16">
            <v>-62837.088595057648</v>
          </cell>
          <cell r="CC16">
            <v>8000</v>
          </cell>
          <cell r="CD16">
            <v>1.3793103448275862E-2</v>
          </cell>
          <cell r="CE16">
            <v>0</v>
          </cell>
          <cell r="CF16" t="e">
            <v>#DIV/0!</v>
          </cell>
          <cell r="CG16">
            <v>96000</v>
          </cell>
          <cell r="CH16">
            <v>25162.911404942348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1.7006462831614205E-2</v>
          </cell>
          <cell r="C18">
            <v>6928.2895092159952</v>
          </cell>
          <cell r="D18">
            <v>6500</v>
          </cell>
          <cell r="E18">
            <v>1.9696969696969695E-2</v>
          </cell>
          <cell r="F18">
            <v>7442.7265116044182</v>
          </cell>
          <cell r="G18">
            <v>2.1200212276540165E-2</v>
          </cell>
          <cell r="H18">
            <v>6500</v>
          </cell>
          <cell r="I18">
            <v>7442.7265116044182</v>
          </cell>
          <cell r="J18">
            <v>942.72651160441819</v>
          </cell>
          <cell r="K18">
            <v>5000</v>
          </cell>
          <cell r="L18">
            <v>1.4705882352941176E-2</v>
          </cell>
          <cell r="M18">
            <v>6979.3489340916985</v>
          </cell>
          <cell r="N18">
            <v>2.7326955329500826E-2</v>
          </cell>
          <cell r="O18">
            <v>11500</v>
          </cell>
          <cell r="P18">
            <v>14422.075445696117</v>
          </cell>
          <cell r="Q18">
            <v>2922.0754456961167</v>
          </cell>
          <cell r="R18">
            <v>6500</v>
          </cell>
          <cell r="S18">
            <v>1.5476190476190477E-2</v>
          </cell>
          <cell r="T18">
            <v>7781.1271510348379</v>
          </cell>
          <cell r="U18">
            <v>4.8659099153096859E-2</v>
          </cell>
          <cell r="V18">
            <v>18000</v>
          </cell>
          <cell r="W18">
            <v>22203.202596730953</v>
          </cell>
          <cell r="X18">
            <v>4203.2025967309528</v>
          </cell>
          <cell r="Y18">
            <v>6500</v>
          </cell>
          <cell r="Z18">
            <v>1.6250000000000001E-2</v>
          </cell>
          <cell r="AA18">
            <v>0</v>
          </cell>
          <cell r="AB18">
            <v>0</v>
          </cell>
          <cell r="AC18">
            <v>24500</v>
          </cell>
          <cell r="AD18">
            <v>22203.202596730953</v>
          </cell>
          <cell r="AE18">
            <v>-2296.7974032690472</v>
          </cell>
          <cell r="AF18">
            <v>6500</v>
          </cell>
          <cell r="AG18">
            <v>1.6250000000000001E-2</v>
          </cell>
          <cell r="AH18">
            <v>0</v>
          </cell>
          <cell r="AI18">
            <v>0</v>
          </cell>
          <cell r="AJ18">
            <v>31000</v>
          </cell>
          <cell r="AK18">
            <v>22203.202596730953</v>
          </cell>
          <cell r="AL18">
            <v>-8796.7974032690472</v>
          </cell>
          <cell r="AM18">
            <v>6500</v>
          </cell>
          <cell r="AN18">
            <v>1.6250000000000001E-2</v>
          </cell>
          <cell r="AO18">
            <v>0</v>
          </cell>
          <cell r="AP18" t="e">
            <v>#DIV/0!</v>
          </cell>
          <cell r="AQ18">
            <v>37500</v>
          </cell>
          <cell r="AR18">
            <v>22203.202596730953</v>
          </cell>
          <cell r="AS18">
            <v>-15296.797403269047</v>
          </cell>
          <cell r="AT18">
            <v>6500</v>
          </cell>
          <cell r="AU18">
            <v>1.1206896551724138E-2</v>
          </cell>
          <cell r="AV18">
            <v>0</v>
          </cell>
          <cell r="AW18" t="e">
            <v>#DIV/0!</v>
          </cell>
          <cell r="AX18">
            <v>44000</v>
          </cell>
          <cell r="AY18">
            <v>22203.202596730953</v>
          </cell>
          <cell r="AZ18">
            <v>-21796.797403269047</v>
          </cell>
          <cell r="BA18">
            <v>6500</v>
          </cell>
          <cell r="BB18">
            <v>1.1206896551724138E-2</v>
          </cell>
          <cell r="BC18">
            <v>0</v>
          </cell>
          <cell r="BD18" t="e">
            <v>#DIV/0!</v>
          </cell>
          <cell r="BE18">
            <v>50500</v>
          </cell>
          <cell r="BF18">
            <v>22203.202596730953</v>
          </cell>
          <cell r="BG18">
            <v>-28296.797403269047</v>
          </cell>
          <cell r="BH18">
            <v>6500</v>
          </cell>
          <cell r="BI18">
            <v>1.1206896551724138E-2</v>
          </cell>
          <cell r="BJ18">
            <v>0</v>
          </cell>
          <cell r="BK18" t="e">
            <v>#DIV/0!</v>
          </cell>
          <cell r="BL18">
            <v>57000</v>
          </cell>
          <cell r="BM18">
            <v>22203.202596730953</v>
          </cell>
          <cell r="BN18">
            <v>-34796.797403269047</v>
          </cell>
          <cell r="BO18">
            <v>6500</v>
          </cell>
          <cell r="BP18">
            <v>1.1206896551724138E-2</v>
          </cell>
          <cell r="BQ18">
            <v>0</v>
          </cell>
          <cell r="BR18" t="e">
            <v>#DIV/0!</v>
          </cell>
          <cell r="BS18">
            <v>63500</v>
          </cell>
          <cell r="BT18">
            <v>22203.202596730953</v>
          </cell>
          <cell r="BU18">
            <v>-41296.797403269047</v>
          </cell>
          <cell r="BV18">
            <v>6500</v>
          </cell>
          <cell r="BW18">
            <v>1.1206896551724138E-2</v>
          </cell>
          <cell r="BX18">
            <v>0</v>
          </cell>
          <cell r="BY18" t="e">
            <v>#DIV/0!</v>
          </cell>
          <cell r="BZ18">
            <v>70000</v>
          </cell>
          <cell r="CA18">
            <v>22203.202596730953</v>
          </cell>
          <cell r="CB18">
            <v>-47796.797403269047</v>
          </cell>
          <cell r="CC18">
            <v>6500</v>
          </cell>
          <cell r="CD18">
            <v>1.1206896551724138E-2</v>
          </cell>
          <cell r="CE18">
            <v>0</v>
          </cell>
          <cell r="CF18" t="e">
            <v>#DIV/0!</v>
          </cell>
          <cell r="CG18">
            <v>76500</v>
          </cell>
          <cell r="CH18">
            <v>22203.202596730953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5.0939730829431637E-4</v>
          </cell>
          <cell r="C20">
            <v>207.52416666666667</v>
          </cell>
          <cell r="D20">
            <v>300</v>
          </cell>
          <cell r="E20">
            <v>9.0909090909090909E-4</v>
          </cell>
          <cell r="F20">
            <v>0</v>
          </cell>
          <cell r="G20">
            <v>0</v>
          </cell>
          <cell r="H20">
            <v>300</v>
          </cell>
          <cell r="I20">
            <v>0</v>
          </cell>
          <cell r="J20">
            <v>-300</v>
          </cell>
          <cell r="K20">
            <v>300</v>
          </cell>
          <cell r="L20">
            <v>8.8235294117647062E-4</v>
          </cell>
          <cell r="M20">
            <v>0</v>
          </cell>
          <cell r="N20">
            <v>0</v>
          </cell>
          <cell r="O20">
            <v>600</v>
          </cell>
          <cell r="P20">
            <v>0</v>
          </cell>
          <cell r="Q20">
            <v>-600</v>
          </cell>
          <cell r="R20">
            <v>300</v>
          </cell>
          <cell r="S20">
            <v>7.1428571428571429E-4</v>
          </cell>
          <cell r="T20">
            <v>0</v>
          </cell>
          <cell r="U20">
            <v>0</v>
          </cell>
          <cell r="V20">
            <v>900</v>
          </cell>
          <cell r="W20">
            <v>0</v>
          </cell>
          <cell r="X20">
            <v>-900</v>
          </cell>
          <cell r="Y20">
            <v>300</v>
          </cell>
          <cell r="Z20">
            <v>7.5000000000000002E-4</v>
          </cell>
          <cell r="AA20">
            <v>0</v>
          </cell>
          <cell r="AB20">
            <v>0</v>
          </cell>
          <cell r="AC20">
            <v>1200</v>
          </cell>
          <cell r="AD20">
            <v>0</v>
          </cell>
          <cell r="AE20">
            <v>-1200</v>
          </cell>
          <cell r="AF20">
            <v>300</v>
          </cell>
          <cell r="AG20">
            <v>7.5000000000000002E-4</v>
          </cell>
          <cell r="AH20">
            <v>0</v>
          </cell>
          <cell r="AI20">
            <v>0</v>
          </cell>
          <cell r="AJ20">
            <v>1500</v>
          </cell>
          <cell r="AK20">
            <v>0</v>
          </cell>
          <cell r="AL20">
            <v>-1500</v>
          </cell>
          <cell r="AM20">
            <v>300</v>
          </cell>
          <cell r="AN20">
            <v>7.5000000000000002E-4</v>
          </cell>
          <cell r="AO20">
            <v>0</v>
          </cell>
          <cell r="AP20" t="e">
            <v>#DIV/0!</v>
          </cell>
          <cell r="AQ20">
            <v>1800</v>
          </cell>
          <cell r="AR20">
            <v>0</v>
          </cell>
          <cell r="AS20">
            <v>-1800</v>
          </cell>
          <cell r="AT20">
            <v>300</v>
          </cell>
          <cell r="AU20">
            <v>5.1724137931034484E-4</v>
          </cell>
          <cell r="AV20">
            <v>0</v>
          </cell>
          <cell r="AW20" t="e">
            <v>#DIV/0!</v>
          </cell>
          <cell r="AX20">
            <v>2100</v>
          </cell>
          <cell r="AY20">
            <v>0</v>
          </cell>
          <cell r="AZ20">
            <v>-2100</v>
          </cell>
          <cell r="BA20">
            <v>300</v>
          </cell>
          <cell r="BB20">
            <v>5.1724137931034484E-4</v>
          </cell>
          <cell r="BC20">
            <v>0</v>
          </cell>
          <cell r="BD20" t="e">
            <v>#DIV/0!</v>
          </cell>
          <cell r="BE20">
            <v>2400</v>
          </cell>
          <cell r="BF20">
            <v>0</v>
          </cell>
          <cell r="BG20">
            <v>-2400</v>
          </cell>
          <cell r="BH20">
            <v>300</v>
          </cell>
          <cell r="BI20">
            <v>5.1724137931034484E-4</v>
          </cell>
          <cell r="BJ20">
            <v>0</v>
          </cell>
          <cell r="BK20" t="e">
            <v>#DIV/0!</v>
          </cell>
          <cell r="BL20">
            <v>2700</v>
          </cell>
          <cell r="BM20">
            <v>0</v>
          </cell>
          <cell r="BN20">
            <v>-2700</v>
          </cell>
          <cell r="BO20">
            <v>300</v>
          </cell>
          <cell r="BP20">
            <v>5.1724137931034484E-4</v>
          </cell>
          <cell r="BQ20">
            <v>0</v>
          </cell>
          <cell r="BR20" t="e">
            <v>#DIV/0!</v>
          </cell>
          <cell r="BS20">
            <v>3000</v>
          </cell>
          <cell r="BT20">
            <v>0</v>
          </cell>
          <cell r="BU20">
            <v>-3000</v>
          </cell>
          <cell r="BV20">
            <v>300</v>
          </cell>
          <cell r="BW20">
            <v>5.1724137931034484E-4</v>
          </cell>
          <cell r="BX20">
            <v>0</v>
          </cell>
          <cell r="BY20" t="e">
            <v>#DIV/0!</v>
          </cell>
          <cell r="BZ20">
            <v>3300</v>
          </cell>
          <cell r="CA20">
            <v>0</v>
          </cell>
          <cell r="CB20">
            <v>-3300</v>
          </cell>
          <cell r="CC20">
            <v>300</v>
          </cell>
          <cell r="CD20">
            <v>5.1724137931034484E-4</v>
          </cell>
          <cell r="CE20">
            <v>0</v>
          </cell>
          <cell r="CF20" t="e">
            <v>#DIV/0!</v>
          </cell>
          <cell r="CG20">
            <v>3600</v>
          </cell>
          <cell r="CH20">
            <v>0</v>
          </cell>
        </row>
        <row r="21">
          <cell r="A21" t="str">
            <v>Penalidades/Irregularidades</v>
          </cell>
          <cell r="B21">
            <v>1.2016633184836071E-3</v>
          </cell>
          <cell r="C21">
            <v>489.54749999999996</v>
          </cell>
          <cell r="D21">
            <v>450</v>
          </cell>
          <cell r="E21">
            <v>1.3636363636363637E-3</v>
          </cell>
          <cell r="F21">
            <v>509.2</v>
          </cell>
          <cell r="G21">
            <v>1.4504292310597285E-3</v>
          </cell>
          <cell r="H21">
            <v>450</v>
          </cell>
          <cell r="I21">
            <v>509.2</v>
          </cell>
          <cell r="J21">
            <v>59.199999999999989</v>
          </cell>
          <cell r="K21">
            <v>450</v>
          </cell>
          <cell r="L21">
            <v>1.3235294117647058E-3</v>
          </cell>
          <cell r="M21">
            <v>238.52</v>
          </cell>
          <cell r="N21">
            <v>9.3390163563169116E-4</v>
          </cell>
          <cell r="O21">
            <v>900</v>
          </cell>
          <cell r="P21">
            <v>747.72</v>
          </cell>
          <cell r="Q21">
            <v>-152.27999999999997</v>
          </cell>
          <cell r="R21">
            <v>450</v>
          </cell>
          <cell r="S21">
            <v>1.0714285714285715E-3</v>
          </cell>
          <cell r="T21">
            <v>0</v>
          </cell>
          <cell r="U21">
            <v>0</v>
          </cell>
          <cell r="V21">
            <v>1350</v>
          </cell>
          <cell r="W21">
            <v>747.72</v>
          </cell>
          <cell r="X21">
            <v>-602.28</v>
          </cell>
          <cell r="Y21">
            <v>450</v>
          </cell>
          <cell r="Z21">
            <v>1.1249999999999999E-3</v>
          </cell>
          <cell r="AA21">
            <v>0</v>
          </cell>
          <cell r="AB21">
            <v>0</v>
          </cell>
          <cell r="AC21">
            <v>1800</v>
          </cell>
          <cell r="AD21">
            <v>747.72</v>
          </cell>
          <cell r="AE21">
            <v>-1052.28</v>
          </cell>
          <cell r="AF21">
            <v>450</v>
          </cell>
          <cell r="AG21">
            <v>1.1249999999999999E-3</v>
          </cell>
          <cell r="AH21">
            <v>0</v>
          </cell>
          <cell r="AI21">
            <v>0</v>
          </cell>
          <cell r="AJ21">
            <v>2250</v>
          </cell>
          <cell r="AK21">
            <v>747.72</v>
          </cell>
          <cell r="AL21">
            <v>-1502.28</v>
          </cell>
          <cell r="AM21">
            <v>450</v>
          </cell>
          <cell r="AN21">
            <v>1.1249999999999999E-3</v>
          </cell>
          <cell r="AO21">
            <v>0</v>
          </cell>
          <cell r="AP21" t="e">
            <v>#DIV/0!</v>
          </cell>
          <cell r="AQ21">
            <v>2700</v>
          </cell>
          <cell r="AR21">
            <v>747.72</v>
          </cell>
          <cell r="AS21">
            <v>-1952.28</v>
          </cell>
          <cell r="AT21">
            <v>450</v>
          </cell>
          <cell r="AU21">
            <v>7.7586206896551721E-4</v>
          </cell>
          <cell r="AV21">
            <v>0</v>
          </cell>
          <cell r="AW21" t="e">
            <v>#DIV/0!</v>
          </cell>
          <cell r="AX21">
            <v>3150</v>
          </cell>
          <cell r="AY21">
            <v>747.72</v>
          </cell>
          <cell r="AZ21">
            <v>-2402.2799999999997</v>
          </cell>
          <cell r="BA21">
            <v>450</v>
          </cell>
          <cell r="BB21">
            <v>7.7586206896551721E-4</v>
          </cell>
          <cell r="BC21">
            <v>0</v>
          </cell>
          <cell r="BD21" t="e">
            <v>#DIV/0!</v>
          </cell>
          <cell r="BE21">
            <v>3600</v>
          </cell>
          <cell r="BF21">
            <v>747.72</v>
          </cell>
          <cell r="BG21">
            <v>-2852.2799999999997</v>
          </cell>
          <cell r="BH21">
            <v>450</v>
          </cell>
          <cell r="BI21">
            <v>7.7586206896551721E-4</v>
          </cell>
          <cell r="BJ21">
            <v>0</v>
          </cell>
          <cell r="BK21" t="e">
            <v>#DIV/0!</v>
          </cell>
          <cell r="BL21">
            <v>4050</v>
          </cell>
          <cell r="BM21">
            <v>747.72</v>
          </cell>
          <cell r="BN21">
            <v>-3302.2799999999997</v>
          </cell>
          <cell r="BO21">
            <v>450</v>
          </cell>
          <cell r="BP21">
            <v>7.7586206896551721E-4</v>
          </cell>
          <cell r="BQ21">
            <v>0</v>
          </cell>
          <cell r="BR21" t="e">
            <v>#DIV/0!</v>
          </cell>
          <cell r="BS21">
            <v>4500</v>
          </cell>
          <cell r="BT21">
            <v>747.72</v>
          </cell>
          <cell r="BU21">
            <v>-3752.2799999999997</v>
          </cell>
          <cell r="BV21">
            <v>450</v>
          </cell>
          <cell r="BW21">
            <v>7.7586206896551721E-4</v>
          </cell>
          <cell r="BX21">
            <v>0</v>
          </cell>
          <cell r="BY21" t="e">
            <v>#DIV/0!</v>
          </cell>
          <cell r="BZ21">
            <v>4950</v>
          </cell>
          <cell r="CA21">
            <v>747.72</v>
          </cell>
          <cell r="CB21">
            <v>-4202.28</v>
          </cell>
          <cell r="CC21">
            <v>450</v>
          </cell>
          <cell r="CD21">
            <v>7.7586206896551721E-4</v>
          </cell>
          <cell r="CE21">
            <v>0</v>
          </cell>
          <cell r="CF21" t="e">
            <v>#DIV/0!</v>
          </cell>
          <cell r="CG21">
            <v>5400</v>
          </cell>
          <cell r="CH21">
            <v>747.72</v>
          </cell>
        </row>
        <row r="22">
          <cell r="A22" t="str">
            <v>Controladoria Jurídica - Custas</v>
          </cell>
          <cell r="B22">
            <v>6.8754923956626445E-5</v>
          </cell>
          <cell r="C22">
            <v>28.010176076715908</v>
          </cell>
          <cell r="D22">
            <v>350</v>
          </cell>
          <cell r="E22">
            <v>1.0606060606060607E-3</v>
          </cell>
          <cell r="F22">
            <v>264.6825218365006</v>
          </cell>
          <cell r="G22">
            <v>7.5393414497695475E-4</v>
          </cell>
          <cell r="H22">
            <v>350</v>
          </cell>
          <cell r="I22">
            <v>264.6825218365006</v>
          </cell>
          <cell r="J22">
            <v>-85.317478163499402</v>
          </cell>
          <cell r="K22">
            <v>350</v>
          </cell>
          <cell r="L22">
            <v>1.0294117647058824E-3</v>
          </cell>
          <cell r="M22">
            <v>508.02652979185245</v>
          </cell>
          <cell r="N22">
            <v>1.9891279855647455E-3</v>
          </cell>
          <cell r="O22">
            <v>700</v>
          </cell>
          <cell r="P22">
            <v>772.70905162835311</v>
          </cell>
          <cell r="Q22">
            <v>72.709051628353109</v>
          </cell>
          <cell r="R22">
            <v>350</v>
          </cell>
          <cell r="S22">
            <v>8.3333333333333339E-4</v>
          </cell>
          <cell r="T22">
            <v>382.38077427101342</v>
          </cell>
          <cell r="U22">
            <v>2.3912093515933196E-3</v>
          </cell>
          <cell r="V22">
            <v>1050</v>
          </cell>
          <cell r="W22">
            <v>1155.0898258993666</v>
          </cell>
          <cell r="X22">
            <v>105.08982589936659</v>
          </cell>
          <cell r="Y22">
            <v>350</v>
          </cell>
          <cell r="Z22">
            <v>8.7500000000000002E-4</v>
          </cell>
          <cell r="AA22">
            <v>0</v>
          </cell>
          <cell r="AB22">
            <v>0</v>
          </cell>
          <cell r="AC22">
            <v>1400</v>
          </cell>
          <cell r="AD22">
            <v>1155.0898258993666</v>
          </cell>
          <cell r="AE22">
            <v>-244.91017410063341</v>
          </cell>
          <cell r="AF22">
            <v>350</v>
          </cell>
          <cell r="AG22">
            <v>8.7500000000000002E-4</v>
          </cell>
          <cell r="AH22">
            <v>0</v>
          </cell>
          <cell r="AI22">
            <v>0</v>
          </cell>
          <cell r="AJ22">
            <v>1750</v>
          </cell>
          <cell r="AK22">
            <v>1155.0898258993666</v>
          </cell>
          <cell r="AL22">
            <v>-594.91017410063341</v>
          </cell>
          <cell r="AM22">
            <v>350</v>
          </cell>
          <cell r="AN22">
            <v>8.7500000000000002E-4</v>
          </cell>
          <cell r="AO22">
            <v>0</v>
          </cell>
          <cell r="AP22" t="e">
            <v>#DIV/0!</v>
          </cell>
          <cell r="AQ22">
            <v>2100</v>
          </cell>
          <cell r="AR22">
            <v>1155.0898258993666</v>
          </cell>
          <cell r="AS22">
            <v>-944.91017410063341</v>
          </cell>
          <cell r="AT22">
            <v>350</v>
          </cell>
          <cell r="AU22">
            <v>6.03448275862069E-4</v>
          </cell>
          <cell r="AV22">
            <v>0</v>
          </cell>
          <cell r="AW22" t="e">
            <v>#DIV/0!</v>
          </cell>
          <cell r="AX22">
            <v>2450</v>
          </cell>
          <cell r="AY22">
            <v>1155.0898258993666</v>
          </cell>
          <cell r="AZ22">
            <v>-1294.9101741006334</v>
          </cell>
          <cell r="BA22">
            <v>350</v>
          </cell>
          <cell r="BB22">
            <v>6.03448275862069E-4</v>
          </cell>
          <cell r="BC22">
            <v>0</v>
          </cell>
          <cell r="BD22" t="e">
            <v>#DIV/0!</v>
          </cell>
          <cell r="BE22">
            <v>2800</v>
          </cell>
          <cell r="BF22">
            <v>1155.0898258993666</v>
          </cell>
          <cell r="BG22">
            <v>-1644.9101741006334</v>
          </cell>
          <cell r="BH22">
            <v>350</v>
          </cell>
          <cell r="BI22">
            <v>6.03448275862069E-4</v>
          </cell>
          <cell r="BJ22">
            <v>0</v>
          </cell>
          <cell r="BK22" t="e">
            <v>#DIV/0!</v>
          </cell>
          <cell r="BL22">
            <v>3150</v>
          </cell>
          <cell r="BM22">
            <v>1155.0898258993666</v>
          </cell>
          <cell r="BN22">
            <v>-1994.9101741006334</v>
          </cell>
          <cell r="BO22">
            <v>350</v>
          </cell>
          <cell r="BP22">
            <v>6.03448275862069E-4</v>
          </cell>
          <cell r="BQ22">
            <v>0</v>
          </cell>
          <cell r="BR22" t="e">
            <v>#DIV/0!</v>
          </cell>
          <cell r="BS22">
            <v>3500</v>
          </cell>
          <cell r="BT22">
            <v>1155.0898258993666</v>
          </cell>
          <cell r="BU22">
            <v>-2344.9101741006334</v>
          </cell>
          <cell r="BV22">
            <v>350</v>
          </cell>
          <cell r="BW22">
            <v>6.03448275862069E-4</v>
          </cell>
          <cell r="BX22">
            <v>0</v>
          </cell>
          <cell r="BY22" t="e">
            <v>#DIV/0!</v>
          </cell>
          <cell r="BZ22">
            <v>3850</v>
          </cell>
          <cell r="CA22">
            <v>1155.0898258993666</v>
          </cell>
          <cell r="CB22">
            <v>-2694.9101741006334</v>
          </cell>
          <cell r="CC22">
            <v>350</v>
          </cell>
          <cell r="CD22">
            <v>6.03448275862069E-4</v>
          </cell>
          <cell r="CE22">
            <v>0</v>
          </cell>
          <cell r="CF22" t="e">
            <v>#DIV/0!</v>
          </cell>
          <cell r="CG22">
            <v>4200</v>
          </cell>
          <cell r="CH22">
            <v>1155.0898258993666</v>
          </cell>
        </row>
        <row r="23">
          <cell r="A23" t="str">
            <v>GNA</v>
          </cell>
          <cell r="B23">
            <v>6.4928736432499313E-3</v>
          </cell>
          <cell r="C23">
            <v>2645.141955302397</v>
          </cell>
          <cell r="D23">
            <v>5600</v>
          </cell>
          <cell r="E23">
            <v>1.6969696969696971E-2</v>
          </cell>
          <cell r="F23">
            <v>0</v>
          </cell>
          <cell r="G23">
            <v>0</v>
          </cell>
          <cell r="H23">
            <v>5600</v>
          </cell>
          <cell r="I23">
            <v>0</v>
          </cell>
          <cell r="J23">
            <v>-5600</v>
          </cell>
          <cell r="K23">
            <v>5600</v>
          </cell>
          <cell r="L23">
            <v>1.6470588235294119E-2</v>
          </cell>
          <cell r="M23">
            <v>0</v>
          </cell>
          <cell r="N23">
            <v>0</v>
          </cell>
          <cell r="O23">
            <v>11200</v>
          </cell>
          <cell r="P23">
            <v>0</v>
          </cell>
          <cell r="Q23">
            <v>-11200</v>
          </cell>
          <cell r="R23">
            <v>5600</v>
          </cell>
          <cell r="S23">
            <v>1.3333333333333334E-2</v>
          </cell>
          <cell r="T23">
            <v>0</v>
          </cell>
          <cell r="U23">
            <v>0</v>
          </cell>
          <cell r="V23">
            <v>16800</v>
          </cell>
          <cell r="W23">
            <v>0</v>
          </cell>
          <cell r="X23">
            <v>-16800</v>
          </cell>
          <cell r="Y23">
            <v>5600</v>
          </cell>
          <cell r="Z23">
            <v>1.4E-2</v>
          </cell>
          <cell r="AA23">
            <v>0</v>
          </cell>
          <cell r="AB23">
            <v>0</v>
          </cell>
          <cell r="AC23">
            <v>22400</v>
          </cell>
          <cell r="AD23">
            <v>0</v>
          </cell>
          <cell r="AE23">
            <v>-22400</v>
          </cell>
          <cell r="AF23">
            <v>5600</v>
          </cell>
          <cell r="AG23">
            <v>1.4E-2</v>
          </cell>
          <cell r="AH23">
            <v>0</v>
          </cell>
          <cell r="AI23">
            <v>0</v>
          </cell>
          <cell r="AJ23">
            <v>28000</v>
          </cell>
          <cell r="AK23">
            <v>0</v>
          </cell>
          <cell r="AL23">
            <v>-28000</v>
          </cell>
          <cell r="AM23">
            <v>5600</v>
          </cell>
          <cell r="AN23">
            <v>1.4E-2</v>
          </cell>
          <cell r="AO23">
            <v>0</v>
          </cell>
          <cell r="AP23" t="e">
            <v>#DIV/0!</v>
          </cell>
          <cell r="AQ23">
            <v>33600</v>
          </cell>
          <cell r="AR23">
            <v>0</v>
          </cell>
          <cell r="AS23">
            <v>-33600</v>
          </cell>
          <cell r="AT23">
            <v>5600</v>
          </cell>
          <cell r="AU23">
            <v>9.655172413793104E-3</v>
          </cell>
          <cell r="AV23">
            <v>0</v>
          </cell>
          <cell r="AW23" t="e">
            <v>#DIV/0!</v>
          </cell>
          <cell r="AX23">
            <v>39200</v>
          </cell>
          <cell r="AY23">
            <v>0</v>
          </cell>
          <cell r="AZ23">
            <v>-39200</v>
          </cell>
          <cell r="BA23">
            <v>5600</v>
          </cell>
          <cell r="BB23">
            <v>9.655172413793104E-3</v>
          </cell>
          <cell r="BC23">
            <v>0</v>
          </cell>
          <cell r="BD23" t="e">
            <v>#DIV/0!</v>
          </cell>
          <cell r="BE23">
            <v>44800</v>
          </cell>
          <cell r="BF23">
            <v>0</v>
          </cell>
          <cell r="BG23">
            <v>-44800</v>
          </cell>
          <cell r="BH23">
            <v>5600</v>
          </cell>
          <cell r="BI23">
            <v>9.655172413793104E-3</v>
          </cell>
          <cell r="BJ23">
            <v>0</v>
          </cell>
          <cell r="BK23" t="e">
            <v>#DIV/0!</v>
          </cell>
          <cell r="BL23">
            <v>50400</v>
          </cell>
          <cell r="BM23">
            <v>0</v>
          </cell>
          <cell r="BN23">
            <v>-50400</v>
          </cell>
          <cell r="BO23">
            <v>5600</v>
          </cell>
          <cell r="BP23">
            <v>9.655172413793104E-3</v>
          </cell>
          <cell r="BQ23">
            <v>0</v>
          </cell>
          <cell r="BR23" t="e">
            <v>#DIV/0!</v>
          </cell>
          <cell r="BS23">
            <v>56000</v>
          </cell>
          <cell r="BT23">
            <v>0</v>
          </cell>
          <cell r="BU23">
            <v>-56000</v>
          </cell>
          <cell r="BV23">
            <v>5600</v>
          </cell>
          <cell r="BW23">
            <v>9.655172413793104E-3</v>
          </cell>
          <cell r="BX23">
            <v>0</v>
          </cell>
          <cell r="BY23" t="e">
            <v>#DIV/0!</v>
          </cell>
          <cell r="BZ23">
            <v>61600</v>
          </cell>
          <cell r="CA23">
            <v>0</v>
          </cell>
          <cell r="CB23">
            <v>-61600</v>
          </cell>
          <cell r="CC23">
            <v>5600</v>
          </cell>
          <cell r="CD23">
            <v>9.655172413793104E-3</v>
          </cell>
          <cell r="CE23">
            <v>0</v>
          </cell>
          <cell r="CF23" t="e">
            <v>#DIV/0!</v>
          </cell>
          <cell r="CG23">
            <v>67200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3.1994310521107946E-2</v>
          </cell>
          <cell r="C25">
            <v>13034.212236416666</v>
          </cell>
          <cell r="D25">
            <v>15000</v>
          </cell>
          <cell r="E25">
            <v>4.5454545454545456E-2</v>
          </cell>
          <cell r="F25">
            <v>17160.299665999999</v>
          </cell>
          <cell r="G25">
            <v>4.8880204731561065E-2</v>
          </cell>
          <cell r="H25">
            <v>15000</v>
          </cell>
          <cell r="I25">
            <v>17160.299665999999</v>
          </cell>
          <cell r="J25">
            <v>2160.299665999999</v>
          </cell>
          <cell r="K25">
            <v>12000</v>
          </cell>
          <cell r="L25">
            <v>3.5294117647058823E-2</v>
          </cell>
          <cell r="M25">
            <v>21757.085437999998</v>
          </cell>
          <cell r="N25">
            <v>8.5187731331236999E-2</v>
          </cell>
          <cell r="O25">
            <v>27000</v>
          </cell>
          <cell r="P25">
            <v>38917.385104000001</v>
          </cell>
          <cell r="Q25">
            <v>11917.385104000001</v>
          </cell>
          <cell r="R25">
            <v>16500</v>
          </cell>
          <cell r="S25">
            <v>3.9285714285714285E-2</v>
          </cell>
          <cell r="T25">
            <v>-723.35776799999985</v>
          </cell>
          <cell r="U25">
            <v>-4.5235011166208398E-3</v>
          </cell>
          <cell r="V25">
            <v>43500</v>
          </cell>
          <cell r="W25">
            <v>38194.027335999999</v>
          </cell>
          <cell r="X25">
            <v>-5305.9726640000008</v>
          </cell>
          <cell r="Y25">
            <v>16500</v>
          </cell>
          <cell r="Z25">
            <v>4.1250000000000002E-2</v>
          </cell>
          <cell r="AA25">
            <v>0</v>
          </cell>
          <cell r="AB25">
            <v>0</v>
          </cell>
          <cell r="AC25">
            <v>60000</v>
          </cell>
          <cell r="AD25">
            <v>38194.027335999999</v>
          </cell>
          <cell r="AE25">
            <v>-21805.972664000001</v>
          </cell>
          <cell r="AF25">
            <v>16500</v>
          </cell>
          <cell r="AG25">
            <v>4.1250000000000002E-2</v>
          </cell>
          <cell r="AH25">
            <v>0</v>
          </cell>
          <cell r="AI25">
            <v>0</v>
          </cell>
          <cell r="AJ25">
            <v>76500</v>
          </cell>
          <cell r="AK25">
            <v>38194.027335999999</v>
          </cell>
          <cell r="AL25">
            <v>-38305.972664000001</v>
          </cell>
          <cell r="AM25">
            <v>16500</v>
          </cell>
          <cell r="AN25">
            <v>4.1250000000000002E-2</v>
          </cell>
          <cell r="AO25">
            <v>0</v>
          </cell>
          <cell r="AP25" t="e">
            <v>#DIV/0!</v>
          </cell>
          <cell r="AQ25">
            <v>93000</v>
          </cell>
          <cell r="AR25">
            <v>38194.027335999999</v>
          </cell>
          <cell r="AS25">
            <v>-54805.972664000001</v>
          </cell>
          <cell r="AT25">
            <v>16500</v>
          </cell>
          <cell r="AU25">
            <v>2.8448275862068967E-2</v>
          </cell>
          <cell r="AV25">
            <v>0</v>
          </cell>
          <cell r="AW25" t="e">
            <v>#DIV/0!</v>
          </cell>
          <cell r="AX25">
            <v>109500</v>
          </cell>
          <cell r="AY25">
            <v>38194.027335999999</v>
          </cell>
          <cell r="AZ25">
            <v>-71305.972664000001</v>
          </cell>
          <cell r="BA25">
            <v>16500</v>
          </cell>
          <cell r="BB25">
            <v>2.8448275862068967E-2</v>
          </cell>
          <cell r="BC25">
            <v>0</v>
          </cell>
          <cell r="BD25" t="e">
            <v>#DIV/0!</v>
          </cell>
          <cell r="BE25">
            <v>126000</v>
          </cell>
          <cell r="BF25">
            <v>38194.027335999999</v>
          </cell>
          <cell r="BG25">
            <v>-87805.972664000001</v>
          </cell>
          <cell r="BH25">
            <v>16500</v>
          </cell>
          <cell r="BI25">
            <v>2.8448275862068967E-2</v>
          </cell>
          <cell r="BJ25">
            <v>0</v>
          </cell>
          <cell r="BK25" t="e">
            <v>#DIV/0!</v>
          </cell>
          <cell r="BL25">
            <v>142500</v>
          </cell>
          <cell r="BM25">
            <v>38194.027335999999</v>
          </cell>
          <cell r="BN25">
            <v>-104305.972664</v>
          </cell>
          <cell r="BO25">
            <v>16500</v>
          </cell>
          <cell r="BP25">
            <v>2.8448275862068967E-2</v>
          </cell>
          <cell r="BQ25">
            <v>0</v>
          </cell>
          <cell r="BR25" t="e">
            <v>#DIV/0!</v>
          </cell>
          <cell r="BS25">
            <v>159000</v>
          </cell>
          <cell r="BT25">
            <v>38194.027335999999</v>
          </cell>
          <cell r="BU25">
            <v>-120805.972664</v>
          </cell>
          <cell r="BV25">
            <v>16500</v>
          </cell>
          <cell r="BW25">
            <v>2.8448275862068967E-2</v>
          </cell>
          <cell r="BX25">
            <v>0</v>
          </cell>
          <cell r="BY25" t="e">
            <v>#DIV/0!</v>
          </cell>
          <cell r="BZ25">
            <v>175500</v>
          </cell>
          <cell r="CA25">
            <v>38194.027335999999</v>
          </cell>
          <cell r="CB25">
            <v>-137305.972664</v>
          </cell>
          <cell r="CC25">
            <v>16500</v>
          </cell>
          <cell r="CD25">
            <v>2.8448275862068967E-2</v>
          </cell>
          <cell r="CE25">
            <v>0</v>
          </cell>
          <cell r="CF25" t="e">
            <v>#DIV/0!</v>
          </cell>
          <cell r="CG25">
            <v>192000</v>
          </cell>
          <cell r="CH25">
            <v>38194.027335999999</v>
          </cell>
        </row>
        <row r="26">
          <cell r="A26" t="str">
            <v>Custas/Guias/Despesas</v>
          </cell>
          <cell r="B26">
            <v>1.3737950119529089E-3</v>
          </cell>
          <cell r="C26">
            <v>559.67250000000001</v>
          </cell>
          <cell r="D26">
            <v>600</v>
          </cell>
          <cell r="E26">
            <v>1.8181818181818182E-3</v>
          </cell>
          <cell r="F26">
            <v>2743</v>
          </cell>
          <cell r="G26">
            <v>7.8132902215177439E-3</v>
          </cell>
          <cell r="H26">
            <v>600</v>
          </cell>
          <cell r="I26">
            <v>2743</v>
          </cell>
          <cell r="J26">
            <v>2143</v>
          </cell>
          <cell r="K26">
            <v>600</v>
          </cell>
          <cell r="L26">
            <v>1.7647058823529412E-3</v>
          </cell>
          <cell r="M26">
            <v>0</v>
          </cell>
          <cell r="N26">
            <v>0</v>
          </cell>
          <cell r="O26">
            <v>1200</v>
          </cell>
          <cell r="P26">
            <v>2743</v>
          </cell>
          <cell r="Q26">
            <v>1543</v>
          </cell>
          <cell r="R26">
            <v>600</v>
          </cell>
          <cell r="S26">
            <v>1.4285714285714286E-3</v>
          </cell>
          <cell r="T26">
            <v>670.08</v>
          </cell>
          <cell r="U26">
            <v>4.1903298233818007E-3</v>
          </cell>
          <cell r="V26">
            <v>1800</v>
          </cell>
          <cell r="W26">
            <v>3413.08</v>
          </cell>
          <cell r="X26">
            <v>1613.08</v>
          </cell>
          <cell r="Y26">
            <v>600</v>
          </cell>
          <cell r="Z26">
            <v>1.5E-3</v>
          </cell>
          <cell r="AA26">
            <v>0</v>
          </cell>
          <cell r="AB26">
            <v>0</v>
          </cell>
          <cell r="AC26">
            <v>2400</v>
          </cell>
          <cell r="AD26">
            <v>3413.08</v>
          </cell>
          <cell r="AE26">
            <v>1013.0799999999999</v>
          </cell>
          <cell r="AF26">
            <v>600</v>
          </cell>
          <cell r="AG26">
            <v>1.5E-3</v>
          </cell>
          <cell r="AH26">
            <v>0</v>
          </cell>
          <cell r="AI26">
            <v>0</v>
          </cell>
          <cell r="AJ26">
            <v>3000</v>
          </cell>
          <cell r="AK26">
            <v>3413.08</v>
          </cell>
          <cell r="AL26">
            <v>413.07999999999993</v>
          </cell>
          <cell r="AM26">
            <v>600</v>
          </cell>
          <cell r="AN26">
            <v>1.5E-3</v>
          </cell>
          <cell r="AO26">
            <v>0</v>
          </cell>
          <cell r="AP26" t="e">
            <v>#DIV/0!</v>
          </cell>
          <cell r="AQ26">
            <v>3600</v>
          </cell>
          <cell r="AR26">
            <v>3413.08</v>
          </cell>
          <cell r="AS26">
            <v>-186.92000000000007</v>
          </cell>
          <cell r="AT26">
            <v>600</v>
          </cell>
          <cell r="AU26">
            <v>1.0344827586206897E-3</v>
          </cell>
          <cell r="AV26">
            <v>0</v>
          </cell>
          <cell r="AW26" t="e">
            <v>#DIV/0!</v>
          </cell>
          <cell r="AX26">
            <v>4200</v>
          </cell>
          <cell r="AY26">
            <v>3413.08</v>
          </cell>
          <cell r="AZ26">
            <v>-786.92000000000007</v>
          </cell>
          <cell r="BA26">
            <v>600</v>
          </cell>
          <cell r="BB26">
            <v>1.0344827586206897E-3</v>
          </cell>
          <cell r="BC26">
            <v>0</v>
          </cell>
          <cell r="BD26" t="e">
            <v>#DIV/0!</v>
          </cell>
          <cell r="BE26">
            <v>4800</v>
          </cell>
          <cell r="BF26">
            <v>3413.08</v>
          </cell>
          <cell r="BG26">
            <v>-1386.92</v>
          </cell>
          <cell r="BH26">
            <v>600</v>
          </cell>
          <cell r="BI26">
            <v>1.0344827586206897E-3</v>
          </cell>
          <cell r="BJ26">
            <v>0</v>
          </cell>
          <cell r="BK26" t="e">
            <v>#DIV/0!</v>
          </cell>
          <cell r="BL26">
            <v>5400</v>
          </cell>
          <cell r="BM26">
            <v>3413.08</v>
          </cell>
          <cell r="BN26">
            <v>-1986.92</v>
          </cell>
          <cell r="BO26">
            <v>600</v>
          </cell>
          <cell r="BP26">
            <v>1.0344827586206897E-3</v>
          </cell>
          <cell r="BQ26">
            <v>0</v>
          </cell>
          <cell r="BR26" t="e">
            <v>#DIV/0!</v>
          </cell>
          <cell r="BS26">
            <v>6000</v>
          </cell>
          <cell r="BT26">
            <v>3413.08</v>
          </cell>
          <cell r="BU26">
            <v>-2586.92</v>
          </cell>
          <cell r="BV26">
            <v>600</v>
          </cell>
          <cell r="BW26">
            <v>1.0344827586206897E-3</v>
          </cell>
          <cell r="BX26">
            <v>0</v>
          </cell>
          <cell r="BY26" t="e">
            <v>#DIV/0!</v>
          </cell>
          <cell r="BZ26">
            <v>6600</v>
          </cell>
          <cell r="CA26">
            <v>3413.08</v>
          </cell>
          <cell r="CB26">
            <v>-3186.92</v>
          </cell>
          <cell r="CC26">
            <v>600</v>
          </cell>
          <cell r="CD26">
            <v>1.0344827586206897E-3</v>
          </cell>
          <cell r="CE26">
            <v>0</v>
          </cell>
          <cell r="CF26" t="e">
            <v>#DIV/0!</v>
          </cell>
          <cell r="CG26">
            <v>7200</v>
          </cell>
          <cell r="CH26">
            <v>3413.08</v>
          </cell>
        </row>
        <row r="27">
          <cell r="A27" t="str">
            <v>Deslocamento</v>
          </cell>
          <cell r="B27">
            <v>1.5037948406386749E-3</v>
          </cell>
          <cell r="C27">
            <v>612.63333366666666</v>
          </cell>
          <cell r="D27">
            <v>600</v>
          </cell>
          <cell r="E27">
            <v>1.8181818181818182E-3</v>
          </cell>
          <cell r="F27">
            <v>0</v>
          </cell>
          <cell r="G27">
            <v>0</v>
          </cell>
          <cell r="H27">
            <v>600</v>
          </cell>
          <cell r="I27">
            <v>0</v>
          </cell>
          <cell r="J27">
            <v>-600</v>
          </cell>
          <cell r="K27">
            <v>600</v>
          </cell>
          <cell r="L27">
            <v>1.7647058823529412E-3</v>
          </cell>
          <cell r="M27">
            <v>827.70053800000005</v>
          </cell>
          <cell r="N27">
            <v>3.2407801704319584E-3</v>
          </cell>
          <cell r="O27">
            <v>1200</v>
          </cell>
          <cell r="P27">
            <v>827.70053800000005</v>
          </cell>
          <cell r="Q27">
            <v>-372.29946199999995</v>
          </cell>
          <cell r="R27">
            <v>600</v>
          </cell>
          <cell r="S27">
            <v>1.4285714285714286E-3</v>
          </cell>
          <cell r="T27">
            <v>0</v>
          </cell>
          <cell r="U27">
            <v>0</v>
          </cell>
          <cell r="V27">
            <v>1800</v>
          </cell>
          <cell r="W27">
            <v>827.70053800000005</v>
          </cell>
          <cell r="X27">
            <v>-972.29946199999995</v>
          </cell>
          <cell r="Y27">
            <v>600</v>
          </cell>
          <cell r="Z27">
            <v>1.5E-3</v>
          </cell>
          <cell r="AA27">
            <v>0</v>
          </cell>
          <cell r="AB27">
            <v>0</v>
          </cell>
          <cell r="AC27">
            <v>2400</v>
          </cell>
          <cell r="AD27">
            <v>827.70053800000005</v>
          </cell>
          <cell r="AE27">
            <v>-1572.2994619999999</v>
          </cell>
          <cell r="AF27">
            <v>600</v>
          </cell>
          <cell r="AG27">
            <v>1.5E-3</v>
          </cell>
          <cell r="AH27">
            <v>0</v>
          </cell>
          <cell r="AI27">
            <v>0</v>
          </cell>
          <cell r="AJ27">
            <v>3000</v>
          </cell>
          <cell r="AK27">
            <v>827.70053800000005</v>
          </cell>
          <cell r="AL27">
            <v>-2172.2994619999999</v>
          </cell>
          <cell r="AM27">
            <v>600</v>
          </cell>
          <cell r="AN27">
            <v>1.5E-3</v>
          </cell>
          <cell r="AO27">
            <v>0</v>
          </cell>
          <cell r="AP27" t="e">
            <v>#DIV/0!</v>
          </cell>
          <cell r="AQ27">
            <v>3600</v>
          </cell>
          <cell r="AR27">
            <v>827.70053800000005</v>
          </cell>
          <cell r="AS27">
            <v>-2772.2994619999999</v>
          </cell>
          <cell r="AT27">
            <v>600</v>
          </cell>
          <cell r="AU27">
            <v>1.0344827586206897E-3</v>
          </cell>
          <cell r="AV27">
            <v>0</v>
          </cell>
          <cell r="AW27" t="e">
            <v>#DIV/0!</v>
          </cell>
          <cell r="AX27">
            <v>4200</v>
          </cell>
          <cell r="AY27">
            <v>827.70053800000005</v>
          </cell>
          <cell r="AZ27">
            <v>-3372.2994619999999</v>
          </cell>
          <cell r="BA27">
            <v>600</v>
          </cell>
          <cell r="BB27">
            <v>1.0344827586206897E-3</v>
          </cell>
          <cell r="BC27">
            <v>0</v>
          </cell>
          <cell r="BD27" t="e">
            <v>#DIV/0!</v>
          </cell>
          <cell r="BE27">
            <v>4800</v>
          </cell>
          <cell r="BF27">
            <v>827.70053800000005</v>
          </cell>
          <cell r="BG27">
            <v>-3972.2994619999999</v>
          </cell>
          <cell r="BH27">
            <v>600</v>
          </cell>
          <cell r="BI27">
            <v>1.0344827586206897E-3</v>
          </cell>
          <cell r="BJ27">
            <v>0</v>
          </cell>
          <cell r="BK27" t="e">
            <v>#DIV/0!</v>
          </cell>
          <cell r="BL27">
            <v>5400</v>
          </cell>
          <cell r="BM27">
            <v>827.70053800000005</v>
          </cell>
          <cell r="BN27">
            <v>-4572.2994619999999</v>
          </cell>
          <cell r="BO27">
            <v>600</v>
          </cell>
          <cell r="BP27">
            <v>1.0344827586206897E-3</v>
          </cell>
          <cell r="BQ27">
            <v>0</v>
          </cell>
          <cell r="BR27" t="e">
            <v>#DIV/0!</v>
          </cell>
          <cell r="BS27">
            <v>6000</v>
          </cell>
          <cell r="BT27">
            <v>827.70053800000005</v>
          </cell>
          <cell r="BU27">
            <v>-5172.2994619999999</v>
          </cell>
          <cell r="BV27">
            <v>600</v>
          </cell>
          <cell r="BW27">
            <v>1.0344827586206897E-3</v>
          </cell>
          <cell r="BX27">
            <v>0</v>
          </cell>
          <cell r="BY27" t="e">
            <v>#DIV/0!</v>
          </cell>
          <cell r="BZ27">
            <v>6600</v>
          </cell>
          <cell r="CA27">
            <v>827.70053800000005</v>
          </cell>
          <cell r="CB27">
            <v>-5772.2994619999999</v>
          </cell>
          <cell r="CC27">
            <v>600</v>
          </cell>
          <cell r="CD27">
            <v>1.0344827586206897E-3</v>
          </cell>
          <cell r="CE27">
            <v>0</v>
          </cell>
          <cell r="CF27" t="e">
            <v>#DIV/0!</v>
          </cell>
          <cell r="CG27">
            <v>7200</v>
          </cell>
          <cell r="CH27">
            <v>827.70053800000005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7.6294878549313717E-4</v>
          </cell>
          <cell r="C30">
            <v>310.81889978760864</v>
          </cell>
          <cell r="D30">
            <v>154.01707758874016</v>
          </cell>
          <cell r="E30">
            <v>4.6671841693557626E-4</v>
          </cell>
          <cell r="F30">
            <v>1137.1178777991352</v>
          </cell>
          <cell r="G30">
            <v>3.239020049333209E-3</v>
          </cell>
          <cell r="H30">
            <v>154.01707758874016</v>
          </cell>
          <cell r="I30">
            <v>1137.1178777991352</v>
          </cell>
          <cell r="J30">
            <v>983.10080021039494</v>
          </cell>
          <cell r="K30">
            <v>154.01707758874016</v>
          </cell>
          <cell r="L30">
            <v>4.5299140467276521E-4</v>
          </cell>
          <cell r="M30">
            <v>924.10246553244099</v>
          </cell>
          <cell r="N30">
            <v>3.6182324503271218E-3</v>
          </cell>
          <cell r="O30">
            <v>308.03415517748033</v>
          </cell>
          <cell r="P30">
            <v>2061.2203433315763</v>
          </cell>
          <cell r="Q30">
            <v>1753.1861881540958</v>
          </cell>
          <cell r="R30">
            <v>0</v>
          </cell>
          <cell r="S30">
            <v>0</v>
          </cell>
          <cell r="T30">
            <v>943.35913725044577</v>
          </cell>
          <cell r="U30">
            <v>5.8992746044953855E-3</v>
          </cell>
          <cell r="V30">
            <v>308.03415517748033</v>
          </cell>
          <cell r="W30">
            <v>3004.5794805820219</v>
          </cell>
          <cell r="X30">
            <v>2696.5453254045415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308.03415517748033</v>
          </cell>
          <cell r="AD30">
            <v>3004.5794805820219</v>
          </cell>
          <cell r="AE30">
            <v>2696.5453254045415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308.03415517748033</v>
          </cell>
          <cell r="AK30">
            <v>3004.5794805820219</v>
          </cell>
          <cell r="AL30">
            <v>2696.5453254045415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308.03415517748033</v>
          </cell>
          <cell r="AR30">
            <v>3004.5794805820219</v>
          </cell>
          <cell r="AS30">
            <v>2696.5453254045415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308.03415517748033</v>
          </cell>
          <cell r="AY30">
            <v>3004.5794805820219</v>
          </cell>
          <cell r="AZ30">
            <v>2696.5453254045415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308.03415517748033</v>
          </cell>
          <cell r="BF30">
            <v>3004.5794805820219</v>
          </cell>
          <cell r="BG30">
            <v>2696.5453254045415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308.03415517748033</v>
          </cell>
          <cell r="BM30">
            <v>3004.5794805820219</v>
          </cell>
          <cell r="BN30">
            <v>2696.5453254045415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308.03415517748033</v>
          </cell>
          <cell r="BT30">
            <v>3004.5794805820219</v>
          </cell>
          <cell r="BU30">
            <v>2696.5453254045415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308.03415517748033</v>
          </cell>
          <cell r="CA30">
            <v>3004.5794805820219</v>
          </cell>
          <cell r="CB30">
            <v>2696.5453254045415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308.03415517748033</v>
          </cell>
          <cell r="CH30">
            <v>3004.5794805820219</v>
          </cell>
        </row>
        <row r="31">
          <cell r="A31" t="str">
            <v>Encargos Rescisórios</v>
          </cell>
          <cell r="B31">
            <v>6.6640432272010042E-4</v>
          </cell>
          <cell r="C31">
            <v>271.48750000000001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600</v>
          </cell>
          <cell r="L31">
            <v>1.7647058823529412E-3</v>
          </cell>
          <cell r="M31">
            <v>0</v>
          </cell>
          <cell r="N31">
            <v>0</v>
          </cell>
          <cell r="O31">
            <v>600</v>
          </cell>
          <cell r="P31">
            <v>0</v>
          </cell>
          <cell r="Q31">
            <v>-600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600</v>
          </cell>
          <cell r="W31">
            <v>0</v>
          </cell>
          <cell r="X31">
            <v>-600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600</v>
          </cell>
          <cell r="AD31">
            <v>0</v>
          </cell>
          <cell r="AE31">
            <v>-600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600</v>
          </cell>
          <cell r="AK31">
            <v>0</v>
          </cell>
          <cell r="AL31">
            <v>-600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600</v>
          </cell>
          <cell r="AR31">
            <v>0</v>
          </cell>
          <cell r="AS31">
            <v>-600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600</v>
          </cell>
          <cell r="AY31">
            <v>0</v>
          </cell>
          <cell r="AZ31">
            <v>-600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600</v>
          </cell>
          <cell r="BF31">
            <v>0</v>
          </cell>
          <cell r="BG31">
            <v>-600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600</v>
          </cell>
          <cell r="BM31">
            <v>0</v>
          </cell>
          <cell r="BN31">
            <v>-600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600</v>
          </cell>
          <cell r="BT31">
            <v>0</v>
          </cell>
          <cell r="BU31">
            <v>-600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600</v>
          </cell>
          <cell r="CA31">
            <v>0</v>
          </cell>
          <cell r="CB31">
            <v>-600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600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6.1366022627202028E-5</v>
          </cell>
          <cell r="C33">
            <v>25</v>
          </cell>
          <cell r="D33">
            <v>150</v>
          </cell>
          <cell r="E33">
            <v>4.5454545454545455E-4</v>
          </cell>
          <cell r="F33">
            <v>0</v>
          </cell>
          <cell r="G33">
            <v>0</v>
          </cell>
          <cell r="H33">
            <v>150</v>
          </cell>
          <cell r="I33">
            <v>0</v>
          </cell>
          <cell r="J33">
            <v>-150</v>
          </cell>
          <cell r="K33">
            <v>150</v>
          </cell>
          <cell r="L33">
            <v>4.4117647058823531E-4</v>
          </cell>
          <cell r="M33">
            <v>0</v>
          </cell>
          <cell r="N33">
            <v>0</v>
          </cell>
          <cell r="O33">
            <v>300</v>
          </cell>
          <cell r="P33">
            <v>0</v>
          </cell>
          <cell r="Q33">
            <v>-300</v>
          </cell>
          <cell r="R33">
            <v>150</v>
          </cell>
          <cell r="S33">
            <v>3.5714285714285714E-4</v>
          </cell>
          <cell r="T33">
            <v>0</v>
          </cell>
          <cell r="U33">
            <v>0</v>
          </cell>
          <cell r="V33">
            <v>450</v>
          </cell>
          <cell r="W33">
            <v>0</v>
          </cell>
          <cell r="X33">
            <v>-450</v>
          </cell>
          <cell r="Y33">
            <v>150</v>
          </cell>
          <cell r="Z33">
            <v>3.7500000000000001E-4</v>
          </cell>
          <cell r="AA33">
            <v>0</v>
          </cell>
          <cell r="AB33">
            <v>0</v>
          </cell>
          <cell r="AC33">
            <v>600</v>
          </cell>
          <cell r="AD33">
            <v>0</v>
          </cell>
          <cell r="AE33">
            <v>-600</v>
          </cell>
          <cell r="AF33">
            <v>150</v>
          </cell>
          <cell r="AG33">
            <v>3.7500000000000001E-4</v>
          </cell>
          <cell r="AH33">
            <v>0</v>
          </cell>
          <cell r="AI33">
            <v>0</v>
          </cell>
          <cell r="AJ33">
            <v>750</v>
          </cell>
          <cell r="AK33">
            <v>0</v>
          </cell>
          <cell r="AL33">
            <v>-750</v>
          </cell>
          <cell r="AM33">
            <v>150</v>
          </cell>
          <cell r="AN33">
            <v>3.7500000000000001E-4</v>
          </cell>
          <cell r="AO33">
            <v>0</v>
          </cell>
          <cell r="AP33" t="e">
            <v>#DIV/0!</v>
          </cell>
          <cell r="AQ33">
            <v>900</v>
          </cell>
          <cell r="AR33">
            <v>0</v>
          </cell>
          <cell r="AS33">
            <v>-900</v>
          </cell>
          <cell r="AT33">
            <v>150</v>
          </cell>
          <cell r="AU33">
            <v>2.5862068965517242E-4</v>
          </cell>
          <cell r="AV33">
            <v>0</v>
          </cell>
          <cell r="AW33" t="e">
            <v>#DIV/0!</v>
          </cell>
          <cell r="AX33">
            <v>1050</v>
          </cell>
          <cell r="AY33">
            <v>0</v>
          </cell>
          <cell r="AZ33">
            <v>-1050</v>
          </cell>
          <cell r="BA33">
            <v>150</v>
          </cell>
          <cell r="BB33">
            <v>2.5862068965517242E-4</v>
          </cell>
          <cell r="BC33">
            <v>0</v>
          </cell>
          <cell r="BD33" t="e">
            <v>#DIV/0!</v>
          </cell>
          <cell r="BE33">
            <v>1200</v>
          </cell>
          <cell r="BF33">
            <v>0</v>
          </cell>
          <cell r="BG33">
            <v>-1200</v>
          </cell>
          <cell r="BH33">
            <v>150</v>
          </cell>
          <cell r="BI33">
            <v>2.5862068965517242E-4</v>
          </cell>
          <cell r="BJ33">
            <v>0</v>
          </cell>
          <cell r="BK33" t="e">
            <v>#DIV/0!</v>
          </cell>
          <cell r="BL33">
            <v>1350</v>
          </cell>
          <cell r="BM33">
            <v>0</v>
          </cell>
          <cell r="BN33">
            <v>-1350</v>
          </cell>
          <cell r="BO33">
            <v>150</v>
          </cell>
          <cell r="BP33">
            <v>2.5862068965517242E-4</v>
          </cell>
          <cell r="BQ33">
            <v>0</v>
          </cell>
          <cell r="BR33" t="e">
            <v>#DIV/0!</v>
          </cell>
          <cell r="BS33">
            <v>1500</v>
          </cell>
          <cell r="BT33">
            <v>0</v>
          </cell>
          <cell r="BU33">
            <v>-1500</v>
          </cell>
          <cell r="BV33">
            <v>150</v>
          </cell>
          <cell r="BW33">
            <v>2.5862068965517242E-4</v>
          </cell>
          <cell r="BX33">
            <v>0</v>
          </cell>
          <cell r="BY33" t="e">
            <v>#DIV/0!</v>
          </cell>
          <cell r="BZ33">
            <v>1650</v>
          </cell>
          <cell r="CA33">
            <v>0</v>
          </cell>
          <cell r="CB33">
            <v>-1650</v>
          </cell>
          <cell r="CC33">
            <v>150</v>
          </cell>
          <cell r="CD33">
            <v>2.5862068965517242E-4</v>
          </cell>
          <cell r="CE33">
            <v>0</v>
          </cell>
          <cell r="CF33" t="e">
            <v>#DIV/0!</v>
          </cell>
          <cell r="CG33">
            <v>1800</v>
          </cell>
          <cell r="CH33">
            <v>0</v>
          </cell>
        </row>
        <row r="34">
          <cell r="A34" t="str">
            <v>Férias</v>
          </cell>
          <cell r="B34">
            <v>7.159369306506903E-5</v>
          </cell>
          <cell r="C34">
            <v>29.166666666666668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16</v>
          </cell>
          <cell r="E35">
            <v>4.8484848484848488E-5</v>
          </cell>
          <cell r="F35">
            <v>0</v>
          </cell>
          <cell r="G35">
            <v>0</v>
          </cell>
          <cell r="H35">
            <v>16</v>
          </cell>
          <cell r="I35">
            <v>0</v>
          </cell>
          <cell r="J35">
            <v>-16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16</v>
          </cell>
          <cell r="P35">
            <v>0</v>
          </cell>
          <cell r="Q35">
            <v>-16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16</v>
          </cell>
          <cell r="W35">
            <v>0</v>
          </cell>
          <cell r="X35">
            <v>-16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16</v>
          </cell>
          <cell r="AD35">
            <v>0</v>
          </cell>
          <cell r="AE35">
            <v>-16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16</v>
          </cell>
          <cell r="AK35">
            <v>0</v>
          </cell>
          <cell r="AL35">
            <v>-16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16</v>
          </cell>
          <cell r="AR35">
            <v>0</v>
          </cell>
          <cell r="AS35">
            <v>-16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16</v>
          </cell>
          <cell r="AY35">
            <v>0</v>
          </cell>
          <cell r="AZ35">
            <v>-16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16</v>
          </cell>
          <cell r="BF35">
            <v>0</v>
          </cell>
          <cell r="BG35">
            <v>-16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16</v>
          </cell>
          <cell r="BM35">
            <v>0</v>
          </cell>
          <cell r="BN35">
            <v>-16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16</v>
          </cell>
          <cell r="BT35">
            <v>0</v>
          </cell>
          <cell r="BU35">
            <v>-16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16</v>
          </cell>
          <cell r="CA35">
            <v>0</v>
          </cell>
          <cell r="CB35">
            <v>-16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16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76.8</v>
          </cell>
          <cell r="G38">
            <v>2.1876073241435025E-4</v>
          </cell>
          <cell r="H38">
            <v>0</v>
          </cell>
          <cell r="I38">
            <v>76.8</v>
          </cell>
          <cell r="J38">
            <v>76.8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76.8</v>
          </cell>
          <cell r="Q38">
            <v>76.8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76.8</v>
          </cell>
          <cell r="X38">
            <v>76.8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76.8</v>
          </cell>
          <cell r="AE38">
            <v>76.8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76.8</v>
          </cell>
          <cell r="AL38">
            <v>76.8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76.8</v>
          </cell>
          <cell r="AS38">
            <v>76.8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76.8</v>
          </cell>
          <cell r="AZ38">
            <v>76.8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76.8</v>
          </cell>
          <cell r="BG38">
            <v>76.8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76.8</v>
          </cell>
          <cell r="BN38">
            <v>76.8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76.8</v>
          </cell>
          <cell r="BU38">
            <v>76.8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76.8</v>
          </cell>
          <cell r="CB38">
            <v>76.8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76.8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1.2592329302127461E-2</v>
          </cell>
          <cell r="C40">
            <v>5130.0087422260267</v>
          </cell>
          <cell r="D40">
            <v>5000</v>
          </cell>
          <cell r="E40">
            <v>1.5151515151515152E-2</v>
          </cell>
          <cell r="F40">
            <v>8526.6046096121299</v>
          </cell>
          <cell r="G40">
            <v>2.4287581632894854E-2</v>
          </cell>
          <cell r="H40">
            <v>5000</v>
          </cell>
          <cell r="I40">
            <v>8526.6046096121299</v>
          </cell>
          <cell r="J40">
            <v>3526.6046096121299</v>
          </cell>
          <cell r="K40">
            <v>5000</v>
          </cell>
          <cell r="L40">
            <v>1.4705882352941176E-2</v>
          </cell>
          <cell r="M40">
            <v>7463.6092752491704</v>
          </cell>
          <cell r="N40">
            <v>2.9223029137477197E-2</v>
          </cell>
          <cell r="O40">
            <v>10000</v>
          </cell>
          <cell r="P40">
            <v>15990.213884861299</v>
          </cell>
          <cell r="Q40">
            <v>5990.2138848612994</v>
          </cell>
          <cell r="R40">
            <v>8500</v>
          </cell>
          <cell r="S40">
            <v>2.0238095238095239E-2</v>
          </cell>
          <cell r="T40">
            <v>6555.7108483686579</v>
          </cell>
          <cell r="U40">
            <v>4.0995986570837493E-2</v>
          </cell>
          <cell r="V40">
            <v>18500</v>
          </cell>
          <cell r="W40">
            <v>22545.924733229956</v>
          </cell>
          <cell r="X40">
            <v>4045.9247332299565</v>
          </cell>
          <cell r="Y40">
            <v>8500</v>
          </cell>
          <cell r="Z40">
            <v>2.1250000000000002E-2</v>
          </cell>
          <cell r="AA40">
            <v>0</v>
          </cell>
          <cell r="AB40">
            <v>0</v>
          </cell>
          <cell r="AC40">
            <v>27000</v>
          </cell>
          <cell r="AD40">
            <v>22545.924733229956</v>
          </cell>
          <cell r="AE40">
            <v>-4454.0752667700435</v>
          </cell>
          <cell r="AF40">
            <v>8500</v>
          </cell>
          <cell r="AG40">
            <v>2.1250000000000002E-2</v>
          </cell>
          <cell r="AH40">
            <v>0</v>
          </cell>
          <cell r="AI40">
            <v>0</v>
          </cell>
          <cell r="AJ40">
            <v>35500</v>
          </cell>
          <cell r="AK40">
            <v>22545.924733229956</v>
          </cell>
          <cell r="AL40">
            <v>-12954.075266770044</v>
          </cell>
          <cell r="AM40">
            <v>8500</v>
          </cell>
          <cell r="AN40">
            <v>2.1250000000000002E-2</v>
          </cell>
          <cell r="AO40">
            <v>0</v>
          </cell>
          <cell r="AP40" t="e">
            <v>#DIV/0!</v>
          </cell>
          <cell r="AQ40">
            <v>44000</v>
          </cell>
          <cell r="AR40">
            <v>22545.924733229956</v>
          </cell>
          <cell r="AS40">
            <v>-21454.075266770044</v>
          </cell>
          <cell r="AT40">
            <v>8500</v>
          </cell>
          <cell r="AU40">
            <v>1.4655172413793103E-2</v>
          </cell>
          <cell r="AV40">
            <v>0</v>
          </cell>
          <cell r="AW40" t="e">
            <v>#DIV/0!</v>
          </cell>
          <cell r="AX40">
            <v>52500</v>
          </cell>
          <cell r="AY40">
            <v>22545.924733229956</v>
          </cell>
          <cell r="AZ40">
            <v>-29954.075266770044</v>
          </cell>
          <cell r="BA40">
            <v>8500</v>
          </cell>
          <cell r="BB40">
            <v>1.4655172413793103E-2</v>
          </cell>
          <cell r="BC40">
            <v>0</v>
          </cell>
          <cell r="BD40" t="e">
            <v>#DIV/0!</v>
          </cell>
          <cell r="BE40">
            <v>61000</v>
          </cell>
          <cell r="BF40">
            <v>22545.924733229956</v>
          </cell>
          <cell r="BG40">
            <v>-38454.075266770044</v>
          </cell>
          <cell r="BH40">
            <v>8500</v>
          </cell>
          <cell r="BI40">
            <v>1.4655172413793103E-2</v>
          </cell>
          <cell r="BJ40">
            <v>0</v>
          </cell>
          <cell r="BK40" t="e">
            <v>#DIV/0!</v>
          </cell>
          <cell r="BL40">
            <v>69500</v>
          </cell>
          <cell r="BM40">
            <v>22545.924733229956</v>
          </cell>
          <cell r="BN40">
            <v>-46954.075266770044</v>
          </cell>
          <cell r="BO40">
            <v>8500</v>
          </cell>
          <cell r="BP40">
            <v>1.4655172413793103E-2</v>
          </cell>
          <cell r="BQ40">
            <v>0</v>
          </cell>
          <cell r="BR40" t="e">
            <v>#DIV/0!</v>
          </cell>
          <cell r="BS40">
            <v>78000</v>
          </cell>
          <cell r="BT40">
            <v>22545.924733229956</v>
          </cell>
          <cell r="BU40">
            <v>-55454.075266770044</v>
          </cell>
          <cell r="BV40">
            <v>8500</v>
          </cell>
          <cell r="BW40">
            <v>1.4655172413793103E-2</v>
          </cell>
          <cell r="BX40">
            <v>0</v>
          </cell>
          <cell r="BY40" t="e">
            <v>#DIV/0!</v>
          </cell>
          <cell r="BZ40">
            <v>86500</v>
          </cell>
          <cell r="CA40">
            <v>22545.924733229956</v>
          </cell>
          <cell r="CB40">
            <v>-63954.075266770044</v>
          </cell>
          <cell r="CC40">
            <v>8500</v>
          </cell>
          <cell r="CD40">
            <v>1.4655172413793103E-2</v>
          </cell>
          <cell r="CE40">
            <v>0</v>
          </cell>
          <cell r="CF40" t="e">
            <v>#DIV/0!</v>
          </cell>
          <cell r="CG40">
            <v>95000</v>
          </cell>
          <cell r="CH40">
            <v>22545.924733229956</v>
          </cell>
        </row>
        <row r="41">
          <cell r="A41" t="str">
            <v>Pauta - Gestão de Pauta</v>
          </cell>
          <cell r="B41">
            <v>7.7686243280043667E-3</v>
          </cell>
          <cell r="C41">
            <v>3164.8720233991221</v>
          </cell>
          <cell r="D41">
            <v>3000</v>
          </cell>
          <cell r="E41">
            <v>9.0909090909090905E-3</v>
          </cell>
          <cell r="F41">
            <v>5877.7085332428378</v>
          </cell>
          <cell r="G41">
            <v>1.6742341453779681E-2</v>
          </cell>
          <cell r="H41">
            <v>3000</v>
          </cell>
          <cell r="I41">
            <v>5877.7085332428378</v>
          </cell>
          <cell r="J41">
            <v>2877.7085332428378</v>
          </cell>
          <cell r="K41">
            <v>3000</v>
          </cell>
          <cell r="L41">
            <v>8.8235294117647058E-3</v>
          </cell>
          <cell r="M41">
            <v>3635.5826211359072</v>
          </cell>
          <cell r="N41">
            <v>1.4234766712866739E-2</v>
          </cell>
          <cell r="O41">
            <v>6000</v>
          </cell>
          <cell r="P41">
            <v>9513.291154378745</v>
          </cell>
          <cell r="Q41">
            <v>3513.291154378745</v>
          </cell>
          <cell r="R41">
            <v>4500</v>
          </cell>
          <cell r="S41">
            <v>1.0714285714285714E-2</v>
          </cell>
          <cell r="T41">
            <v>3679.2036598890413</v>
          </cell>
          <cell r="U41">
            <v>2.3007815219568586E-2</v>
          </cell>
          <cell r="V41">
            <v>10500</v>
          </cell>
          <cell r="W41">
            <v>13192.494814267786</v>
          </cell>
          <cell r="X41">
            <v>2692.4948142677858</v>
          </cell>
          <cell r="Y41">
            <v>4500</v>
          </cell>
          <cell r="Z41">
            <v>1.125E-2</v>
          </cell>
          <cell r="AA41">
            <v>0</v>
          </cell>
          <cell r="AB41">
            <v>0</v>
          </cell>
          <cell r="AC41">
            <v>15000</v>
          </cell>
          <cell r="AD41">
            <v>13192.494814267786</v>
          </cell>
          <cell r="AE41">
            <v>-1807.5051857322142</v>
          </cell>
          <cell r="AF41">
            <v>4500</v>
          </cell>
          <cell r="AG41">
            <v>1.125E-2</v>
          </cell>
          <cell r="AH41">
            <v>0</v>
          </cell>
          <cell r="AI41">
            <v>0</v>
          </cell>
          <cell r="AJ41">
            <v>19500</v>
          </cell>
          <cell r="AK41">
            <v>13192.494814267786</v>
          </cell>
          <cell r="AL41">
            <v>-6307.5051857322142</v>
          </cell>
          <cell r="AM41">
            <v>4500</v>
          </cell>
          <cell r="AN41">
            <v>1.125E-2</v>
          </cell>
          <cell r="AO41">
            <v>0</v>
          </cell>
          <cell r="AP41" t="e">
            <v>#DIV/0!</v>
          </cell>
          <cell r="AQ41">
            <v>24000</v>
          </cell>
          <cell r="AR41">
            <v>13192.494814267786</v>
          </cell>
          <cell r="AS41">
            <v>-10807.505185732214</v>
          </cell>
          <cell r="AT41">
            <v>4500</v>
          </cell>
          <cell r="AU41">
            <v>7.7586206896551723E-3</v>
          </cell>
          <cell r="AV41">
            <v>0</v>
          </cell>
          <cell r="AW41" t="e">
            <v>#DIV/0!</v>
          </cell>
          <cell r="AX41">
            <v>28500</v>
          </cell>
          <cell r="AY41">
            <v>13192.494814267786</v>
          </cell>
          <cell r="AZ41">
            <v>-15307.505185732214</v>
          </cell>
          <cell r="BA41">
            <v>4500</v>
          </cell>
          <cell r="BB41">
            <v>7.7586206896551723E-3</v>
          </cell>
          <cell r="BC41">
            <v>0</v>
          </cell>
          <cell r="BD41" t="e">
            <v>#DIV/0!</v>
          </cell>
          <cell r="BE41">
            <v>33000</v>
          </cell>
          <cell r="BF41">
            <v>13192.494814267786</v>
          </cell>
          <cell r="BG41">
            <v>-19807.505185732214</v>
          </cell>
          <cell r="BH41">
            <v>4500</v>
          </cell>
          <cell r="BI41">
            <v>7.7586206896551723E-3</v>
          </cell>
          <cell r="BJ41">
            <v>0</v>
          </cell>
          <cell r="BK41" t="e">
            <v>#DIV/0!</v>
          </cell>
          <cell r="BL41">
            <v>37500</v>
          </cell>
          <cell r="BM41">
            <v>13192.494814267786</v>
          </cell>
          <cell r="BN41">
            <v>-24307.505185732214</v>
          </cell>
          <cell r="BO41">
            <v>4500</v>
          </cell>
          <cell r="BP41">
            <v>7.7586206896551723E-3</v>
          </cell>
          <cell r="BQ41">
            <v>0</v>
          </cell>
          <cell r="BR41" t="e">
            <v>#DIV/0!</v>
          </cell>
          <cell r="BS41">
            <v>42000</v>
          </cell>
          <cell r="BT41">
            <v>13192.494814267786</v>
          </cell>
          <cell r="BU41">
            <v>-28807.505185732214</v>
          </cell>
          <cell r="BV41">
            <v>4500</v>
          </cell>
          <cell r="BW41">
            <v>7.7586206896551723E-3</v>
          </cell>
          <cell r="BX41">
            <v>0</v>
          </cell>
          <cell r="BY41" t="e">
            <v>#DIV/0!</v>
          </cell>
          <cell r="BZ41">
            <v>46500</v>
          </cell>
          <cell r="CA41">
            <v>13192.494814267786</v>
          </cell>
          <cell r="CB41">
            <v>-33307.505185732211</v>
          </cell>
          <cell r="CC41">
            <v>4500</v>
          </cell>
          <cell r="CD41">
            <v>7.7586206896551723E-3</v>
          </cell>
          <cell r="CE41">
            <v>0</v>
          </cell>
          <cell r="CF41" t="e">
            <v>#DIV/0!</v>
          </cell>
          <cell r="CG41">
            <v>51000</v>
          </cell>
          <cell r="CH41">
            <v>13192.494814267786</v>
          </cell>
        </row>
        <row r="42">
          <cell r="A42" t="str">
            <v>Seguro de Vida</v>
          </cell>
          <cell r="B42">
            <v>7.1556464753782004E-4</v>
          </cell>
          <cell r="C42">
            <v>291.51500166666665</v>
          </cell>
          <cell r="D42">
            <v>509.88</v>
          </cell>
          <cell r="E42">
            <v>1.5450909090909092E-3</v>
          </cell>
          <cell r="F42">
            <v>453.73999300000003</v>
          </cell>
          <cell r="G42">
            <v>1.2924543384682575E-3</v>
          </cell>
          <cell r="H42">
            <v>509.88</v>
          </cell>
          <cell r="I42">
            <v>453.73999300000003</v>
          </cell>
          <cell r="J42">
            <v>-56.140006999999969</v>
          </cell>
          <cell r="K42">
            <v>509.88</v>
          </cell>
          <cell r="L42">
            <v>1.4996470588235294E-3</v>
          </cell>
          <cell r="M42">
            <v>430.719987</v>
          </cell>
          <cell r="N42">
            <v>1.6864418093181315E-3</v>
          </cell>
          <cell r="O42">
            <v>1019.76</v>
          </cell>
          <cell r="P42">
            <v>884.45998000000009</v>
          </cell>
          <cell r="Q42">
            <v>-135.3000199999999</v>
          </cell>
          <cell r="R42">
            <v>509.88</v>
          </cell>
          <cell r="S42">
            <v>1.214E-3</v>
          </cell>
          <cell r="T42">
            <v>430.720009</v>
          </cell>
          <cell r="U42">
            <v>2.6934976409383614E-3</v>
          </cell>
          <cell r="V42">
            <v>1529.6399999999999</v>
          </cell>
          <cell r="W42">
            <v>1315.1799890000002</v>
          </cell>
          <cell r="X42">
            <v>-214.46001099999967</v>
          </cell>
          <cell r="Y42">
            <v>509.88</v>
          </cell>
          <cell r="Z42">
            <v>1.2746999999999999E-3</v>
          </cell>
          <cell r="AA42">
            <v>0</v>
          </cell>
          <cell r="AB42">
            <v>0</v>
          </cell>
          <cell r="AC42">
            <v>2039.52</v>
          </cell>
          <cell r="AD42">
            <v>1315.1799890000002</v>
          </cell>
          <cell r="AE42">
            <v>-724.34001099999978</v>
          </cell>
          <cell r="AF42">
            <v>509.88</v>
          </cell>
          <cell r="AG42">
            <v>1.2746999999999999E-3</v>
          </cell>
          <cell r="AH42">
            <v>0</v>
          </cell>
          <cell r="AI42">
            <v>0</v>
          </cell>
          <cell r="AJ42">
            <v>2549.4</v>
          </cell>
          <cell r="AK42">
            <v>1315.1799890000002</v>
          </cell>
          <cell r="AL42">
            <v>-1234.2200109999999</v>
          </cell>
          <cell r="AM42">
            <v>509.88</v>
          </cell>
          <cell r="AN42">
            <v>1.2746999999999999E-3</v>
          </cell>
          <cell r="AO42">
            <v>0</v>
          </cell>
          <cell r="AP42" t="e">
            <v>#DIV/0!</v>
          </cell>
          <cell r="AQ42">
            <v>3059.28</v>
          </cell>
          <cell r="AR42">
            <v>1315.1799890000002</v>
          </cell>
          <cell r="AS42">
            <v>-1744.100011</v>
          </cell>
          <cell r="AT42">
            <v>509.88</v>
          </cell>
          <cell r="AU42">
            <v>8.7910344827586207E-4</v>
          </cell>
          <cell r="AV42">
            <v>0</v>
          </cell>
          <cell r="AW42" t="e">
            <v>#DIV/0!</v>
          </cell>
          <cell r="AX42">
            <v>3569.1600000000003</v>
          </cell>
          <cell r="AY42">
            <v>1315.1799890000002</v>
          </cell>
          <cell r="AZ42">
            <v>-2253.9800110000001</v>
          </cell>
          <cell r="BA42">
            <v>509.88</v>
          </cell>
          <cell r="BB42">
            <v>8.7910344827586207E-4</v>
          </cell>
          <cell r="BC42">
            <v>0</v>
          </cell>
          <cell r="BD42" t="e">
            <v>#DIV/0!</v>
          </cell>
          <cell r="BE42">
            <v>4079.0400000000004</v>
          </cell>
          <cell r="BF42">
            <v>1315.1799890000002</v>
          </cell>
          <cell r="BG42">
            <v>-2763.8600110000002</v>
          </cell>
          <cell r="BH42">
            <v>509.88</v>
          </cell>
          <cell r="BI42">
            <v>8.7910344827586207E-4</v>
          </cell>
          <cell r="BJ42">
            <v>0</v>
          </cell>
          <cell r="BK42" t="e">
            <v>#DIV/0!</v>
          </cell>
          <cell r="BL42">
            <v>4588.92</v>
          </cell>
          <cell r="BM42">
            <v>1315.1799890000002</v>
          </cell>
          <cell r="BN42">
            <v>-3273.7400109999999</v>
          </cell>
          <cell r="BO42">
            <v>509.88</v>
          </cell>
          <cell r="BP42">
            <v>8.7910344827586207E-4</v>
          </cell>
          <cell r="BQ42">
            <v>0</v>
          </cell>
          <cell r="BR42" t="e">
            <v>#DIV/0!</v>
          </cell>
          <cell r="BS42">
            <v>5098.8</v>
          </cell>
          <cell r="BT42">
            <v>1315.1799890000002</v>
          </cell>
          <cell r="BU42">
            <v>-3783.620011</v>
          </cell>
          <cell r="BV42">
            <v>509.88</v>
          </cell>
          <cell r="BW42">
            <v>8.7910344827586207E-4</v>
          </cell>
          <cell r="BX42">
            <v>0</v>
          </cell>
          <cell r="BY42" t="e">
            <v>#DIV/0!</v>
          </cell>
          <cell r="BZ42">
            <v>5608.68</v>
          </cell>
          <cell r="CA42">
            <v>1315.1799890000002</v>
          </cell>
          <cell r="CB42">
            <v>-4293.5000110000001</v>
          </cell>
          <cell r="CC42">
            <v>509.88</v>
          </cell>
          <cell r="CD42">
            <v>8.7910344827586207E-4</v>
          </cell>
          <cell r="CE42">
            <v>0</v>
          </cell>
          <cell r="CF42" t="e">
            <v>#DIV/0!</v>
          </cell>
          <cell r="CG42">
            <v>6118.56</v>
          </cell>
          <cell r="CH42">
            <v>1315.1799890000002</v>
          </cell>
        </row>
        <row r="43">
          <cell r="A43" t="str">
            <v>Plano de Saúde</v>
          </cell>
          <cell r="B43">
            <v>1.9712137204863967E-2</v>
          </cell>
          <cell r="C43">
            <v>8030.5584266944452</v>
          </cell>
          <cell r="D43">
            <v>10415</v>
          </cell>
          <cell r="E43">
            <v>3.156060606060606E-2</v>
          </cell>
          <cell r="F43">
            <v>9506.2799630000009</v>
          </cell>
          <cell r="G43">
            <v>2.7078134990126859E-2</v>
          </cell>
          <cell r="H43">
            <v>10415</v>
          </cell>
          <cell r="I43">
            <v>9506.2799630000009</v>
          </cell>
          <cell r="J43">
            <v>-908.72003699999914</v>
          </cell>
          <cell r="K43">
            <v>10415</v>
          </cell>
          <cell r="L43">
            <v>3.0632352941176472E-2</v>
          </cell>
          <cell r="M43">
            <v>8294.9290079999992</v>
          </cell>
          <cell r="N43">
            <v>3.2477979909525244E-2</v>
          </cell>
          <cell r="O43">
            <v>20830</v>
          </cell>
          <cell r="P43">
            <v>17801.208971</v>
          </cell>
          <cell r="Q43">
            <v>-3028.791029</v>
          </cell>
          <cell r="R43">
            <v>10415</v>
          </cell>
          <cell r="S43">
            <v>2.4797619047619048E-2</v>
          </cell>
          <cell r="T43">
            <v>7384.7296749999996</v>
          </cell>
          <cell r="U43">
            <v>4.6180236680344267E-2</v>
          </cell>
          <cell r="V43">
            <v>31245</v>
          </cell>
          <cell r="W43">
            <v>25185.938645999999</v>
          </cell>
          <cell r="X43">
            <v>-6059.0613540000013</v>
          </cell>
          <cell r="Y43">
            <v>10415</v>
          </cell>
          <cell r="Z43">
            <v>2.6037500000000002E-2</v>
          </cell>
          <cell r="AA43">
            <v>0</v>
          </cell>
          <cell r="AB43">
            <v>0</v>
          </cell>
          <cell r="AC43">
            <v>41660</v>
          </cell>
          <cell r="AD43">
            <v>25185.938645999999</v>
          </cell>
          <cell r="AE43">
            <v>-16474.061354000001</v>
          </cell>
          <cell r="AF43">
            <v>10415</v>
          </cell>
          <cell r="AG43">
            <v>2.6037500000000002E-2</v>
          </cell>
          <cell r="AH43">
            <v>0</v>
          </cell>
          <cell r="AI43">
            <v>0</v>
          </cell>
          <cell r="AJ43">
            <v>52075</v>
          </cell>
          <cell r="AK43">
            <v>25185.938645999999</v>
          </cell>
          <cell r="AL43">
            <v>-26889.061354000001</v>
          </cell>
          <cell r="AM43">
            <v>10415</v>
          </cell>
          <cell r="AN43">
            <v>2.6037500000000002E-2</v>
          </cell>
          <cell r="AO43">
            <v>0</v>
          </cell>
          <cell r="AP43" t="e">
            <v>#DIV/0!</v>
          </cell>
          <cell r="AQ43">
            <v>62490</v>
          </cell>
          <cell r="AR43">
            <v>25185.938645999999</v>
          </cell>
          <cell r="AS43">
            <v>-37304.061354000005</v>
          </cell>
          <cell r="AT43">
            <v>10415</v>
          </cell>
          <cell r="AU43">
            <v>1.7956896551724139E-2</v>
          </cell>
          <cell r="AV43">
            <v>0</v>
          </cell>
          <cell r="AW43" t="e">
            <v>#DIV/0!</v>
          </cell>
          <cell r="AX43">
            <v>72905</v>
          </cell>
          <cell r="AY43">
            <v>25185.938645999999</v>
          </cell>
          <cell r="AZ43">
            <v>-47719.061354000005</v>
          </cell>
          <cell r="BA43">
            <v>10415</v>
          </cell>
          <cell r="BB43">
            <v>1.7956896551724139E-2</v>
          </cell>
          <cell r="BC43">
            <v>0</v>
          </cell>
          <cell r="BD43" t="e">
            <v>#DIV/0!</v>
          </cell>
          <cell r="BE43">
            <v>83320</v>
          </cell>
          <cell r="BF43">
            <v>25185.938645999999</v>
          </cell>
          <cell r="BG43">
            <v>-58134.061354000005</v>
          </cell>
          <cell r="BH43">
            <v>10415</v>
          </cell>
          <cell r="BI43">
            <v>1.7956896551724139E-2</v>
          </cell>
          <cell r="BJ43">
            <v>0</v>
          </cell>
          <cell r="BK43" t="e">
            <v>#DIV/0!</v>
          </cell>
          <cell r="BL43">
            <v>93735</v>
          </cell>
          <cell r="BM43">
            <v>25185.938645999999</v>
          </cell>
          <cell r="BN43">
            <v>-68549.061354000005</v>
          </cell>
          <cell r="BO43">
            <v>11977.25</v>
          </cell>
          <cell r="BP43">
            <v>2.0650431034482757E-2</v>
          </cell>
          <cell r="BQ43">
            <v>0</v>
          </cell>
          <cell r="BR43" t="e">
            <v>#DIV/0!</v>
          </cell>
          <cell r="BS43">
            <v>105712.25</v>
          </cell>
          <cell r="BT43">
            <v>25185.938645999999</v>
          </cell>
          <cell r="BU43">
            <v>-80526.311354000005</v>
          </cell>
          <cell r="BV43">
            <v>11977.25</v>
          </cell>
          <cell r="BW43">
            <v>2.0650431034482757E-2</v>
          </cell>
          <cell r="BX43">
            <v>0</v>
          </cell>
          <cell r="BY43" t="e">
            <v>#DIV/0!</v>
          </cell>
          <cell r="BZ43">
            <v>117689.5</v>
          </cell>
          <cell r="CA43">
            <v>25185.938645999999</v>
          </cell>
          <cell r="CB43">
            <v>-92503.561354000005</v>
          </cell>
          <cell r="CC43">
            <v>11977.25</v>
          </cell>
          <cell r="CD43">
            <v>2.0650431034482757E-2</v>
          </cell>
          <cell r="CE43">
            <v>0</v>
          </cell>
          <cell r="CF43" t="e">
            <v>#DIV/0!</v>
          </cell>
          <cell r="CG43">
            <v>129666.75</v>
          </cell>
          <cell r="CH43">
            <v>25185.938645999999</v>
          </cell>
        </row>
        <row r="44">
          <cell r="A44" t="str">
            <v>Plano Odontológico</v>
          </cell>
          <cell r="B44">
            <v>1.877800292392382E-4</v>
          </cell>
          <cell r="C44">
            <v>76.5</v>
          </cell>
          <cell r="D44">
            <v>105</v>
          </cell>
          <cell r="E44">
            <v>3.181818181818182E-4</v>
          </cell>
          <cell r="F44">
            <v>24.43456545454546</v>
          </cell>
          <cell r="G44">
            <v>6.9600565560712843E-5</v>
          </cell>
          <cell r="H44">
            <v>105</v>
          </cell>
          <cell r="I44">
            <v>24.43456545454546</v>
          </cell>
          <cell r="J44">
            <v>-80.565434545454536</v>
          </cell>
          <cell r="K44">
            <v>105</v>
          </cell>
          <cell r="L44">
            <v>3.0882352941176471E-4</v>
          </cell>
          <cell r="M44">
            <v>14.659983</v>
          </cell>
          <cell r="N44">
            <v>5.7399723721418695E-5</v>
          </cell>
          <cell r="O44">
            <v>210</v>
          </cell>
          <cell r="P44">
            <v>39.09454845454546</v>
          </cell>
          <cell r="Q44">
            <v>-170.90545154545453</v>
          </cell>
          <cell r="R44">
            <v>105</v>
          </cell>
          <cell r="S44">
            <v>2.5000000000000001E-4</v>
          </cell>
          <cell r="T44">
            <v>14.66</v>
          </cell>
          <cell r="U44">
            <v>9.1675971840343232E-5</v>
          </cell>
          <cell r="V44">
            <v>315</v>
          </cell>
          <cell r="W44">
            <v>53.754548454545457</v>
          </cell>
          <cell r="X44">
            <v>-261.24545154545456</v>
          </cell>
          <cell r="Y44">
            <v>105</v>
          </cell>
          <cell r="Z44">
            <v>2.6249999999999998E-4</v>
          </cell>
          <cell r="AA44">
            <v>0</v>
          </cell>
          <cell r="AB44">
            <v>0</v>
          </cell>
          <cell r="AC44">
            <v>420</v>
          </cell>
          <cell r="AD44">
            <v>53.754548454545457</v>
          </cell>
          <cell r="AE44">
            <v>-366.24545154545456</v>
          </cell>
          <cell r="AF44">
            <v>105</v>
          </cell>
          <cell r="AG44">
            <v>2.6249999999999998E-4</v>
          </cell>
          <cell r="AH44">
            <v>0</v>
          </cell>
          <cell r="AI44">
            <v>0</v>
          </cell>
          <cell r="AJ44">
            <v>525</v>
          </cell>
          <cell r="AK44">
            <v>53.754548454545457</v>
          </cell>
          <cell r="AL44">
            <v>-471.24545154545456</v>
          </cell>
          <cell r="AM44">
            <v>105</v>
          </cell>
          <cell r="AN44">
            <v>2.6249999999999998E-4</v>
          </cell>
          <cell r="AO44">
            <v>0</v>
          </cell>
          <cell r="AP44" t="e">
            <v>#DIV/0!</v>
          </cell>
          <cell r="AQ44">
            <v>630</v>
          </cell>
          <cell r="AR44">
            <v>53.754548454545457</v>
          </cell>
          <cell r="AS44">
            <v>-576.24545154545456</v>
          </cell>
          <cell r="AT44">
            <v>105</v>
          </cell>
          <cell r="AU44">
            <v>1.8103448275862068E-4</v>
          </cell>
          <cell r="AV44">
            <v>0</v>
          </cell>
          <cell r="AW44" t="e">
            <v>#DIV/0!</v>
          </cell>
          <cell r="AX44">
            <v>735</v>
          </cell>
          <cell r="AY44">
            <v>53.754548454545457</v>
          </cell>
          <cell r="AZ44">
            <v>-681.24545154545456</v>
          </cell>
          <cell r="BA44">
            <v>105</v>
          </cell>
          <cell r="BB44">
            <v>1.8103448275862068E-4</v>
          </cell>
          <cell r="BC44">
            <v>0</v>
          </cell>
          <cell r="BD44" t="e">
            <v>#DIV/0!</v>
          </cell>
          <cell r="BE44">
            <v>840</v>
          </cell>
          <cell r="BF44">
            <v>53.754548454545457</v>
          </cell>
          <cell r="BG44">
            <v>-786.24545154545456</v>
          </cell>
          <cell r="BH44">
            <v>105</v>
          </cell>
          <cell r="BI44">
            <v>1.8103448275862068E-4</v>
          </cell>
          <cell r="BJ44">
            <v>0</v>
          </cell>
          <cell r="BK44" t="e">
            <v>#DIV/0!</v>
          </cell>
          <cell r="BL44">
            <v>945</v>
          </cell>
          <cell r="BM44">
            <v>53.754548454545457</v>
          </cell>
          <cell r="BN44">
            <v>-891.24545154545456</v>
          </cell>
          <cell r="BO44">
            <v>105</v>
          </cell>
          <cell r="BP44">
            <v>1.8103448275862068E-4</v>
          </cell>
          <cell r="BQ44">
            <v>0</v>
          </cell>
          <cell r="BR44" t="e">
            <v>#DIV/0!</v>
          </cell>
          <cell r="BS44">
            <v>1050</v>
          </cell>
          <cell r="BT44">
            <v>53.754548454545457</v>
          </cell>
          <cell r="BU44">
            <v>-996.24545154545456</v>
          </cell>
          <cell r="BV44">
            <v>105</v>
          </cell>
          <cell r="BW44">
            <v>1.8103448275862068E-4</v>
          </cell>
          <cell r="BX44">
            <v>0</v>
          </cell>
          <cell r="BY44" t="e">
            <v>#DIV/0!</v>
          </cell>
          <cell r="BZ44">
            <v>1155</v>
          </cell>
          <cell r="CA44">
            <v>53.754548454545457</v>
          </cell>
          <cell r="CB44">
            <v>-1101.2454515454544</v>
          </cell>
          <cell r="CC44">
            <v>105</v>
          </cell>
          <cell r="CD44">
            <v>1.8103448275862068E-4</v>
          </cell>
          <cell r="CE44">
            <v>0</v>
          </cell>
          <cell r="CF44" t="e">
            <v>#DIV/0!</v>
          </cell>
          <cell r="CG44">
            <v>1260</v>
          </cell>
          <cell r="CH44">
            <v>53.754548454545457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0.2204037219438191</v>
          </cell>
          <cell r="C46">
            <v>89790.617229166673</v>
          </cell>
          <cell r="D46">
            <v>105000</v>
          </cell>
          <cell r="E46">
            <v>0.31818181818181818</v>
          </cell>
          <cell r="F46">
            <v>113839.03377622378</v>
          </cell>
          <cell r="G46">
            <v>0.3242644584144358</v>
          </cell>
          <cell r="H46">
            <v>105000</v>
          </cell>
          <cell r="I46">
            <v>113839.03377622378</v>
          </cell>
          <cell r="J46">
            <v>8839.0337762237759</v>
          </cell>
          <cell r="K46">
            <v>105000</v>
          </cell>
          <cell r="L46">
            <v>0.30882352941176472</v>
          </cell>
          <cell r="M46">
            <v>111650.20500000002</v>
          </cell>
          <cell r="N46">
            <v>0.43715541282958931</v>
          </cell>
          <cell r="O46">
            <v>210000</v>
          </cell>
          <cell r="P46">
            <v>225489.23877622379</v>
          </cell>
          <cell r="Q46">
            <v>15489.238776223792</v>
          </cell>
          <cell r="R46">
            <v>105000</v>
          </cell>
          <cell r="S46">
            <v>0.25</v>
          </cell>
          <cell r="T46">
            <v>113329.38</v>
          </cell>
          <cell r="U46">
            <v>0.70870266368100665</v>
          </cell>
          <cell r="V46">
            <v>315000</v>
          </cell>
          <cell r="W46">
            <v>338818.6187762238</v>
          </cell>
          <cell r="X46">
            <v>23818.618776223797</v>
          </cell>
          <cell r="Y46">
            <v>105000</v>
          </cell>
          <cell r="Z46">
            <v>0.26250000000000001</v>
          </cell>
          <cell r="AA46">
            <v>0</v>
          </cell>
          <cell r="AB46">
            <v>0</v>
          </cell>
          <cell r="AC46">
            <v>420000</v>
          </cell>
          <cell r="AD46">
            <v>338818.6187762238</v>
          </cell>
          <cell r="AE46">
            <v>-81181.381223776203</v>
          </cell>
          <cell r="AF46">
            <v>105000</v>
          </cell>
          <cell r="AG46">
            <v>0.26250000000000001</v>
          </cell>
          <cell r="AH46">
            <v>0</v>
          </cell>
          <cell r="AI46">
            <v>0</v>
          </cell>
          <cell r="AJ46">
            <v>525000</v>
          </cell>
          <cell r="AK46">
            <v>338818.6187762238</v>
          </cell>
          <cell r="AL46">
            <v>-186181.3812237762</v>
          </cell>
          <cell r="AM46">
            <v>105000</v>
          </cell>
          <cell r="AN46">
            <v>0.26250000000000001</v>
          </cell>
          <cell r="AO46">
            <v>0</v>
          </cell>
          <cell r="AP46" t="e">
            <v>#DIV/0!</v>
          </cell>
          <cell r="AQ46">
            <v>630000</v>
          </cell>
          <cell r="AR46">
            <v>338818.6187762238</v>
          </cell>
          <cell r="AS46">
            <v>-291181.3812237762</v>
          </cell>
          <cell r="AT46">
            <v>105000</v>
          </cell>
          <cell r="AU46">
            <v>0.18103448275862069</v>
          </cell>
          <cell r="AV46">
            <v>0</v>
          </cell>
          <cell r="AW46" t="e">
            <v>#DIV/0!</v>
          </cell>
          <cell r="AX46">
            <v>735000</v>
          </cell>
          <cell r="AY46">
            <v>338818.6187762238</v>
          </cell>
          <cell r="AZ46">
            <v>-396181.3812237762</v>
          </cell>
          <cell r="BA46">
            <v>105000</v>
          </cell>
          <cell r="BB46">
            <v>0.18103448275862069</v>
          </cell>
          <cell r="BC46">
            <v>0</v>
          </cell>
          <cell r="BD46" t="e">
            <v>#DIV/0!</v>
          </cell>
          <cell r="BE46">
            <v>840000</v>
          </cell>
          <cell r="BF46">
            <v>338818.6187762238</v>
          </cell>
          <cell r="BG46">
            <v>-501181.3812237762</v>
          </cell>
          <cell r="BH46">
            <v>105000</v>
          </cell>
          <cell r="BI46">
            <v>0.18103448275862069</v>
          </cell>
          <cell r="BJ46">
            <v>0</v>
          </cell>
          <cell r="BK46" t="e">
            <v>#DIV/0!</v>
          </cell>
          <cell r="BL46">
            <v>945000</v>
          </cell>
          <cell r="BM46">
            <v>338818.6187762238</v>
          </cell>
          <cell r="BN46">
            <v>-606181.38122377614</v>
          </cell>
          <cell r="BO46">
            <v>105000</v>
          </cell>
          <cell r="BP46">
            <v>0.18103448275862069</v>
          </cell>
          <cell r="BQ46">
            <v>0</v>
          </cell>
          <cell r="BR46" t="e">
            <v>#DIV/0!</v>
          </cell>
          <cell r="BS46">
            <v>1050000</v>
          </cell>
          <cell r="BT46">
            <v>338818.6187762238</v>
          </cell>
          <cell r="BU46">
            <v>-711181.38122377614</v>
          </cell>
          <cell r="BV46">
            <v>105000</v>
          </cell>
          <cell r="BW46">
            <v>0.18103448275862069</v>
          </cell>
          <cell r="BX46">
            <v>0</v>
          </cell>
          <cell r="BY46" t="e">
            <v>#DIV/0!</v>
          </cell>
          <cell r="BZ46">
            <v>1155000</v>
          </cell>
          <cell r="CA46">
            <v>338818.6187762238</v>
          </cell>
          <cell r="CB46">
            <v>-816181.38122377614</v>
          </cell>
          <cell r="CC46">
            <v>105000</v>
          </cell>
          <cell r="CD46">
            <v>0.18103448275862069</v>
          </cell>
          <cell r="CE46">
            <v>0</v>
          </cell>
          <cell r="CF46" t="e">
            <v>#DIV/0!</v>
          </cell>
          <cell r="CG46">
            <v>1260000</v>
          </cell>
          <cell r="CH46">
            <v>338818.6187762238</v>
          </cell>
        </row>
        <row r="47">
          <cell r="A47" t="str">
            <v>Pesquisas/Consultas</v>
          </cell>
          <cell r="B47">
            <v>6.7251024197150682E-5</v>
          </cell>
          <cell r="C47">
            <v>27.397499999999997</v>
          </cell>
          <cell r="D47">
            <v>30</v>
          </cell>
          <cell r="E47">
            <v>9.0909090909090904E-5</v>
          </cell>
          <cell r="F47">
            <v>0</v>
          </cell>
          <cell r="G47">
            <v>0</v>
          </cell>
          <cell r="H47">
            <v>30</v>
          </cell>
          <cell r="I47">
            <v>0</v>
          </cell>
          <cell r="J47">
            <v>-30</v>
          </cell>
          <cell r="K47">
            <v>30</v>
          </cell>
          <cell r="L47">
            <v>8.8235294117647065E-5</v>
          </cell>
          <cell r="M47">
            <v>0</v>
          </cell>
          <cell r="N47">
            <v>0</v>
          </cell>
          <cell r="O47">
            <v>60</v>
          </cell>
          <cell r="P47">
            <v>0</v>
          </cell>
          <cell r="Q47">
            <v>-60</v>
          </cell>
          <cell r="R47">
            <v>30</v>
          </cell>
          <cell r="S47">
            <v>7.1428571428571434E-5</v>
          </cell>
          <cell r="T47">
            <v>0</v>
          </cell>
          <cell r="U47">
            <v>0</v>
          </cell>
          <cell r="V47">
            <v>90</v>
          </cell>
          <cell r="W47">
            <v>0</v>
          </cell>
          <cell r="X47">
            <v>-90</v>
          </cell>
          <cell r="Y47">
            <v>30</v>
          </cell>
          <cell r="Z47">
            <v>7.4999999999999993E-5</v>
          </cell>
          <cell r="AA47">
            <v>0</v>
          </cell>
          <cell r="AB47">
            <v>0</v>
          </cell>
          <cell r="AC47">
            <v>120</v>
          </cell>
          <cell r="AD47">
            <v>0</v>
          </cell>
          <cell r="AE47">
            <v>-120</v>
          </cell>
          <cell r="AF47">
            <v>30</v>
          </cell>
          <cell r="AG47">
            <v>7.4999999999999993E-5</v>
          </cell>
          <cell r="AH47">
            <v>0</v>
          </cell>
          <cell r="AI47">
            <v>0</v>
          </cell>
          <cell r="AJ47">
            <v>150</v>
          </cell>
          <cell r="AK47">
            <v>0</v>
          </cell>
          <cell r="AL47">
            <v>-150</v>
          </cell>
          <cell r="AM47">
            <v>30</v>
          </cell>
          <cell r="AN47">
            <v>7.4999999999999993E-5</v>
          </cell>
          <cell r="AO47">
            <v>0</v>
          </cell>
          <cell r="AP47" t="e">
            <v>#DIV/0!</v>
          </cell>
          <cell r="AQ47">
            <v>180</v>
          </cell>
          <cell r="AR47">
            <v>0</v>
          </cell>
          <cell r="AS47">
            <v>-180</v>
          </cell>
          <cell r="AT47">
            <v>30</v>
          </cell>
          <cell r="AU47">
            <v>5.1724137931034481E-5</v>
          </cell>
          <cell r="AV47">
            <v>0</v>
          </cell>
          <cell r="AW47" t="e">
            <v>#DIV/0!</v>
          </cell>
          <cell r="AX47">
            <v>210</v>
          </cell>
          <cell r="AY47">
            <v>0</v>
          </cell>
          <cell r="AZ47">
            <v>-210</v>
          </cell>
          <cell r="BA47">
            <v>30</v>
          </cell>
          <cell r="BB47">
            <v>5.1724137931034481E-5</v>
          </cell>
          <cell r="BC47">
            <v>0</v>
          </cell>
          <cell r="BD47" t="e">
            <v>#DIV/0!</v>
          </cell>
          <cell r="BE47">
            <v>240</v>
          </cell>
          <cell r="BF47">
            <v>0</v>
          </cell>
          <cell r="BG47">
            <v>-240</v>
          </cell>
          <cell r="BH47">
            <v>30</v>
          </cell>
          <cell r="BI47">
            <v>5.1724137931034481E-5</v>
          </cell>
          <cell r="BJ47">
            <v>0</v>
          </cell>
          <cell r="BK47" t="e">
            <v>#DIV/0!</v>
          </cell>
          <cell r="BL47">
            <v>270</v>
          </cell>
          <cell r="BM47">
            <v>0</v>
          </cell>
          <cell r="BN47">
            <v>-270</v>
          </cell>
          <cell r="BO47">
            <v>30</v>
          </cell>
          <cell r="BP47">
            <v>5.1724137931034481E-5</v>
          </cell>
          <cell r="BQ47">
            <v>0</v>
          </cell>
          <cell r="BR47" t="e">
            <v>#DIV/0!</v>
          </cell>
          <cell r="BS47">
            <v>300</v>
          </cell>
          <cell r="BT47">
            <v>0</v>
          </cell>
          <cell r="BU47">
            <v>-300</v>
          </cell>
          <cell r="BV47">
            <v>30</v>
          </cell>
          <cell r="BW47">
            <v>5.1724137931034481E-5</v>
          </cell>
          <cell r="BX47">
            <v>0</v>
          </cell>
          <cell r="BY47" t="e">
            <v>#DIV/0!</v>
          </cell>
          <cell r="BZ47">
            <v>330</v>
          </cell>
          <cell r="CA47">
            <v>0</v>
          </cell>
          <cell r="CB47">
            <v>-330</v>
          </cell>
          <cell r="CC47">
            <v>30</v>
          </cell>
          <cell r="CD47">
            <v>5.1724137931034481E-5</v>
          </cell>
          <cell r="CE47">
            <v>0</v>
          </cell>
          <cell r="CF47" t="e">
            <v>#DIV/0!</v>
          </cell>
          <cell r="CG47">
            <v>360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2.033369296354602E-3</v>
          </cell>
          <cell r="C49">
            <v>828.37750000000005</v>
          </cell>
          <cell r="D49">
            <v>1000</v>
          </cell>
          <cell r="E49">
            <v>3.0303030303030303E-3</v>
          </cell>
          <cell r="F49">
            <v>0</v>
          </cell>
          <cell r="G49">
            <v>0</v>
          </cell>
          <cell r="H49">
            <v>1000</v>
          </cell>
          <cell r="I49">
            <v>0</v>
          </cell>
          <cell r="J49">
            <v>-1000</v>
          </cell>
          <cell r="K49">
            <v>1000</v>
          </cell>
          <cell r="L49">
            <v>2.9411764705882353E-3</v>
          </cell>
          <cell r="M49">
            <v>0</v>
          </cell>
          <cell r="N49">
            <v>0</v>
          </cell>
          <cell r="O49">
            <v>2000</v>
          </cell>
          <cell r="P49">
            <v>0</v>
          </cell>
          <cell r="Q49">
            <v>-2000</v>
          </cell>
          <cell r="R49">
            <v>1000</v>
          </cell>
          <cell r="S49">
            <v>2.3809523809523812E-3</v>
          </cell>
          <cell r="T49">
            <v>0</v>
          </cell>
          <cell r="U49">
            <v>0</v>
          </cell>
          <cell r="V49">
            <v>3000</v>
          </cell>
          <cell r="W49">
            <v>0</v>
          </cell>
          <cell r="X49">
            <v>-3000</v>
          </cell>
          <cell r="Y49">
            <v>1000</v>
          </cell>
          <cell r="Z49">
            <v>2.5000000000000001E-3</v>
          </cell>
          <cell r="AA49">
            <v>0</v>
          </cell>
          <cell r="AB49">
            <v>0</v>
          </cell>
          <cell r="AC49">
            <v>4000</v>
          </cell>
          <cell r="AD49">
            <v>0</v>
          </cell>
          <cell r="AE49">
            <v>-4000</v>
          </cell>
          <cell r="AF49">
            <v>1000</v>
          </cell>
          <cell r="AG49">
            <v>2.5000000000000001E-3</v>
          </cell>
          <cell r="AH49">
            <v>0</v>
          </cell>
          <cell r="AI49">
            <v>0</v>
          </cell>
          <cell r="AJ49">
            <v>5000</v>
          </cell>
          <cell r="AK49">
            <v>0</v>
          </cell>
          <cell r="AL49">
            <v>-5000</v>
          </cell>
          <cell r="AM49">
            <v>1000</v>
          </cell>
          <cell r="AN49">
            <v>2.5000000000000001E-3</v>
          </cell>
          <cell r="AO49">
            <v>0</v>
          </cell>
          <cell r="AP49" t="e">
            <v>#DIV/0!</v>
          </cell>
          <cell r="AQ49">
            <v>6000</v>
          </cell>
          <cell r="AR49">
            <v>0</v>
          </cell>
          <cell r="AS49">
            <v>-6000</v>
          </cell>
          <cell r="AT49">
            <v>1000</v>
          </cell>
          <cell r="AU49">
            <v>1.7241379310344827E-3</v>
          </cell>
          <cell r="AV49">
            <v>0</v>
          </cell>
          <cell r="AW49" t="e">
            <v>#DIV/0!</v>
          </cell>
          <cell r="AX49">
            <v>7000</v>
          </cell>
          <cell r="AY49">
            <v>0</v>
          </cell>
          <cell r="AZ49">
            <v>-7000</v>
          </cell>
          <cell r="BA49">
            <v>1000</v>
          </cell>
          <cell r="BB49">
            <v>1.7241379310344827E-3</v>
          </cell>
          <cell r="BC49">
            <v>0</v>
          </cell>
          <cell r="BD49" t="e">
            <v>#DIV/0!</v>
          </cell>
          <cell r="BE49">
            <v>8000</v>
          </cell>
          <cell r="BF49">
            <v>0</v>
          </cell>
          <cell r="BG49">
            <v>-8000</v>
          </cell>
          <cell r="BH49">
            <v>1000</v>
          </cell>
          <cell r="BI49">
            <v>1.7241379310344827E-3</v>
          </cell>
          <cell r="BJ49">
            <v>0</v>
          </cell>
          <cell r="BK49" t="e">
            <v>#DIV/0!</v>
          </cell>
          <cell r="BL49">
            <v>9000</v>
          </cell>
          <cell r="BM49">
            <v>0</v>
          </cell>
          <cell r="BN49">
            <v>-9000</v>
          </cell>
          <cell r="BO49">
            <v>1000</v>
          </cell>
          <cell r="BP49">
            <v>1.7241379310344827E-3</v>
          </cell>
          <cell r="BQ49">
            <v>0</v>
          </cell>
          <cell r="BR49" t="e">
            <v>#DIV/0!</v>
          </cell>
          <cell r="BS49">
            <v>10000</v>
          </cell>
          <cell r="BT49">
            <v>0</v>
          </cell>
          <cell r="BU49">
            <v>-10000</v>
          </cell>
          <cell r="BV49">
            <v>1000</v>
          </cell>
          <cell r="BW49">
            <v>1.7241379310344827E-3</v>
          </cell>
          <cell r="BX49">
            <v>0</v>
          </cell>
          <cell r="BY49" t="e">
            <v>#DIV/0!</v>
          </cell>
          <cell r="BZ49">
            <v>11000</v>
          </cell>
          <cell r="CA49">
            <v>0</v>
          </cell>
          <cell r="CB49">
            <v>-11000</v>
          </cell>
          <cell r="CC49">
            <v>1000</v>
          </cell>
          <cell r="CD49">
            <v>1.7241379310344827E-3</v>
          </cell>
          <cell r="CE49">
            <v>0</v>
          </cell>
          <cell r="CF49" t="e">
            <v>#DIV/0!</v>
          </cell>
          <cell r="CG49">
            <v>12000</v>
          </cell>
          <cell r="CH49">
            <v>0</v>
          </cell>
        </row>
        <row r="50">
          <cell r="A50" t="str">
            <v>Vale Alimentação / Refeição</v>
          </cell>
          <cell r="B50">
            <v>1.4882876105148275E-3</v>
          </cell>
          <cell r="C50">
            <v>606.31581891666667</v>
          </cell>
          <cell r="D50">
            <v>703.5</v>
          </cell>
          <cell r="E50">
            <v>2.1318181818181818E-3</v>
          </cell>
          <cell r="F50">
            <v>599.36638749650342</v>
          </cell>
          <cell r="G50">
            <v>1.7072634103291453E-3</v>
          </cell>
          <cell r="H50">
            <v>703.5</v>
          </cell>
          <cell r="I50">
            <v>599.36638749650342</v>
          </cell>
          <cell r="J50">
            <v>-104.13361250349658</v>
          </cell>
          <cell r="K50">
            <v>0</v>
          </cell>
          <cell r="L50">
            <v>0</v>
          </cell>
          <cell r="M50">
            <v>664.18010400000003</v>
          </cell>
          <cell r="N50">
            <v>2.6005319699799879E-3</v>
          </cell>
          <cell r="O50">
            <v>703.5</v>
          </cell>
          <cell r="P50">
            <v>1263.5464914965034</v>
          </cell>
          <cell r="Q50">
            <v>560.04649149650345</v>
          </cell>
          <cell r="R50">
            <v>0</v>
          </cell>
          <cell r="S50">
            <v>0</v>
          </cell>
          <cell r="T50">
            <v>630.79988900000001</v>
          </cell>
          <cell r="U50">
            <v>3.9446925553107528E-3</v>
          </cell>
          <cell r="V50">
            <v>703.5</v>
          </cell>
          <cell r="W50">
            <v>1894.3463804965036</v>
          </cell>
          <cell r="X50">
            <v>1190.8463804965036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703.5</v>
          </cell>
          <cell r="AD50">
            <v>1894.3463804965036</v>
          </cell>
          <cell r="AE50">
            <v>1190.8463804965036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703.5</v>
          </cell>
          <cell r="AK50">
            <v>1894.3463804965036</v>
          </cell>
          <cell r="AL50">
            <v>1190.8463804965036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703.5</v>
          </cell>
          <cell r="AR50">
            <v>1894.3463804965036</v>
          </cell>
          <cell r="AS50">
            <v>1190.8463804965036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703.5</v>
          </cell>
          <cell r="AY50">
            <v>1894.3463804965036</v>
          </cell>
          <cell r="AZ50">
            <v>1190.8463804965036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703.5</v>
          </cell>
          <cell r="BF50">
            <v>1894.3463804965036</v>
          </cell>
          <cell r="BG50">
            <v>1190.8463804965036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703.5</v>
          </cell>
          <cell r="BM50">
            <v>1894.3463804965036</v>
          </cell>
          <cell r="BN50">
            <v>1190.8463804965036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703.5</v>
          </cell>
          <cell r="BT50">
            <v>1894.3463804965036</v>
          </cell>
          <cell r="BU50">
            <v>1190.8463804965036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703.5</v>
          </cell>
          <cell r="CA50">
            <v>1894.3463804965036</v>
          </cell>
          <cell r="CB50">
            <v>1190.8463804965036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703.5</v>
          </cell>
          <cell r="CH50">
            <v>1894.3463804965036</v>
          </cell>
        </row>
        <row r="51">
          <cell r="A51" t="str">
            <v>Vale Transporte</v>
          </cell>
          <cell r="B51">
            <v>3.5794800712072162E-4</v>
          </cell>
          <cell r="C51">
            <v>145.82499883333332</v>
          </cell>
          <cell r="D51">
            <v>100</v>
          </cell>
          <cell r="E51">
            <v>3.0303030303030303E-4</v>
          </cell>
          <cell r="F51">
            <v>330</v>
          </cell>
          <cell r="G51">
            <v>9.3998752209291131E-4</v>
          </cell>
          <cell r="H51">
            <v>100</v>
          </cell>
          <cell r="I51">
            <v>330</v>
          </cell>
          <cell r="J51">
            <v>230</v>
          </cell>
          <cell r="K51">
            <v>100</v>
          </cell>
          <cell r="L51">
            <v>2.941176470588235E-4</v>
          </cell>
          <cell r="M51">
            <v>338.80000899999999</v>
          </cell>
          <cell r="N51">
            <v>1.3265381626577715E-3</v>
          </cell>
          <cell r="O51">
            <v>200</v>
          </cell>
          <cell r="P51">
            <v>668.80000900000005</v>
          </cell>
          <cell r="Q51">
            <v>468.80000900000005</v>
          </cell>
          <cell r="R51">
            <v>100</v>
          </cell>
          <cell r="S51">
            <v>2.380952380952381E-4</v>
          </cell>
          <cell r="T51">
            <v>175.2</v>
          </cell>
          <cell r="U51">
            <v>1.0956091586922327E-3</v>
          </cell>
          <cell r="V51">
            <v>300</v>
          </cell>
          <cell r="W51">
            <v>844.00000900000009</v>
          </cell>
          <cell r="X51">
            <v>544.00000900000009</v>
          </cell>
          <cell r="Y51">
            <v>100</v>
          </cell>
          <cell r="Z51">
            <v>2.5000000000000001E-4</v>
          </cell>
          <cell r="AA51">
            <v>0</v>
          </cell>
          <cell r="AB51">
            <v>0</v>
          </cell>
          <cell r="AC51">
            <v>400</v>
          </cell>
          <cell r="AD51">
            <v>844.00000900000009</v>
          </cell>
          <cell r="AE51">
            <v>444.00000900000009</v>
          </cell>
          <cell r="AF51">
            <v>100</v>
          </cell>
          <cell r="AG51">
            <v>2.5000000000000001E-4</v>
          </cell>
          <cell r="AH51">
            <v>0</v>
          </cell>
          <cell r="AI51">
            <v>0</v>
          </cell>
          <cell r="AJ51">
            <v>500</v>
          </cell>
          <cell r="AK51">
            <v>844.00000900000009</v>
          </cell>
          <cell r="AL51">
            <v>344.00000900000009</v>
          </cell>
          <cell r="AM51">
            <v>100</v>
          </cell>
          <cell r="AN51">
            <v>2.5000000000000001E-4</v>
          </cell>
          <cell r="AO51">
            <v>0</v>
          </cell>
          <cell r="AP51" t="e">
            <v>#DIV/0!</v>
          </cell>
          <cell r="AQ51">
            <v>600</v>
          </cell>
          <cell r="AR51">
            <v>844.00000900000009</v>
          </cell>
          <cell r="AS51">
            <v>244.00000900000009</v>
          </cell>
          <cell r="AT51">
            <v>100</v>
          </cell>
          <cell r="AU51">
            <v>1.7241379310344826E-4</v>
          </cell>
          <cell r="AV51">
            <v>0</v>
          </cell>
          <cell r="AW51" t="e">
            <v>#DIV/0!</v>
          </cell>
          <cell r="AX51">
            <v>700</v>
          </cell>
          <cell r="AY51">
            <v>844.00000900000009</v>
          </cell>
          <cell r="AZ51">
            <v>144.00000900000009</v>
          </cell>
          <cell r="BA51">
            <v>100</v>
          </cell>
          <cell r="BB51">
            <v>1.7241379310344826E-4</v>
          </cell>
          <cell r="BC51">
            <v>0</v>
          </cell>
          <cell r="BD51" t="e">
            <v>#DIV/0!</v>
          </cell>
          <cell r="BE51">
            <v>800</v>
          </cell>
          <cell r="BF51">
            <v>844.00000900000009</v>
          </cell>
          <cell r="BG51">
            <v>44.000009000000091</v>
          </cell>
          <cell r="BH51">
            <v>100</v>
          </cell>
          <cell r="BI51">
            <v>1.7241379310344826E-4</v>
          </cell>
          <cell r="BJ51">
            <v>0</v>
          </cell>
          <cell r="BK51" t="e">
            <v>#DIV/0!</v>
          </cell>
          <cell r="BL51">
            <v>900</v>
          </cell>
          <cell r="BM51">
            <v>844.00000900000009</v>
          </cell>
          <cell r="BN51">
            <v>-55.999990999999909</v>
          </cell>
          <cell r="BO51">
            <v>100</v>
          </cell>
          <cell r="BP51">
            <v>1.7241379310344826E-4</v>
          </cell>
          <cell r="BQ51">
            <v>0</v>
          </cell>
          <cell r="BR51" t="e">
            <v>#DIV/0!</v>
          </cell>
          <cell r="BS51">
            <v>1000</v>
          </cell>
          <cell r="BT51">
            <v>844.00000900000009</v>
          </cell>
          <cell r="BU51">
            <v>-155.99999099999991</v>
          </cell>
          <cell r="BV51">
            <v>100</v>
          </cell>
          <cell r="BW51">
            <v>1.7241379310344826E-4</v>
          </cell>
          <cell r="BX51">
            <v>0</v>
          </cell>
          <cell r="BY51" t="e">
            <v>#DIV/0!</v>
          </cell>
          <cell r="BZ51">
            <v>1100</v>
          </cell>
          <cell r="CA51">
            <v>844.00000900000009</v>
          </cell>
          <cell r="CB51">
            <v>-255.99999099999991</v>
          </cell>
          <cell r="CC51">
            <v>100</v>
          </cell>
          <cell r="CD51">
            <v>1.7241379310344826E-4</v>
          </cell>
          <cell r="CE51">
            <v>0</v>
          </cell>
          <cell r="CF51" t="e">
            <v>#DIV/0!</v>
          </cell>
          <cell r="CG51">
            <v>1200</v>
          </cell>
          <cell r="CH51">
            <v>844.00000900000009</v>
          </cell>
        </row>
        <row r="52">
          <cell r="A52" t="str">
            <v>Viagens - Alimentação / Hospedagem</v>
          </cell>
          <cell r="B52">
            <v>2.1072683063363655E-4</v>
          </cell>
          <cell r="C52">
            <v>85.848333333333315</v>
          </cell>
          <cell r="D52">
            <v>100</v>
          </cell>
          <cell r="E52">
            <v>3.0303030303030303E-4</v>
          </cell>
          <cell r="F52">
            <v>0</v>
          </cell>
          <cell r="G52">
            <v>0</v>
          </cell>
          <cell r="H52">
            <v>100</v>
          </cell>
          <cell r="I52">
            <v>0</v>
          </cell>
          <cell r="J52">
            <v>-100</v>
          </cell>
          <cell r="K52">
            <v>100</v>
          </cell>
          <cell r="L52">
            <v>2.941176470588235E-4</v>
          </cell>
          <cell r="M52">
            <v>0</v>
          </cell>
          <cell r="N52">
            <v>0</v>
          </cell>
          <cell r="O52">
            <v>200</v>
          </cell>
          <cell r="P52">
            <v>0</v>
          </cell>
          <cell r="Q52">
            <v>-200</v>
          </cell>
          <cell r="R52">
            <v>100</v>
          </cell>
          <cell r="S52">
            <v>2.380952380952381E-4</v>
          </cell>
          <cell r="T52">
            <v>0</v>
          </cell>
          <cell r="U52">
            <v>0</v>
          </cell>
          <cell r="V52">
            <v>300</v>
          </cell>
          <cell r="W52">
            <v>0</v>
          </cell>
          <cell r="X52">
            <v>-300</v>
          </cell>
          <cell r="Y52">
            <v>100</v>
          </cell>
          <cell r="Z52">
            <v>2.5000000000000001E-4</v>
          </cell>
          <cell r="AA52">
            <v>0</v>
          </cell>
          <cell r="AB52">
            <v>0</v>
          </cell>
          <cell r="AC52">
            <v>400</v>
          </cell>
          <cell r="AD52">
            <v>0</v>
          </cell>
          <cell r="AE52">
            <v>-400</v>
          </cell>
          <cell r="AF52">
            <v>100</v>
          </cell>
          <cell r="AG52">
            <v>2.5000000000000001E-4</v>
          </cell>
          <cell r="AH52">
            <v>0</v>
          </cell>
          <cell r="AI52">
            <v>0</v>
          </cell>
          <cell r="AJ52">
            <v>500</v>
          </cell>
          <cell r="AK52">
            <v>0</v>
          </cell>
          <cell r="AL52">
            <v>-500</v>
          </cell>
          <cell r="AM52">
            <v>100</v>
          </cell>
          <cell r="AN52">
            <v>2.5000000000000001E-4</v>
          </cell>
          <cell r="AO52">
            <v>0</v>
          </cell>
          <cell r="AP52" t="e">
            <v>#DIV/0!</v>
          </cell>
          <cell r="AQ52">
            <v>600</v>
          </cell>
          <cell r="AR52">
            <v>0</v>
          </cell>
          <cell r="AS52">
            <v>-600</v>
          </cell>
          <cell r="AT52">
            <v>100</v>
          </cell>
          <cell r="AU52">
            <v>1.7241379310344826E-4</v>
          </cell>
          <cell r="AV52">
            <v>0</v>
          </cell>
          <cell r="AW52" t="e">
            <v>#DIV/0!</v>
          </cell>
          <cell r="AX52">
            <v>700</v>
          </cell>
          <cell r="AY52">
            <v>0</v>
          </cell>
          <cell r="AZ52">
            <v>-700</v>
          </cell>
          <cell r="BA52">
            <v>100</v>
          </cell>
          <cell r="BB52">
            <v>1.7241379310344826E-4</v>
          </cell>
          <cell r="BC52">
            <v>0</v>
          </cell>
          <cell r="BD52" t="e">
            <v>#DIV/0!</v>
          </cell>
          <cell r="BE52">
            <v>800</v>
          </cell>
          <cell r="BF52">
            <v>0</v>
          </cell>
          <cell r="BG52">
            <v>-800</v>
          </cell>
          <cell r="BH52">
            <v>100</v>
          </cell>
          <cell r="BI52">
            <v>1.7241379310344826E-4</v>
          </cell>
          <cell r="BJ52">
            <v>0</v>
          </cell>
          <cell r="BK52" t="e">
            <v>#DIV/0!</v>
          </cell>
          <cell r="BL52">
            <v>900</v>
          </cell>
          <cell r="BM52">
            <v>0</v>
          </cell>
          <cell r="BN52">
            <v>-900</v>
          </cell>
          <cell r="BO52">
            <v>100</v>
          </cell>
          <cell r="BP52">
            <v>1.7241379310344826E-4</v>
          </cell>
          <cell r="BQ52">
            <v>0</v>
          </cell>
          <cell r="BR52" t="e">
            <v>#DIV/0!</v>
          </cell>
          <cell r="BS52">
            <v>1000</v>
          </cell>
          <cell r="BT52">
            <v>0</v>
          </cell>
          <cell r="BU52">
            <v>-1000</v>
          </cell>
          <cell r="BV52">
            <v>100</v>
          </cell>
          <cell r="BW52">
            <v>1.7241379310344826E-4</v>
          </cell>
          <cell r="BX52">
            <v>0</v>
          </cell>
          <cell r="BY52" t="e">
            <v>#DIV/0!</v>
          </cell>
          <cell r="BZ52">
            <v>1100</v>
          </cell>
          <cell r="CA52">
            <v>0</v>
          </cell>
          <cell r="CB52">
            <v>-1100</v>
          </cell>
          <cell r="CC52">
            <v>100</v>
          </cell>
          <cell r="CD52">
            <v>1.7241379310344826E-4</v>
          </cell>
          <cell r="CE52">
            <v>0</v>
          </cell>
          <cell r="CF52" t="e">
            <v>#DIV/0!</v>
          </cell>
          <cell r="CG52">
            <v>1200</v>
          </cell>
          <cell r="CH52">
            <v>0</v>
          </cell>
        </row>
        <row r="53">
          <cell r="A53" t="str">
            <v>Viagens - Passagens / Traslados</v>
          </cell>
          <cell r="B53">
            <v>2.4546409050880811E-4</v>
          </cell>
          <cell r="C53">
            <v>100</v>
          </cell>
          <cell r="D53">
            <v>100</v>
          </cell>
          <cell r="E53">
            <v>3.0303030303030303E-4</v>
          </cell>
          <cell r="F53">
            <v>0</v>
          </cell>
          <cell r="G53">
            <v>0</v>
          </cell>
          <cell r="H53">
            <v>100</v>
          </cell>
          <cell r="I53">
            <v>0</v>
          </cell>
          <cell r="J53">
            <v>-100</v>
          </cell>
          <cell r="K53">
            <v>100</v>
          </cell>
          <cell r="L53">
            <v>2.941176470588235E-4</v>
          </cell>
          <cell r="M53">
            <v>0</v>
          </cell>
          <cell r="N53">
            <v>0</v>
          </cell>
          <cell r="O53">
            <v>200</v>
          </cell>
          <cell r="P53">
            <v>0</v>
          </cell>
          <cell r="Q53">
            <v>-200</v>
          </cell>
          <cell r="R53">
            <v>100</v>
          </cell>
          <cell r="S53">
            <v>2.380952380952381E-4</v>
          </cell>
          <cell r="T53">
            <v>0</v>
          </cell>
          <cell r="U53">
            <v>0</v>
          </cell>
          <cell r="V53">
            <v>300</v>
          </cell>
          <cell r="W53">
            <v>0</v>
          </cell>
          <cell r="X53">
            <v>-300</v>
          </cell>
          <cell r="Y53">
            <v>100</v>
          </cell>
          <cell r="Z53">
            <v>2.5000000000000001E-4</v>
          </cell>
          <cell r="AA53">
            <v>0</v>
          </cell>
          <cell r="AB53">
            <v>0</v>
          </cell>
          <cell r="AC53">
            <v>400</v>
          </cell>
          <cell r="AD53">
            <v>0</v>
          </cell>
          <cell r="AE53">
            <v>-400</v>
          </cell>
          <cell r="AF53">
            <v>100</v>
          </cell>
          <cell r="AG53">
            <v>2.5000000000000001E-4</v>
          </cell>
          <cell r="AH53">
            <v>0</v>
          </cell>
          <cell r="AI53">
            <v>0</v>
          </cell>
          <cell r="AJ53">
            <v>500</v>
          </cell>
          <cell r="AK53">
            <v>0</v>
          </cell>
          <cell r="AL53">
            <v>-500</v>
          </cell>
          <cell r="AM53">
            <v>100</v>
          </cell>
          <cell r="AN53">
            <v>2.5000000000000001E-4</v>
          </cell>
          <cell r="AO53">
            <v>0</v>
          </cell>
          <cell r="AP53" t="e">
            <v>#DIV/0!</v>
          </cell>
          <cell r="AQ53">
            <v>600</v>
          </cell>
          <cell r="AR53">
            <v>0</v>
          </cell>
          <cell r="AS53">
            <v>-600</v>
          </cell>
          <cell r="AT53">
            <v>100</v>
          </cell>
          <cell r="AU53">
            <v>1.7241379310344826E-4</v>
          </cell>
          <cell r="AV53">
            <v>0</v>
          </cell>
          <cell r="AW53" t="e">
            <v>#DIV/0!</v>
          </cell>
          <cell r="AX53">
            <v>700</v>
          </cell>
          <cell r="AY53">
            <v>0</v>
          </cell>
          <cell r="AZ53">
            <v>-700</v>
          </cell>
          <cell r="BA53">
            <v>100</v>
          </cell>
          <cell r="BB53">
            <v>1.7241379310344826E-4</v>
          </cell>
          <cell r="BC53">
            <v>0</v>
          </cell>
          <cell r="BD53" t="e">
            <v>#DIV/0!</v>
          </cell>
          <cell r="BE53">
            <v>800</v>
          </cell>
          <cell r="BF53">
            <v>0</v>
          </cell>
          <cell r="BG53">
            <v>-800</v>
          </cell>
          <cell r="BH53">
            <v>100</v>
          </cell>
          <cell r="BI53">
            <v>1.7241379310344826E-4</v>
          </cell>
          <cell r="BJ53">
            <v>0</v>
          </cell>
          <cell r="BK53" t="e">
            <v>#DIV/0!</v>
          </cell>
          <cell r="BL53">
            <v>900</v>
          </cell>
          <cell r="BM53">
            <v>0</v>
          </cell>
          <cell r="BN53">
            <v>-900</v>
          </cell>
          <cell r="BO53">
            <v>100</v>
          </cell>
          <cell r="BP53">
            <v>1.7241379310344826E-4</v>
          </cell>
          <cell r="BQ53">
            <v>0</v>
          </cell>
          <cell r="BR53" t="e">
            <v>#DIV/0!</v>
          </cell>
          <cell r="BS53">
            <v>1000</v>
          </cell>
          <cell r="BT53">
            <v>0</v>
          </cell>
          <cell r="BU53">
            <v>-1000</v>
          </cell>
          <cell r="BV53">
            <v>100</v>
          </cell>
          <cell r="BW53">
            <v>1.7241379310344826E-4</v>
          </cell>
          <cell r="BX53">
            <v>0</v>
          </cell>
          <cell r="BY53" t="e">
            <v>#DIV/0!</v>
          </cell>
          <cell r="BZ53">
            <v>1100</v>
          </cell>
          <cell r="CA53">
            <v>0</v>
          </cell>
          <cell r="CB53">
            <v>-1100</v>
          </cell>
          <cell r="CC53">
            <v>100</v>
          </cell>
          <cell r="CD53">
            <v>1.7241379310344826E-4</v>
          </cell>
          <cell r="CE53">
            <v>0</v>
          </cell>
          <cell r="CF53" t="e">
            <v>#DIV/0!</v>
          </cell>
          <cell r="CG53">
            <v>1200</v>
          </cell>
          <cell r="CH53">
            <v>0</v>
          </cell>
        </row>
        <row r="67">
          <cell r="A67" t="str">
            <v>13º (+ Encargos)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4.7584032158767473E-4</v>
          </cell>
          <cell r="C71">
            <v>193.85333333333332</v>
          </cell>
          <cell r="D71">
            <v>202</v>
          </cell>
          <cell r="E71">
            <v>3.3666666666666667E-3</v>
          </cell>
          <cell r="F71">
            <v>0</v>
          </cell>
          <cell r="G71">
            <v>0</v>
          </cell>
          <cell r="H71">
            <v>202</v>
          </cell>
          <cell r="I71">
            <v>0</v>
          </cell>
          <cell r="J71">
            <v>-202</v>
          </cell>
          <cell r="K71">
            <v>202</v>
          </cell>
          <cell r="L71">
            <v>4.0400000000000002E-3</v>
          </cell>
          <cell r="M71">
            <v>0</v>
          </cell>
          <cell r="N71">
            <v>0</v>
          </cell>
          <cell r="O71">
            <v>404</v>
          </cell>
          <cell r="P71">
            <v>0</v>
          </cell>
          <cell r="Q71">
            <v>-404</v>
          </cell>
          <cell r="R71">
            <v>202</v>
          </cell>
          <cell r="S71">
            <v>4.0400000000000002E-3</v>
          </cell>
          <cell r="T71">
            <v>0</v>
          </cell>
          <cell r="U71">
            <v>0</v>
          </cell>
          <cell r="V71">
            <v>606</v>
          </cell>
          <cell r="W71">
            <v>0</v>
          </cell>
          <cell r="X71">
            <v>-606</v>
          </cell>
          <cell r="Y71">
            <v>202</v>
          </cell>
          <cell r="Z71">
            <v>2.8857142857142857E-3</v>
          </cell>
          <cell r="AA71">
            <v>0</v>
          </cell>
          <cell r="AB71">
            <v>0</v>
          </cell>
          <cell r="AC71">
            <v>808</v>
          </cell>
          <cell r="AD71">
            <v>0</v>
          </cell>
          <cell r="AE71">
            <v>-808</v>
          </cell>
          <cell r="AF71">
            <v>202</v>
          </cell>
          <cell r="AG71">
            <v>2.8857142857142857E-3</v>
          </cell>
          <cell r="AH71">
            <v>0</v>
          </cell>
          <cell r="AI71">
            <v>0</v>
          </cell>
          <cell r="AJ71">
            <v>1010</v>
          </cell>
          <cell r="AK71">
            <v>0</v>
          </cell>
          <cell r="AL71">
            <v>-1010</v>
          </cell>
          <cell r="AM71">
            <v>202</v>
          </cell>
          <cell r="AN71">
            <v>2.8857142857142857E-3</v>
          </cell>
          <cell r="AO71">
            <v>0</v>
          </cell>
          <cell r="AP71">
            <v>0</v>
          </cell>
          <cell r="AQ71">
            <v>1212</v>
          </cell>
          <cell r="AR71">
            <v>0</v>
          </cell>
          <cell r="AS71">
            <v>-1212</v>
          </cell>
          <cell r="AT71">
            <v>202</v>
          </cell>
          <cell r="AU71">
            <v>2.8857142857142857E-3</v>
          </cell>
          <cell r="AV71">
            <v>0</v>
          </cell>
          <cell r="AW71">
            <v>0</v>
          </cell>
          <cell r="AX71">
            <v>1414</v>
          </cell>
          <cell r="AY71">
            <v>0</v>
          </cell>
          <cell r="AZ71">
            <v>-1414</v>
          </cell>
          <cell r="BA71">
            <v>202</v>
          </cell>
          <cell r="BB71">
            <v>2.8857142857142857E-3</v>
          </cell>
          <cell r="BC71">
            <v>0</v>
          </cell>
          <cell r="BD71">
            <v>0</v>
          </cell>
          <cell r="BE71">
            <v>1616</v>
          </cell>
          <cell r="BF71">
            <v>0</v>
          </cell>
          <cell r="BG71">
            <v>-1616</v>
          </cell>
          <cell r="BH71">
            <v>202</v>
          </cell>
          <cell r="BI71">
            <v>2.8857142857142857E-3</v>
          </cell>
          <cell r="BJ71">
            <v>0</v>
          </cell>
          <cell r="BK71">
            <v>0</v>
          </cell>
          <cell r="BL71">
            <v>1818</v>
          </cell>
          <cell r="BM71">
            <v>0</v>
          </cell>
          <cell r="BN71">
            <v>-1818</v>
          </cell>
          <cell r="BO71">
            <v>202</v>
          </cell>
          <cell r="BP71">
            <v>2.8857142857142857E-3</v>
          </cell>
          <cell r="BQ71">
            <v>0</v>
          </cell>
          <cell r="BR71">
            <v>0</v>
          </cell>
          <cell r="BS71">
            <v>2020</v>
          </cell>
          <cell r="BT71">
            <v>0</v>
          </cell>
          <cell r="BU71">
            <v>-2020</v>
          </cell>
          <cell r="BV71">
            <v>202</v>
          </cell>
          <cell r="BW71">
            <v>2.8857142857142857E-3</v>
          </cell>
          <cell r="BX71">
            <v>0</v>
          </cell>
          <cell r="BY71">
            <v>0</v>
          </cell>
          <cell r="BZ71">
            <v>2222</v>
          </cell>
          <cell r="CA71">
            <v>0</v>
          </cell>
          <cell r="CB71">
            <v>-2222</v>
          </cell>
          <cell r="CC71">
            <v>202</v>
          </cell>
          <cell r="CD71">
            <v>2.8857142857142857E-3</v>
          </cell>
          <cell r="CE71">
            <v>0</v>
          </cell>
          <cell r="CF71">
            <v>0</v>
          </cell>
          <cell r="CG71">
            <v>2424</v>
          </cell>
          <cell r="CH71">
            <v>0</v>
          </cell>
        </row>
        <row r="72">
          <cell r="A72" t="str">
            <v>Back Office / Encerramento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4.0745281847859669E-3</v>
          </cell>
          <cell r="C74">
            <v>1659.9284141073822</v>
          </cell>
          <cell r="D74">
            <v>1700</v>
          </cell>
          <cell r="E74">
            <v>2.8333333333333332E-2</v>
          </cell>
          <cell r="F74">
            <v>1519.3574463375187</v>
          </cell>
          <cell r="G74">
            <v>2.7584557849265046E-2</v>
          </cell>
          <cell r="H74">
            <v>1700</v>
          </cell>
          <cell r="I74">
            <v>1519.3574463375187</v>
          </cell>
          <cell r="J74">
            <v>-180.6425536624813</v>
          </cell>
          <cell r="K74">
            <v>1700</v>
          </cell>
          <cell r="L74">
            <v>3.4000000000000002E-2</v>
          </cell>
          <cell r="M74">
            <v>1286.1886673340271</v>
          </cell>
          <cell r="N74">
            <v>3.1256103701920467E-2</v>
          </cell>
          <cell r="O74">
            <v>3400</v>
          </cell>
          <cell r="P74">
            <v>2805.5461136715458</v>
          </cell>
          <cell r="Q74">
            <v>-594.45388632845425</v>
          </cell>
          <cell r="R74">
            <v>1700</v>
          </cell>
          <cell r="S74">
            <v>3.4000000000000002E-2</v>
          </cell>
          <cell r="T74">
            <v>1098.8731834597522</v>
          </cell>
          <cell r="U74">
            <v>2.8379989242245666E-2</v>
          </cell>
          <cell r="V74">
            <v>5100</v>
          </cell>
          <cell r="W74">
            <v>3904.4192971312978</v>
          </cell>
          <cell r="X74">
            <v>-1195.5807028687022</v>
          </cell>
          <cell r="Y74">
            <v>1700</v>
          </cell>
          <cell r="Z74">
            <v>2.4285714285714285E-2</v>
          </cell>
          <cell r="AA74">
            <v>0</v>
          </cell>
          <cell r="AB74">
            <v>0</v>
          </cell>
          <cell r="AC74">
            <v>6800</v>
          </cell>
          <cell r="AD74">
            <v>3904.4192971312978</v>
          </cell>
          <cell r="AE74">
            <v>-2895.5807028687022</v>
          </cell>
          <cell r="AF74">
            <v>1700</v>
          </cell>
          <cell r="AG74">
            <v>2.4285714285714285E-2</v>
          </cell>
          <cell r="AH74">
            <v>0</v>
          </cell>
          <cell r="AI74">
            <v>0</v>
          </cell>
          <cell r="AJ74">
            <v>8500</v>
          </cell>
          <cell r="AK74">
            <v>3904.4192971312978</v>
          </cell>
          <cell r="AL74">
            <v>-4595.5807028687022</v>
          </cell>
          <cell r="AM74">
            <v>1700</v>
          </cell>
          <cell r="AN74">
            <v>2.4285714285714285E-2</v>
          </cell>
          <cell r="AO74">
            <v>0</v>
          </cell>
          <cell r="AP74">
            <v>0</v>
          </cell>
          <cell r="AQ74">
            <v>10200</v>
          </cell>
          <cell r="AR74">
            <v>3904.4192971312978</v>
          </cell>
          <cell r="AS74">
            <v>-6295.5807028687022</v>
          </cell>
          <cell r="AT74">
            <v>1700</v>
          </cell>
          <cell r="AU74">
            <v>2.4285714285714285E-2</v>
          </cell>
          <cell r="AV74">
            <v>0</v>
          </cell>
          <cell r="AW74">
            <v>0</v>
          </cell>
          <cell r="AX74">
            <v>11900</v>
          </cell>
          <cell r="AY74">
            <v>3904.4192971312978</v>
          </cell>
          <cell r="AZ74">
            <v>-7995.5807028687022</v>
          </cell>
          <cell r="BA74">
            <v>1700</v>
          </cell>
          <cell r="BB74">
            <v>2.4285714285714285E-2</v>
          </cell>
          <cell r="BC74">
            <v>0</v>
          </cell>
          <cell r="BD74">
            <v>0</v>
          </cell>
          <cell r="BE74">
            <v>13600</v>
          </cell>
          <cell r="BF74">
            <v>3904.4192971312978</v>
          </cell>
          <cell r="BG74">
            <v>-9695.5807028687013</v>
          </cell>
          <cell r="BH74">
            <v>1700</v>
          </cell>
          <cell r="BI74">
            <v>2.4285714285714285E-2</v>
          </cell>
          <cell r="BJ74">
            <v>0</v>
          </cell>
          <cell r="BK74">
            <v>0</v>
          </cell>
          <cell r="BL74">
            <v>15300</v>
          </cell>
          <cell r="BM74">
            <v>3904.4192971312978</v>
          </cell>
          <cell r="BN74">
            <v>-11395.580702868701</v>
          </cell>
          <cell r="BO74">
            <v>1700</v>
          </cell>
          <cell r="BP74">
            <v>2.4285714285714285E-2</v>
          </cell>
          <cell r="BQ74">
            <v>0</v>
          </cell>
          <cell r="BR74">
            <v>0</v>
          </cell>
          <cell r="BS74">
            <v>17000</v>
          </cell>
          <cell r="BT74">
            <v>3904.4192971312978</v>
          </cell>
          <cell r="BU74">
            <v>-13095.580702868701</v>
          </cell>
          <cell r="BV74">
            <v>1700</v>
          </cell>
          <cell r="BW74">
            <v>2.4285714285714285E-2</v>
          </cell>
          <cell r="BX74">
            <v>0</v>
          </cell>
          <cell r="BY74">
            <v>0</v>
          </cell>
          <cell r="BZ74">
            <v>18700</v>
          </cell>
          <cell r="CA74">
            <v>3904.4192971312978</v>
          </cell>
          <cell r="CB74">
            <v>-14795.580702868701</v>
          </cell>
          <cell r="CC74">
            <v>1700</v>
          </cell>
          <cell r="CD74">
            <v>2.4285714285714285E-2</v>
          </cell>
          <cell r="CE74">
            <v>0</v>
          </cell>
          <cell r="CF74">
            <v>0</v>
          </cell>
          <cell r="CG74">
            <v>20400</v>
          </cell>
          <cell r="CH74">
            <v>3904.4192971312978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2088.2800000000002</v>
          </cell>
          <cell r="G77">
            <v>3.7913580246913582E-2</v>
          </cell>
          <cell r="H77">
            <v>0</v>
          </cell>
          <cell r="I77">
            <v>2088.2800000000002</v>
          </cell>
          <cell r="J77">
            <v>2088.2800000000002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2088.2800000000002</v>
          </cell>
          <cell r="Q77">
            <v>2088.2800000000002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2088.2800000000002</v>
          </cell>
          <cell r="X77">
            <v>2088.2800000000002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2088.2800000000002</v>
          </cell>
          <cell r="AE77">
            <v>2088.2800000000002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2088.2800000000002</v>
          </cell>
          <cell r="AL77">
            <v>2088.2800000000002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2088.2800000000002</v>
          </cell>
          <cell r="AS77">
            <v>2088.2800000000002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2088.2800000000002</v>
          </cell>
          <cell r="AZ77">
            <v>2088.2800000000002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2088.2800000000002</v>
          </cell>
          <cell r="BG77">
            <v>2088.2800000000002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2088.2800000000002</v>
          </cell>
          <cell r="BN77">
            <v>2088.2800000000002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2088.2800000000002</v>
          </cell>
          <cell r="BU77">
            <v>2088.2800000000002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2088.2800000000002</v>
          </cell>
          <cell r="CB77">
            <v>2088.2800000000002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2088.2800000000002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4.7925681163930263E-2</v>
          </cell>
          <cell r="C81">
            <v>19524.518256250001</v>
          </cell>
          <cell r="D81">
            <v>18000</v>
          </cell>
          <cell r="E81">
            <v>0.3</v>
          </cell>
          <cell r="F81">
            <v>15520.400578999999</v>
          </cell>
          <cell r="G81">
            <v>0.28177924072258531</v>
          </cell>
          <cell r="H81">
            <v>18000</v>
          </cell>
          <cell r="I81">
            <v>15520.400578999999</v>
          </cell>
          <cell r="J81">
            <v>-2479.5994210000008</v>
          </cell>
          <cell r="K81">
            <v>17000</v>
          </cell>
          <cell r="L81">
            <v>0.34</v>
          </cell>
          <cell r="M81">
            <v>0</v>
          </cell>
          <cell r="N81">
            <v>0</v>
          </cell>
          <cell r="O81">
            <v>35000</v>
          </cell>
          <cell r="P81">
            <v>15520.400578999999</v>
          </cell>
          <cell r="Q81">
            <v>-19479.599420999999</v>
          </cell>
          <cell r="R81">
            <v>22000</v>
          </cell>
          <cell r="S81">
            <v>0.44</v>
          </cell>
          <cell r="T81">
            <v>22022.859276000003</v>
          </cell>
          <cell r="U81">
            <v>0.56877219204545459</v>
          </cell>
          <cell r="V81">
            <v>57000</v>
          </cell>
          <cell r="W81">
            <v>37543.259855000004</v>
          </cell>
          <cell r="X81">
            <v>-19456.740144999996</v>
          </cell>
          <cell r="Y81">
            <v>22000</v>
          </cell>
          <cell r="Z81">
            <v>0.31428571428571428</v>
          </cell>
          <cell r="AA81">
            <v>0</v>
          </cell>
          <cell r="AB81">
            <v>0</v>
          </cell>
          <cell r="AC81">
            <v>79000</v>
          </cell>
          <cell r="AD81">
            <v>37543.259855000004</v>
          </cell>
          <cell r="AE81">
            <v>-41456.740144999996</v>
          </cell>
          <cell r="AF81">
            <v>22000</v>
          </cell>
          <cell r="AG81">
            <v>0.31428571428571428</v>
          </cell>
          <cell r="AH81">
            <v>0</v>
          </cell>
          <cell r="AI81">
            <v>0</v>
          </cell>
          <cell r="AJ81">
            <v>101000</v>
          </cell>
          <cell r="AK81">
            <v>37543.259855000004</v>
          </cell>
          <cell r="AL81">
            <v>-63456.740144999996</v>
          </cell>
          <cell r="AM81">
            <v>22000</v>
          </cell>
          <cell r="AN81">
            <v>0.31428571428571428</v>
          </cell>
          <cell r="AO81">
            <v>0</v>
          </cell>
          <cell r="AP81">
            <v>0</v>
          </cell>
          <cell r="AQ81">
            <v>123000</v>
          </cell>
          <cell r="AR81">
            <v>37543.259855000004</v>
          </cell>
          <cell r="AS81">
            <v>-85456.740144999989</v>
          </cell>
          <cell r="AT81">
            <v>22000</v>
          </cell>
          <cell r="AU81">
            <v>0.31428571428571428</v>
          </cell>
          <cell r="AV81">
            <v>0</v>
          </cell>
          <cell r="AW81">
            <v>0</v>
          </cell>
          <cell r="AX81">
            <v>145000</v>
          </cell>
          <cell r="AY81">
            <v>37543.259855000004</v>
          </cell>
          <cell r="AZ81">
            <v>-107456.74014499999</v>
          </cell>
          <cell r="BA81">
            <v>22000</v>
          </cell>
          <cell r="BB81">
            <v>0.31428571428571428</v>
          </cell>
          <cell r="BC81">
            <v>0</v>
          </cell>
          <cell r="BD81">
            <v>0</v>
          </cell>
          <cell r="BE81">
            <v>167000</v>
          </cell>
          <cell r="BF81">
            <v>37543.259855000004</v>
          </cell>
          <cell r="BG81">
            <v>-129456.74014499999</v>
          </cell>
          <cell r="BH81">
            <v>22000</v>
          </cell>
          <cell r="BI81">
            <v>0.31428571428571428</v>
          </cell>
          <cell r="BJ81">
            <v>0</v>
          </cell>
          <cell r="BK81">
            <v>0</v>
          </cell>
          <cell r="BL81">
            <v>189000</v>
          </cell>
          <cell r="BM81">
            <v>37543.259855000004</v>
          </cell>
          <cell r="BN81">
            <v>-151456.74014499999</v>
          </cell>
          <cell r="BO81">
            <v>22000</v>
          </cell>
          <cell r="BP81">
            <v>0.31428571428571428</v>
          </cell>
          <cell r="BQ81">
            <v>0</v>
          </cell>
          <cell r="BR81">
            <v>0</v>
          </cell>
          <cell r="BS81">
            <v>211000</v>
          </cell>
          <cell r="BT81">
            <v>37543.259855000004</v>
          </cell>
          <cell r="BU81">
            <v>-173456.74014499999</v>
          </cell>
          <cell r="BV81">
            <v>22000</v>
          </cell>
          <cell r="BW81">
            <v>0.31428571428571428</v>
          </cell>
          <cell r="BX81">
            <v>0</v>
          </cell>
          <cell r="BY81">
            <v>0</v>
          </cell>
          <cell r="BZ81">
            <v>233000</v>
          </cell>
          <cell r="CA81">
            <v>37543.259855000004</v>
          </cell>
          <cell r="CB81">
            <v>-195456.74014499999</v>
          </cell>
          <cell r="CC81">
            <v>22000</v>
          </cell>
          <cell r="CD81">
            <v>0.31428571428571428</v>
          </cell>
          <cell r="CE81">
            <v>0</v>
          </cell>
          <cell r="CF81">
            <v>0</v>
          </cell>
          <cell r="CG81">
            <v>255000</v>
          </cell>
          <cell r="CH81">
            <v>37543.259855000004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</row>
        <row r="92">
          <cell r="A92" t="str">
            <v>Parcerias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7.3842056845917397E-3</v>
          </cell>
          <cell r="C96">
            <v>3008.263110618524</v>
          </cell>
          <cell r="D96">
            <v>3000</v>
          </cell>
          <cell r="E96">
            <v>0.05</v>
          </cell>
          <cell r="F96">
            <v>3206.5863489139638</v>
          </cell>
          <cell r="G96">
            <v>5.8216890866266587E-2</v>
          </cell>
          <cell r="H96">
            <v>3000</v>
          </cell>
          <cell r="I96">
            <v>3206.5863489139638</v>
          </cell>
          <cell r="J96">
            <v>206.58634891396377</v>
          </cell>
          <cell r="K96">
            <v>3000</v>
          </cell>
          <cell r="L96">
            <v>0.06</v>
          </cell>
          <cell r="M96">
            <v>4316.7902294684391</v>
          </cell>
          <cell r="N96">
            <v>0.10490377228355867</v>
          </cell>
          <cell r="O96">
            <v>6000</v>
          </cell>
          <cell r="P96">
            <v>7523.3765783824028</v>
          </cell>
          <cell r="Q96">
            <v>1523.3765783824028</v>
          </cell>
          <cell r="R96">
            <v>3500</v>
          </cell>
          <cell r="S96">
            <v>7.0000000000000007E-2</v>
          </cell>
          <cell r="T96">
            <v>4024.2977485035321</v>
          </cell>
          <cell r="U96">
            <v>0.10393330962044246</v>
          </cell>
          <cell r="V96">
            <v>9500</v>
          </cell>
          <cell r="W96">
            <v>11547.674326885935</v>
          </cell>
          <cell r="X96">
            <v>2047.6743268859354</v>
          </cell>
          <cell r="Y96">
            <v>3500</v>
          </cell>
          <cell r="Z96">
            <v>0.05</v>
          </cell>
          <cell r="AA96">
            <v>0</v>
          </cell>
          <cell r="AB96">
            <v>0</v>
          </cell>
          <cell r="AC96">
            <v>13000</v>
          </cell>
          <cell r="AD96">
            <v>11547.674326885935</v>
          </cell>
          <cell r="AE96">
            <v>-1452.3256731140646</v>
          </cell>
          <cell r="AF96">
            <v>3500</v>
          </cell>
          <cell r="AG96">
            <v>0.05</v>
          </cell>
          <cell r="AH96">
            <v>0</v>
          </cell>
          <cell r="AI96">
            <v>0</v>
          </cell>
          <cell r="AJ96">
            <v>16500</v>
          </cell>
          <cell r="AK96">
            <v>11547.674326885935</v>
          </cell>
          <cell r="AL96">
            <v>-4952.3256731140646</v>
          </cell>
          <cell r="AM96">
            <v>3500</v>
          </cell>
          <cell r="AN96">
            <v>0.05</v>
          </cell>
          <cell r="AO96">
            <v>0</v>
          </cell>
          <cell r="AP96">
            <v>0</v>
          </cell>
          <cell r="AQ96">
            <v>20000</v>
          </cell>
          <cell r="AR96">
            <v>11547.674326885935</v>
          </cell>
          <cell r="AS96">
            <v>-8452.3256731140646</v>
          </cell>
          <cell r="AT96">
            <v>3500</v>
          </cell>
          <cell r="AU96">
            <v>0.05</v>
          </cell>
          <cell r="AV96">
            <v>0</v>
          </cell>
          <cell r="AW96">
            <v>0</v>
          </cell>
          <cell r="AX96">
            <v>23500</v>
          </cell>
          <cell r="AY96">
            <v>11547.674326885935</v>
          </cell>
          <cell r="AZ96">
            <v>-11952.325673114065</v>
          </cell>
          <cell r="BA96">
            <v>3500</v>
          </cell>
          <cell r="BB96">
            <v>0.05</v>
          </cell>
          <cell r="BC96">
            <v>0</v>
          </cell>
          <cell r="BD96">
            <v>0</v>
          </cell>
          <cell r="BE96">
            <v>27000</v>
          </cell>
          <cell r="BF96">
            <v>11547.674326885935</v>
          </cell>
          <cell r="BG96">
            <v>-15452.325673114065</v>
          </cell>
          <cell r="BH96">
            <v>3500</v>
          </cell>
          <cell r="BI96">
            <v>0.05</v>
          </cell>
          <cell r="BJ96">
            <v>0</v>
          </cell>
          <cell r="BK96">
            <v>0</v>
          </cell>
          <cell r="BL96">
            <v>30500</v>
          </cell>
          <cell r="BM96">
            <v>11547.674326885935</v>
          </cell>
          <cell r="BN96">
            <v>-18952.325673114065</v>
          </cell>
          <cell r="BO96">
            <v>3500</v>
          </cell>
          <cell r="BP96">
            <v>0.05</v>
          </cell>
          <cell r="BQ96">
            <v>0</v>
          </cell>
          <cell r="BR96">
            <v>0</v>
          </cell>
          <cell r="BS96">
            <v>34000</v>
          </cell>
          <cell r="BT96">
            <v>11547.674326885935</v>
          </cell>
          <cell r="BU96">
            <v>-22452.325673114065</v>
          </cell>
          <cell r="BV96">
            <v>3500</v>
          </cell>
          <cell r="BW96">
            <v>0.05</v>
          </cell>
          <cell r="BX96">
            <v>0</v>
          </cell>
          <cell r="BY96">
            <v>0</v>
          </cell>
          <cell r="BZ96">
            <v>37500</v>
          </cell>
          <cell r="CA96">
            <v>11547.674326885935</v>
          </cell>
          <cell r="CB96">
            <v>-25952.325673114065</v>
          </cell>
          <cell r="CC96">
            <v>3500</v>
          </cell>
          <cell r="CD96">
            <v>0.05</v>
          </cell>
          <cell r="CE96">
            <v>0</v>
          </cell>
          <cell r="CF96">
            <v>0</v>
          </cell>
          <cell r="CG96">
            <v>41000</v>
          </cell>
          <cell r="CH96">
            <v>11547.674326885935</v>
          </cell>
        </row>
        <row r="97">
          <cell r="A97" t="str">
            <v>Pauta - Gestão de Pauta</v>
          </cell>
          <cell r="B97">
            <v>4.9727624089777479E-3</v>
          </cell>
          <cell r="C97">
            <v>2025.8614604971347</v>
          </cell>
          <cell r="D97">
            <v>2000</v>
          </cell>
          <cell r="E97">
            <v>3.3333333333333333E-2</v>
          </cell>
          <cell r="F97">
            <v>3780.7135617473464</v>
          </cell>
          <cell r="G97">
            <v>6.8640405986698377E-2</v>
          </cell>
          <cell r="H97">
            <v>2000</v>
          </cell>
          <cell r="I97">
            <v>3780.7135617473464</v>
          </cell>
          <cell r="J97">
            <v>1780.7135617473464</v>
          </cell>
          <cell r="K97">
            <v>2000</v>
          </cell>
          <cell r="L97">
            <v>0.04</v>
          </cell>
          <cell r="M97">
            <v>1854.3157109348522</v>
          </cell>
          <cell r="N97">
            <v>4.5062350204978181E-2</v>
          </cell>
          <cell r="O97">
            <v>4000</v>
          </cell>
          <cell r="P97">
            <v>5635.029272682199</v>
          </cell>
          <cell r="Q97">
            <v>1635.029272682199</v>
          </cell>
          <cell r="R97">
            <v>2400</v>
          </cell>
          <cell r="S97">
            <v>4.8000000000000001E-2</v>
          </cell>
          <cell r="T97">
            <v>2054.3033697788942</v>
          </cell>
          <cell r="U97">
            <v>5.305535562445491E-2</v>
          </cell>
          <cell r="V97">
            <v>6400</v>
          </cell>
          <cell r="W97">
            <v>7689.3326424610932</v>
          </cell>
          <cell r="X97">
            <v>1289.3326424610932</v>
          </cell>
          <cell r="Y97">
            <v>2400</v>
          </cell>
          <cell r="Z97">
            <v>3.4285714285714287E-2</v>
          </cell>
          <cell r="AA97">
            <v>0</v>
          </cell>
          <cell r="AB97">
            <v>0</v>
          </cell>
          <cell r="AC97">
            <v>8800</v>
          </cell>
          <cell r="AD97">
            <v>7689.3326424610932</v>
          </cell>
          <cell r="AE97">
            <v>-1110.6673575389068</v>
          </cell>
          <cell r="AF97">
            <v>2400</v>
          </cell>
          <cell r="AG97">
            <v>3.4285714285714287E-2</v>
          </cell>
          <cell r="AH97">
            <v>0</v>
          </cell>
          <cell r="AI97">
            <v>0</v>
          </cell>
          <cell r="AJ97">
            <v>11200</v>
          </cell>
          <cell r="AK97">
            <v>7689.3326424610932</v>
          </cell>
          <cell r="AL97">
            <v>-3510.6673575389068</v>
          </cell>
          <cell r="AM97">
            <v>2400</v>
          </cell>
          <cell r="AN97">
            <v>3.4285714285714287E-2</v>
          </cell>
          <cell r="AO97">
            <v>0</v>
          </cell>
          <cell r="AP97">
            <v>0</v>
          </cell>
          <cell r="AQ97">
            <v>13600</v>
          </cell>
          <cell r="AR97">
            <v>7689.3326424610932</v>
          </cell>
          <cell r="AS97">
            <v>-5910.6673575389068</v>
          </cell>
          <cell r="AT97">
            <v>2400</v>
          </cell>
          <cell r="AU97">
            <v>3.4285714285714287E-2</v>
          </cell>
          <cell r="AV97">
            <v>0</v>
          </cell>
          <cell r="AW97">
            <v>0</v>
          </cell>
          <cell r="AX97">
            <v>16000</v>
          </cell>
          <cell r="AY97">
            <v>7689.3326424610932</v>
          </cell>
          <cell r="AZ97">
            <v>-8310.6673575389068</v>
          </cell>
          <cell r="BA97">
            <v>2400</v>
          </cell>
          <cell r="BB97">
            <v>3.4285714285714287E-2</v>
          </cell>
          <cell r="BC97">
            <v>0</v>
          </cell>
          <cell r="BD97">
            <v>0</v>
          </cell>
          <cell r="BE97">
            <v>18400</v>
          </cell>
          <cell r="BF97">
            <v>7689.3326424610932</v>
          </cell>
          <cell r="BG97">
            <v>-10710.667357538907</v>
          </cell>
          <cell r="BH97">
            <v>2400</v>
          </cell>
          <cell r="BI97">
            <v>3.4285714285714287E-2</v>
          </cell>
          <cell r="BJ97">
            <v>0</v>
          </cell>
          <cell r="BK97">
            <v>0</v>
          </cell>
          <cell r="BL97">
            <v>20800</v>
          </cell>
          <cell r="BM97">
            <v>7689.3326424610932</v>
          </cell>
          <cell r="BN97">
            <v>-13110.667357538907</v>
          </cell>
          <cell r="BO97">
            <v>2400</v>
          </cell>
          <cell r="BP97">
            <v>3.4285714285714287E-2</v>
          </cell>
          <cell r="BQ97">
            <v>0</v>
          </cell>
          <cell r="BR97">
            <v>0</v>
          </cell>
          <cell r="BS97">
            <v>23200</v>
          </cell>
          <cell r="BT97">
            <v>7689.3326424610932</v>
          </cell>
          <cell r="BU97">
            <v>-15510.667357538907</v>
          </cell>
          <cell r="BV97">
            <v>2400</v>
          </cell>
          <cell r="BW97">
            <v>3.4285714285714287E-2</v>
          </cell>
          <cell r="BX97">
            <v>0</v>
          </cell>
          <cell r="BY97">
            <v>0</v>
          </cell>
          <cell r="BZ97">
            <v>25600</v>
          </cell>
          <cell r="CA97">
            <v>7689.3326424610932</v>
          </cell>
          <cell r="CB97">
            <v>-17910.667357538907</v>
          </cell>
          <cell r="CC97">
            <v>2400</v>
          </cell>
          <cell r="CD97">
            <v>3.4285714285714287E-2</v>
          </cell>
          <cell r="CE97">
            <v>0</v>
          </cell>
          <cell r="CF97">
            <v>0</v>
          </cell>
          <cell r="CG97">
            <v>28000</v>
          </cell>
          <cell r="CH97">
            <v>7689.3326424610932</v>
          </cell>
        </row>
        <row r="98">
          <cell r="A98" t="str">
            <v>Seguro de Vida</v>
          </cell>
          <cell r="B98">
            <v>4.4699007813352823E-5</v>
          </cell>
          <cell r="C98">
            <v>18.20999875</v>
          </cell>
          <cell r="D98">
            <v>24.28</v>
          </cell>
          <cell r="E98">
            <v>4.0466666666666667E-4</v>
          </cell>
          <cell r="F98">
            <v>34.530002000000003</v>
          </cell>
          <cell r="G98">
            <v>6.2690635439360939E-4</v>
          </cell>
          <cell r="H98">
            <v>24.28</v>
          </cell>
          <cell r="I98">
            <v>34.530002000000003</v>
          </cell>
          <cell r="J98">
            <v>10.250002000000002</v>
          </cell>
          <cell r="K98">
            <v>24.28</v>
          </cell>
          <cell r="L98">
            <v>4.8560000000000004E-4</v>
          </cell>
          <cell r="M98">
            <v>23.019985999999999</v>
          </cell>
          <cell r="N98">
            <v>5.5941642770352372E-4</v>
          </cell>
          <cell r="O98">
            <v>48.56</v>
          </cell>
          <cell r="P98">
            <v>57.549987999999999</v>
          </cell>
          <cell r="Q98">
            <v>8.9899879999999968</v>
          </cell>
          <cell r="R98">
            <v>24.28</v>
          </cell>
          <cell r="S98">
            <v>4.8560000000000004E-4</v>
          </cell>
          <cell r="T98">
            <v>23.020022999999998</v>
          </cell>
          <cell r="U98">
            <v>5.945253873966942E-4</v>
          </cell>
          <cell r="V98">
            <v>72.84</v>
          </cell>
          <cell r="W98">
            <v>80.570010999999994</v>
          </cell>
          <cell r="X98">
            <v>7.7300109999999904</v>
          </cell>
          <cell r="Y98">
            <v>24.28</v>
          </cell>
          <cell r="Z98">
            <v>3.4685714285714289E-4</v>
          </cell>
          <cell r="AA98">
            <v>0</v>
          </cell>
          <cell r="AB98">
            <v>0</v>
          </cell>
          <cell r="AC98">
            <v>97.12</v>
          </cell>
          <cell r="AD98">
            <v>80.570010999999994</v>
          </cell>
          <cell r="AE98">
            <v>-16.549989000000011</v>
          </cell>
          <cell r="AF98">
            <v>24.28</v>
          </cell>
          <cell r="AG98">
            <v>3.4685714285714289E-4</v>
          </cell>
          <cell r="AH98">
            <v>0</v>
          </cell>
          <cell r="AI98">
            <v>0</v>
          </cell>
          <cell r="AJ98">
            <v>121.4</v>
          </cell>
          <cell r="AK98">
            <v>80.570010999999994</v>
          </cell>
          <cell r="AL98">
            <v>-40.829989000000012</v>
          </cell>
          <cell r="AM98">
            <v>24.28</v>
          </cell>
          <cell r="AN98">
            <v>3.4685714285714289E-4</v>
          </cell>
          <cell r="AO98">
            <v>0</v>
          </cell>
          <cell r="AP98">
            <v>0</v>
          </cell>
          <cell r="AQ98">
            <v>145.68</v>
          </cell>
          <cell r="AR98">
            <v>80.570010999999994</v>
          </cell>
          <cell r="AS98">
            <v>-65.109989000000013</v>
          </cell>
          <cell r="AT98">
            <v>24.28</v>
          </cell>
          <cell r="AU98">
            <v>3.4685714285714289E-4</v>
          </cell>
          <cell r="AV98">
            <v>0</v>
          </cell>
          <cell r="AW98">
            <v>0</v>
          </cell>
          <cell r="AX98">
            <v>169.96</v>
          </cell>
          <cell r="AY98">
            <v>80.570010999999994</v>
          </cell>
          <cell r="AZ98">
            <v>-89.389989000000014</v>
          </cell>
          <cell r="BA98">
            <v>24.28</v>
          </cell>
          <cell r="BB98">
            <v>3.4685714285714289E-4</v>
          </cell>
          <cell r="BC98">
            <v>0</v>
          </cell>
          <cell r="BD98">
            <v>0</v>
          </cell>
          <cell r="BE98">
            <v>194.24</v>
          </cell>
          <cell r="BF98">
            <v>80.570010999999994</v>
          </cell>
          <cell r="BG98">
            <v>-113.66998900000002</v>
          </cell>
          <cell r="BH98">
            <v>24.28</v>
          </cell>
          <cell r="BI98">
            <v>3.4685714285714289E-4</v>
          </cell>
          <cell r="BJ98">
            <v>0</v>
          </cell>
          <cell r="BK98">
            <v>0</v>
          </cell>
          <cell r="BL98">
            <v>218.52</v>
          </cell>
          <cell r="BM98">
            <v>80.570010999999994</v>
          </cell>
          <cell r="BN98">
            <v>-137.94998900000002</v>
          </cell>
          <cell r="BO98">
            <v>24.28</v>
          </cell>
          <cell r="BP98">
            <v>3.4685714285714289E-4</v>
          </cell>
          <cell r="BQ98">
            <v>0</v>
          </cell>
          <cell r="BR98">
            <v>0</v>
          </cell>
          <cell r="BS98">
            <v>242.8</v>
          </cell>
          <cell r="BT98">
            <v>80.570010999999994</v>
          </cell>
          <cell r="BU98">
            <v>-162.22998900000002</v>
          </cell>
          <cell r="BV98">
            <v>24.28</v>
          </cell>
          <cell r="BW98">
            <v>3.4685714285714289E-4</v>
          </cell>
          <cell r="BX98">
            <v>0</v>
          </cell>
          <cell r="BY98">
            <v>0</v>
          </cell>
          <cell r="BZ98">
            <v>267.08000000000004</v>
          </cell>
          <cell r="CA98">
            <v>80.570010999999994</v>
          </cell>
          <cell r="CB98">
            <v>-186.50998900000005</v>
          </cell>
          <cell r="CC98">
            <v>24.28</v>
          </cell>
          <cell r="CD98">
            <v>3.4685714285714289E-4</v>
          </cell>
          <cell r="CE98">
            <v>0</v>
          </cell>
          <cell r="CF98">
            <v>0</v>
          </cell>
          <cell r="CG98">
            <v>291.36</v>
          </cell>
          <cell r="CH98">
            <v>80.570010999999994</v>
          </cell>
        </row>
        <row r="99">
          <cell r="A99" t="str">
            <v>Plano de Saúde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1316.7811710000001</v>
          </cell>
          <cell r="N99">
            <v>3.1999542430133657E-2</v>
          </cell>
          <cell r="O99">
            <v>0</v>
          </cell>
          <cell r="P99">
            <v>1316.7811710000001</v>
          </cell>
          <cell r="Q99">
            <v>1316.7811710000001</v>
          </cell>
          <cell r="R99">
            <v>0</v>
          </cell>
          <cell r="S99">
            <v>0</v>
          </cell>
          <cell r="T99">
            <v>1316.000268</v>
          </cell>
          <cell r="U99">
            <v>3.398761022727273E-2</v>
          </cell>
          <cell r="V99">
            <v>0</v>
          </cell>
          <cell r="W99">
            <v>2632.7814390000003</v>
          </cell>
          <cell r="X99">
            <v>2632.7814390000003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2632.7814390000003</v>
          </cell>
          <cell r="AE99">
            <v>2632.7814390000003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2632.7814390000003</v>
          </cell>
          <cell r="AL99">
            <v>2632.7814390000003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2632.7814390000003</v>
          </cell>
          <cell r="AS99">
            <v>2632.7814390000003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2632.7814390000003</v>
          </cell>
          <cell r="AZ99">
            <v>2632.7814390000003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2632.7814390000003</v>
          </cell>
          <cell r="BG99">
            <v>2632.7814390000003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2632.7814390000003</v>
          </cell>
          <cell r="BN99">
            <v>2632.7814390000003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2632.7814390000003</v>
          </cell>
          <cell r="BU99">
            <v>2632.7814390000003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2632.7814390000003</v>
          </cell>
          <cell r="CB99">
            <v>2632.7814390000003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2632.7814390000003</v>
          </cell>
        </row>
        <row r="100">
          <cell r="A100" t="str">
            <v>Plano Odontológico</v>
          </cell>
          <cell r="B100">
            <v>6.8329018615767798E-5</v>
          </cell>
          <cell r="C100">
            <v>27.836665833333338</v>
          </cell>
          <cell r="D100">
            <v>87.15</v>
          </cell>
          <cell r="E100">
            <v>1.4525E-3</v>
          </cell>
          <cell r="F100">
            <v>87.880020999999999</v>
          </cell>
          <cell r="G100">
            <v>1.5954978395061729E-3</v>
          </cell>
          <cell r="H100">
            <v>87.15</v>
          </cell>
          <cell r="I100">
            <v>87.880020999999999</v>
          </cell>
          <cell r="J100">
            <v>0.73002099999999359</v>
          </cell>
          <cell r="K100">
            <v>87.15</v>
          </cell>
          <cell r="L100">
            <v>1.7430000000000002E-3</v>
          </cell>
          <cell r="M100">
            <v>87.879990000000006</v>
          </cell>
          <cell r="N100">
            <v>2.1356012150668289E-3</v>
          </cell>
          <cell r="O100">
            <v>174.3</v>
          </cell>
          <cell r="P100">
            <v>175.76001100000002</v>
          </cell>
          <cell r="Q100">
            <v>1.4600110000000086</v>
          </cell>
          <cell r="R100">
            <v>87.15</v>
          </cell>
          <cell r="S100">
            <v>1.7430000000000002E-3</v>
          </cell>
          <cell r="T100">
            <v>87.879986000000002</v>
          </cell>
          <cell r="U100">
            <v>2.2696277376033059E-3</v>
          </cell>
          <cell r="V100">
            <v>261.45000000000005</v>
          </cell>
          <cell r="W100">
            <v>263.63999699999999</v>
          </cell>
          <cell r="X100">
            <v>2.1899969999999485</v>
          </cell>
          <cell r="Y100">
            <v>87.15</v>
          </cell>
          <cell r="Z100">
            <v>1.245E-3</v>
          </cell>
          <cell r="AA100">
            <v>0</v>
          </cell>
          <cell r="AB100">
            <v>0</v>
          </cell>
          <cell r="AC100">
            <v>348.6</v>
          </cell>
          <cell r="AD100">
            <v>263.63999699999999</v>
          </cell>
          <cell r="AE100">
            <v>-84.960003000000029</v>
          </cell>
          <cell r="AF100">
            <v>87.15</v>
          </cell>
          <cell r="AG100">
            <v>1.245E-3</v>
          </cell>
          <cell r="AH100">
            <v>0</v>
          </cell>
          <cell r="AI100">
            <v>0</v>
          </cell>
          <cell r="AJ100">
            <v>435.75</v>
          </cell>
          <cell r="AK100">
            <v>263.63999699999999</v>
          </cell>
          <cell r="AL100">
            <v>-172.11000300000001</v>
          </cell>
          <cell r="AM100">
            <v>87.15</v>
          </cell>
          <cell r="AN100">
            <v>1.245E-3</v>
          </cell>
          <cell r="AO100">
            <v>0</v>
          </cell>
          <cell r="AP100">
            <v>0</v>
          </cell>
          <cell r="AQ100">
            <v>522.9</v>
          </cell>
          <cell r="AR100">
            <v>263.63999699999999</v>
          </cell>
          <cell r="AS100">
            <v>-259.26000299999998</v>
          </cell>
          <cell r="AT100">
            <v>87.15</v>
          </cell>
          <cell r="AU100">
            <v>1.245E-3</v>
          </cell>
          <cell r="AV100">
            <v>0</v>
          </cell>
          <cell r="AW100">
            <v>0</v>
          </cell>
          <cell r="AX100">
            <v>610.04999999999995</v>
          </cell>
          <cell r="AY100">
            <v>263.63999699999999</v>
          </cell>
          <cell r="AZ100">
            <v>-346.41000299999996</v>
          </cell>
          <cell r="BA100">
            <v>87.15</v>
          </cell>
          <cell r="BB100">
            <v>1.245E-3</v>
          </cell>
          <cell r="BC100">
            <v>0</v>
          </cell>
          <cell r="BD100">
            <v>0</v>
          </cell>
          <cell r="BE100">
            <v>697.19999999999993</v>
          </cell>
          <cell r="BF100">
            <v>263.63999699999999</v>
          </cell>
          <cell r="BG100">
            <v>-433.56000299999994</v>
          </cell>
          <cell r="BH100">
            <v>87.15</v>
          </cell>
          <cell r="BI100">
            <v>1.245E-3</v>
          </cell>
          <cell r="BJ100">
            <v>0</v>
          </cell>
          <cell r="BK100">
            <v>0</v>
          </cell>
          <cell r="BL100">
            <v>784.34999999999991</v>
          </cell>
          <cell r="BM100">
            <v>263.63999699999999</v>
          </cell>
          <cell r="BN100">
            <v>-520.71000299999992</v>
          </cell>
          <cell r="BO100">
            <v>87.15</v>
          </cell>
          <cell r="BP100">
            <v>1.245E-3</v>
          </cell>
          <cell r="BQ100">
            <v>0</v>
          </cell>
          <cell r="BR100">
            <v>0</v>
          </cell>
          <cell r="BS100">
            <v>871.49999999999989</v>
          </cell>
          <cell r="BT100">
            <v>263.63999699999999</v>
          </cell>
          <cell r="BU100">
            <v>-607.86000299999989</v>
          </cell>
          <cell r="BV100">
            <v>87.15</v>
          </cell>
          <cell r="BW100">
            <v>1.245E-3</v>
          </cell>
          <cell r="BX100">
            <v>0</v>
          </cell>
          <cell r="BY100">
            <v>0</v>
          </cell>
          <cell r="BZ100">
            <v>958.64999999999986</v>
          </cell>
          <cell r="CA100">
            <v>263.63999699999999</v>
          </cell>
          <cell r="CB100">
            <v>-695.01000299999987</v>
          </cell>
          <cell r="CC100">
            <v>87.15</v>
          </cell>
          <cell r="CD100">
            <v>1.245E-3</v>
          </cell>
          <cell r="CE100">
            <v>0</v>
          </cell>
          <cell r="CF100">
            <v>0</v>
          </cell>
          <cell r="CG100">
            <v>1045.8</v>
          </cell>
          <cell r="CH100">
            <v>263.63999699999999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1.3896348097134423E-2</v>
          </cell>
          <cell r="C102">
            <v>5661.2550000000001</v>
          </cell>
          <cell r="D102">
            <v>6061.2550000000001</v>
          </cell>
          <cell r="E102">
            <v>0.10102091666666667</v>
          </cell>
          <cell r="F102">
            <v>3415.9274999999998</v>
          </cell>
          <cell r="G102">
            <v>6.2017565359477118E-2</v>
          </cell>
          <cell r="H102">
            <v>6061.2550000000001</v>
          </cell>
          <cell r="I102">
            <v>3415.9274999999998</v>
          </cell>
          <cell r="J102">
            <v>-2645.3275000000003</v>
          </cell>
          <cell r="K102">
            <v>6061.2550000000001</v>
          </cell>
          <cell r="L102">
            <v>0.1212251</v>
          </cell>
          <cell r="M102">
            <v>4439.53</v>
          </cell>
          <cell r="N102">
            <v>0.1078865127582017</v>
          </cell>
          <cell r="O102">
            <v>12122.51</v>
          </cell>
          <cell r="P102">
            <v>7855.4574999999995</v>
          </cell>
          <cell r="Q102">
            <v>-4267.0525000000007</v>
          </cell>
          <cell r="R102">
            <v>6061.2550000000001</v>
          </cell>
          <cell r="S102">
            <v>0.1212251</v>
          </cell>
          <cell r="T102">
            <v>4549.42</v>
          </cell>
          <cell r="U102">
            <v>0.11749535123966942</v>
          </cell>
          <cell r="V102">
            <v>18183.764999999999</v>
          </cell>
          <cell r="W102">
            <v>12404.877499999999</v>
          </cell>
          <cell r="X102">
            <v>-5778.8875000000007</v>
          </cell>
          <cell r="Y102">
            <v>6061.2550000000001</v>
          </cell>
          <cell r="Z102">
            <v>8.6589357142857148E-2</v>
          </cell>
          <cell r="AA102">
            <v>0</v>
          </cell>
          <cell r="AB102">
            <v>0</v>
          </cell>
          <cell r="AC102">
            <v>24245.02</v>
          </cell>
          <cell r="AD102">
            <v>12404.877499999999</v>
          </cell>
          <cell r="AE102">
            <v>-11840.142500000002</v>
          </cell>
          <cell r="AF102">
            <v>6061.2550000000001</v>
          </cell>
          <cell r="AG102">
            <v>8.6589357142857148E-2</v>
          </cell>
          <cell r="AH102">
            <v>0</v>
          </cell>
          <cell r="AI102">
            <v>0</v>
          </cell>
          <cell r="AJ102">
            <v>30306.275000000001</v>
          </cell>
          <cell r="AK102">
            <v>12404.877499999999</v>
          </cell>
          <cell r="AL102">
            <v>-17901.397500000003</v>
          </cell>
          <cell r="AM102">
            <v>6061.2550000000001</v>
          </cell>
          <cell r="AN102">
            <v>8.6589357142857148E-2</v>
          </cell>
          <cell r="AO102">
            <v>0</v>
          </cell>
          <cell r="AP102">
            <v>0</v>
          </cell>
          <cell r="AQ102">
            <v>36367.53</v>
          </cell>
          <cell r="AR102">
            <v>12404.877499999999</v>
          </cell>
          <cell r="AS102">
            <v>-23962.6525</v>
          </cell>
          <cell r="AT102">
            <v>6061.2550000000001</v>
          </cell>
          <cell r="AU102">
            <v>8.6589357142857148E-2</v>
          </cell>
          <cell r="AV102">
            <v>0</v>
          </cell>
          <cell r="AW102">
            <v>0</v>
          </cell>
          <cell r="AX102">
            <v>42428.784999999996</v>
          </cell>
          <cell r="AY102">
            <v>12404.877499999999</v>
          </cell>
          <cell r="AZ102">
            <v>-30023.907499999998</v>
          </cell>
          <cell r="BA102">
            <v>6061.2550000000001</v>
          </cell>
          <cell r="BB102">
            <v>8.6589357142857148E-2</v>
          </cell>
          <cell r="BC102">
            <v>0</v>
          </cell>
          <cell r="BD102">
            <v>0</v>
          </cell>
          <cell r="BE102">
            <v>48490.039999999994</v>
          </cell>
          <cell r="BF102">
            <v>12404.877499999999</v>
          </cell>
          <cell r="BG102">
            <v>-36085.162499999991</v>
          </cell>
          <cell r="BH102">
            <v>6061.2550000000001</v>
          </cell>
          <cell r="BI102">
            <v>8.6589357142857148E-2</v>
          </cell>
          <cell r="BJ102">
            <v>0</v>
          </cell>
          <cell r="BK102">
            <v>0</v>
          </cell>
          <cell r="BL102">
            <v>54551.294999999991</v>
          </cell>
          <cell r="BM102">
            <v>12404.877499999999</v>
          </cell>
          <cell r="BN102">
            <v>-42146.417499999996</v>
          </cell>
          <cell r="BO102">
            <v>6061.2550000000001</v>
          </cell>
          <cell r="BP102">
            <v>8.6589357142857148E-2</v>
          </cell>
          <cell r="BQ102">
            <v>0</v>
          </cell>
          <cell r="BR102">
            <v>0</v>
          </cell>
          <cell r="BS102">
            <v>60612.549999999988</v>
          </cell>
          <cell r="BT102">
            <v>12404.877499999999</v>
          </cell>
          <cell r="BU102">
            <v>-48207.672499999986</v>
          </cell>
          <cell r="BV102">
            <v>6061.2550000000001</v>
          </cell>
          <cell r="BW102">
            <v>8.6589357142857148E-2</v>
          </cell>
          <cell r="BX102">
            <v>0</v>
          </cell>
          <cell r="BY102">
            <v>0</v>
          </cell>
          <cell r="BZ102">
            <v>66673.804999999993</v>
          </cell>
          <cell r="CA102">
            <v>12404.877499999999</v>
          </cell>
          <cell r="CB102">
            <v>-54268.927499999991</v>
          </cell>
          <cell r="CC102">
            <v>6061.2550000000001</v>
          </cell>
          <cell r="CD102">
            <v>8.6589357142857148E-2</v>
          </cell>
          <cell r="CE102">
            <v>0</v>
          </cell>
          <cell r="CF102">
            <v>0</v>
          </cell>
          <cell r="CG102">
            <v>72735.06</v>
          </cell>
          <cell r="CH102">
            <v>12404.877499999999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</row>
        <row r="107">
          <cell r="A107" t="str">
            <v>Vale Transporte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</sheetData>
      <sheetData sheetId="18">
        <row r="11">
          <cell r="A11" t="str">
            <v>13º (+ Encargos)</v>
          </cell>
          <cell r="B11">
            <v>1.8608564259729361E-3</v>
          </cell>
          <cell r="C11">
            <v>699.51666666666677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9210.9150000000009</v>
          </cell>
          <cell r="BW11">
            <v>2.5873356741573036E-2</v>
          </cell>
          <cell r="BX11">
            <v>0</v>
          </cell>
          <cell r="BY11" t="e">
            <v>#DIV/0!</v>
          </cell>
          <cell r="BZ11">
            <v>9210.9150000000009</v>
          </cell>
          <cell r="CA11">
            <v>0</v>
          </cell>
          <cell r="CB11">
            <v>-9210.9150000000009</v>
          </cell>
          <cell r="CC11">
            <v>9210.9150000000009</v>
          </cell>
          <cell r="CD11">
            <v>2.5873356741573036E-2</v>
          </cell>
          <cell r="CE11">
            <v>0</v>
          </cell>
          <cell r="CF11" t="e">
            <v>#DIV/0!</v>
          </cell>
          <cell r="CG11">
            <v>18421.830000000002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7.9095030463005797E-3</v>
          </cell>
          <cell r="C15">
            <v>2973.2703333333334</v>
          </cell>
          <cell r="D15">
            <v>3232</v>
          </cell>
          <cell r="E15">
            <v>1.01E-2</v>
          </cell>
          <cell r="F15">
            <v>1406.86</v>
          </cell>
          <cell r="G15">
            <v>3.7750032990962537E-3</v>
          </cell>
          <cell r="H15">
            <v>3232</v>
          </cell>
          <cell r="I15">
            <v>1406.86</v>
          </cell>
          <cell r="J15">
            <v>-1825.14</v>
          </cell>
          <cell r="K15">
            <v>3232</v>
          </cell>
          <cell r="L15">
            <v>1.01E-2</v>
          </cell>
          <cell r="M15">
            <v>2320.34</v>
          </cell>
          <cell r="N15">
            <v>8.9522225844597524E-3</v>
          </cell>
          <cell r="O15">
            <v>6464</v>
          </cell>
          <cell r="P15">
            <v>3727.2</v>
          </cell>
          <cell r="Q15">
            <v>-2736.8</v>
          </cell>
          <cell r="R15">
            <v>3232</v>
          </cell>
          <cell r="S15">
            <v>9.0786516853932579E-3</v>
          </cell>
          <cell r="T15">
            <v>1210.5</v>
          </cell>
          <cell r="U15">
            <v>3.4758689413924566E-3</v>
          </cell>
          <cell r="V15">
            <v>9696</v>
          </cell>
          <cell r="W15">
            <v>4937.7</v>
          </cell>
          <cell r="X15">
            <v>-4758.3</v>
          </cell>
          <cell r="Y15">
            <v>3232</v>
          </cell>
          <cell r="Z15">
            <v>9.0786516853932579E-3</v>
          </cell>
          <cell r="AA15">
            <v>0</v>
          </cell>
          <cell r="AB15" t="e">
            <v>#DIV/0!</v>
          </cell>
          <cell r="AC15">
            <v>12928</v>
          </cell>
          <cell r="AD15">
            <v>4937.7</v>
          </cell>
          <cell r="AE15">
            <v>-7990.3</v>
          </cell>
          <cell r="AF15">
            <v>3232</v>
          </cell>
          <cell r="AG15">
            <v>9.0786516853932579E-3</v>
          </cell>
          <cell r="AH15">
            <v>0</v>
          </cell>
          <cell r="AI15" t="e">
            <v>#DIV/0!</v>
          </cell>
          <cell r="AJ15">
            <v>16160</v>
          </cell>
          <cell r="AK15">
            <v>4937.7</v>
          </cell>
          <cell r="AL15">
            <v>-11222.3</v>
          </cell>
          <cell r="AM15">
            <v>3232</v>
          </cell>
          <cell r="AN15">
            <v>9.0786516853932579E-3</v>
          </cell>
          <cell r="AO15">
            <v>0</v>
          </cell>
          <cell r="AP15" t="e">
            <v>#DIV/0!</v>
          </cell>
          <cell r="AQ15">
            <v>19392</v>
          </cell>
          <cell r="AR15">
            <v>4937.7</v>
          </cell>
          <cell r="AS15">
            <v>-14454.3</v>
          </cell>
          <cell r="AT15">
            <v>3232</v>
          </cell>
          <cell r="AU15">
            <v>9.0786516853932579E-3</v>
          </cell>
          <cell r="AV15">
            <v>0</v>
          </cell>
          <cell r="AW15" t="e">
            <v>#DIV/0!</v>
          </cell>
          <cell r="AX15">
            <v>22624</v>
          </cell>
          <cell r="AY15">
            <v>4937.7</v>
          </cell>
          <cell r="AZ15">
            <v>-17686.3</v>
          </cell>
          <cell r="BA15">
            <v>3232</v>
          </cell>
          <cell r="BB15">
            <v>9.0786516853932579E-3</v>
          </cell>
          <cell r="BC15">
            <v>0</v>
          </cell>
          <cell r="BD15" t="e">
            <v>#DIV/0!</v>
          </cell>
          <cell r="BE15">
            <v>25856</v>
          </cell>
          <cell r="BF15">
            <v>4937.7</v>
          </cell>
          <cell r="BG15">
            <v>-20918.3</v>
          </cell>
          <cell r="BH15">
            <v>3232</v>
          </cell>
          <cell r="BI15">
            <v>9.0786516853932579E-3</v>
          </cell>
          <cell r="BJ15">
            <v>0</v>
          </cell>
          <cell r="BK15" t="e">
            <v>#DIV/0!</v>
          </cell>
          <cell r="BL15">
            <v>29088</v>
          </cell>
          <cell r="BM15">
            <v>4937.7</v>
          </cell>
          <cell r="BN15">
            <v>-24150.3</v>
          </cell>
          <cell r="BO15">
            <v>3232</v>
          </cell>
          <cell r="BP15">
            <v>9.0786516853932579E-3</v>
          </cell>
          <cell r="BQ15">
            <v>0</v>
          </cell>
          <cell r="BR15" t="e">
            <v>#DIV/0!</v>
          </cell>
          <cell r="BS15">
            <v>32320</v>
          </cell>
          <cell r="BT15">
            <v>4937.7</v>
          </cell>
          <cell r="BU15">
            <v>-27382.3</v>
          </cell>
          <cell r="BV15">
            <v>3232</v>
          </cell>
          <cell r="BW15">
            <v>9.0786516853932579E-3</v>
          </cell>
          <cell r="BX15">
            <v>0</v>
          </cell>
          <cell r="BY15" t="e">
            <v>#DIV/0!</v>
          </cell>
          <cell r="BZ15">
            <v>35552</v>
          </cell>
          <cell r="CA15">
            <v>4937.7</v>
          </cell>
          <cell r="CB15">
            <v>-30614.3</v>
          </cell>
          <cell r="CC15">
            <v>3232</v>
          </cell>
          <cell r="CD15">
            <v>9.0786516853932579E-3</v>
          </cell>
          <cell r="CE15">
            <v>0</v>
          </cell>
          <cell r="CF15" t="e">
            <v>#DIV/0!</v>
          </cell>
          <cell r="CG15">
            <v>38784</v>
          </cell>
          <cell r="CH15">
            <v>4937.7</v>
          </cell>
        </row>
        <row r="16">
          <cell r="A16" t="str">
            <v>Back Office / Encerramento</v>
          </cell>
          <cell r="B16">
            <v>1.0083980598489526E-2</v>
          </cell>
          <cell r="C16">
            <v>3790.6806761293483</v>
          </cell>
          <cell r="D16">
            <v>7000</v>
          </cell>
          <cell r="E16">
            <v>2.1874999999999999E-2</v>
          </cell>
          <cell r="F16">
            <v>0</v>
          </cell>
          <cell r="G16">
            <v>0</v>
          </cell>
          <cell r="H16">
            <v>7000</v>
          </cell>
          <cell r="I16">
            <v>0</v>
          </cell>
          <cell r="J16">
            <v>-7000</v>
          </cell>
          <cell r="K16">
            <v>7000</v>
          </cell>
          <cell r="L16">
            <v>2.1874999999999999E-2</v>
          </cell>
          <cell r="M16">
            <v>0</v>
          </cell>
          <cell r="N16">
            <v>0</v>
          </cell>
          <cell r="O16">
            <v>14000</v>
          </cell>
          <cell r="P16">
            <v>0</v>
          </cell>
          <cell r="Q16">
            <v>-14000</v>
          </cell>
          <cell r="R16">
            <v>7000</v>
          </cell>
          <cell r="S16">
            <v>1.9662921348314606E-2</v>
          </cell>
          <cell r="T16">
            <v>0</v>
          </cell>
          <cell r="U16">
            <v>0</v>
          </cell>
          <cell r="V16">
            <v>21000</v>
          </cell>
          <cell r="W16">
            <v>0</v>
          </cell>
          <cell r="X16">
            <v>-21000</v>
          </cell>
          <cell r="Y16">
            <v>7000</v>
          </cell>
          <cell r="Z16">
            <v>1.9662921348314606E-2</v>
          </cell>
          <cell r="AA16">
            <v>0</v>
          </cell>
          <cell r="AB16" t="e">
            <v>#DIV/0!</v>
          </cell>
          <cell r="AC16">
            <v>28000</v>
          </cell>
          <cell r="AD16">
            <v>0</v>
          </cell>
          <cell r="AE16">
            <v>-28000</v>
          </cell>
          <cell r="AF16">
            <v>7000</v>
          </cell>
          <cell r="AG16">
            <v>1.9662921348314606E-2</v>
          </cell>
          <cell r="AH16">
            <v>0</v>
          </cell>
          <cell r="AI16" t="e">
            <v>#DIV/0!</v>
          </cell>
          <cell r="AJ16">
            <v>35000</v>
          </cell>
          <cell r="AK16">
            <v>0</v>
          </cell>
          <cell r="AL16">
            <v>-35000</v>
          </cell>
          <cell r="AM16">
            <v>7000</v>
          </cell>
          <cell r="AN16">
            <v>1.9662921348314606E-2</v>
          </cell>
          <cell r="AO16">
            <v>0</v>
          </cell>
          <cell r="AP16" t="e">
            <v>#DIV/0!</v>
          </cell>
          <cell r="AQ16">
            <v>42000</v>
          </cell>
          <cell r="AR16">
            <v>0</v>
          </cell>
          <cell r="AS16">
            <v>-42000</v>
          </cell>
          <cell r="AT16">
            <v>7000</v>
          </cell>
          <cell r="AU16">
            <v>1.9662921348314606E-2</v>
          </cell>
          <cell r="AV16">
            <v>0</v>
          </cell>
          <cell r="AW16" t="e">
            <v>#DIV/0!</v>
          </cell>
          <cell r="AX16">
            <v>49000</v>
          </cell>
          <cell r="AY16">
            <v>0</v>
          </cell>
          <cell r="AZ16">
            <v>-49000</v>
          </cell>
          <cell r="BA16">
            <v>7000</v>
          </cell>
          <cell r="BB16">
            <v>1.9662921348314606E-2</v>
          </cell>
          <cell r="BC16">
            <v>0</v>
          </cell>
          <cell r="BD16" t="e">
            <v>#DIV/0!</v>
          </cell>
          <cell r="BE16">
            <v>56000</v>
          </cell>
          <cell r="BF16">
            <v>0</v>
          </cell>
          <cell r="BG16">
            <v>-56000</v>
          </cell>
          <cell r="BH16">
            <v>7000</v>
          </cell>
          <cell r="BI16">
            <v>1.9662921348314606E-2</v>
          </cell>
          <cell r="BJ16">
            <v>0</v>
          </cell>
          <cell r="BK16" t="e">
            <v>#DIV/0!</v>
          </cell>
          <cell r="BL16">
            <v>63000</v>
          </cell>
          <cell r="BM16">
            <v>0</v>
          </cell>
          <cell r="BN16">
            <v>-63000</v>
          </cell>
          <cell r="BO16">
            <v>7000</v>
          </cell>
          <cell r="BP16">
            <v>1.9662921348314606E-2</v>
          </cell>
          <cell r="BQ16">
            <v>0</v>
          </cell>
          <cell r="BR16" t="e">
            <v>#DIV/0!</v>
          </cell>
          <cell r="BS16">
            <v>70000</v>
          </cell>
          <cell r="BT16">
            <v>0</v>
          </cell>
          <cell r="BU16">
            <v>-70000</v>
          </cell>
          <cell r="BV16">
            <v>7000</v>
          </cell>
          <cell r="BW16">
            <v>1.9662921348314606E-2</v>
          </cell>
          <cell r="BX16">
            <v>0</v>
          </cell>
          <cell r="BY16" t="e">
            <v>#DIV/0!</v>
          </cell>
          <cell r="BZ16">
            <v>77000</v>
          </cell>
          <cell r="CA16">
            <v>0</v>
          </cell>
          <cell r="CB16">
            <v>-77000</v>
          </cell>
          <cell r="CC16">
            <v>7000</v>
          </cell>
          <cell r="CD16">
            <v>1.9662921348314606E-2</v>
          </cell>
          <cell r="CE16">
            <v>0</v>
          </cell>
          <cell r="CF16" t="e">
            <v>#DIV/0!</v>
          </cell>
          <cell r="CG16">
            <v>84000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1.1495569051075995E-2</v>
          </cell>
          <cell r="C18">
            <v>4321.3125052572586</v>
          </cell>
          <cell r="D18">
            <v>4000</v>
          </cell>
          <cell r="E18">
            <v>1.2500000000000001E-2</v>
          </cell>
          <cell r="F18">
            <v>4303.0752850817835</v>
          </cell>
          <cell r="G18">
            <v>1.1546368080294618E-2</v>
          </cell>
          <cell r="H18">
            <v>4000</v>
          </cell>
          <cell r="I18">
            <v>4303.0752850817835</v>
          </cell>
          <cell r="J18">
            <v>303.07528508178348</v>
          </cell>
          <cell r="K18">
            <v>4000</v>
          </cell>
          <cell r="L18">
            <v>1.2500000000000001E-2</v>
          </cell>
          <cell r="M18">
            <v>4813.344092477033</v>
          </cell>
          <cell r="N18">
            <v>1.8570609346668519E-2</v>
          </cell>
          <cell r="O18">
            <v>8000</v>
          </cell>
          <cell r="P18">
            <v>9116.4193775588174</v>
          </cell>
          <cell r="Q18">
            <v>1116.4193775588174</v>
          </cell>
          <cell r="R18">
            <v>4000</v>
          </cell>
          <cell r="S18">
            <v>1.1235955056179775E-2</v>
          </cell>
          <cell r="T18">
            <v>4223.601956538042</v>
          </cell>
          <cell r="U18">
            <v>1.2127787576650138E-2</v>
          </cell>
          <cell r="V18">
            <v>12000</v>
          </cell>
          <cell r="W18">
            <v>13340.021334096858</v>
          </cell>
          <cell r="X18">
            <v>1340.0213340968585</v>
          </cell>
          <cell r="Y18">
            <v>4000</v>
          </cell>
          <cell r="Z18">
            <v>1.1235955056179775E-2</v>
          </cell>
          <cell r="AA18">
            <v>0</v>
          </cell>
          <cell r="AB18" t="e">
            <v>#DIV/0!</v>
          </cell>
          <cell r="AC18">
            <v>16000</v>
          </cell>
          <cell r="AD18">
            <v>13340.021334096858</v>
          </cell>
          <cell r="AE18">
            <v>-2659.9786659031415</v>
          </cell>
          <cell r="AF18">
            <v>4000</v>
          </cell>
          <cell r="AG18">
            <v>1.1235955056179775E-2</v>
          </cell>
          <cell r="AH18">
            <v>0</v>
          </cell>
          <cell r="AI18" t="e">
            <v>#DIV/0!</v>
          </cell>
          <cell r="AJ18">
            <v>20000</v>
          </cell>
          <cell r="AK18">
            <v>13340.021334096858</v>
          </cell>
          <cell r="AL18">
            <v>-6659.9786659031415</v>
          </cell>
          <cell r="AM18">
            <v>4000</v>
          </cell>
          <cell r="AN18">
            <v>1.1235955056179775E-2</v>
          </cell>
          <cell r="AO18">
            <v>0</v>
          </cell>
          <cell r="AP18" t="e">
            <v>#DIV/0!</v>
          </cell>
          <cell r="AQ18">
            <v>24000</v>
          </cell>
          <cell r="AR18">
            <v>13340.021334096858</v>
          </cell>
          <cell r="AS18">
            <v>-10659.978665903142</v>
          </cell>
          <cell r="AT18">
            <v>4000</v>
          </cell>
          <cell r="AU18">
            <v>1.1235955056179775E-2</v>
          </cell>
          <cell r="AV18">
            <v>0</v>
          </cell>
          <cell r="AW18" t="e">
            <v>#DIV/0!</v>
          </cell>
          <cell r="AX18">
            <v>28000</v>
          </cell>
          <cell r="AY18">
            <v>13340.021334096858</v>
          </cell>
          <cell r="AZ18">
            <v>-14659.978665903142</v>
          </cell>
          <cell r="BA18">
            <v>4000</v>
          </cell>
          <cell r="BB18">
            <v>1.1235955056179775E-2</v>
          </cell>
          <cell r="BC18">
            <v>0</v>
          </cell>
          <cell r="BD18" t="e">
            <v>#DIV/0!</v>
          </cell>
          <cell r="BE18">
            <v>32000</v>
          </cell>
          <cell r="BF18">
            <v>13340.021334096858</v>
          </cell>
          <cell r="BG18">
            <v>-18659.978665903142</v>
          </cell>
          <cell r="BH18">
            <v>4000</v>
          </cell>
          <cell r="BI18">
            <v>1.1235955056179775E-2</v>
          </cell>
          <cell r="BJ18">
            <v>0</v>
          </cell>
          <cell r="BK18" t="e">
            <v>#DIV/0!</v>
          </cell>
          <cell r="BL18">
            <v>36000</v>
          </cell>
          <cell r="BM18">
            <v>13340.021334096858</v>
          </cell>
          <cell r="BN18">
            <v>-22659.978665903142</v>
          </cell>
          <cell r="BO18">
            <v>4000</v>
          </cell>
          <cell r="BP18">
            <v>1.1235955056179775E-2</v>
          </cell>
          <cell r="BQ18">
            <v>0</v>
          </cell>
          <cell r="BR18" t="e">
            <v>#DIV/0!</v>
          </cell>
          <cell r="BS18">
            <v>40000</v>
          </cell>
          <cell r="BT18">
            <v>13340.021334096858</v>
          </cell>
          <cell r="BU18">
            <v>-26659.978665903142</v>
          </cell>
          <cell r="BV18">
            <v>4000</v>
          </cell>
          <cell r="BW18">
            <v>1.1235955056179775E-2</v>
          </cell>
          <cell r="BX18">
            <v>0</v>
          </cell>
          <cell r="BY18" t="e">
            <v>#DIV/0!</v>
          </cell>
          <cell r="BZ18">
            <v>44000</v>
          </cell>
          <cell r="CA18">
            <v>13340.021334096858</v>
          </cell>
          <cell r="CB18">
            <v>-30659.978665903142</v>
          </cell>
          <cell r="CC18">
            <v>4000</v>
          </cell>
          <cell r="CD18">
            <v>1.1235955056179775E-2</v>
          </cell>
          <cell r="CE18">
            <v>0</v>
          </cell>
          <cell r="CF18" t="e">
            <v>#DIV/0!</v>
          </cell>
          <cell r="CG18">
            <v>48000</v>
          </cell>
          <cell r="CH18">
            <v>13340.021334096858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1.3301015648706983E-4</v>
          </cell>
          <cell r="C20">
            <v>50</v>
          </cell>
          <cell r="D20">
            <v>200</v>
          </cell>
          <cell r="E20">
            <v>6.2500000000000001E-4</v>
          </cell>
          <cell r="F20">
            <v>0</v>
          </cell>
          <cell r="G20">
            <v>0</v>
          </cell>
          <cell r="H20">
            <v>200</v>
          </cell>
          <cell r="I20">
            <v>0</v>
          </cell>
          <cell r="J20">
            <v>-200</v>
          </cell>
          <cell r="K20">
            <v>200</v>
          </cell>
          <cell r="L20">
            <v>6.2500000000000001E-4</v>
          </cell>
          <cell r="M20">
            <v>0</v>
          </cell>
          <cell r="N20">
            <v>0</v>
          </cell>
          <cell r="O20">
            <v>400</v>
          </cell>
          <cell r="P20">
            <v>0</v>
          </cell>
          <cell r="Q20">
            <v>-400</v>
          </cell>
          <cell r="R20">
            <v>200</v>
          </cell>
          <cell r="S20">
            <v>5.6179775280898881E-4</v>
          </cell>
          <cell r="T20">
            <v>0</v>
          </cell>
          <cell r="U20">
            <v>0</v>
          </cell>
          <cell r="V20">
            <v>600</v>
          </cell>
          <cell r="W20">
            <v>0</v>
          </cell>
          <cell r="X20">
            <v>-600</v>
          </cell>
          <cell r="Y20">
            <v>200</v>
          </cell>
          <cell r="Z20">
            <v>5.6179775280898881E-4</v>
          </cell>
          <cell r="AA20">
            <v>0</v>
          </cell>
          <cell r="AB20" t="e">
            <v>#DIV/0!</v>
          </cell>
          <cell r="AC20">
            <v>800</v>
          </cell>
          <cell r="AD20">
            <v>0</v>
          </cell>
          <cell r="AE20">
            <v>-800</v>
          </cell>
          <cell r="AF20">
            <v>200</v>
          </cell>
          <cell r="AG20">
            <v>5.6179775280898881E-4</v>
          </cell>
          <cell r="AH20">
            <v>0</v>
          </cell>
          <cell r="AI20" t="e">
            <v>#DIV/0!</v>
          </cell>
          <cell r="AJ20">
            <v>1000</v>
          </cell>
          <cell r="AK20">
            <v>0</v>
          </cell>
          <cell r="AL20">
            <v>-1000</v>
          </cell>
          <cell r="AM20">
            <v>200</v>
          </cell>
          <cell r="AN20">
            <v>5.6179775280898881E-4</v>
          </cell>
          <cell r="AO20">
            <v>0</v>
          </cell>
          <cell r="AP20" t="e">
            <v>#DIV/0!</v>
          </cell>
          <cell r="AQ20">
            <v>1200</v>
          </cell>
          <cell r="AR20">
            <v>0</v>
          </cell>
          <cell r="AS20">
            <v>-1200</v>
          </cell>
          <cell r="AT20">
            <v>200</v>
          </cell>
          <cell r="AU20">
            <v>5.6179775280898881E-4</v>
          </cell>
          <cell r="AV20">
            <v>0</v>
          </cell>
          <cell r="AW20" t="e">
            <v>#DIV/0!</v>
          </cell>
          <cell r="AX20">
            <v>1400</v>
          </cell>
          <cell r="AY20">
            <v>0</v>
          </cell>
          <cell r="AZ20">
            <v>-1400</v>
          </cell>
          <cell r="BA20">
            <v>200</v>
          </cell>
          <cell r="BB20">
            <v>5.6179775280898881E-4</v>
          </cell>
          <cell r="BC20">
            <v>0</v>
          </cell>
          <cell r="BD20" t="e">
            <v>#DIV/0!</v>
          </cell>
          <cell r="BE20">
            <v>1600</v>
          </cell>
          <cell r="BF20">
            <v>0</v>
          </cell>
          <cell r="BG20">
            <v>-1600</v>
          </cell>
          <cell r="BH20">
            <v>200</v>
          </cell>
          <cell r="BI20">
            <v>5.6179775280898881E-4</v>
          </cell>
          <cell r="BJ20">
            <v>0</v>
          </cell>
          <cell r="BK20" t="e">
            <v>#DIV/0!</v>
          </cell>
          <cell r="BL20">
            <v>1800</v>
          </cell>
          <cell r="BM20">
            <v>0</v>
          </cell>
          <cell r="BN20">
            <v>-1800</v>
          </cell>
          <cell r="BO20">
            <v>200</v>
          </cell>
          <cell r="BP20">
            <v>5.6179775280898881E-4</v>
          </cell>
          <cell r="BQ20">
            <v>0</v>
          </cell>
          <cell r="BR20" t="e">
            <v>#DIV/0!</v>
          </cell>
          <cell r="BS20">
            <v>2000</v>
          </cell>
          <cell r="BT20">
            <v>0</v>
          </cell>
          <cell r="BU20">
            <v>-2000</v>
          </cell>
          <cell r="BV20">
            <v>200</v>
          </cell>
          <cell r="BW20">
            <v>5.6179775280898881E-4</v>
          </cell>
          <cell r="BX20">
            <v>0</v>
          </cell>
          <cell r="BY20" t="e">
            <v>#DIV/0!</v>
          </cell>
          <cell r="BZ20">
            <v>2200</v>
          </cell>
          <cell r="CA20">
            <v>0</v>
          </cell>
          <cell r="CB20">
            <v>-2200</v>
          </cell>
          <cell r="CC20">
            <v>200</v>
          </cell>
          <cell r="CD20">
            <v>5.6179775280898881E-4</v>
          </cell>
          <cell r="CE20">
            <v>0</v>
          </cell>
          <cell r="CF20" t="e">
            <v>#DIV/0!</v>
          </cell>
          <cell r="CG20">
            <v>2400</v>
          </cell>
          <cell r="CH20">
            <v>0</v>
          </cell>
        </row>
        <row r="21">
          <cell r="A21" t="str">
            <v>Penalidades/Irregularidades</v>
          </cell>
          <cell r="B21">
            <v>3.9903046946120948E-5</v>
          </cell>
          <cell r="C21">
            <v>15</v>
          </cell>
          <cell r="D21">
            <v>60</v>
          </cell>
          <cell r="E21">
            <v>1.875E-4</v>
          </cell>
          <cell r="F21">
            <v>0</v>
          </cell>
          <cell r="G21">
            <v>0</v>
          </cell>
          <cell r="H21">
            <v>60</v>
          </cell>
          <cell r="I21">
            <v>0</v>
          </cell>
          <cell r="J21">
            <v>-60</v>
          </cell>
          <cell r="K21">
            <v>60</v>
          </cell>
          <cell r="L21">
            <v>1.875E-4</v>
          </cell>
          <cell r="M21">
            <v>0</v>
          </cell>
          <cell r="N21">
            <v>0</v>
          </cell>
          <cell r="O21">
            <v>120</v>
          </cell>
          <cell r="P21">
            <v>0</v>
          </cell>
          <cell r="Q21">
            <v>-120</v>
          </cell>
          <cell r="R21">
            <v>60</v>
          </cell>
          <cell r="S21">
            <v>1.6853932584269662E-4</v>
          </cell>
          <cell r="T21">
            <v>0</v>
          </cell>
          <cell r="U21">
            <v>0</v>
          </cell>
          <cell r="V21">
            <v>180</v>
          </cell>
          <cell r="W21">
            <v>0</v>
          </cell>
          <cell r="X21">
            <v>-180</v>
          </cell>
          <cell r="Y21">
            <v>60</v>
          </cell>
          <cell r="Z21">
            <v>1.6853932584269662E-4</v>
          </cell>
          <cell r="AA21">
            <v>0</v>
          </cell>
          <cell r="AB21" t="e">
            <v>#DIV/0!</v>
          </cell>
          <cell r="AC21">
            <v>240</v>
          </cell>
          <cell r="AD21">
            <v>0</v>
          </cell>
          <cell r="AE21">
            <v>-240</v>
          </cell>
          <cell r="AF21">
            <v>60</v>
          </cell>
          <cell r="AG21">
            <v>1.6853932584269662E-4</v>
          </cell>
          <cell r="AH21">
            <v>0</v>
          </cell>
          <cell r="AI21" t="e">
            <v>#DIV/0!</v>
          </cell>
          <cell r="AJ21">
            <v>300</v>
          </cell>
          <cell r="AK21">
            <v>0</v>
          </cell>
          <cell r="AL21">
            <v>-300</v>
          </cell>
          <cell r="AM21">
            <v>60</v>
          </cell>
          <cell r="AN21">
            <v>1.6853932584269662E-4</v>
          </cell>
          <cell r="AO21">
            <v>0</v>
          </cell>
          <cell r="AP21" t="e">
            <v>#DIV/0!</v>
          </cell>
          <cell r="AQ21">
            <v>360</v>
          </cell>
          <cell r="AR21">
            <v>0</v>
          </cell>
          <cell r="AS21">
            <v>-360</v>
          </cell>
          <cell r="AT21">
            <v>60</v>
          </cell>
          <cell r="AU21">
            <v>1.6853932584269662E-4</v>
          </cell>
          <cell r="AV21">
            <v>0</v>
          </cell>
          <cell r="AW21" t="e">
            <v>#DIV/0!</v>
          </cell>
          <cell r="AX21">
            <v>420</v>
          </cell>
          <cell r="AY21">
            <v>0</v>
          </cell>
          <cell r="AZ21">
            <v>-420</v>
          </cell>
          <cell r="BA21">
            <v>60</v>
          </cell>
          <cell r="BB21">
            <v>1.6853932584269662E-4</v>
          </cell>
          <cell r="BC21">
            <v>0</v>
          </cell>
          <cell r="BD21" t="e">
            <v>#DIV/0!</v>
          </cell>
          <cell r="BE21">
            <v>480</v>
          </cell>
          <cell r="BF21">
            <v>0</v>
          </cell>
          <cell r="BG21">
            <v>-480</v>
          </cell>
          <cell r="BH21">
            <v>60</v>
          </cell>
          <cell r="BI21">
            <v>1.6853932584269662E-4</v>
          </cell>
          <cell r="BJ21">
            <v>0</v>
          </cell>
          <cell r="BK21" t="e">
            <v>#DIV/0!</v>
          </cell>
          <cell r="BL21">
            <v>540</v>
          </cell>
          <cell r="BM21">
            <v>0</v>
          </cell>
          <cell r="BN21">
            <v>-540</v>
          </cell>
          <cell r="BO21">
            <v>60</v>
          </cell>
          <cell r="BP21">
            <v>1.6853932584269662E-4</v>
          </cell>
          <cell r="BQ21">
            <v>0</v>
          </cell>
          <cell r="BR21" t="e">
            <v>#DIV/0!</v>
          </cell>
          <cell r="BS21">
            <v>600</v>
          </cell>
          <cell r="BT21">
            <v>0</v>
          </cell>
          <cell r="BU21">
            <v>-600</v>
          </cell>
          <cell r="BV21">
            <v>60</v>
          </cell>
          <cell r="BW21">
            <v>1.6853932584269662E-4</v>
          </cell>
          <cell r="BX21">
            <v>0</v>
          </cell>
          <cell r="BY21" t="e">
            <v>#DIV/0!</v>
          </cell>
          <cell r="BZ21">
            <v>660</v>
          </cell>
          <cell r="CA21">
            <v>0</v>
          </cell>
          <cell r="CB21">
            <v>-660</v>
          </cell>
          <cell r="CC21">
            <v>60</v>
          </cell>
          <cell r="CD21">
            <v>1.6853932584269662E-4</v>
          </cell>
          <cell r="CE21">
            <v>0</v>
          </cell>
          <cell r="CF21" t="e">
            <v>#DIV/0!</v>
          </cell>
          <cell r="CG21">
            <v>720</v>
          </cell>
          <cell r="CH21">
            <v>0</v>
          </cell>
        </row>
        <row r="22">
          <cell r="A22" t="str">
            <v>Controladoria Jurídica - Custas</v>
          </cell>
          <cell r="B22">
            <v>6.9296864999415135E-4</v>
          </cell>
          <cell r="C22">
            <v>260.49463751345792</v>
          </cell>
          <cell r="D22">
            <v>3365</v>
          </cell>
          <cell r="E22">
            <v>1.0515625000000001E-2</v>
          </cell>
          <cell r="F22">
            <v>1425.8703595708259</v>
          </cell>
          <cell r="G22">
            <v>3.8260134707529037E-3</v>
          </cell>
          <cell r="H22">
            <v>3365</v>
          </cell>
          <cell r="I22">
            <v>1425.8703595708259</v>
          </cell>
          <cell r="J22">
            <v>-1939.1296404291741</v>
          </cell>
          <cell r="K22">
            <v>3365</v>
          </cell>
          <cell r="L22">
            <v>1.0515625000000001E-2</v>
          </cell>
          <cell r="M22">
            <v>2838.9717841309407</v>
          </cell>
          <cell r="N22">
            <v>1.0953182431256198E-2</v>
          </cell>
          <cell r="O22">
            <v>6730</v>
          </cell>
          <cell r="P22">
            <v>4264.8421437017669</v>
          </cell>
          <cell r="Q22">
            <v>-2465.1578562982331</v>
          </cell>
          <cell r="R22">
            <v>3365</v>
          </cell>
          <cell r="S22">
            <v>9.4522471910112368E-3</v>
          </cell>
          <cell r="T22">
            <v>3612.8390396640584</v>
          </cell>
          <cell r="U22">
            <v>1.037402313772693E-2</v>
          </cell>
          <cell r="V22">
            <v>10095</v>
          </cell>
          <cell r="W22">
            <v>7877.6811833658248</v>
          </cell>
          <cell r="X22">
            <v>-2217.3188166341752</v>
          </cell>
          <cell r="Y22">
            <v>3365</v>
          </cell>
          <cell r="Z22">
            <v>9.4522471910112368E-3</v>
          </cell>
          <cell r="AA22">
            <v>0</v>
          </cell>
          <cell r="AB22" t="e">
            <v>#DIV/0!</v>
          </cell>
          <cell r="AC22">
            <v>13460</v>
          </cell>
          <cell r="AD22">
            <v>7877.6811833658248</v>
          </cell>
          <cell r="AE22">
            <v>-5582.3188166341752</v>
          </cell>
          <cell r="AF22">
            <v>3365</v>
          </cell>
          <cell r="AG22">
            <v>9.4522471910112368E-3</v>
          </cell>
          <cell r="AH22">
            <v>0</v>
          </cell>
          <cell r="AI22" t="e">
            <v>#DIV/0!</v>
          </cell>
          <cell r="AJ22">
            <v>16825</v>
          </cell>
          <cell r="AK22">
            <v>7877.6811833658248</v>
          </cell>
          <cell r="AL22">
            <v>-8947.3188166341752</v>
          </cell>
          <cell r="AM22">
            <v>3365</v>
          </cell>
          <cell r="AN22">
            <v>9.4522471910112368E-3</v>
          </cell>
          <cell r="AO22">
            <v>0</v>
          </cell>
          <cell r="AP22" t="e">
            <v>#DIV/0!</v>
          </cell>
          <cell r="AQ22">
            <v>20190</v>
          </cell>
          <cell r="AR22">
            <v>7877.6811833658248</v>
          </cell>
          <cell r="AS22">
            <v>-12312.318816634175</v>
          </cell>
          <cell r="AT22">
            <v>3365</v>
          </cell>
          <cell r="AU22">
            <v>9.4522471910112368E-3</v>
          </cell>
          <cell r="AV22">
            <v>0</v>
          </cell>
          <cell r="AW22" t="e">
            <v>#DIV/0!</v>
          </cell>
          <cell r="AX22">
            <v>23555</v>
          </cell>
          <cell r="AY22">
            <v>7877.6811833658248</v>
          </cell>
          <cell r="AZ22">
            <v>-15677.318816634175</v>
          </cell>
          <cell r="BA22">
            <v>3365</v>
          </cell>
          <cell r="BB22">
            <v>9.4522471910112368E-3</v>
          </cell>
          <cell r="BC22">
            <v>0</v>
          </cell>
          <cell r="BD22" t="e">
            <v>#DIV/0!</v>
          </cell>
          <cell r="BE22">
            <v>26920</v>
          </cell>
          <cell r="BF22">
            <v>7877.6811833658248</v>
          </cell>
          <cell r="BG22">
            <v>-19042.318816634175</v>
          </cell>
          <cell r="BH22">
            <v>3365</v>
          </cell>
          <cell r="BI22">
            <v>9.4522471910112368E-3</v>
          </cell>
          <cell r="BJ22">
            <v>0</v>
          </cell>
          <cell r="BK22" t="e">
            <v>#DIV/0!</v>
          </cell>
          <cell r="BL22">
            <v>30285</v>
          </cell>
          <cell r="BM22">
            <v>7877.6811833658248</v>
          </cell>
          <cell r="BN22">
            <v>-22407.318816634175</v>
          </cell>
          <cell r="BO22">
            <v>3365</v>
          </cell>
          <cell r="BP22">
            <v>9.4522471910112368E-3</v>
          </cell>
          <cell r="BQ22">
            <v>0</v>
          </cell>
          <cell r="BR22" t="e">
            <v>#DIV/0!</v>
          </cell>
          <cell r="BS22">
            <v>33650</v>
          </cell>
          <cell r="BT22">
            <v>7877.6811833658248</v>
          </cell>
          <cell r="BU22">
            <v>-25772.318816634175</v>
          </cell>
          <cell r="BV22">
            <v>3365</v>
          </cell>
          <cell r="BW22">
            <v>9.4522471910112368E-3</v>
          </cell>
          <cell r="BX22">
            <v>0</v>
          </cell>
          <cell r="BY22" t="e">
            <v>#DIV/0!</v>
          </cell>
          <cell r="BZ22">
            <v>37015</v>
          </cell>
          <cell r="CA22">
            <v>7877.6811833658248</v>
          </cell>
          <cell r="CB22">
            <v>-29137.318816634175</v>
          </cell>
          <cell r="CC22">
            <v>3365</v>
          </cell>
          <cell r="CD22">
            <v>9.4522471910112368E-3</v>
          </cell>
          <cell r="CE22">
            <v>0</v>
          </cell>
          <cell r="CF22" t="e">
            <v>#DIV/0!</v>
          </cell>
          <cell r="CG22">
            <v>40380</v>
          </cell>
          <cell r="CH22">
            <v>7877.6811833658248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3200</v>
          </cell>
          <cell r="E23">
            <v>0.01</v>
          </cell>
          <cell r="F23">
            <v>5483.7283945255249</v>
          </cell>
          <cell r="G23">
            <v>1.471439431121907E-2</v>
          </cell>
          <cell r="H23">
            <v>3200</v>
          </cell>
          <cell r="I23">
            <v>5483.7283945255249</v>
          </cell>
          <cell r="J23">
            <v>2283.7283945255249</v>
          </cell>
          <cell r="K23">
            <v>3200</v>
          </cell>
          <cell r="L23">
            <v>0.01</v>
          </cell>
          <cell r="M23">
            <v>3724.7824004260874</v>
          </cell>
          <cell r="N23">
            <v>1.4370773734578825E-2</v>
          </cell>
          <cell r="O23">
            <v>6400</v>
          </cell>
          <cell r="P23">
            <v>9208.5107949516132</v>
          </cell>
          <cell r="Q23">
            <v>2808.5107949516132</v>
          </cell>
          <cell r="R23">
            <v>3560</v>
          </cell>
          <cell r="S23">
            <v>0.01</v>
          </cell>
          <cell r="T23">
            <v>3956.7857726407719</v>
          </cell>
          <cell r="U23">
            <v>1.1361642936691957E-2</v>
          </cell>
          <cell r="V23">
            <v>9960</v>
          </cell>
          <cell r="W23">
            <v>13165.296567592384</v>
          </cell>
          <cell r="X23">
            <v>3205.2965675923842</v>
          </cell>
          <cell r="Y23">
            <v>3560</v>
          </cell>
          <cell r="Z23">
            <v>0.01</v>
          </cell>
          <cell r="AA23">
            <v>0</v>
          </cell>
          <cell r="AB23" t="e">
            <v>#DIV/0!</v>
          </cell>
          <cell r="AC23">
            <v>13520</v>
          </cell>
          <cell r="AD23">
            <v>13165.296567592384</v>
          </cell>
          <cell r="AE23">
            <v>-354.70343240761576</v>
          </cell>
          <cell r="AF23">
            <v>3560</v>
          </cell>
          <cell r="AG23">
            <v>0.01</v>
          </cell>
          <cell r="AH23">
            <v>0</v>
          </cell>
          <cell r="AI23" t="e">
            <v>#DIV/0!</v>
          </cell>
          <cell r="AJ23">
            <v>17080</v>
          </cell>
          <cell r="AK23">
            <v>13165.296567592384</v>
          </cell>
          <cell r="AL23">
            <v>-3914.7034324076158</v>
          </cell>
          <cell r="AM23">
            <v>3560</v>
          </cell>
          <cell r="AN23">
            <v>0.01</v>
          </cell>
          <cell r="AO23">
            <v>0</v>
          </cell>
          <cell r="AP23" t="e">
            <v>#DIV/0!</v>
          </cell>
          <cell r="AQ23">
            <v>20640</v>
          </cell>
          <cell r="AR23">
            <v>13165.296567592384</v>
          </cell>
          <cell r="AS23">
            <v>-7474.7034324076158</v>
          </cell>
          <cell r="AT23">
            <v>3560</v>
          </cell>
          <cell r="AU23">
            <v>0.01</v>
          </cell>
          <cell r="AV23">
            <v>0</v>
          </cell>
          <cell r="AW23" t="e">
            <v>#DIV/0!</v>
          </cell>
          <cell r="AX23">
            <v>24200</v>
          </cell>
          <cell r="AY23">
            <v>13165.296567592384</v>
          </cell>
          <cell r="AZ23">
            <v>-11034.703432407616</v>
          </cell>
          <cell r="BA23">
            <v>3560</v>
          </cell>
          <cell r="BB23">
            <v>0.01</v>
          </cell>
          <cell r="BC23">
            <v>0</v>
          </cell>
          <cell r="BD23" t="e">
            <v>#DIV/0!</v>
          </cell>
          <cell r="BE23">
            <v>27760</v>
          </cell>
          <cell r="BF23">
            <v>13165.296567592384</v>
          </cell>
          <cell r="BG23">
            <v>-14594.703432407616</v>
          </cell>
          <cell r="BH23">
            <v>3560</v>
          </cell>
          <cell r="BI23">
            <v>0.01</v>
          </cell>
          <cell r="BJ23">
            <v>0</v>
          </cell>
          <cell r="BK23" t="e">
            <v>#DIV/0!</v>
          </cell>
          <cell r="BL23">
            <v>31320</v>
          </cell>
          <cell r="BM23">
            <v>13165.296567592384</v>
          </cell>
          <cell r="BN23">
            <v>-18154.703432407616</v>
          </cell>
          <cell r="BO23">
            <v>3560</v>
          </cell>
          <cell r="BP23">
            <v>0.01</v>
          </cell>
          <cell r="BQ23">
            <v>0</v>
          </cell>
          <cell r="BR23" t="e">
            <v>#DIV/0!</v>
          </cell>
          <cell r="BS23">
            <v>34880</v>
          </cell>
          <cell r="BT23">
            <v>13165.296567592384</v>
          </cell>
          <cell r="BU23">
            <v>-21714.703432407616</v>
          </cell>
          <cell r="BV23">
            <v>3560</v>
          </cell>
          <cell r="BW23">
            <v>0.01</v>
          </cell>
          <cell r="BX23">
            <v>0</v>
          </cell>
          <cell r="BY23" t="e">
            <v>#DIV/0!</v>
          </cell>
          <cell r="BZ23">
            <v>38440</v>
          </cell>
          <cell r="CA23">
            <v>13165.296567592384</v>
          </cell>
          <cell r="CB23">
            <v>-25274.703432407616</v>
          </cell>
          <cell r="CC23">
            <v>3560</v>
          </cell>
          <cell r="CD23">
            <v>0.01</v>
          </cell>
          <cell r="CE23">
            <v>0</v>
          </cell>
          <cell r="CF23" t="e">
            <v>#DIV/0!</v>
          </cell>
          <cell r="CG23">
            <v>42000</v>
          </cell>
          <cell r="CH23">
            <v>13165.296567592384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5.5547221913737184E-2</v>
          </cell>
          <cell r="C25">
            <v>20880.819698583331</v>
          </cell>
          <cell r="D25">
            <v>20000</v>
          </cell>
          <cell r="E25">
            <v>6.25E-2</v>
          </cell>
          <cell r="F25">
            <v>28320.479491999999</v>
          </cell>
          <cell r="G25">
            <v>7.5991856698099172E-2</v>
          </cell>
          <cell r="H25">
            <v>20000</v>
          </cell>
          <cell r="I25">
            <v>28320.479491999999</v>
          </cell>
          <cell r="J25">
            <v>8320.4794919999986</v>
          </cell>
          <cell r="K25">
            <v>20000</v>
          </cell>
          <cell r="L25">
            <v>6.25E-2</v>
          </cell>
          <cell r="M25">
            <v>14997.469886000001</v>
          </cell>
          <cell r="N25">
            <v>5.7862506625410176E-2</v>
          </cell>
          <cell r="O25">
            <v>40000</v>
          </cell>
          <cell r="P25">
            <v>43317.949377999998</v>
          </cell>
          <cell r="Q25">
            <v>3317.9493779999975</v>
          </cell>
          <cell r="R25">
            <v>20000</v>
          </cell>
          <cell r="S25">
            <v>5.6179775280898875E-2</v>
          </cell>
          <cell r="T25">
            <v>8044.8875689999986</v>
          </cell>
          <cell r="U25">
            <v>2.3100350960827225E-2</v>
          </cell>
          <cell r="V25">
            <v>60000</v>
          </cell>
          <cell r="W25">
            <v>51362.836946999996</v>
          </cell>
          <cell r="X25">
            <v>-8637.1630530000039</v>
          </cell>
          <cell r="Y25">
            <v>20000</v>
          </cell>
          <cell r="Z25">
            <v>5.6179775280898875E-2</v>
          </cell>
          <cell r="AA25">
            <v>0</v>
          </cell>
          <cell r="AB25" t="e">
            <v>#DIV/0!</v>
          </cell>
          <cell r="AC25">
            <v>80000</v>
          </cell>
          <cell r="AD25">
            <v>51362.836946999996</v>
          </cell>
          <cell r="AE25">
            <v>-28637.163053000004</v>
          </cell>
          <cell r="AF25">
            <v>20000</v>
          </cell>
          <cell r="AG25">
            <v>5.6179775280898875E-2</v>
          </cell>
          <cell r="AH25">
            <v>0</v>
          </cell>
          <cell r="AI25" t="e">
            <v>#DIV/0!</v>
          </cell>
          <cell r="AJ25">
            <v>100000</v>
          </cell>
          <cell r="AK25">
            <v>51362.836946999996</v>
          </cell>
          <cell r="AL25">
            <v>-48637.163053000004</v>
          </cell>
          <cell r="AM25">
            <v>20000</v>
          </cell>
          <cell r="AN25">
            <v>5.6179775280898875E-2</v>
          </cell>
          <cell r="AO25">
            <v>0</v>
          </cell>
          <cell r="AP25" t="e">
            <v>#DIV/0!</v>
          </cell>
          <cell r="AQ25">
            <v>120000</v>
          </cell>
          <cell r="AR25">
            <v>51362.836946999996</v>
          </cell>
          <cell r="AS25">
            <v>-68637.163052999997</v>
          </cell>
          <cell r="AT25">
            <v>20000</v>
          </cell>
          <cell r="AU25">
            <v>5.6179775280898875E-2</v>
          </cell>
          <cell r="AV25">
            <v>0</v>
          </cell>
          <cell r="AW25" t="e">
            <v>#DIV/0!</v>
          </cell>
          <cell r="AX25">
            <v>140000</v>
          </cell>
          <cell r="AY25">
            <v>51362.836946999996</v>
          </cell>
          <cell r="AZ25">
            <v>-88637.163052999997</v>
          </cell>
          <cell r="BA25">
            <v>20000</v>
          </cell>
          <cell r="BB25">
            <v>5.6179775280898875E-2</v>
          </cell>
          <cell r="BC25">
            <v>0</v>
          </cell>
          <cell r="BD25" t="e">
            <v>#DIV/0!</v>
          </cell>
          <cell r="BE25">
            <v>160000</v>
          </cell>
          <cell r="BF25">
            <v>51362.836946999996</v>
          </cell>
          <cell r="BG25">
            <v>-108637.163053</v>
          </cell>
          <cell r="BH25">
            <v>20000</v>
          </cell>
          <cell r="BI25">
            <v>5.6179775280898875E-2</v>
          </cell>
          <cell r="BJ25">
            <v>0</v>
          </cell>
          <cell r="BK25" t="e">
            <v>#DIV/0!</v>
          </cell>
          <cell r="BL25">
            <v>180000</v>
          </cell>
          <cell r="BM25">
            <v>51362.836946999996</v>
          </cell>
          <cell r="BN25">
            <v>-128637.163053</v>
          </cell>
          <cell r="BO25">
            <v>20000</v>
          </cell>
          <cell r="BP25">
            <v>5.6179775280898875E-2</v>
          </cell>
          <cell r="BQ25">
            <v>0</v>
          </cell>
          <cell r="BR25" t="e">
            <v>#DIV/0!</v>
          </cell>
          <cell r="BS25">
            <v>200000</v>
          </cell>
          <cell r="BT25">
            <v>51362.836946999996</v>
          </cell>
          <cell r="BU25">
            <v>-148637.163053</v>
          </cell>
          <cell r="BV25">
            <v>20000</v>
          </cell>
          <cell r="BW25">
            <v>5.6179775280898875E-2</v>
          </cell>
          <cell r="BX25">
            <v>0</v>
          </cell>
          <cell r="BY25" t="e">
            <v>#DIV/0!</v>
          </cell>
          <cell r="BZ25">
            <v>220000</v>
          </cell>
          <cell r="CA25">
            <v>51362.836946999996</v>
          </cell>
          <cell r="CB25">
            <v>-168637.163053</v>
          </cell>
          <cell r="CC25">
            <v>20000</v>
          </cell>
          <cell r="CD25">
            <v>5.6179775280898875E-2</v>
          </cell>
          <cell r="CE25">
            <v>0</v>
          </cell>
          <cell r="CF25" t="e">
            <v>#DIV/0!</v>
          </cell>
          <cell r="CG25">
            <v>240000</v>
          </cell>
          <cell r="CH25">
            <v>51362.836946999996</v>
          </cell>
        </row>
        <row r="26">
          <cell r="A26" t="str">
            <v>Custas/Guias/Despesas</v>
          </cell>
          <cell r="B26">
            <v>1.7808729852053777E-3</v>
          </cell>
          <cell r="C26">
            <v>669.44999999999993</v>
          </cell>
          <cell r="D26">
            <v>670</v>
          </cell>
          <cell r="E26">
            <v>2.0937500000000001E-3</v>
          </cell>
          <cell r="F26">
            <v>116.425</v>
          </cell>
          <cell r="G26">
            <v>3.1240120487986109E-4</v>
          </cell>
          <cell r="H26">
            <v>670</v>
          </cell>
          <cell r="I26">
            <v>116.425</v>
          </cell>
          <cell r="J26">
            <v>-553.57500000000005</v>
          </cell>
          <cell r="K26">
            <v>670</v>
          </cell>
          <cell r="L26">
            <v>2.0937500000000001E-3</v>
          </cell>
          <cell r="M26">
            <v>2096.46</v>
          </cell>
          <cell r="N26">
            <v>8.0884596910006691E-3</v>
          </cell>
          <cell r="O26">
            <v>1340</v>
          </cell>
          <cell r="P26">
            <v>2212.8850000000002</v>
          </cell>
          <cell r="Q26">
            <v>872.88500000000022</v>
          </cell>
          <cell r="R26">
            <v>670</v>
          </cell>
          <cell r="S26">
            <v>1.8820224719101125E-3</v>
          </cell>
          <cell r="T26">
            <v>0</v>
          </cell>
          <cell r="U26">
            <v>0</v>
          </cell>
          <cell r="V26">
            <v>2010</v>
          </cell>
          <cell r="W26">
            <v>2212.8850000000002</v>
          </cell>
          <cell r="X26">
            <v>202.88500000000022</v>
          </cell>
          <cell r="Y26">
            <v>670</v>
          </cell>
          <cell r="Z26">
            <v>1.8820224719101125E-3</v>
          </cell>
          <cell r="AA26">
            <v>0</v>
          </cell>
          <cell r="AB26" t="e">
            <v>#DIV/0!</v>
          </cell>
          <cell r="AC26">
            <v>2680</v>
          </cell>
          <cell r="AD26">
            <v>2212.8850000000002</v>
          </cell>
          <cell r="AE26">
            <v>-467.11499999999978</v>
          </cell>
          <cell r="AF26">
            <v>670</v>
          </cell>
          <cell r="AG26">
            <v>1.8820224719101125E-3</v>
          </cell>
          <cell r="AH26">
            <v>0</v>
          </cell>
          <cell r="AI26" t="e">
            <v>#DIV/0!</v>
          </cell>
          <cell r="AJ26">
            <v>3350</v>
          </cell>
          <cell r="AK26">
            <v>2212.8850000000002</v>
          </cell>
          <cell r="AL26">
            <v>-1137.1149999999998</v>
          </cell>
          <cell r="AM26">
            <v>670</v>
          </cell>
          <cell r="AN26">
            <v>1.8820224719101125E-3</v>
          </cell>
          <cell r="AO26">
            <v>0</v>
          </cell>
          <cell r="AP26" t="e">
            <v>#DIV/0!</v>
          </cell>
          <cell r="AQ26">
            <v>4020</v>
          </cell>
          <cell r="AR26">
            <v>2212.8850000000002</v>
          </cell>
          <cell r="AS26">
            <v>-1807.1149999999998</v>
          </cell>
          <cell r="AT26">
            <v>670</v>
          </cell>
          <cell r="AU26">
            <v>1.8820224719101125E-3</v>
          </cell>
          <cell r="AV26">
            <v>0</v>
          </cell>
          <cell r="AW26" t="e">
            <v>#DIV/0!</v>
          </cell>
          <cell r="AX26">
            <v>4690</v>
          </cell>
          <cell r="AY26">
            <v>2212.8850000000002</v>
          </cell>
          <cell r="AZ26">
            <v>-2477.1149999999998</v>
          </cell>
          <cell r="BA26">
            <v>670</v>
          </cell>
          <cell r="BB26">
            <v>1.8820224719101125E-3</v>
          </cell>
          <cell r="BC26">
            <v>0</v>
          </cell>
          <cell r="BD26" t="e">
            <v>#DIV/0!</v>
          </cell>
          <cell r="BE26">
            <v>5360</v>
          </cell>
          <cell r="BF26">
            <v>2212.8850000000002</v>
          </cell>
          <cell r="BG26">
            <v>-3147.1149999999998</v>
          </cell>
          <cell r="BH26">
            <v>670</v>
          </cell>
          <cell r="BI26">
            <v>1.8820224719101125E-3</v>
          </cell>
          <cell r="BJ26">
            <v>0</v>
          </cell>
          <cell r="BK26" t="e">
            <v>#DIV/0!</v>
          </cell>
          <cell r="BL26">
            <v>6030</v>
          </cell>
          <cell r="BM26">
            <v>2212.8850000000002</v>
          </cell>
          <cell r="BN26">
            <v>-3817.1149999999998</v>
          </cell>
          <cell r="BO26">
            <v>670</v>
          </cell>
          <cell r="BP26">
            <v>1.8820224719101125E-3</v>
          </cell>
          <cell r="BQ26">
            <v>0</v>
          </cell>
          <cell r="BR26" t="e">
            <v>#DIV/0!</v>
          </cell>
          <cell r="BS26">
            <v>6700</v>
          </cell>
          <cell r="BT26">
            <v>2212.8850000000002</v>
          </cell>
          <cell r="BU26">
            <v>-4487.1149999999998</v>
          </cell>
          <cell r="BV26">
            <v>670</v>
          </cell>
          <cell r="BW26">
            <v>1.8820224719101125E-3</v>
          </cell>
          <cell r="BX26">
            <v>0</v>
          </cell>
          <cell r="BY26" t="e">
            <v>#DIV/0!</v>
          </cell>
          <cell r="BZ26">
            <v>7370</v>
          </cell>
          <cell r="CA26">
            <v>2212.8850000000002</v>
          </cell>
          <cell r="CB26">
            <v>-5157.1149999999998</v>
          </cell>
          <cell r="CC26">
            <v>670</v>
          </cell>
          <cell r="CD26">
            <v>1.8820224719101125E-3</v>
          </cell>
          <cell r="CE26">
            <v>0</v>
          </cell>
          <cell r="CF26" t="e">
            <v>#DIV/0!</v>
          </cell>
          <cell r="CG26">
            <v>8040</v>
          </cell>
          <cell r="CH26">
            <v>2212.8850000000002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6.2224301955245151E-3</v>
          </cell>
          <cell r="C30">
            <v>2339.0808491114772</v>
          </cell>
          <cell r="D30">
            <v>9241.0246553244106</v>
          </cell>
          <cell r="E30">
            <v>2.8878202047888782E-2</v>
          </cell>
          <cell r="F30">
            <v>9715.4386892408784</v>
          </cell>
          <cell r="G30">
            <v>2.6069269937343945E-2</v>
          </cell>
          <cell r="H30">
            <v>9241.0246553244106</v>
          </cell>
          <cell r="I30">
            <v>9715.4386892408784</v>
          </cell>
          <cell r="J30">
            <v>474.41403391646782</v>
          </cell>
          <cell r="K30">
            <v>9241.0246553244106</v>
          </cell>
          <cell r="L30">
            <v>2.8878202047888782E-2</v>
          </cell>
          <cell r="M30">
            <v>9241.0246553244106</v>
          </cell>
          <cell r="N30">
            <v>3.5653270478871457E-2</v>
          </cell>
          <cell r="O30">
            <v>18482.049310648821</v>
          </cell>
          <cell r="P30">
            <v>18956.463344565287</v>
          </cell>
          <cell r="Q30">
            <v>474.414033916466</v>
          </cell>
          <cell r="R30">
            <v>9241.0246553244106</v>
          </cell>
          <cell r="S30">
            <v>2.5957934425068569E-2</v>
          </cell>
          <cell r="T30">
            <v>9433.5913725044575</v>
          </cell>
          <cell r="U30">
            <v>2.7087920080525466E-2</v>
          </cell>
          <cell r="V30">
            <v>27723.073965973232</v>
          </cell>
          <cell r="W30">
            <v>28390.054717069746</v>
          </cell>
          <cell r="X30">
            <v>666.98075109651472</v>
          </cell>
          <cell r="Y30">
            <v>9241.0246553244106</v>
          </cell>
          <cell r="Z30">
            <v>2.5957934425068569E-2</v>
          </cell>
          <cell r="AA30">
            <v>0</v>
          </cell>
          <cell r="AB30" t="e">
            <v>#DIV/0!</v>
          </cell>
          <cell r="AC30">
            <v>36964.098621297642</v>
          </cell>
          <cell r="AD30">
            <v>28390.054717069746</v>
          </cell>
          <cell r="AE30">
            <v>-8574.0439042278958</v>
          </cell>
          <cell r="AF30">
            <v>9241.0246553244106</v>
          </cell>
          <cell r="AG30">
            <v>2.5957934425068569E-2</v>
          </cell>
          <cell r="AH30">
            <v>0</v>
          </cell>
          <cell r="AI30" t="e">
            <v>#DIV/0!</v>
          </cell>
          <cell r="AJ30">
            <v>46205.123276622049</v>
          </cell>
          <cell r="AK30">
            <v>28390.054717069746</v>
          </cell>
          <cell r="AL30">
            <v>-17815.068559552303</v>
          </cell>
          <cell r="AM30">
            <v>9241.0246553244106</v>
          </cell>
          <cell r="AN30">
            <v>2.5957934425068569E-2</v>
          </cell>
          <cell r="AO30">
            <v>0</v>
          </cell>
          <cell r="AP30" t="e">
            <v>#DIV/0!</v>
          </cell>
          <cell r="AQ30">
            <v>55446.147931946456</v>
          </cell>
          <cell r="AR30">
            <v>28390.054717069746</v>
          </cell>
          <cell r="AS30">
            <v>-27056.09321487671</v>
          </cell>
          <cell r="AT30">
            <v>9241.0246553244106</v>
          </cell>
          <cell r="AU30">
            <v>2.5957934425068569E-2</v>
          </cell>
          <cell r="AV30">
            <v>0</v>
          </cell>
          <cell r="AW30" t="e">
            <v>#DIV/0!</v>
          </cell>
          <cell r="AX30">
            <v>64687.172587270863</v>
          </cell>
          <cell r="AY30">
            <v>28390.054717069746</v>
          </cell>
          <cell r="AZ30">
            <v>-36297.117870201117</v>
          </cell>
          <cell r="BA30">
            <v>9241.0246553244106</v>
          </cell>
          <cell r="BB30">
            <v>2.5957934425068569E-2</v>
          </cell>
          <cell r="BC30">
            <v>0</v>
          </cell>
          <cell r="BD30" t="e">
            <v>#DIV/0!</v>
          </cell>
          <cell r="BE30">
            <v>73928.19724259527</v>
          </cell>
          <cell r="BF30">
            <v>28390.054717069746</v>
          </cell>
          <cell r="BG30">
            <v>-45538.142525525524</v>
          </cell>
          <cell r="BH30">
            <v>9241.0246553244106</v>
          </cell>
          <cell r="BI30">
            <v>2.5957934425068569E-2</v>
          </cell>
          <cell r="BJ30">
            <v>0</v>
          </cell>
          <cell r="BK30" t="e">
            <v>#DIV/0!</v>
          </cell>
          <cell r="BL30">
            <v>83169.221897919677</v>
          </cell>
          <cell r="BM30">
            <v>28390.054717069746</v>
          </cell>
          <cell r="BN30">
            <v>-54779.16718084993</v>
          </cell>
          <cell r="BO30">
            <v>9241.0246553244106</v>
          </cell>
          <cell r="BP30">
            <v>2.5957934425068569E-2</v>
          </cell>
          <cell r="BQ30">
            <v>0</v>
          </cell>
          <cell r="BR30" t="e">
            <v>#DIV/0!</v>
          </cell>
          <cell r="BS30">
            <v>92410.246553244084</v>
          </cell>
          <cell r="BT30">
            <v>28390.054717069746</v>
          </cell>
          <cell r="BU30">
            <v>-64020.191836174337</v>
          </cell>
          <cell r="BV30">
            <v>9241.0246553244106</v>
          </cell>
          <cell r="BW30">
            <v>2.5957934425068569E-2</v>
          </cell>
          <cell r="BX30">
            <v>0</v>
          </cell>
          <cell r="BY30" t="e">
            <v>#DIV/0!</v>
          </cell>
          <cell r="BZ30">
            <v>101651.27120856849</v>
          </cell>
          <cell r="CA30">
            <v>28390.054717069746</v>
          </cell>
          <cell r="CB30">
            <v>-73261.216491498752</v>
          </cell>
          <cell r="CC30">
            <v>9241.0246553244106</v>
          </cell>
          <cell r="CD30">
            <v>2.5957934425068569E-2</v>
          </cell>
          <cell r="CE30">
            <v>0</v>
          </cell>
          <cell r="CF30" t="e">
            <v>#DIV/0!</v>
          </cell>
          <cell r="CG30">
            <v>110892.2958638929</v>
          </cell>
          <cell r="CH30">
            <v>28390.054717069746</v>
          </cell>
        </row>
        <row r="31">
          <cell r="A31" t="str">
            <v>Encargos Rescisórios</v>
          </cell>
          <cell r="B31">
            <v>5.9148951539017515E-4</v>
          </cell>
          <cell r="C31">
            <v>222.3475</v>
          </cell>
          <cell r="D31">
            <v>500</v>
          </cell>
          <cell r="E31">
            <v>1.5625000000000001E-3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1.5625000000000001E-3</v>
          </cell>
          <cell r="M31">
            <v>0</v>
          </cell>
          <cell r="N31">
            <v>0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1.4044943820224719E-3</v>
          </cell>
          <cell r="T31">
            <v>0</v>
          </cell>
          <cell r="U31">
            <v>0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1.4044943820224719E-3</v>
          </cell>
          <cell r="AA31">
            <v>0</v>
          </cell>
          <cell r="AB31" t="e">
            <v>#DIV/0!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1.4044943820224719E-3</v>
          </cell>
          <cell r="AH31">
            <v>0</v>
          </cell>
          <cell r="AI31" t="e">
            <v>#DIV/0!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1.4044943820224719E-3</v>
          </cell>
          <cell r="AO31">
            <v>0</v>
          </cell>
          <cell r="AP31" t="e">
            <v>#DIV/0!</v>
          </cell>
          <cell r="AQ31">
            <v>3000</v>
          </cell>
          <cell r="AR31">
            <v>0</v>
          </cell>
          <cell r="AS31">
            <v>-3000</v>
          </cell>
          <cell r="AT31">
            <v>500</v>
          </cell>
          <cell r="AU31">
            <v>1.4044943820224719E-3</v>
          </cell>
          <cell r="AV31">
            <v>0</v>
          </cell>
          <cell r="AW31" t="e">
            <v>#DIV/0!</v>
          </cell>
          <cell r="AX31">
            <v>3500</v>
          </cell>
          <cell r="AY31">
            <v>0</v>
          </cell>
          <cell r="AZ31">
            <v>-3500</v>
          </cell>
          <cell r="BA31">
            <v>500</v>
          </cell>
          <cell r="BB31">
            <v>1.4044943820224719E-3</v>
          </cell>
          <cell r="BC31">
            <v>0</v>
          </cell>
          <cell r="BD31" t="e">
            <v>#DIV/0!</v>
          </cell>
          <cell r="BE31">
            <v>4000</v>
          </cell>
          <cell r="BF31">
            <v>0</v>
          </cell>
          <cell r="BG31">
            <v>-4000</v>
          </cell>
          <cell r="BH31">
            <v>500</v>
          </cell>
          <cell r="BI31">
            <v>1.4044943820224719E-3</v>
          </cell>
          <cell r="BJ31">
            <v>0</v>
          </cell>
          <cell r="BK31" t="e">
            <v>#DIV/0!</v>
          </cell>
          <cell r="BL31">
            <v>4500</v>
          </cell>
          <cell r="BM31">
            <v>0</v>
          </cell>
          <cell r="BN31">
            <v>-4500</v>
          </cell>
          <cell r="BO31">
            <v>500</v>
          </cell>
          <cell r="BP31">
            <v>1.4044943820224719E-3</v>
          </cell>
          <cell r="BQ31">
            <v>0</v>
          </cell>
          <cell r="BR31" t="e">
            <v>#DIV/0!</v>
          </cell>
          <cell r="BS31">
            <v>5000</v>
          </cell>
          <cell r="BT31">
            <v>0</v>
          </cell>
          <cell r="BU31">
            <v>-5000</v>
          </cell>
          <cell r="BV31">
            <v>500</v>
          </cell>
          <cell r="BW31">
            <v>1.4044943820224719E-3</v>
          </cell>
          <cell r="BX31">
            <v>0</v>
          </cell>
          <cell r="BY31" t="e">
            <v>#DIV/0!</v>
          </cell>
          <cell r="BZ31">
            <v>5500</v>
          </cell>
          <cell r="CA31">
            <v>0</v>
          </cell>
          <cell r="CB31">
            <v>-5500</v>
          </cell>
          <cell r="CC31">
            <v>500</v>
          </cell>
          <cell r="CD31">
            <v>1.4044943820224719E-3</v>
          </cell>
          <cell r="CE31">
            <v>0</v>
          </cell>
          <cell r="CF31" t="e">
            <v>#DIV/0!</v>
          </cell>
          <cell r="CG31">
            <v>6000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2.0920214274396387E-3</v>
          </cell>
          <cell r="C34">
            <v>786.41416666666657</v>
          </cell>
          <cell r="D34">
            <v>511.71750000000003</v>
          </cell>
          <cell r="E34">
            <v>1.5991171875000001E-3</v>
          </cell>
          <cell r="F34">
            <v>0</v>
          </cell>
          <cell r="G34">
            <v>0</v>
          </cell>
          <cell r="H34">
            <v>511.71750000000003</v>
          </cell>
          <cell r="I34">
            <v>0</v>
          </cell>
          <cell r="J34">
            <v>-511.71750000000003</v>
          </cell>
          <cell r="K34">
            <v>511.71750000000003</v>
          </cell>
          <cell r="L34">
            <v>1.5991171875000001E-3</v>
          </cell>
          <cell r="M34">
            <v>1238.2</v>
          </cell>
          <cell r="N34">
            <v>4.7771628313428493E-3</v>
          </cell>
          <cell r="O34">
            <v>1023.4350000000001</v>
          </cell>
          <cell r="P34">
            <v>1238.2</v>
          </cell>
          <cell r="Q34">
            <v>214.76499999999999</v>
          </cell>
          <cell r="R34">
            <v>511.71750000000003</v>
          </cell>
          <cell r="S34">
            <v>1.4374087078651687E-3</v>
          </cell>
          <cell r="T34">
            <v>0</v>
          </cell>
          <cell r="U34">
            <v>0</v>
          </cell>
          <cell r="V34">
            <v>1535.1525000000001</v>
          </cell>
          <cell r="W34">
            <v>1238.2</v>
          </cell>
          <cell r="X34">
            <v>-296.9525000000001</v>
          </cell>
          <cell r="Y34">
            <v>511.71750000000003</v>
          </cell>
          <cell r="Z34">
            <v>1.4374087078651687E-3</v>
          </cell>
          <cell r="AA34">
            <v>0</v>
          </cell>
          <cell r="AB34" t="e">
            <v>#DIV/0!</v>
          </cell>
          <cell r="AC34">
            <v>2046.8700000000001</v>
          </cell>
          <cell r="AD34">
            <v>1238.2</v>
          </cell>
          <cell r="AE34">
            <v>-808.67000000000007</v>
          </cell>
          <cell r="AF34">
            <v>511.71750000000003</v>
          </cell>
          <cell r="AG34">
            <v>1.4374087078651687E-3</v>
          </cell>
          <cell r="AH34">
            <v>0</v>
          </cell>
          <cell r="AI34" t="e">
            <v>#DIV/0!</v>
          </cell>
          <cell r="AJ34">
            <v>2558.5875000000001</v>
          </cell>
          <cell r="AK34">
            <v>1238.2</v>
          </cell>
          <cell r="AL34">
            <v>-1320.3875</v>
          </cell>
          <cell r="AM34">
            <v>511.71750000000003</v>
          </cell>
          <cell r="AN34">
            <v>1.4374087078651687E-3</v>
          </cell>
          <cell r="AO34">
            <v>0</v>
          </cell>
          <cell r="AP34" t="e">
            <v>#DIV/0!</v>
          </cell>
          <cell r="AQ34">
            <v>3070.3050000000003</v>
          </cell>
          <cell r="AR34">
            <v>1238.2</v>
          </cell>
          <cell r="AS34">
            <v>-1832.1050000000002</v>
          </cell>
          <cell r="AT34">
            <v>511.71750000000003</v>
          </cell>
          <cell r="AU34">
            <v>1.4374087078651687E-3</v>
          </cell>
          <cell r="AV34">
            <v>0</v>
          </cell>
          <cell r="AW34" t="e">
            <v>#DIV/0!</v>
          </cell>
          <cell r="AX34">
            <v>3582.0225000000005</v>
          </cell>
          <cell r="AY34">
            <v>1238.2</v>
          </cell>
          <cell r="AZ34">
            <v>-2343.8225000000002</v>
          </cell>
          <cell r="BA34">
            <v>511.71750000000003</v>
          </cell>
          <cell r="BB34">
            <v>1.4374087078651687E-3</v>
          </cell>
          <cell r="BC34">
            <v>0</v>
          </cell>
          <cell r="BD34" t="e">
            <v>#DIV/0!</v>
          </cell>
          <cell r="BE34">
            <v>4093.7400000000007</v>
          </cell>
          <cell r="BF34">
            <v>1238.2</v>
          </cell>
          <cell r="BG34">
            <v>-2855.5400000000009</v>
          </cell>
          <cell r="BH34">
            <v>511.71750000000003</v>
          </cell>
          <cell r="BI34">
            <v>1.4374087078651687E-3</v>
          </cell>
          <cell r="BJ34">
            <v>0</v>
          </cell>
          <cell r="BK34" t="e">
            <v>#DIV/0!</v>
          </cell>
          <cell r="BL34">
            <v>4605.4575000000004</v>
          </cell>
          <cell r="BM34">
            <v>1238.2</v>
          </cell>
          <cell r="BN34">
            <v>-3367.2575000000006</v>
          </cell>
          <cell r="BO34">
            <v>511.71750000000003</v>
          </cell>
          <cell r="BP34">
            <v>1.4374087078651687E-3</v>
          </cell>
          <cell r="BQ34">
            <v>0</v>
          </cell>
          <cell r="BR34" t="e">
            <v>#DIV/0!</v>
          </cell>
          <cell r="BS34">
            <v>5117.1750000000002</v>
          </cell>
          <cell r="BT34">
            <v>1238.2</v>
          </cell>
          <cell r="BU34">
            <v>-3878.9750000000004</v>
          </cell>
          <cell r="BV34">
            <v>511.71750000000003</v>
          </cell>
          <cell r="BW34">
            <v>1.4374087078651687E-3</v>
          </cell>
          <cell r="BX34">
            <v>0</v>
          </cell>
          <cell r="BY34" t="e">
            <v>#DIV/0!</v>
          </cell>
          <cell r="BZ34">
            <v>5628.8924999999999</v>
          </cell>
          <cell r="CA34">
            <v>1238.2</v>
          </cell>
          <cell r="CB34">
            <v>-4390.6925000000001</v>
          </cell>
          <cell r="CC34">
            <v>511.71750000000003</v>
          </cell>
          <cell r="CD34">
            <v>1.4374087078651687E-3</v>
          </cell>
          <cell r="CE34">
            <v>0</v>
          </cell>
          <cell r="CF34" t="e">
            <v>#DIV/0!</v>
          </cell>
          <cell r="CG34">
            <v>6140.61</v>
          </cell>
          <cell r="CH34">
            <v>1238.2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144</v>
          </cell>
          <cell r="E35">
            <v>4.4999999999999999E-4</v>
          </cell>
          <cell r="F35">
            <v>0</v>
          </cell>
          <cell r="G35">
            <v>0</v>
          </cell>
          <cell r="H35">
            <v>144</v>
          </cell>
          <cell r="I35">
            <v>0</v>
          </cell>
          <cell r="J35">
            <v>-144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144</v>
          </cell>
          <cell r="P35">
            <v>0</v>
          </cell>
          <cell r="Q35">
            <v>-144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144</v>
          </cell>
          <cell r="W35">
            <v>0</v>
          </cell>
          <cell r="X35">
            <v>-144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144</v>
          </cell>
          <cell r="AD35">
            <v>0</v>
          </cell>
          <cell r="AE35">
            <v>-144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144</v>
          </cell>
          <cell r="AK35">
            <v>0</v>
          </cell>
          <cell r="AL35">
            <v>-144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144</v>
          </cell>
          <cell r="AR35">
            <v>0</v>
          </cell>
          <cell r="AS35">
            <v>-144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144</v>
          </cell>
          <cell r="AY35">
            <v>0</v>
          </cell>
          <cell r="AZ35">
            <v>-144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144</v>
          </cell>
          <cell r="BF35">
            <v>0</v>
          </cell>
          <cell r="BG35">
            <v>-144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144</v>
          </cell>
          <cell r="BM35">
            <v>0</v>
          </cell>
          <cell r="BN35">
            <v>-144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144</v>
          </cell>
          <cell r="BT35">
            <v>0</v>
          </cell>
          <cell r="BU35">
            <v>-144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144</v>
          </cell>
          <cell r="CA35">
            <v>0</v>
          </cell>
          <cell r="CB35">
            <v>-144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144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1.6101322809948092E-4</v>
          </cell>
          <cell r="C38">
            <v>60.526666666666664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2.2389157674751994E-2</v>
          </cell>
          <cell r="C40">
            <v>8416.3338597862967</v>
          </cell>
          <cell r="D40">
            <v>10000</v>
          </cell>
          <cell r="E40">
            <v>3.125E-2</v>
          </cell>
          <cell r="F40">
            <v>6850.4344726798308</v>
          </cell>
          <cell r="G40">
            <v>1.8381653280787762E-2</v>
          </cell>
          <cell r="H40">
            <v>10000</v>
          </cell>
          <cell r="I40">
            <v>6850.4344726798308</v>
          </cell>
          <cell r="J40">
            <v>-3149.5655273201692</v>
          </cell>
          <cell r="K40">
            <v>10000</v>
          </cell>
          <cell r="L40">
            <v>3.125E-2</v>
          </cell>
          <cell r="M40">
            <v>6333.9819254817276</v>
          </cell>
          <cell r="N40">
            <v>2.4437460045880082E-2</v>
          </cell>
          <cell r="O40">
            <v>20000</v>
          </cell>
          <cell r="P40">
            <v>13184.416398161558</v>
          </cell>
          <cell r="Q40">
            <v>-6815.5836018384416</v>
          </cell>
          <cell r="R40">
            <v>10000</v>
          </cell>
          <cell r="S40">
            <v>2.8089887640449437E-2</v>
          </cell>
          <cell r="T40">
            <v>7431.9692290912008</v>
          </cell>
          <cell r="U40">
            <v>2.1340397370328411E-2</v>
          </cell>
          <cell r="V40">
            <v>30000</v>
          </cell>
          <cell r="W40">
            <v>20616.385627252759</v>
          </cell>
          <cell r="X40">
            <v>-9383.6143727472409</v>
          </cell>
          <cell r="Y40">
            <v>10000</v>
          </cell>
          <cell r="Z40">
            <v>2.8089887640449437E-2</v>
          </cell>
          <cell r="AA40">
            <v>0</v>
          </cell>
          <cell r="AB40" t="e">
            <v>#DIV/0!</v>
          </cell>
          <cell r="AC40">
            <v>40000</v>
          </cell>
          <cell r="AD40">
            <v>20616.385627252759</v>
          </cell>
          <cell r="AE40">
            <v>-19383.614372747241</v>
          </cell>
          <cell r="AF40">
            <v>10000</v>
          </cell>
          <cell r="AG40">
            <v>2.8089887640449437E-2</v>
          </cell>
          <cell r="AH40">
            <v>0</v>
          </cell>
          <cell r="AI40" t="e">
            <v>#DIV/0!</v>
          </cell>
          <cell r="AJ40">
            <v>50000</v>
          </cell>
          <cell r="AK40">
            <v>20616.385627252759</v>
          </cell>
          <cell r="AL40">
            <v>-29383.614372747241</v>
          </cell>
          <cell r="AM40">
            <v>10000</v>
          </cell>
          <cell r="AN40">
            <v>2.8089887640449437E-2</v>
          </cell>
          <cell r="AO40">
            <v>0</v>
          </cell>
          <cell r="AP40" t="e">
            <v>#DIV/0!</v>
          </cell>
          <cell r="AQ40">
            <v>60000</v>
          </cell>
          <cell r="AR40">
            <v>20616.385627252759</v>
          </cell>
          <cell r="AS40">
            <v>-39383.614372747237</v>
          </cell>
          <cell r="AT40">
            <v>10000</v>
          </cell>
          <cell r="AU40">
            <v>2.8089887640449437E-2</v>
          </cell>
          <cell r="AV40">
            <v>0</v>
          </cell>
          <cell r="AW40" t="e">
            <v>#DIV/0!</v>
          </cell>
          <cell r="AX40">
            <v>70000</v>
          </cell>
          <cell r="AY40">
            <v>20616.385627252759</v>
          </cell>
          <cell r="AZ40">
            <v>-49383.614372747237</v>
          </cell>
          <cell r="BA40">
            <v>10000</v>
          </cell>
          <cell r="BB40">
            <v>2.8089887640449437E-2</v>
          </cell>
          <cell r="BC40">
            <v>0</v>
          </cell>
          <cell r="BD40" t="e">
            <v>#DIV/0!</v>
          </cell>
          <cell r="BE40">
            <v>80000</v>
          </cell>
          <cell r="BF40">
            <v>20616.385627252759</v>
          </cell>
          <cell r="BG40">
            <v>-59383.614372747237</v>
          </cell>
          <cell r="BH40">
            <v>10000</v>
          </cell>
          <cell r="BI40">
            <v>2.8089887640449437E-2</v>
          </cell>
          <cell r="BJ40">
            <v>0</v>
          </cell>
          <cell r="BK40" t="e">
            <v>#DIV/0!</v>
          </cell>
          <cell r="BL40">
            <v>90000</v>
          </cell>
          <cell r="BM40">
            <v>20616.385627252759</v>
          </cell>
          <cell r="BN40">
            <v>-69383.614372747237</v>
          </cell>
          <cell r="BO40">
            <v>10000</v>
          </cell>
          <cell r="BP40">
            <v>2.8089887640449437E-2</v>
          </cell>
          <cell r="BQ40">
            <v>0</v>
          </cell>
          <cell r="BR40" t="e">
            <v>#DIV/0!</v>
          </cell>
          <cell r="BS40">
            <v>100000</v>
          </cell>
          <cell r="BT40">
            <v>20616.385627252759</v>
          </cell>
          <cell r="BU40">
            <v>-79383.614372747237</v>
          </cell>
          <cell r="BV40">
            <v>10000</v>
          </cell>
          <cell r="BW40">
            <v>2.8089887640449437E-2</v>
          </cell>
          <cell r="BX40">
            <v>0</v>
          </cell>
          <cell r="BY40" t="e">
            <v>#DIV/0!</v>
          </cell>
          <cell r="BZ40">
            <v>110000</v>
          </cell>
          <cell r="CA40">
            <v>20616.385627252759</v>
          </cell>
          <cell r="CB40">
            <v>-89383.614372747237</v>
          </cell>
          <cell r="CC40">
            <v>10000</v>
          </cell>
          <cell r="CD40">
            <v>2.8089887640449437E-2</v>
          </cell>
          <cell r="CE40">
            <v>0</v>
          </cell>
          <cell r="CF40" t="e">
            <v>#DIV/0!</v>
          </cell>
          <cell r="CG40">
            <v>120000</v>
          </cell>
          <cell r="CH40">
            <v>20616.385627252759</v>
          </cell>
        </row>
        <row r="41">
          <cell r="A41" t="str">
            <v>Pauta - Gestão de Pauta</v>
          </cell>
          <cell r="B41">
            <v>8.5810685269523748E-3</v>
          </cell>
          <cell r="C41">
            <v>3225.7192809883495</v>
          </cell>
          <cell r="D41">
            <v>4700</v>
          </cell>
          <cell r="E41">
            <v>1.4687499999999999E-2</v>
          </cell>
          <cell r="F41">
            <v>3796.0200943859991</v>
          </cell>
          <cell r="G41">
            <v>1.0185795587153533E-2</v>
          </cell>
          <cell r="H41">
            <v>4700</v>
          </cell>
          <cell r="I41">
            <v>3796.0200943859991</v>
          </cell>
          <cell r="J41">
            <v>-903.97990561400093</v>
          </cell>
          <cell r="K41">
            <v>4700</v>
          </cell>
          <cell r="L41">
            <v>1.4687499999999999E-2</v>
          </cell>
          <cell r="M41">
            <v>2702.8056271504965</v>
          </cell>
          <cell r="N41">
            <v>1.0427832807597844E-2</v>
          </cell>
          <cell r="O41">
            <v>9400</v>
          </cell>
          <cell r="P41">
            <v>6498.8257215364956</v>
          </cell>
          <cell r="Q41">
            <v>-2901.1742784635044</v>
          </cell>
          <cell r="R41">
            <v>4700</v>
          </cell>
          <cell r="S41">
            <v>1.3202247191011237E-2</v>
          </cell>
          <cell r="T41">
            <v>3079.0152644429509</v>
          </cell>
          <cell r="U41">
            <v>8.8411842443209699E-3</v>
          </cell>
          <cell r="V41">
            <v>14100</v>
          </cell>
          <cell r="W41">
            <v>9577.8409859794465</v>
          </cell>
          <cell r="X41">
            <v>-4522.1590140205535</v>
          </cell>
          <cell r="Y41">
            <v>4700</v>
          </cell>
          <cell r="Z41">
            <v>1.3202247191011237E-2</v>
          </cell>
          <cell r="AA41">
            <v>0</v>
          </cell>
          <cell r="AB41" t="e">
            <v>#DIV/0!</v>
          </cell>
          <cell r="AC41">
            <v>18800</v>
          </cell>
          <cell r="AD41">
            <v>9577.8409859794465</v>
          </cell>
          <cell r="AE41">
            <v>-9222.1590140205535</v>
          </cell>
          <cell r="AF41">
            <v>4700</v>
          </cell>
          <cell r="AG41">
            <v>1.3202247191011237E-2</v>
          </cell>
          <cell r="AH41">
            <v>0</v>
          </cell>
          <cell r="AI41" t="e">
            <v>#DIV/0!</v>
          </cell>
          <cell r="AJ41">
            <v>23500</v>
          </cell>
          <cell r="AK41">
            <v>9577.8409859794465</v>
          </cell>
          <cell r="AL41">
            <v>-13922.159014020554</v>
          </cell>
          <cell r="AM41">
            <v>4700</v>
          </cell>
          <cell r="AN41">
            <v>1.3202247191011237E-2</v>
          </cell>
          <cell r="AO41">
            <v>0</v>
          </cell>
          <cell r="AP41" t="e">
            <v>#DIV/0!</v>
          </cell>
          <cell r="AQ41">
            <v>28200</v>
          </cell>
          <cell r="AR41">
            <v>9577.8409859794465</v>
          </cell>
          <cell r="AS41">
            <v>-18622.159014020552</v>
          </cell>
          <cell r="AT41">
            <v>4700</v>
          </cell>
          <cell r="AU41">
            <v>1.3202247191011237E-2</v>
          </cell>
          <cell r="AV41">
            <v>0</v>
          </cell>
          <cell r="AW41" t="e">
            <v>#DIV/0!</v>
          </cell>
          <cell r="AX41">
            <v>32900</v>
          </cell>
          <cell r="AY41">
            <v>9577.8409859794465</v>
          </cell>
          <cell r="AZ41">
            <v>-23322.159014020552</v>
          </cell>
          <cell r="BA41">
            <v>4700</v>
          </cell>
          <cell r="BB41">
            <v>1.3202247191011237E-2</v>
          </cell>
          <cell r="BC41">
            <v>0</v>
          </cell>
          <cell r="BD41" t="e">
            <v>#DIV/0!</v>
          </cell>
          <cell r="BE41">
            <v>37600</v>
          </cell>
          <cell r="BF41">
            <v>9577.8409859794465</v>
          </cell>
          <cell r="BG41">
            <v>-28022.159014020552</v>
          </cell>
          <cell r="BH41">
            <v>4700</v>
          </cell>
          <cell r="BI41">
            <v>1.3202247191011237E-2</v>
          </cell>
          <cell r="BJ41">
            <v>0</v>
          </cell>
          <cell r="BK41" t="e">
            <v>#DIV/0!</v>
          </cell>
          <cell r="BL41">
            <v>42300</v>
          </cell>
          <cell r="BM41">
            <v>9577.8409859794465</v>
          </cell>
          <cell r="BN41">
            <v>-32722.159014020552</v>
          </cell>
          <cell r="BO41">
            <v>4700</v>
          </cell>
          <cell r="BP41">
            <v>1.3202247191011237E-2</v>
          </cell>
          <cell r="BQ41">
            <v>0</v>
          </cell>
          <cell r="BR41" t="e">
            <v>#DIV/0!</v>
          </cell>
          <cell r="BS41">
            <v>47000</v>
          </cell>
          <cell r="BT41">
            <v>9577.8409859794465</v>
          </cell>
          <cell r="BU41">
            <v>-37422.159014020552</v>
          </cell>
          <cell r="BV41">
            <v>4700</v>
          </cell>
          <cell r="BW41">
            <v>1.3202247191011237E-2</v>
          </cell>
          <cell r="BX41">
            <v>0</v>
          </cell>
          <cell r="BY41" t="e">
            <v>#DIV/0!</v>
          </cell>
          <cell r="BZ41">
            <v>51700</v>
          </cell>
          <cell r="CA41">
            <v>9577.8409859794465</v>
          </cell>
          <cell r="CB41">
            <v>-42122.159014020552</v>
          </cell>
          <cell r="CC41">
            <v>4700</v>
          </cell>
          <cell r="CD41">
            <v>1.3202247191011237E-2</v>
          </cell>
          <cell r="CE41">
            <v>0</v>
          </cell>
          <cell r="CF41" t="e">
            <v>#DIV/0!</v>
          </cell>
          <cell r="CG41">
            <v>56400</v>
          </cell>
          <cell r="CH41">
            <v>9577.8409859794465</v>
          </cell>
        </row>
        <row r="42">
          <cell r="A42" t="str">
            <v>Seguro de Vida</v>
          </cell>
          <cell r="B42">
            <v>1.1034090257038846E-3</v>
          </cell>
          <cell r="C42">
            <v>414.78374841666664</v>
          </cell>
          <cell r="D42">
            <v>389.51</v>
          </cell>
          <cell r="E42">
            <v>1.21721875E-3</v>
          </cell>
          <cell r="F42">
            <v>369.28999099999999</v>
          </cell>
          <cell r="G42">
            <v>9.9090949657266959E-4</v>
          </cell>
          <cell r="H42">
            <v>389.51</v>
          </cell>
          <cell r="I42">
            <v>369.28999099999999</v>
          </cell>
          <cell r="J42">
            <v>-20.220009000000005</v>
          </cell>
          <cell r="K42">
            <v>389.51</v>
          </cell>
          <cell r="L42">
            <v>1.21721875E-3</v>
          </cell>
          <cell r="M42">
            <v>369.29</v>
          </cell>
          <cell r="N42">
            <v>1.4247766612716854E-3</v>
          </cell>
          <cell r="O42">
            <v>779.02</v>
          </cell>
          <cell r="P42">
            <v>738.57999100000006</v>
          </cell>
          <cell r="Q42">
            <v>-40.440008999999918</v>
          </cell>
          <cell r="R42">
            <v>389.51</v>
          </cell>
          <cell r="S42">
            <v>1.094129213483146E-3</v>
          </cell>
          <cell r="T42">
            <v>346.27000800000002</v>
          </cell>
          <cell r="U42">
            <v>9.9429092618167486E-4</v>
          </cell>
          <cell r="V42">
            <v>1168.53</v>
          </cell>
          <cell r="W42">
            <v>1084.849999</v>
          </cell>
          <cell r="X42">
            <v>-83.680000999999947</v>
          </cell>
          <cell r="Y42">
            <v>389.51</v>
          </cell>
          <cell r="Z42">
            <v>1.094129213483146E-3</v>
          </cell>
          <cell r="AA42">
            <v>0</v>
          </cell>
          <cell r="AB42" t="e">
            <v>#DIV/0!</v>
          </cell>
          <cell r="AC42">
            <v>1558.04</v>
          </cell>
          <cell r="AD42">
            <v>1084.849999</v>
          </cell>
          <cell r="AE42">
            <v>-473.19000099999994</v>
          </cell>
          <cell r="AF42">
            <v>389.51</v>
          </cell>
          <cell r="AG42">
            <v>1.094129213483146E-3</v>
          </cell>
          <cell r="AH42">
            <v>0</v>
          </cell>
          <cell r="AI42" t="e">
            <v>#DIV/0!</v>
          </cell>
          <cell r="AJ42">
            <v>1947.55</v>
          </cell>
          <cell r="AK42">
            <v>1084.849999</v>
          </cell>
          <cell r="AL42">
            <v>-862.70000099999993</v>
          </cell>
          <cell r="AM42">
            <v>389.51</v>
          </cell>
          <cell r="AN42">
            <v>1.094129213483146E-3</v>
          </cell>
          <cell r="AO42">
            <v>0</v>
          </cell>
          <cell r="AP42" t="e">
            <v>#DIV/0!</v>
          </cell>
          <cell r="AQ42">
            <v>2337.06</v>
          </cell>
          <cell r="AR42">
            <v>1084.849999</v>
          </cell>
          <cell r="AS42">
            <v>-1252.2100009999999</v>
          </cell>
          <cell r="AT42">
            <v>389.51</v>
          </cell>
          <cell r="AU42">
            <v>1.094129213483146E-3</v>
          </cell>
          <cell r="AV42">
            <v>0</v>
          </cell>
          <cell r="AW42" t="e">
            <v>#DIV/0!</v>
          </cell>
          <cell r="AX42">
            <v>2726.5699999999997</v>
          </cell>
          <cell r="AY42">
            <v>1084.849999</v>
          </cell>
          <cell r="AZ42">
            <v>-1641.7200009999997</v>
          </cell>
          <cell r="BA42">
            <v>389.51</v>
          </cell>
          <cell r="BB42">
            <v>1.094129213483146E-3</v>
          </cell>
          <cell r="BC42">
            <v>0</v>
          </cell>
          <cell r="BD42" t="e">
            <v>#DIV/0!</v>
          </cell>
          <cell r="BE42">
            <v>3116.08</v>
          </cell>
          <cell r="BF42">
            <v>1084.849999</v>
          </cell>
          <cell r="BG42">
            <v>-2031.2300009999999</v>
          </cell>
          <cell r="BH42">
            <v>389.51</v>
          </cell>
          <cell r="BI42">
            <v>1.094129213483146E-3</v>
          </cell>
          <cell r="BJ42">
            <v>0</v>
          </cell>
          <cell r="BK42" t="e">
            <v>#DIV/0!</v>
          </cell>
          <cell r="BL42">
            <v>3505.59</v>
          </cell>
          <cell r="BM42">
            <v>1084.849999</v>
          </cell>
          <cell r="BN42">
            <v>-2420.7400010000001</v>
          </cell>
          <cell r="BO42">
            <v>389.51</v>
          </cell>
          <cell r="BP42">
            <v>1.094129213483146E-3</v>
          </cell>
          <cell r="BQ42">
            <v>0</v>
          </cell>
          <cell r="BR42" t="e">
            <v>#DIV/0!</v>
          </cell>
          <cell r="BS42">
            <v>3895.1000000000004</v>
          </cell>
          <cell r="BT42">
            <v>1084.849999</v>
          </cell>
          <cell r="BU42">
            <v>-2810.2500010000003</v>
          </cell>
          <cell r="BV42">
            <v>389.51</v>
          </cell>
          <cell r="BW42">
            <v>1.094129213483146E-3</v>
          </cell>
          <cell r="BX42">
            <v>0</v>
          </cell>
          <cell r="BY42" t="e">
            <v>#DIV/0!</v>
          </cell>
          <cell r="BZ42">
            <v>4284.6100000000006</v>
          </cell>
          <cell r="CA42">
            <v>1084.849999</v>
          </cell>
          <cell r="CB42">
            <v>-3199.7600010000006</v>
          </cell>
          <cell r="CC42">
            <v>389.51</v>
          </cell>
          <cell r="CD42">
            <v>1.094129213483146E-3</v>
          </cell>
          <cell r="CE42">
            <v>0</v>
          </cell>
          <cell r="CF42" t="e">
            <v>#DIV/0!</v>
          </cell>
          <cell r="CG42">
            <v>4674.1200000000008</v>
          </cell>
          <cell r="CH42">
            <v>1084.849999</v>
          </cell>
        </row>
        <row r="43">
          <cell r="A43" t="str">
            <v>Plano de Saúde</v>
          </cell>
          <cell r="B43">
            <v>2.2933872677251395E-2</v>
          </cell>
          <cell r="C43">
            <v>8621.098299166666</v>
          </cell>
          <cell r="D43">
            <v>9300</v>
          </cell>
          <cell r="E43">
            <v>2.9062500000000002E-2</v>
          </cell>
          <cell r="F43">
            <v>11796.640411</v>
          </cell>
          <cell r="G43">
            <v>3.1653722808081257E-2</v>
          </cell>
          <cell r="H43">
            <v>9300</v>
          </cell>
          <cell r="I43">
            <v>11796.640411</v>
          </cell>
          <cell r="J43">
            <v>2496.6404110000003</v>
          </cell>
          <cell r="K43">
            <v>9300</v>
          </cell>
          <cell r="L43">
            <v>2.9062500000000002E-2</v>
          </cell>
          <cell r="M43">
            <v>9256.7605299999996</v>
          </cell>
          <cell r="N43">
            <v>3.5713981862831146E-2</v>
          </cell>
          <cell r="O43">
            <v>18600</v>
          </cell>
          <cell r="P43">
            <v>21053.400941</v>
          </cell>
          <cell r="Q43">
            <v>2453.4009409999999</v>
          </cell>
          <cell r="R43">
            <v>9300</v>
          </cell>
          <cell r="S43">
            <v>2.6123595505617977E-2</v>
          </cell>
          <cell r="T43">
            <v>9255.9803960000008</v>
          </cell>
          <cell r="U43">
            <v>2.6577922164885463E-2</v>
          </cell>
          <cell r="V43">
            <v>27900</v>
          </cell>
          <cell r="W43">
            <v>30309.381336999999</v>
          </cell>
          <cell r="X43">
            <v>2409.3813369999989</v>
          </cell>
          <cell r="Y43">
            <v>9300</v>
          </cell>
          <cell r="Z43">
            <v>2.6123595505617977E-2</v>
          </cell>
          <cell r="AA43">
            <v>0</v>
          </cell>
          <cell r="AB43" t="e">
            <v>#DIV/0!</v>
          </cell>
          <cell r="AC43">
            <v>37200</v>
          </cell>
          <cell r="AD43">
            <v>30309.381336999999</v>
          </cell>
          <cell r="AE43">
            <v>-6890.6186630000011</v>
          </cell>
          <cell r="AF43">
            <v>9300</v>
          </cell>
          <cell r="AG43">
            <v>2.6123595505617977E-2</v>
          </cell>
          <cell r="AH43">
            <v>0</v>
          </cell>
          <cell r="AI43" t="e">
            <v>#DIV/0!</v>
          </cell>
          <cell r="AJ43">
            <v>46500</v>
          </cell>
          <cell r="AK43">
            <v>30309.381336999999</v>
          </cell>
          <cell r="AL43">
            <v>-16190.618663000001</v>
          </cell>
          <cell r="AM43">
            <v>9300</v>
          </cell>
          <cell r="AN43">
            <v>2.6123595505617977E-2</v>
          </cell>
          <cell r="AO43">
            <v>0</v>
          </cell>
          <cell r="AP43" t="e">
            <v>#DIV/0!</v>
          </cell>
          <cell r="AQ43">
            <v>55800</v>
          </cell>
          <cell r="AR43">
            <v>30309.381336999999</v>
          </cell>
          <cell r="AS43">
            <v>-25490.618663000001</v>
          </cell>
          <cell r="AT43">
            <v>9300</v>
          </cell>
          <cell r="AU43">
            <v>2.6123595505617977E-2</v>
          </cell>
          <cell r="AV43">
            <v>0</v>
          </cell>
          <cell r="AW43" t="e">
            <v>#DIV/0!</v>
          </cell>
          <cell r="AX43">
            <v>65100</v>
          </cell>
          <cell r="AY43">
            <v>30309.381336999999</v>
          </cell>
          <cell r="AZ43">
            <v>-34790.618663000001</v>
          </cell>
          <cell r="BA43">
            <v>9300</v>
          </cell>
          <cell r="BB43">
            <v>2.6123595505617977E-2</v>
          </cell>
          <cell r="BC43">
            <v>0</v>
          </cell>
          <cell r="BD43" t="e">
            <v>#DIV/0!</v>
          </cell>
          <cell r="BE43">
            <v>74400</v>
          </cell>
          <cell r="BF43">
            <v>30309.381336999999</v>
          </cell>
          <cell r="BG43">
            <v>-44090.618663000001</v>
          </cell>
          <cell r="BH43">
            <v>9300</v>
          </cell>
          <cell r="BI43">
            <v>2.6123595505617977E-2</v>
          </cell>
          <cell r="BJ43">
            <v>0</v>
          </cell>
          <cell r="BK43" t="e">
            <v>#DIV/0!</v>
          </cell>
          <cell r="BL43">
            <v>83700</v>
          </cell>
          <cell r="BM43">
            <v>30309.381336999999</v>
          </cell>
          <cell r="BN43">
            <v>-53390.618663000001</v>
          </cell>
          <cell r="BO43">
            <v>10695</v>
          </cell>
          <cell r="BP43">
            <v>3.0042134831460673E-2</v>
          </cell>
          <cell r="BQ43">
            <v>0</v>
          </cell>
          <cell r="BR43" t="e">
            <v>#DIV/0!</v>
          </cell>
          <cell r="BS43">
            <v>94395</v>
          </cell>
          <cell r="BT43">
            <v>30309.381336999999</v>
          </cell>
          <cell r="BU43">
            <v>-64085.618663000001</v>
          </cell>
          <cell r="BV43">
            <v>10695</v>
          </cell>
          <cell r="BW43">
            <v>3.0042134831460673E-2</v>
          </cell>
          <cell r="BX43">
            <v>0</v>
          </cell>
          <cell r="BY43" t="e">
            <v>#DIV/0!</v>
          </cell>
          <cell r="BZ43">
            <v>105090</v>
          </cell>
          <cell r="CA43">
            <v>30309.381336999999</v>
          </cell>
          <cell r="CB43">
            <v>-74780.618663000001</v>
          </cell>
          <cell r="CC43">
            <v>10695</v>
          </cell>
          <cell r="CD43">
            <v>3.0042134831460673E-2</v>
          </cell>
          <cell r="CE43">
            <v>0</v>
          </cell>
          <cell r="CF43" t="e">
            <v>#DIV/0!</v>
          </cell>
          <cell r="CG43">
            <v>115785</v>
          </cell>
          <cell r="CH43">
            <v>30309.381336999999</v>
          </cell>
        </row>
        <row r="44">
          <cell r="A44" t="str">
            <v>Plano Odontológico</v>
          </cell>
          <cell r="B44">
            <v>7.1103016694290956E-4</v>
          </cell>
          <cell r="C44">
            <v>267.28416299999998</v>
          </cell>
          <cell r="D44">
            <v>160.81799999999998</v>
          </cell>
          <cell r="E44">
            <v>5.025562499999999E-4</v>
          </cell>
          <cell r="F44">
            <v>263.71999</v>
          </cell>
          <cell r="G44">
            <v>7.0763532425943676E-4</v>
          </cell>
          <cell r="H44">
            <v>160.81799999999998</v>
          </cell>
          <cell r="I44">
            <v>263.71999</v>
          </cell>
          <cell r="J44">
            <v>102.90199000000001</v>
          </cell>
          <cell r="K44">
            <v>160.81799999999998</v>
          </cell>
          <cell r="L44">
            <v>5.025562499999999E-4</v>
          </cell>
          <cell r="M44">
            <v>263.71999399999999</v>
          </cell>
          <cell r="N44">
            <v>1.0174716146169917E-3</v>
          </cell>
          <cell r="O44">
            <v>321.63599999999997</v>
          </cell>
          <cell r="P44">
            <v>527.43998399999998</v>
          </cell>
          <cell r="Q44">
            <v>205.80398400000001</v>
          </cell>
          <cell r="R44">
            <v>160.81799999999998</v>
          </cell>
          <cell r="S44">
            <v>4.5173595505617974E-4</v>
          </cell>
          <cell r="T44">
            <v>263.72002800000001</v>
          </cell>
          <cell r="U44">
            <v>7.5725423754510453E-4</v>
          </cell>
          <cell r="V44">
            <v>482.45399999999995</v>
          </cell>
          <cell r="W44">
            <v>791.16001200000005</v>
          </cell>
          <cell r="X44">
            <v>308.7060120000001</v>
          </cell>
          <cell r="Y44">
            <v>160.81799999999998</v>
          </cell>
          <cell r="Z44">
            <v>4.5173595505617974E-4</v>
          </cell>
          <cell r="AA44">
            <v>0</v>
          </cell>
          <cell r="AB44" t="e">
            <v>#DIV/0!</v>
          </cell>
          <cell r="AC44">
            <v>643.27199999999993</v>
          </cell>
          <cell r="AD44">
            <v>791.16001200000005</v>
          </cell>
          <cell r="AE44">
            <v>147.88801200000012</v>
          </cell>
          <cell r="AF44">
            <v>160.81799999999998</v>
          </cell>
          <cell r="AG44">
            <v>4.5173595505617974E-4</v>
          </cell>
          <cell r="AH44">
            <v>0</v>
          </cell>
          <cell r="AI44" t="e">
            <v>#DIV/0!</v>
          </cell>
          <cell r="AJ44">
            <v>804.08999999999992</v>
          </cell>
          <cell r="AK44">
            <v>791.16001200000005</v>
          </cell>
          <cell r="AL44">
            <v>-12.929987999999867</v>
          </cell>
          <cell r="AM44">
            <v>160.81799999999998</v>
          </cell>
          <cell r="AN44">
            <v>4.5173595505617974E-4</v>
          </cell>
          <cell r="AO44">
            <v>0</v>
          </cell>
          <cell r="AP44" t="e">
            <v>#DIV/0!</v>
          </cell>
          <cell r="AQ44">
            <v>964.9079999999999</v>
          </cell>
          <cell r="AR44">
            <v>791.16001200000005</v>
          </cell>
          <cell r="AS44">
            <v>-173.74798799999985</v>
          </cell>
          <cell r="AT44">
            <v>160.81799999999998</v>
          </cell>
          <cell r="AU44">
            <v>4.5173595505617974E-4</v>
          </cell>
          <cell r="AV44">
            <v>0</v>
          </cell>
          <cell r="AW44" t="e">
            <v>#DIV/0!</v>
          </cell>
          <cell r="AX44">
            <v>1125.7259999999999</v>
          </cell>
          <cell r="AY44">
            <v>791.16001200000005</v>
          </cell>
          <cell r="AZ44">
            <v>-334.56598799999983</v>
          </cell>
          <cell r="BA44">
            <v>160.81799999999998</v>
          </cell>
          <cell r="BB44">
            <v>4.5173595505617974E-4</v>
          </cell>
          <cell r="BC44">
            <v>0</v>
          </cell>
          <cell r="BD44" t="e">
            <v>#DIV/0!</v>
          </cell>
          <cell r="BE44">
            <v>1286.5439999999999</v>
          </cell>
          <cell r="BF44">
            <v>791.16001200000005</v>
          </cell>
          <cell r="BG44">
            <v>-495.38398799999982</v>
          </cell>
          <cell r="BH44">
            <v>160.81799999999998</v>
          </cell>
          <cell r="BI44">
            <v>4.5173595505617974E-4</v>
          </cell>
          <cell r="BJ44">
            <v>0</v>
          </cell>
          <cell r="BK44" t="e">
            <v>#DIV/0!</v>
          </cell>
          <cell r="BL44">
            <v>1447.3619999999999</v>
          </cell>
          <cell r="BM44">
            <v>791.16001200000005</v>
          </cell>
          <cell r="BN44">
            <v>-656.2019879999998</v>
          </cell>
          <cell r="BO44">
            <v>160.81799999999998</v>
          </cell>
          <cell r="BP44">
            <v>4.5173595505617974E-4</v>
          </cell>
          <cell r="BQ44">
            <v>0</v>
          </cell>
          <cell r="BR44" t="e">
            <v>#DIV/0!</v>
          </cell>
          <cell r="BS44">
            <v>1608.1799999999998</v>
          </cell>
          <cell r="BT44">
            <v>791.16001200000005</v>
          </cell>
          <cell r="BU44">
            <v>-817.01998799999978</v>
          </cell>
          <cell r="BV44">
            <v>160.81799999999998</v>
          </cell>
          <cell r="BW44">
            <v>4.5173595505617974E-4</v>
          </cell>
          <cell r="BX44">
            <v>0</v>
          </cell>
          <cell r="BY44" t="e">
            <v>#DIV/0!</v>
          </cell>
          <cell r="BZ44">
            <v>1768.9979999999998</v>
          </cell>
          <cell r="CA44">
            <v>791.16001200000005</v>
          </cell>
          <cell r="CB44">
            <v>-977.83798799999977</v>
          </cell>
          <cell r="CC44">
            <v>160.81799999999998</v>
          </cell>
          <cell r="CD44">
            <v>4.5173595505617974E-4</v>
          </cell>
          <cell r="CE44">
            <v>0</v>
          </cell>
          <cell r="CF44" t="e">
            <v>#DIV/0!</v>
          </cell>
          <cell r="CG44">
            <v>1929.8159999999998</v>
          </cell>
          <cell r="CH44">
            <v>791.16001200000005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0.24866580624465481</v>
          </cell>
          <cell r="C46">
            <v>93476.247533333328</v>
          </cell>
          <cell r="D46">
            <v>99330</v>
          </cell>
          <cell r="E46">
            <v>0.31040624999999999</v>
          </cell>
          <cell r="F46">
            <v>108235.675</v>
          </cell>
          <cell r="G46">
            <v>0.29042692961979866</v>
          </cell>
          <cell r="H46">
            <v>99330</v>
          </cell>
          <cell r="I46">
            <v>108235.675</v>
          </cell>
          <cell r="J46">
            <v>8905.6750000000029</v>
          </cell>
          <cell r="K46">
            <v>99550</v>
          </cell>
          <cell r="L46">
            <v>0.31109375</v>
          </cell>
          <cell r="M46">
            <v>104709.45</v>
          </cell>
          <cell r="N46">
            <v>0.40398489147985178</v>
          </cell>
          <cell r="O46">
            <v>198880</v>
          </cell>
          <cell r="P46">
            <v>212945.125</v>
          </cell>
          <cell r="Q46">
            <v>14065.125</v>
          </cell>
          <cell r="R46">
            <v>99550</v>
          </cell>
          <cell r="S46">
            <v>0.27963483146067414</v>
          </cell>
          <cell r="T46">
            <v>102317.86</v>
          </cell>
          <cell r="U46">
            <v>0.29379882009396247</v>
          </cell>
          <cell r="V46">
            <v>298430</v>
          </cell>
          <cell r="W46">
            <v>315262.98499999999</v>
          </cell>
          <cell r="X46">
            <v>16832.984999999986</v>
          </cell>
          <cell r="Y46">
            <v>99550</v>
          </cell>
          <cell r="Z46">
            <v>0.27963483146067414</v>
          </cell>
          <cell r="AA46">
            <v>0</v>
          </cell>
          <cell r="AB46" t="e">
            <v>#DIV/0!</v>
          </cell>
          <cell r="AC46">
            <v>397980</v>
          </cell>
          <cell r="AD46">
            <v>315262.98499999999</v>
          </cell>
          <cell r="AE46">
            <v>-82717.015000000014</v>
          </cell>
          <cell r="AF46">
            <v>99550</v>
          </cell>
          <cell r="AG46">
            <v>0.27963483146067414</v>
          </cell>
          <cell r="AH46">
            <v>0</v>
          </cell>
          <cell r="AI46" t="e">
            <v>#DIV/0!</v>
          </cell>
          <cell r="AJ46">
            <v>497530</v>
          </cell>
          <cell r="AK46">
            <v>315262.98499999999</v>
          </cell>
          <cell r="AL46">
            <v>-182267.01500000001</v>
          </cell>
          <cell r="AM46">
            <v>100210</v>
          </cell>
          <cell r="AN46">
            <v>0.28148876404494383</v>
          </cell>
          <cell r="AO46">
            <v>0</v>
          </cell>
          <cell r="AP46" t="e">
            <v>#DIV/0!</v>
          </cell>
          <cell r="AQ46">
            <v>597740</v>
          </cell>
          <cell r="AR46">
            <v>315262.98499999999</v>
          </cell>
          <cell r="AS46">
            <v>-282477.01500000001</v>
          </cell>
          <cell r="AT46">
            <v>100210</v>
          </cell>
          <cell r="AU46">
            <v>0.28148876404494383</v>
          </cell>
          <cell r="AV46">
            <v>0</v>
          </cell>
          <cell r="AW46" t="e">
            <v>#DIV/0!</v>
          </cell>
          <cell r="AX46">
            <v>697950</v>
          </cell>
          <cell r="AY46">
            <v>315262.98499999999</v>
          </cell>
          <cell r="AZ46">
            <v>-382687.01500000001</v>
          </cell>
          <cell r="BA46">
            <v>100210</v>
          </cell>
          <cell r="BB46">
            <v>0.28148876404494383</v>
          </cell>
          <cell r="BC46">
            <v>0</v>
          </cell>
          <cell r="BD46" t="e">
            <v>#DIV/0!</v>
          </cell>
          <cell r="BE46">
            <v>798160</v>
          </cell>
          <cell r="BF46">
            <v>315262.98499999999</v>
          </cell>
          <cell r="BG46">
            <v>-482897.01500000001</v>
          </cell>
          <cell r="BH46">
            <v>100210</v>
          </cell>
          <cell r="BI46">
            <v>0.28148876404494383</v>
          </cell>
          <cell r="BJ46">
            <v>0</v>
          </cell>
          <cell r="BK46" t="e">
            <v>#DIV/0!</v>
          </cell>
          <cell r="BL46">
            <v>898370</v>
          </cell>
          <cell r="BM46">
            <v>315262.98499999999</v>
          </cell>
          <cell r="BN46">
            <v>-583107.01500000001</v>
          </cell>
          <cell r="BO46">
            <v>100210</v>
          </cell>
          <cell r="BP46">
            <v>0.28148876404494383</v>
          </cell>
          <cell r="BQ46">
            <v>0</v>
          </cell>
          <cell r="BR46" t="e">
            <v>#DIV/0!</v>
          </cell>
          <cell r="BS46">
            <v>998580</v>
          </cell>
          <cell r="BT46">
            <v>315262.98499999999</v>
          </cell>
          <cell r="BU46">
            <v>-683317.01500000001</v>
          </cell>
          <cell r="BV46">
            <v>100210</v>
          </cell>
          <cell r="BW46">
            <v>0.28148876404494383</v>
          </cell>
          <cell r="BX46">
            <v>0</v>
          </cell>
          <cell r="BY46" t="e">
            <v>#DIV/0!</v>
          </cell>
          <cell r="BZ46">
            <v>1098790</v>
          </cell>
          <cell r="CA46">
            <v>315262.98499999999</v>
          </cell>
          <cell r="CB46">
            <v>-783527.01500000001</v>
          </cell>
          <cell r="CC46">
            <v>100210</v>
          </cell>
          <cell r="CD46">
            <v>0.28148876404494383</v>
          </cell>
          <cell r="CE46">
            <v>0</v>
          </cell>
          <cell r="CF46" t="e">
            <v>#DIV/0!</v>
          </cell>
          <cell r="CG46">
            <v>1199000</v>
          </cell>
          <cell r="CH46">
            <v>315262.98499999999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3.41763611636484E-3</v>
          </cell>
          <cell r="C49">
            <v>1284.7275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2900</v>
          </cell>
          <cell r="L49">
            <v>9.0624999999999994E-3</v>
          </cell>
          <cell r="M49">
            <v>5360</v>
          </cell>
          <cell r="N49">
            <v>2.0679690499109733E-2</v>
          </cell>
          <cell r="O49">
            <v>2900</v>
          </cell>
          <cell r="P49">
            <v>5360</v>
          </cell>
          <cell r="Q49">
            <v>2460</v>
          </cell>
          <cell r="R49">
            <v>2900</v>
          </cell>
          <cell r="S49">
            <v>8.1460674157303372E-3</v>
          </cell>
          <cell r="T49">
            <v>0</v>
          </cell>
          <cell r="U49">
            <v>0</v>
          </cell>
          <cell r="V49">
            <v>5800</v>
          </cell>
          <cell r="W49">
            <v>5360</v>
          </cell>
          <cell r="X49">
            <v>-440</v>
          </cell>
          <cell r="Y49">
            <v>1450</v>
          </cell>
          <cell r="Z49">
            <v>4.0730337078651686E-3</v>
          </cell>
          <cell r="AA49">
            <v>0</v>
          </cell>
          <cell r="AB49" t="e">
            <v>#DIV/0!</v>
          </cell>
          <cell r="AC49">
            <v>7250</v>
          </cell>
          <cell r="AD49">
            <v>5360</v>
          </cell>
          <cell r="AE49">
            <v>-1890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7250</v>
          </cell>
          <cell r="AK49">
            <v>5360</v>
          </cell>
          <cell r="AL49">
            <v>-1890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7250</v>
          </cell>
          <cell r="AR49">
            <v>5360</v>
          </cell>
          <cell r="AS49">
            <v>-1890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7250</v>
          </cell>
          <cell r="AY49">
            <v>5360</v>
          </cell>
          <cell r="AZ49">
            <v>-1890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7250</v>
          </cell>
          <cell r="BF49">
            <v>5360</v>
          </cell>
          <cell r="BG49">
            <v>-1890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7250</v>
          </cell>
          <cell r="BM49">
            <v>5360</v>
          </cell>
          <cell r="BN49">
            <v>-1890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7250</v>
          </cell>
          <cell r="BT49">
            <v>5360</v>
          </cell>
          <cell r="BU49">
            <v>-1890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7250</v>
          </cell>
          <cell r="CA49">
            <v>5360</v>
          </cell>
          <cell r="CB49">
            <v>-1890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7250</v>
          </cell>
          <cell r="CH49">
            <v>5360</v>
          </cell>
        </row>
        <row r="50">
          <cell r="A50" t="str">
            <v>Vale Alimentação / Refeição</v>
          </cell>
          <cell r="B50">
            <v>9.7616483979285785E-3</v>
          </cell>
          <cell r="C50">
            <v>3669.5124100833332</v>
          </cell>
          <cell r="D50">
            <v>6331.5</v>
          </cell>
          <cell r="E50">
            <v>1.97859375E-2</v>
          </cell>
          <cell r="F50">
            <v>5102.1101159999998</v>
          </cell>
          <cell r="G50">
            <v>1.3690404532257916E-2</v>
          </cell>
          <cell r="H50">
            <v>6331.5</v>
          </cell>
          <cell r="I50">
            <v>5102.1101159999998</v>
          </cell>
          <cell r="J50">
            <v>-1229.3898840000002</v>
          </cell>
          <cell r="K50">
            <v>6331.5</v>
          </cell>
          <cell r="L50">
            <v>1.97859375E-2</v>
          </cell>
          <cell r="M50">
            <v>6943.7000609999996</v>
          </cell>
          <cell r="N50">
            <v>2.6789844809725627E-2</v>
          </cell>
          <cell r="O50">
            <v>12663</v>
          </cell>
          <cell r="P50">
            <v>12045.810176999999</v>
          </cell>
          <cell r="Q50">
            <v>-617.18982300000062</v>
          </cell>
          <cell r="R50">
            <v>6331.5</v>
          </cell>
          <cell r="S50">
            <v>1.7785112359550562E-2</v>
          </cell>
          <cell r="T50">
            <v>5519.5001769999999</v>
          </cell>
          <cell r="U50">
            <v>1.5848871736674486E-2</v>
          </cell>
          <cell r="V50">
            <v>18994.5</v>
          </cell>
          <cell r="W50">
            <v>17565.310354000001</v>
          </cell>
          <cell r="X50">
            <v>-1429.1896459999989</v>
          </cell>
          <cell r="Y50">
            <v>6331.5</v>
          </cell>
          <cell r="Z50">
            <v>1.7785112359550562E-2</v>
          </cell>
          <cell r="AA50">
            <v>0</v>
          </cell>
          <cell r="AB50" t="e">
            <v>#DIV/0!</v>
          </cell>
          <cell r="AC50">
            <v>25326</v>
          </cell>
          <cell r="AD50">
            <v>17565.310354000001</v>
          </cell>
          <cell r="AE50">
            <v>-7760.6896459999989</v>
          </cell>
          <cell r="AF50">
            <v>6331.5</v>
          </cell>
          <cell r="AG50">
            <v>1.7785112359550562E-2</v>
          </cell>
          <cell r="AH50">
            <v>0</v>
          </cell>
          <cell r="AI50" t="e">
            <v>#DIV/0!</v>
          </cell>
          <cell r="AJ50">
            <v>31657.5</v>
          </cell>
          <cell r="AK50">
            <v>17565.310354000001</v>
          </cell>
          <cell r="AL50">
            <v>-14092.189645999999</v>
          </cell>
          <cell r="AM50">
            <v>6331.5</v>
          </cell>
          <cell r="AN50">
            <v>1.7785112359550562E-2</v>
          </cell>
          <cell r="AO50">
            <v>0</v>
          </cell>
          <cell r="AP50" t="e">
            <v>#DIV/0!</v>
          </cell>
          <cell r="AQ50">
            <v>37989</v>
          </cell>
          <cell r="AR50">
            <v>17565.310354000001</v>
          </cell>
          <cell r="AS50">
            <v>-20423.689645999999</v>
          </cell>
          <cell r="AT50">
            <v>6331.5</v>
          </cell>
          <cell r="AU50">
            <v>1.7785112359550562E-2</v>
          </cell>
          <cell r="AV50">
            <v>0</v>
          </cell>
          <cell r="AW50" t="e">
            <v>#DIV/0!</v>
          </cell>
          <cell r="AX50">
            <v>44320.5</v>
          </cell>
          <cell r="AY50">
            <v>17565.310354000001</v>
          </cell>
          <cell r="AZ50">
            <v>-26755.189645999999</v>
          </cell>
          <cell r="BA50">
            <v>6331.5</v>
          </cell>
          <cell r="BB50">
            <v>1.7785112359550562E-2</v>
          </cell>
          <cell r="BC50">
            <v>0</v>
          </cell>
          <cell r="BD50" t="e">
            <v>#DIV/0!</v>
          </cell>
          <cell r="BE50">
            <v>50652</v>
          </cell>
          <cell r="BF50">
            <v>17565.310354000001</v>
          </cell>
          <cell r="BG50">
            <v>-33086.689645999999</v>
          </cell>
          <cell r="BH50">
            <v>6331.5</v>
          </cell>
          <cell r="BI50">
            <v>1.7785112359550562E-2</v>
          </cell>
          <cell r="BJ50">
            <v>0</v>
          </cell>
          <cell r="BK50" t="e">
            <v>#DIV/0!</v>
          </cell>
          <cell r="BL50">
            <v>56983.5</v>
          </cell>
          <cell r="BM50">
            <v>17565.310354000001</v>
          </cell>
          <cell r="BN50">
            <v>-39418.189645999999</v>
          </cell>
          <cell r="BO50">
            <v>6331.5</v>
          </cell>
          <cell r="BP50">
            <v>1.7785112359550562E-2</v>
          </cell>
          <cell r="BQ50">
            <v>0</v>
          </cell>
          <cell r="BR50" t="e">
            <v>#DIV/0!</v>
          </cell>
          <cell r="BS50">
            <v>63315</v>
          </cell>
          <cell r="BT50">
            <v>17565.310354000001</v>
          </cell>
          <cell r="BU50">
            <v>-45749.689645999999</v>
          </cell>
          <cell r="BV50">
            <v>6331.5</v>
          </cell>
          <cell r="BW50">
            <v>1.7785112359550562E-2</v>
          </cell>
          <cell r="BX50">
            <v>0</v>
          </cell>
          <cell r="BY50" t="e">
            <v>#DIV/0!</v>
          </cell>
          <cell r="BZ50">
            <v>69646.5</v>
          </cell>
          <cell r="CA50">
            <v>17565.310354000001</v>
          </cell>
          <cell r="CB50">
            <v>-52081.189645999999</v>
          </cell>
          <cell r="CC50">
            <v>6331.5</v>
          </cell>
          <cell r="CD50">
            <v>1.7785112359550562E-2</v>
          </cell>
          <cell r="CE50">
            <v>0</v>
          </cell>
          <cell r="CF50" t="e">
            <v>#DIV/0!</v>
          </cell>
          <cell r="CG50">
            <v>75978</v>
          </cell>
          <cell r="CH50">
            <v>17565.310354000001</v>
          </cell>
        </row>
        <row r="51">
          <cell r="A51" t="str">
            <v>Vale Transporte</v>
          </cell>
          <cell r="B51">
            <v>4.1300392371981033E-4</v>
          </cell>
          <cell r="C51">
            <v>155.25277716666668</v>
          </cell>
          <cell r="D51">
            <v>150</v>
          </cell>
          <cell r="E51">
            <v>4.6874999999999998E-4</v>
          </cell>
          <cell r="F51">
            <v>323.19999899999999</v>
          </cell>
          <cell r="G51">
            <v>8.6723701185114797E-4</v>
          </cell>
          <cell r="H51">
            <v>150</v>
          </cell>
          <cell r="I51">
            <v>323.19999899999999</v>
          </cell>
          <cell r="J51">
            <v>173.19999899999999</v>
          </cell>
          <cell r="K51">
            <v>150</v>
          </cell>
          <cell r="L51">
            <v>4.6874999999999998E-4</v>
          </cell>
          <cell r="M51">
            <v>391.00207799999998</v>
          </cell>
          <cell r="N51">
            <v>1.5085451413337243E-3</v>
          </cell>
          <cell r="O51">
            <v>300</v>
          </cell>
          <cell r="P51">
            <v>714.20207699999992</v>
          </cell>
          <cell r="Q51">
            <v>414.20207699999992</v>
          </cell>
          <cell r="R51">
            <v>150</v>
          </cell>
          <cell r="S51">
            <v>4.2134831460674158E-4</v>
          </cell>
          <cell r="T51">
            <v>46.8</v>
          </cell>
          <cell r="U51">
            <v>1.343830371393366E-4</v>
          </cell>
          <cell r="V51">
            <v>450</v>
          </cell>
          <cell r="W51">
            <v>761.00207699999987</v>
          </cell>
          <cell r="X51">
            <v>311.00207699999987</v>
          </cell>
          <cell r="Y51">
            <v>150</v>
          </cell>
          <cell r="Z51">
            <v>4.2134831460674158E-4</v>
          </cell>
          <cell r="AA51">
            <v>0</v>
          </cell>
          <cell r="AB51" t="e">
            <v>#DIV/0!</v>
          </cell>
          <cell r="AC51">
            <v>600</v>
          </cell>
          <cell r="AD51">
            <v>761.00207699999987</v>
          </cell>
          <cell r="AE51">
            <v>161.00207699999987</v>
          </cell>
          <cell r="AF51">
            <v>150</v>
          </cell>
          <cell r="AG51">
            <v>4.2134831460674158E-4</v>
          </cell>
          <cell r="AH51">
            <v>0</v>
          </cell>
          <cell r="AI51" t="e">
            <v>#DIV/0!</v>
          </cell>
          <cell r="AJ51">
            <v>750</v>
          </cell>
          <cell r="AK51">
            <v>761.00207699999987</v>
          </cell>
          <cell r="AL51">
            <v>11.002076999999872</v>
          </cell>
          <cell r="AM51">
            <v>150</v>
          </cell>
          <cell r="AN51">
            <v>4.2134831460674158E-4</v>
          </cell>
          <cell r="AO51">
            <v>0</v>
          </cell>
          <cell r="AP51" t="e">
            <v>#DIV/0!</v>
          </cell>
          <cell r="AQ51">
            <v>900</v>
          </cell>
          <cell r="AR51">
            <v>761.00207699999987</v>
          </cell>
          <cell r="AS51">
            <v>-138.99792300000013</v>
          </cell>
          <cell r="AT51">
            <v>150</v>
          </cell>
          <cell r="AU51">
            <v>4.2134831460674158E-4</v>
          </cell>
          <cell r="AV51">
            <v>0</v>
          </cell>
          <cell r="AW51" t="e">
            <v>#DIV/0!</v>
          </cell>
          <cell r="AX51">
            <v>1050</v>
          </cell>
          <cell r="AY51">
            <v>761.00207699999987</v>
          </cell>
          <cell r="AZ51">
            <v>-288.99792300000013</v>
          </cell>
          <cell r="BA51">
            <v>150</v>
          </cell>
          <cell r="BB51">
            <v>4.2134831460674158E-4</v>
          </cell>
          <cell r="BC51">
            <v>0</v>
          </cell>
          <cell r="BD51" t="e">
            <v>#DIV/0!</v>
          </cell>
          <cell r="BE51">
            <v>1200</v>
          </cell>
          <cell r="BF51">
            <v>761.00207699999987</v>
          </cell>
          <cell r="BG51">
            <v>-438.99792300000013</v>
          </cell>
          <cell r="BH51">
            <v>150</v>
          </cell>
          <cell r="BI51">
            <v>4.2134831460674158E-4</v>
          </cell>
          <cell r="BJ51">
            <v>0</v>
          </cell>
          <cell r="BK51" t="e">
            <v>#DIV/0!</v>
          </cell>
          <cell r="BL51">
            <v>1350</v>
          </cell>
          <cell r="BM51">
            <v>761.00207699999987</v>
          </cell>
          <cell r="BN51">
            <v>-588.99792300000013</v>
          </cell>
          <cell r="BO51">
            <v>150</v>
          </cell>
          <cell r="BP51">
            <v>4.2134831460674158E-4</v>
          </cell>
          <cell r="BQ51">
            <v>0</v>
          </cell>
          <cell r="BR51" t="e">
            <v>#DIV/0!</v>
          </cell>
          <cell r="BS51">
            <v>1500</v>
          </cell>
          <cell r="BT51">
            <v>761.00207699999987</v>
          </cell>
          <cell r="BU51">
            <v>-738.99792300000013</v>
          </cell>
          <cell r="BV51">
            <v>150</v>
          </cell>
          <cell r="BW51">
            <v>4.2134831460674158E-4</v>
          </cell>
          <cell r="BX51">
            <v>0</v>
          </cell>
          <cell r="BY51" t="e">
            <v>#DIV/0!</v>
          </cell>
          <cell r="BZ51">
            <v>1650</v>
          </cell>
          <cell r="CA51">
            <v>761.00207699999987</v>
          </cell>
          <cell r="CB51">
            <v>-888.99792300000013</v>
          </cell>
          <cell r="CC51">
            <v>150</v>
          </cell>
          <cell r="CD51">
            <v>4.2134831460674158E-4</v>
          </cell>
          <cell r="CE51">
            <v>0</v>
          </cell>
          <cell r="CF51" t="e">
            <v>#DIV/0!</v>
          </cell>
          <cell r="CG51">
            <v>1800</v>
          </cell>
          <cell r="CH51">
            <v>761.00207699999987</v>
          </cell>
        </row>
        <row r="52">
          <cell r="A52" t="str">
            <v>Viagens - Alimentação / Hospedagem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60</v>
          </cell>
          <cell r="AG52">
            <v>1.6853932584269662E-4</v>
          </cell>
          <cell r="AH52">
            <v>0</v>
          </cell>
          <cell r="AI52" t="e">
            <v>#DIV/0!</v>
          </cell>
          <cell r="AJ52">
            <v>60</v>
          </cell>
          <cell r="AK52">
            <v>0</v>
          </cell>
          <cell r="AL52">
            <v>-60</v>
          </cell>
          <cell r="AM52">
            <v>60</v>
          </cell>
          <cell r="AN52">
            <v>1.6853932584269662E-4</v>
          </cell>
          <cell r="AO52">
            <v>0</v>
          </cell>
          <cell r="AP52" t="e">
            <v>#DIV/0!</v>
          </cell>
          <cell r="AQ52">
            <v>120</v>
          </cell>
          <cell r="AR52">
            <v>0</v>
          </cell>
          <cell r="AS52">
            <v>-120</v>
          </cell>
          <cell r="AT52">
            <v>60</v>
          </cell>
          <cell r="AU52">
            <v>1.6853932584269662E-4</v>
          </cell>
          <cell r="AV52">
            <v>0</v>
          </cell>
          <cell r="AW52" t="e">
            <v>#DIV/0!</v>
          </cell>
          <cell r="AX52">
            <v>180</v>
          </cell>
          <cell r="AY52">
            <v>0</v>
          </cell>
          <cell r="AZ52">
            <v>-180</v>
          </cell>
          <cell r="BA52">
            <v>60</v>
          </cell>
          <cell r="BB52">
            <v>1.6853932584269662E-4</v>
          </cell>
          <cell r="BC52">
            <v>0</v>
          </cell>
          <cell r="BD52" t="e">
            <v>#DIV/0!</v>
          </cell>
          <cell r="BE52">
            <v>240</v>
          </cell>
          <cell r="BF52">
            <v>0</v>
          </cell>
          <cell r="BG52">
            <v>-240</v>
          </cell>
          <cell r="BH52">
            <v>60</v>
          </cell>
          <cell r="BI52">
            <v>1.6853932584269662E-4</v>
          </cell>
          <cell r="BJ52">
            <v>0</v>
          </cell>
          <cell r="BK52" t="e">
            <v>#DIV/0!</v>
          </cell>
          <cell r="BL52">
            <v>300</v>
          </cell>
          <cell r="BM52">
            <v>0</v>
          </cell>
          <cell r="BN52">
            <v>-300</v>
          </cell>
          <cell r="BO52">
            <v>60</v>
          </cell>
          <cell r="BP52">
            <v>1.6853932584269662E-4</v>
          </cell>
          <cell r="BQ52">
            <v>0</v>
          </cell>
          <cell r="BR52" t="e">
            <v>#DIV/0!</v>
          </cell>
          <cell r="BS52">
            <v>360</v>
          </cell>
          <cell r="BT52">
            <v>0</v>
          </cell>
          <cell r="BU52">
            <v>-360</v>
          </cell>
          <cell r="BV52">
            <v>60</v>
          </cell>
          <cell r="BW52">
            <v>1.6853932584269662E-4</v>
          </cell>
          <cell r="BX52">
            <v>0</v>
          </cell>
          <cell r="BY52" t="e">
            <v>#DIV/0!</v>
          </cell>
          <cell r="BZ52">
            <v>420</v>
          </cell>
          <cell r="CA52">
            <v>0</v>
          </cell>
          <cell r="CB52">
            <v>-420</v>
          </cell>
          <cell r="CC52">
            <v>60</v>
          </cell>
          <cell r="CD52">
            <v>1.6853932584269662E-4</v>
          </cell>
          <cell r="CE52">
            <v>0</v>
          </cell>
          <cell r="CF52" t="e">
            <v>#DIV/0!</v>
          </cell>
          <cell r="CG52">
            <v>480</v>
          </cell>
          <cell r="CH52">
            <v>0</v>
          </cell>
        </row>
        <row r="53">
          <cell r="A53" t="str">
            <v>Viagens - Passagens / Traslados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500</v>
          </cell>
          <cell r="AG53">
            <v>1.4044943820224719E-3</v>
          </cell>
          <cell r="AH53">
            <v>0</v>
          </cell>
          <cell r="AI53" t="e">
            <v>#DIV/0!</v>
          </cell>
          <cell r="AJ53">
            <v>500</v>
          </cell>
          <cell r="AK53">
            <v>0</v>
          </cell>
          <cell r="AL53">
            <v>-500</v>
          </cell>
          <cell r="AM53">
            <v>500</v>
          </cell>
          <cell r="AN53">
            <v>1.4044943820224719E-3</v>
          </cell>
          <cell r="AO53">
            <v>0</v>
          </cell>
          <cell r="AP53" t="e">
            <v>#DIV/0!</v>
          </cell>
          <cell r="AQ53">
            <v>1000</v>
          </cell>
          <cell r="AR53">
            <v>0</v>
          </cell>
          <cell r="AS53">
            <v>-1000</v>
          </cell>
          <cell r="AT53">
            <v>500</v>
          </cell>
          <cell r="AU53">
            <v>1.4044943820224719E-3</v>
          </cell>
          <cell r="AV53">
            <v>0</v>
          </cell>
          <cell r="AW53" t="e">
            <v>#DIV/0!</v>
          </cell>
          <cell r="AX53">
            <v>1500</v>
          </cell>
          <cell r="AY53">
            <v>0</v>
          </cell>
          <cell r="AZ53">
            <v>-1500</v>
          </cell>
          <cell r="BA53">
            <v>500</v>
          </cell>
          <cell r="BB53">
            <v>1.4044943820224719E-3</v>
          </cell>
          <cell r="BC53">
            <v>0</v>
          </cell>
          <cell r="BD53" t="e">
            <v>#DIV/0!</v>
          </cell>
          <cell r="BE53">
            <v>2000</v>
          </cell>
          <cell r="BF53">
            <v>0</v>
          </cell>
          <cell r="BG53">
            <v>-2000</v>
          </cell>
          <cell r="BH53">
            <v>500</v>
          </cell>
          <cell r="BI53">
            <v>1.4044943820224719E-3</v>
          </cell>
          <cell r="BJ53">
            <v>0</v>
          </cell>
          <cell r="BK53" t="e">
            <v>#DIV/0!</v>
          </cell>
          <cell r="BL53">
            <v>2500</v>
          </cell>
          <cell r="BM53">
            <v>0</v>
          </cell>
          <cell r="BN53">
            <v>-2500</v>
          </cell>
          <cell r="BO53">
            <v>500</v>
          </cell>
          <cell r="BP53">
            <v>1.4044943820224719E-3</v>
          </cell>
          <cell r="BQ53">
            <v>0</v>
          </cell>
          <cell r="BR53" t="e">
            <v>#DIV/0!</v>
          </cell>
          <cell r="BS53">
            <v>3000</v>
          </cell>
          <cell r="BT53">
            <v>0</v>
          </cell>
          <cell r="BU53">
            <v>-3000</v>
          </cell>
          <cell r="BV53">
            <v>500</v>
          </cell>
          <cell r="BW53">
            <v>1.4044943820224719E-3</v>
          </cell>
          <cell r="BX53">
            <v>0</v>
          </cell>
          <cell r="BY53" t="e">
            <v>#DIV/0!</v>
          </cell>
          <cell r="BZ53">
            <v>3500</v>
          </cell>
          <cell r="CA53">
            <v>0</v>
          </cell>
          <cell r="CB53">
            <v>-3500</v>
          </cell>
          <cell r="CC53">
            <v>500</v>
          </cell>
          <cell r="CD53">
            <v>1.4044943820224719E-3</v>
          </cell>
          <cell r="CE53">
            <v>0</v>
          </cell>
          <cell r="CF53" t="e">
            <v>#DIV/0!</v>
          </cell>
          <cell r="CG53">
            <v>4000</v>
          </cell>
          <cell r="CH53">
            <v>0</v>
          </cell>
        </row>
        <row r="67">
          <cell r="A67" t="str">
            <v>13º (+ Encargos)</v>
          </cell>
          <cell r="B67">
            <v>8.146872084833027E-4</v>
          </cell>
          <cell r="C67">
            <v>306.25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 t="e">
            <v>#DIV/0!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e">
            <v>#DIV/0!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e">
            <v>#DIV/0!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3070.3049999999998</v>
          </cell>
          <cell r="BW67">
            <v>7.3102500000000001E-2</v>
          </cell>
          <cell r="BX67">
            <v>0</v>
          </cell>
          <cell r="BY67" t="e">
            <v>#DIV/0!</v>
          </cell>
          <cell r="BZ67">
            <v>3070.3049999999998</v>
          </cell>
          <cell r="CA67">
            <v>0</v>
          </cell>
          <cell r="CB67">
            <v>-3070.3049999999998</v>
          </cell>
          <cell r="CC67">
            <v>3070.3049999999998</v>
          </cell>
          <cell r="CD67">
            <v>7.3102500000000001E-2</v>
          </cell>
          <cell r="CE67">
            <v>0</v>
          </cell>
          <cell r="CF67" t="e">
            <v>#DIV/0!</v>
          </cell>
          <cell r="CG67">
            <v>6140.61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e">
            <v>#DIV/0!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e">
            <v>#DIV/0!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e">
            <v>#DIV/0!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e">
            <v>#DIV/0!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e">
            <v>#DIV/0!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e">
            <v>#DIV/0!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e">
            <v>#DIV/0!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e">
            <v>#DIV/0!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e">
            <v>#DIV/0!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2.1548709432157209E-3</v>
          </cell>
          <cell r="C71">
            <v>810.04000000000008</v>
          </cell>
          <cell r="D71">
            <v>808</v>
          </cell>
          <cell r="E71">
            <v>1.9238095238095238E-2</v>
          </cell>
          <cell r="F71">
            <v>88.47</v>
          </cell>
          <cell r="G71">
            <v>1.6997511661893422E-3</v>
          </cell>
          <cell r="H71">
            <v>808</v>
          </cell>
          <cell r="I71">
            <v>88.47</v>
          </cell>
          <cell r="J71">
            <v>-719.53</v>
          </cell>
          <cell r="K71">
            <v>808</v>
          </cell>
          <cell r="L71">
            <v>1.9238095238095238E-2</v>
          </cell>
          <cell r="M71">
            <v>88.47</v>
          </cell>
          <cell r="N71">
            <v>3.7394894225327166E-3</v>
          </cell>
          <cell r="O71">
            <v>1616</v>
          </cell>
          <cell r="P71">
            <v>176.94</v>
          </cell>
          <cell r="Q71">
            <v>-1439.06</v>
          </cell>
          <cell r="R71">
            <v>808</v>
          </cell>
          <cell r="S71">
            <v>1.9238095238095238E-2</v>
          </cell>
          <cell r="T71">
            <v>88.47</v>
          </cell>
          <cell r="U71">
            <v>2.4312960316587888E-3</v>
          </cell>
          <cell r="V71">
            <v>2424</v>
          </cell>
          <cell r="W71">
            <v>265.40999999999997</v>
          </cell>
          <cell r="X71">
            <v>-2158.59</v>
          </cell>
          <cell r="Y71">
            <v>808</v>
          </cell>
          <cell r="Z71">
            <v>1.9238095238095238E-2</v>
          </cell>
          <cell r="AA71">
            <v>0</v>
          </cell>
          <cell r="AB71" t="e">
            <v>#DIV/0!</v>
          </cell>
          <cell r="AC71">
            <v>3232</v>
          </cell>
          <cell r="AD71">
            <v>265.40999999999997</v>
          </cell>
          <cell r="AE71">
            <v>-2966.59</v>
          </cell>
          <cell r="AF71">
            <v>808</v>
          </cell>
          <cell r="AG71">
            <v>1.9238095238095238E-2</v>
          </cell>
          <cell r="AH71">
            <v>0</v>
          </cell>
          <cell r="AI71" t="e">
            <v>#DIV/0!</v>
          </cell>
          <cell r="AJ71">
            <v>4040</v>
          </cell>
          <cell r="AK71">
            <v>265.40999999999997</v>
          </cell>
          <cell r="AL71">
            <v>-3774.59</v>
          </cell>
          <cell r="AM71">
            <v>808</v>
          </cell>
          <cell r="AN71">
            <v>1.9238095238095238E-2</v>
          </cell>
          <cell r="AO71">
            <v>0</v>
          </cell>
          <cell r="AP71" t="e">
            <v>#DIV/0!</v>
          </cell>
          <cell r="AQ71">
            <v>4848</v>
          </cell>
          <cell r="AR71">
            <v>265.40999999999997</v>
          </cell>
          <cell r="AS71">
            <v>-4582.59</v>
          </cell>
          <cell r="AT71">
            <v>808</v>
          </cell>
          <cell r="AU71">
            <v>1.9238095238095238E-2</v>
          </cell>
          <cell r="AV71">
            <v>0</v>
          </cell>
          <cell r="AW71" t="e">
            <v>#DIV/0!</v>
          </cell>
          <cell r="AX71">
            <v>5656</v>
          </cell>
          <cell r="AY71">
            <v>265.40999999999997</v>
          </cell>
          <cell r="AZ71">
            <v>-5390.59</v>
          </cell>
          <cell r="BA71">
            <v>808</v>
          </cell>
          <cell r="BB71">
            <v>1.9238095238095238E-2</v>
          </cell>
          <cell r="BC71">
            <v>0</v>
          </cell>
          <cell r="BD71" t="e">
            <v>#DIV/0!</v>
          </cell>
          <cell r="BE71">
            <v>6464</v>
          </cell>
          <cell r="BF71">
            <v>265.40999999999997</v>
          </cell>
          <cell r="BG71">
            <v>-6198.59</v>
          </cell>
          <cell r="BH71">
            <v>808</v>
          </cell>
          <cell r="BI71">
            <v>1.9238095238095238E-2</v>
          </cell>
          <cell r="BJ71">
            <v>0</v>
          </cell>
          <cell r="BK71" t="e">
            <v>#DIV/0!</v>
          </cell>
          <cell r="BL71">
            <v>7272</v>
          </cell>
          <cell r="BM71">
            <v>265.40999999999997</v>
          </cell>
          <cell r="BN71">
            <v>-7006.59</v>
          </cell>
          <cell r="BO71">
            <v>808</v>
          </cell>
          <cell r="BP71">
            <v>1.9238095238095238E-2</v>
          </cell>
          <cell r="BQ71">
            <v>0</v>
          </cell>
          <cell r="BR71" t="e">
            <v>#DIV/0!</v>
          </cell>
          <cell r="BS71">
            <v>8080</v>
          </cell>
          <cell r="BT71">
            <v>265.40999999999997</v>
          </cell>
          <cell r="BU71">
            <v>-7814.59</v>
          </cell>
          <cell r="BV71">
            <v>808</v>
          </cell>
          <cell r="BW71">
            <v>1.9238095238095238E-2</v>
          </cell>
          <cell r="BX71">
            <v>0</v>
          </cell>
          <cell r="BY71" t="e">
            <v>#DIV/0!</v>
          </cell>
          <cell r="BZ71">
            <v>8888</v>
          </cell>
          <cell r="CA71">
            <v>265.40999999999997</v>
          </cell>
          <cell r="CB71">
            <v>-8622.59</v>
          </cell>
          <cell r="CC71">
            <v>808</v>
          </cell>
          <cell r="CD71">
            <v>1.9238095238095238E-2</v>
          </cell>
          <cell r="CE71">
            <v>0</v>
          </cell>
          <cell r="CF71" t="e">
            <v>#DIV/0!</v>
          </cell>
          <cell r="CG71">
            <v>9696</v>
          </cell>
          <cell r="CH71">
            <v>265.40999999999997</v>
          </cell>
        </row>
        <row r="72">
          <cell r="A72" t="str">
            <v>Back Office / Encerramento</v>
          </cell>
          <cell r="B72">
            <v>1.3663108644447372E-6</v>
          </cell>
          <cell r="C72">
            <v>0.51361147920217609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e">
            <v>#DIV/0!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e">
            <v>#DIV/0!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 t="e">
            <v>#DIV/0!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e">
            <v>#DIV/0!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e">
            <v>#DIV/0!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 t="e">
            <v>#DIV/0!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1.2258526583758081E-2</v>
          </cell>
          <cell r="C74">
            <v>4608.1167436825608</v>
          </cell>
          <cell r="D74">
            <v>4600</v>
          </cell>
          <cell r="E74">
            <v>0.10952380952380952</v>
          </cell>
          <cell r="F74">
            <v>4712.1330590957305</v>
          </cell>
          <cell r="G74">
            <v>9.053299041977303E-2</v>
          </cell>
          <cell r="H74">
            <v>4600</v>
          </cell>
          <cell r="I74">
            <v>4712.1330590957305</v>
          </cell>
          <cell r="J74">
            <v>112.13305909573046</v>
          </cell>
          <cell r="K74">
            <v>4600</v>
          </cell>
          <cell r="L74">
            <v>0.10952380952380952</v>
          </cell>
          <cell r="M74">
            <v>3140.5097521407529</v>
          </cell>
          <cell r="N74">
            <v>0.13274446704522649</v>
          </cell>
          <cell r="O74">
            <v>9200</v>
          </cell>
          <cell r="P74">
            <v>7852.6428112364829</v>
          </cell>
          <cell r="Q74">
            <v>-1347.3571887635171</v>
          </cell>
          <cell r="R74">
            <v>4600</v>
          </cell>
          <cell r="S74">
            <v>0.10952380952380952</v>
          </cell>
          <cell r="T74">
            <v>2885.309476123372</v>
          </cell>
          <cell r="U74">
            <v>7.9292884360870938E-2</v>
          </cell>
          <cell r="V74">
            <v>13800</v>
          </cell>
          <cell r="W74">
            <v>10737.952287359854</v>
          </cell>
          <cell r="X74">
            <v>-3062.0477126401456</v>
          </cell>
          <cell r="Y74">
            <v>4600</v>
          </cell>
          <cell r="Z74">
            <v>0.10952380952380952</v>
          </cell>
          <cell r="AA74">
            <v>0</v>
          </cell>
          <cell r="AB74" t="e">
            <v>#DIV/0!</v>
          </cell>
          <cell r="AC74">
            <v>18400</v>
          </cell>
          <cell r="AD74">
            <v>10737.952287359854</v>
          </cell>
          <cell r="AE74">
            <v>-7662.0477126401456</v>
          </cell>
          <cell r="AF74">
            <v>4600</v>
          </cell>
          <cell r="AG74">
            <v>0.10952380952380952</v>
          </cell>
          <cell r="AH74">
            <v>0</v>
          </cell>
          <cell r="AI74" t="e">
            <v>#DIV/0!</v>
          </cell>
          <cell r="AJ74">
            <v>23000</v>
          </cell>
          <cell r="AK74">
            <v>10737.952287359854</v>
          </cell>
          <cell r="AL74">
            <v>-12262.047712640146</v>
          </cell>
          <cell r="AM74">
            <v>4600</v>
          </cell>
          <cell r="AN74">
            <v>0.10952380952380952</v>
          </cell>
          <cell r="AO74">
            <v>0</v>
          </cell>
          <cell r="AP74" t="e">
            <v>#DIV/0!</v>
          </cell>
          <cell r="AQ74">
            <v>27600</v>
          </cell>
          <cell r="AR74">
            <v>10737.952287359854</v>
          </cell>
          <cell r="AS74">
            <v>-16862.047712640146</v>
          </cell>
          <cell r="AT74">
            <v>4600</v>
          </cell>
          <cell r="AU74">
            <v>0.10952380952380952</v>
          </cell>
          <cell r="AV74">
            <v>0</v>
          </cell>
          <cell r="AW74" t="e">
            <v>#DIV/0!</v>
          </cell>
          <cell r="AX74">
            <v>32200</v>
          </cell>
          <cell r="AY74">
            <v>10737.952287359854</v>
          </cell>
          <cell r="AZ74">
            <v>-21462.047712640146</v>
          </cell>
          <cell r="BA74">
            <v>4600</v>
          </cell>
          <cell r="BB74">
            <v>0.10952380952380952</v>
          </cell>
          <cell r="BC74">
            <v>0</v>
          </cell>
          <cell r="BD74" t="e">
            <v>#DIV/0!</v>
          </cell>
          <cell r="BE74">
            <v>36800</v>
          </cell>
          <cell r="BF74">
            <v>10737.952287359854</v>
          </cell>
          <cell r="BG74">
            <v>-26062.047712640146</v>
          </cell>
          <cell r="BH74">
            <v>4600</v>
          </cell>
          <cell r="BI74">
            <v>0.10952380952380952</v>
          </cell>
          <cell r="BJ74">
            <v>0</v>
          </cell>
          <cell r="BK74" t="e">
            <v>#DIV/0!</v>
          </cell>
          <cell r="BL74">
            <v>41400</v>
          </cell>
          <cell r="BM74">
            <v>10737.952287359854</v>
          </cell>
          <cell r="BN74">
            <v>-30662.047712640146</v>
          </cell>
          <cell r="BO74">
            <v>4600</v>
          </cell>
          <cell r="BP74">
            <v>0.10952380952380952</v>
          </cell>
          <cell r="BQ74">
            <v>0</v>
          </cell>
          <cell r="BR74" t="e">
            <v>#DIV/0!</v>
          </cell>
          <cell r="BS74">
            <v>46000</v>
          </cell>
          <cell r="BT74">
            <v>10737.952287359854</v>
          </cell>
          <cell r="BU74">
            <v>-35262.047712640146</v>
          </cell>
          <cell r="BV74">
            <v>4600</v>
          </cell>
          <cell r="BW74">
            <v>0.10952380952380952</v>
          </cell>
          <cell r="BX74">
            <v>0</v>
          </cell>
          <cell r="BY74" t="e">
            <v>#DIV/0!</v>
          </cell>
          <cell r="BZ74">
            <v>50600</v>
          </cell>
          <cell r="CA74">
            <v>10737.952287359854</v>
          </cell>
          <cell r="CB74">
            <v>-39862.047712640146</v>
          </cell>
          <cell r="CC74">
            <v>4600</v>
          </cell>
          <cell r="CD74">
            <v>0.10952380952380952</v>
          </cell>
          <cell r="CE74">
            <v>0</v>
          </cell>
          <cell r="CF74" t="e">
            <v>#DIV/0!</v>
          </cell>
          <cell r="CG74">
            <v>55200</v>
          </cell>
          <cell r="CH74">
            <v>10737.952287359854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e">
            <v>#DIV/0!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e">
            <v>#DIV/0!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 t="e">
            <v>#DIV/0!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e">
            <v>#DIV/0!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e">
            <v>#DIV/0!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 t="e">
            <v>#DIV/0!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e">
            <v>#DIV/0!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e">
            <v>#DIV/0!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 t="e">
            <v>#DIV/0!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#DIV/0!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e">
            <v>#DIV/0!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 t="e">
            <v>#DIV/0!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e">
            <v>#DIV/0!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 t="e">
            <v>#DIV/0!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</row>
        <row r="80">
          <cell r="A80" t="str">
            <v>Correios</v>
          </cell>
          <cell r="B80">
            <v>4.139426679494639E-4</v>
          </cell>
          <cell r="C80">
            <v>155.60566158333333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e">
            <v>#DIV/0!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e">
            <v>#DIV/0!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 t="e">
            <v>#DIV/0!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e">
            <v>#DIV/0!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 t="e">
            <v>#DIV/0!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</row>
        <row r="82">
          <cell r="A82" t="str">
            <v>Custas/Guias/Despesas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e">
            <v>#DIV/0!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 t="e">
            <v>#DIV/0!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</row>
        <row r="83">
          <cell r="A83" t="str">
            <v>Deslocamento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e">
            <v>#DIV/0!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 t="e">
            <v>#DIV/0!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e">
            <v>#DIV/0!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e">
            <v>#DIV/0!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 t="e">
            <v>#DIV/0!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e">
            <v>#DIV/0!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e">
            <v>#DIV/0!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 t="e">
            <v>#DIV/0!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3.1846370309706472E-3</v>
          </cell>
          <cell r="C86">
            <v>1197.140547413848</v>
          </cell>
          <cell r="D86">
            <v>2772.3073965973235</v>
          </cell>
          <cell r="E86">
            <v>6.6007318966602946E-2</v>
          </cell>
          <cell r="F86">
            <v>2914.6316067722632</v>
          </cell>
          <cell r="G86">
            <v>5.5998061180326332E-2</v>
          </cell>
          <cell r="H86">
            <v>2772.3073965973235</v>
          </cell>
          <cell r="I86">
            <v>2914.6316067722632</v>
          </cell>
          <cell r="J86">
            <v>142.32421017493971</v>
          </cell>
          <cell r="K86">
            <v>2772.3073965973235</v>
          </cell>
          <cell r="L86">
            <v>6.6007318966602946E-2</v>
          </cell>
          <cell r="M86">
            <v>2772.3073965973235</v>
          </cell>
          <cell r="N86">
            <v>0.11718112564242007</v>
          </cell>
          <cell r="O86">
            <v>5544.6147931946471</v>
          </cell>
          <cell r="P86">
            <v>5686.9390033695872</v>
          </cell>
          <cell r="Q86">
            <v>142.32421017494016</v>
          </cell>
          <cell r="R86">
            <v>2772.3073965973235</v>
          </cell>
          <cell r="S86">
            <v>6.6007318966602946E-2</v>
          </cell>
          <cell r="T86">
            <v>2830.0774117513379</v>
          </cell>
          <cell r="U86">
            <v>7.7775019560056557E-2</v>
          </cell>
          <cell r="V86">
            <v>8316.9221897919706</v>
          </cell>
          <cell r="W86">
            <v>8517.0164151209246</v>
          </cell>
          <cell r="X86">
            <v>200.09422532895405</v>
          </cell>
          <cell r="Y86">
            <v>2772.3073965973235</v>
          </cell>
          <cell r="Z86">
            <v>6.6007318966602946E-2</v>
          </cell>
          <cell r="AA86">
            <v>0</v>
          </cell>
          <cell r="AB86" t="e">
            <v>#DIV/0!</v>
          </cell>
          <cell r="AC86">
            <v>11089.229586389294</v>
          </cell>
          <cell r="AD86">
            <v>8517.0164151209246</v>
          </cell>
          <cell r="AE86">
            <v>-2572.2131712683695</v>
          </cell>
          <cell r="AF86">
            <v>2772.3073965973235</v>
          </cell>
          <cell r="AG86">
            <v>6.6007318966602946E-2</v>
          </cell>
          <cell r="AH86">
            <v>0</v>
          </cell>
          <cell r="AI86" t="e">
            <v>#DIV/0!</v>
          </cell>
          <cell r="AJ86">
            <v>13861.536982986618</v>
          </cell>
          <cell r="AK86">
            <v>8517.0164151209246</v>
          </cell>
          <cell r="AL86">
            <v>-5344.520567865693</v>
          </cell>
          <cell r="AM86">
            <v>2772.3073965973235</v>
          </cell>
          <cell r="AN86">
            <v>6.6007318966602946E-2</v>
          </cell>
          <cell r="AO86">
            <v>0</v>
          </cell>
          <cell r="AP86" t="e">
            <v>#DIV/0!</v>
          </cell>
          <cell r="AQ86">
            <v>16633.844379583941</v>
          </cell>
          <cell r="AR86">
            <v>8517.0164151209246</v>
          </cell>
          <cell r="AS86">
            <v>-8116.8279644630165</v>
          </cell>
          <cell r="AT86">
            <v>2772.3073965973235</v>
          </cell>
          <cell r="AU86">
            <v>6.6007318966602946E-2</v>
          </cell>
          <cell r="AV86">
            <v>0</v>
          </cell>
          <cell r="AW86" t="e">
            <v>#DIV/0!</v>
          </cell>
          <cell r="AX86">
            <v>19406.151776181265</v>
          </cell>
          <cell r="AY86">
            <v>8517.0164151209246</v>
          </cell>
          <cell r="AZ86">
            <v>-10889.13536106034</v>
          </cell>
          <cell r="BA86">
            <v>2772.3073965973235</v>
          </cell>
          <cell r="BB86">
            <v>6.6007318966602946E-2</v>
          </cell>
          <cell r="BC86">
            <v>0</v>
          </cell>
          <cell r="BD86" t="e">
            <v>#DIV/0!</v>
          </cell>
          <cell r="BE86">
            <v>22178.459172778588</v>
          </cell>
          <cell r="BF86">
            <v>8517.0164151209246</v>
          </cell>
          <cell r="BG86">
            <v>-13661.442757657664</v>
          </cell>
          <cell r="BH86">
            <v>2772.3073965973235</v>
          </cell>
          <cell r="BI86">
            <v>6.6007318966602946E-2</v>
          </cell>
          <cell r="BJ86">
            <v>0</v>
          </cell>
          <cell r="BK86" t="e">
            <v>#DIV/0!</v>
          </cell>
          <cell r="BL86">
            <v>24950.766569375912</v>
          </cell>
          <cell r="BM86">
            <v>8517.0164151209246</v>
          </cell>
          <cell r="BN86">
            <v>-16433.750154254987</v>
          </cell>
          <cell r="BO86">
            <v>2772.3073965973235</v>
          </cell>
          <cell r="BP86">
            <v>6.6007318966602946E-2</v>
          </cell>
          <cell r="BQ86">
            <v>0</v>
          </cell>
          <cell r="BR86" t="e">
            <v>#DIV/0!</v>
          </cell>
          <cell r="BS86">
            <v>27723.073965973235</v>
          </cell>
          <cell r="BT86">
            <v>8517.0164151209246</v>
          </cell>
          <cell r="BU86">
            <v>-19206.057550852311</v>
          </cell>
          <cell r="BV86">
            <v>2772.3073965973235</v>
          </cell>
          <cell r="BW86">
            <v>6.6007318966602946E-2</v>
          </cell>
          <cell r="BX86">
            <v>0</v>
          </cell>
          <cell r="BY86" t="e">
            <v>#DIV/0!</v>
          </cell>
          <cell r="BZ86">
            <v>30495.381362570559</v>
          </cell>
          <cell r="CA86">
            <v>8517.0164151209246</v>
          </cell>
          <cell r="CB86">
            <v>-21978.364947449634</v>
          </cell>
          <cell r="CC86">
            <v>2772.3073965973235</v>
          </cell>
          <cell r="CD86">
            <v>6.6007318966602946E-2</v>
          </cell>
          <cell r="CE86">
            <v>0</v>
          </cell>
          <cell r="CF86" t="e">
            <v>#DIV/0!</v>
          </cell>
          <cell r="CG86">
            <v>33267.688759167882</v>
          </cell>
          <cell r="CH86">
            <v>8517.0164151209246</v>
          </cell>
        </row>
        <row r="87">
          <cell r="A87" t="str">
            <v>Encargos Rescisórios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3000</v>
          </cell>
          <cell r="S87">
            <v>7.1428571428571425E-2</v>
          </cell>
          <cell r="T87">
            <v>0</v>
          </cell>
          <cell r="U87">
            <v>0</v>
          </cell>
          <cell r="V87">
            <v>3000</v>
          </cell>
          <cell r="W87">
            <v>0</v>
          </cell>
          <cell r="X87">
            <v>-3000</v>
          </cell>
          <cell r="Y87">
            <v>0</v>
          </cell>
          <cell r="Z87">
            <v>0</v>
          </cell>
          <cell r="AA87">
            <v>0</v>
          </cell>
          <cell r="AB87" t="e">
            <v>#DIV/0!</v>
          </cell>
          <cell r="AC87">
            <v>3000</v>
          </cell>
          <cell r="AD87">
            <v>0</v>
          </cell>
          <cell r="AE87">
            <v>-3000</v>
          </cell>
          <cell r="AF87">
            <v>0</v>
          </cell>
          <cell r="AG87">
            <v>0</v>
          </cell>
          <cell r="AH87">
            <v>0</v>
          </cell>
          <cell r="AI87" t="e">
            <v>#DIV/0!</v>
          </cell>
          <cell r="AJ87">
            <v>3000</v>
          </cell>
          <cell r="AK87">
            <v>0</v>
          </cell>
          <cell r="AL87">
            <v>-3000</v>
          </cell>
          <cell r="AM87">
            <v>0</v>
          </cell>
          <cell r="AN87">
            <v>0</v>
          </cell>
          <cell r="AO87">
            <v>0</v>
          </cell>
          <cell r="AP87" t="e">
            <v>#DIV/0!</v>
          </cell>
          <cell r="AQ87">
            <v>3000</v>
          </cell>
          <cell r="AR87">
            <v>0</v>
          </cell>
          <cell r="AS87">
            <v>-3000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3000</v>
          </cell>
          <cell r="AY87">
            <v>0</v>
          </cell>
          <cell r="AZ87">
            <v>-3000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3000</v>
          </cell>
          <cell r="BF87">
            <v>0</v>
          </cell>
          <cell r="BG87">
            <v>-3000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3000</v>
          </cell>
          <cell r="BM87">
            <v>0</v>
          </cell>
          <cell r="BN87">
            <v>-3000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3000</v>
          </cell>
          <cell r="BT87">
            <v>0</v>
          </cell>
          <cell r="BU87">
            <v>-3000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3000</v>
          </cell>
          <cell r="CA87">
            <v>0</v>
          </cell>
          <cell r="CB87">
            <v>-3000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3000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#DIV/0!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e">
            <v>#DIV/0!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 t="e">
            <v>#DIV/0!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#DIV/0!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e">
            <v>#DIV/0!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 t="e">
            <v>#DIV/0!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1.2581984911097298E-3</v>
          </cell>
          <cell r="C90">
            <v>472.9708333333333</v>
          </cell>
          <cell r="D90">
            <v>170.57249999999999</v>
          </cell>
          <cell r="E90">
            <v>4.0612499999999998E-3</v>
          </cell>
          <cell r="F90">
            <v>0</v>
          </cell>
          <cell r="G90">
            <v>0</v>
          </cell>
          <cell r="H90">
            <v>170.57249999999999</v>
          </cell>
          <cell r="I90">
            <v>0</v>
          </cell>
          <cell r="J90">
            <v>-170.57249999999999</v>
          </cell>
          <cell r="K90">
            <v>170.57249999999999</v>
          </cell>
          <cell r="L90">
            <v>4.0612499999999998E-3</v>
          </cell>
          <cell r="M90">
            <v>0</v>
          </cell>
          <cell r="N90">
            <v>0</v>
          </cell>
          <cell r="O90">
            <v>341.14499999999998</v>
          </cell>
          <cell r="P90">
            <v>0</v>
          </cell>
          <cell r="Q90">
            <v>-341.14499999999998</v>
          </cell>
          <cell r="R90">
            <v>170.57249999999999</v>
          </cell>
          <cell r="S90">
            <v>4.0612499999999998E-3</v>
          </cell>
          <cell r="T90">
            <v>0</v>
          </cell>
          <cell r="U90">
            <v>0</v>
          </cell>
          <cell r="V90">
            <v>511.71749999999997</v>
          </cell>
          <cell r="W90">
            <v>0</v>
          </cell>
          <cell r="X90">
            <v>-511.71749999999997</v>
          </cell>
          <cell r="Y90">
            <v>170.57249999999999</v>
          </cell>
          <cell r="Z90">
            <v>4.0612499999999998E-3</v>
          </cell>
          <cell r="AA90">
            <v>0</v>
          </cell>
          <cell r="AB90" t="e">
            <v>#DIV/0!</v>
          </cell>
          <cell r="AC90">
            <v>682.29</v>
          </cell>
          <cell r="AD90">
            <v>0</v>
          </cell>
          <cell r="AE90">
            <v>-682.29</v>
          </cell>
          <cell r="AF90">
            <v>170.57249999999999</v>
          </cell>
          <cell r="AG90">
            <v>4.0612499999999998E-3</v>
          </cell>
          <cell r="AH90">
            <v>0</v>
          </cell>
          <cell r="AI90" t="e">
            <v>#DIV/0!</v>
          </cell>
          <cell r="AJ90">
            <v>852.86249999999995</v>
          </cell>
          <cell r="AK90">
            <v>0</v>
          </cell>
          <cell r="AL90">
            <v>-852.86249999999995</v>
          </cell>
          <cell r="AM90">
            <v>170.57249999999999</v>
          </cell>
          <cell r="AN90">
            <v>4.0612499999999998E-3</v>
          </cell>
          <cell r="AO90">
            <v>0</v>
          </cell>
          <cell r="AP90" t="e">
            <v>#DIV/0!</v>
          </cell>
          <cell r="AQ90">
            <v>1023.4349999999999</v>
          </cell>
          <cell r="AR90">
            <v>0</v>
          </cell>
          <cell r="AS90">
            <v>-1023.4349999999999</v>
          </cell>
          <cell r="AT90">
            <v>170.57249999999999</v>
          </cell>
          <cell r="AU90">
            <v>4.0612499999999998E-3</v>
          </cell>
          <cell r="AV90">
            <v>0</v>
          </cell>
          <cell r="AW90" t="e">
            <v>#DIV/0!</v>
          </cell>
          <cell r="AX90">
            <v>1194.0074999999999</v>
          </cell>
          <cell r="AY90">
            <v>0</v>
          </cell>
          <cell r="AZ90">
            <v>-1194.0074999999999</v>
          </cell>
          <cell r="BA90">
            <v>170.57249999999999</v>
          </cell>
          <cell r="BB90">
            <v>4.0612499999999998E-3</v>
          </cell>
          <cell r="BC90">
            <v>0</v>
          </cell>
          <cell r="BD90" t="e">
            <v>#DIV/0!</v>
          </cell>
          <cell r="BE90">
            <v>1364.58</v>
          </cell>
          <cell r="BF90">
            <v>0</v>
          </cell>
          <cell r="BG90">
            <v>-1364.58</v>
          </cell>
          <cell r="BH90">
            <v>170.57249999999999</v>
          </cell>
          <cell r="BI90">
            <v>4.0612499999999998E-3</v>
          </cell>
          <cell r="BJ90">
            <v>0</v>
          </cell>
          <cell r="BK90" t="e">
            <v>#DIV/0!</v>
          </cell>
          <cell r="BL90">
            <v>1535.1524999999999</v>
          </cell>
          <cell r="BM90">
            <v>0</v>
          </cell>
          <cell r="BN90">
            <v>-1535.1524999999999</v>
          </cell>
          <cell r="BO90">
            <v>170.57249999999999</v>
          </cell>
          <cell r="BP90">
            <v>4.0612499999999998E-3</v>
          </cell>
          <cell r="BQ90">
            <v>0</v>
          </cell>
          <cell r="BR90" t="e">
            <v>#DIV/0!</v>
          </cell>
          <cell r="BS90">
            <v>1705.7249999999999</v>
          </cell>
          <cell r="BT90">
            <v>0</v>
          </cell>
          <cell r="BU90">
            <v>-1705.7249999999999</v>
          </cell>
          <cell r="BV90">
            <v>170.57249999999999</v>
          </cell>
          <cell r="BW90">
            <v>4.0612499999999998E-3</v>
          </cell>
          <cell r="BX90">
            <v>0</v>
          </cell>
          <cell r="BY90" t="e">
            <v>#DIV/0!</v>
          </cell>
          <cell r="BZ90">
            <v>1876.2974999999999</v>
          </cell>
          <cell r="CA90">
            <v>0</v>
          </cell>
          <cell r="CB90">
            <v>-1876.2974999999999</v>
          </cell>
          <cell r="CC90">
            <v>170.57249999999999</v>
          </cell>
          <cell r="CD90">
            <v>4.0612499999999998E-3</v>
          </cell>
          <cell r="CE90">
            <v>0</v>
          </cell>
          <cell r="CF90" t="e">
            <v>#DIV/0!</v>
          </cell>
          <cell r="CG90">
            <v>2046.87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64</v>
          </cell>
          <cell r="E91">
            <v>1.5238095238095239E-3</v>
          </cell>
          <cell r="F91">
            <v>0</v>
          </cell>
          <cell r="G91">
            <v>0</v>
          </cell>
          <cell r="H91">
            <v>64</v>
          </cell>
          <cell r="I91">
            <v>0</v>
          </cell>
          <cell r="J91">
            <v>-64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64</v>
          </cell>
          <cell r="P91">
            <v>0</v>
          </cell>
          <cell r="Q91">
            <v>-64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64</v>
          </cell>
          <cell r="W91">
            <v>0</v>
          </cell>
          <cell r="X91">
            <v>-64</v>
          </cell>
          <cell r="Y91">
            <v>0</v>
          </cell>
          <cell r="Z91">
            <v>0</v>
          </cell>
          <cell r="AA91">
            <v>0</v>
          </cell>
          <cell r="AB91" t="e">
            <v>#DIV/0!</v>
          </cell>
          <cell r="AC91">
            <v>64</v>
          </cell>
          <cell r="AD91">
            <v>0</v>
          </cell>
          <cell r="AE91">
            <v>-64</v>
          </cell>
          <cell r="AF91">
            <v>0</v>
          </cell>
          <cell r="AG91">
            <v>0</v>
          </cell>
          <cell r="AH91">
            <v>0</v>
          </cell>
          <cell r="AI91" t="e">
            <v>#DIV/0!</v>
          </cell>
          <cell r="AJ91">
            <v>64</v>
          </cell>
          <cell r="AK91">
            <v>0</v>
          </cell>
          <cell r="AL91">
            <v>-64</v>
          </cell>
          <cell r="AM91">
            <v>0</v>
          </cell>
          <cell r="AN91">
            <v>0</v>
          </cell>
          <cell r="AO91">
            <v>0</v>
          </cell>
          <cell r="AP91" t="e">
            <v>#DIV/0!</v>
          </cell>
          <cell r="AQ91">
            <v>64</v>
          </cell>
          <cell r="AR91">
            <v>0</v>
          </cell>
          <cell r="AS91">
            <v>-64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64</v>
          </cell>
          <cell r="AY91">
            <v>0</v>
          </cell>
          <cell r="AZ91">
            <v>-64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64</v>
          </cell>
          <cell r="BF91">
            <v>0</v>
          </cell>
          <cell r="BG91">
            <v>-64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64</v>
          </cell>
          <cell r="BM91">
            <v>0</v>
          </cell>
          <cell r="BN91">
            <v>-64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64</v>
          </cell>
          <cell r="BT91">
            <v>0</v>
          </cell>
          <cell r="BU91">
            <v>-64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64</v>
          </cell>
          <cell r="CA91">
            <v>0</v>
          </cell>
          <cell r="CB91">
            <v>-64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64</v>
          </cell>
          <cell r="CH91">
            <v>0</v>
          </cell>
        </row>
        <row r="92">
          <cell r="A92" t="str">
            <v>Parcerias - Unidade Vitória / Unidade Pará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 t="e">
            <v>#DIV/0!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e">
            <v>#DIV/0!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 t="e">
            <v>#DIV/0!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 t="e">
            <v>#DIV/0!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#DIV/0!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 t="e">
            <v>#DIV/0!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9.774029665858181E-5</v>
          </cell>
          <cell r="C94">
            <v>36.741666666666667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 t="e">
            <v>#DIV/0!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e">
            <v>#DIV/0!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 t="e">
            <v>#DIV/0!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e">
            <v>#DIV/0!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e">
            <v>#DIV/0!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 t="e">
            <v>#DIV/0!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 t="e">
            <v>#DIV/0!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#DIV/0!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 t="e">
            <v>#DIV/0!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</row>
        <row r="97">
          <cell r="A97" t="str">
            <v>Pauta - Gestão de Pauta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e">
            <v>#DIV/0!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 t="e">
            <v>#DIV/0!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</row>
        <row r="98">
          <cell r="A98" t="str">
            <v>Seguro de Vida</v>
          </cell>
          <cell r="B98">
            <v>2.7988910641763975E-4</v>
          </cell>
          <cell r="C98">
            <v>105.21343399999996</v>
          </cell>
          <cell r="D98">
            <v>97.12</v>
          </cell>
          <cell r="E98">
            <v>2.3123809523809525E-3</v>
          </cell>
          <cell r="F98">
            <v>92.079984999999994</v>
          </cell>
          <cell r="G98">
            <v>1.7691088717807972E-3</v>
          </cell>
          <cell r="H98">
            <v>97.12</v>
          </cell>
          <cell r="I98">
            <v>92.079984999999994</v>
          </cell>
          <cell r="J98">
            <v>-5.040015000000011</v>
          </cell>
          <cell r="K98">
            <v>97.12</v>
          </cell>
          <cell r="L98">
            <v>2.3123809523809525E-3</v>
          </cell>
          <cell r="M98">
            <v>92.080000999999996</v>
          </cell>
          <cell r="N98">
            <v>3.8920785550616249E-3</v>
          </cell>
          <cell r="O98">
            <v>194.24</v>
          </cell>
          <cell r="P98">
            <v>184.159986</v>
          </cell>
          <cell r="Q98">
            <v>-10.080014000000006</v>
          </cell>
          <cell r="R98">
            <v>97.12</v>
          </cell>
          <cell r="S98">
            <v>2.3123809523809525E-3</v>
          </cell>
          <cell r="T98">
            <v>92.079983999999996</v>
          </cell>
          <cell r="U98">
            <v>2.5305041222381005E-3</v>
          </cell>
          <cell r="V98">
            <v>291.36</v>
          </cell>
          <cell r="W98">
            <v>276.23996999999997</v>
          </cell>
          <cell r="X98">
            <v>-15.120030000000042</v>
          </cell>
          <cell r="Y98">
            <v>97.12</v>
          </cell>
          <cell r="Z98">
            <v>2.3123809523809525E-3</v>
          </cell>
          <cell r="AA98">
            <v>0</v>
          </cell>
          <cell r="AB98" t="e">
            <v>#DIV/0!</v>
          </cell>
          <cell r="AC98">
            <v>388.48</v>
          </cell>
          <cell r="AD98">
            <v>276.23996999999997</v>
          </cell>
          <cell r="AE98">
            <v>-112.24003000000005</v>
          </cell>
          <cell r="AF98">
            <v>97.12</v>
          </cell>
          <cell r="AG98">
            <v>2.3123809523809525E-3</v>
          </cell>
          <cell r="AH98">
            <v>0</v>
          </cell>
          <cell r="AI98" t="e">
            <v>#DIV/0!</v>
          </cell>
          <cell r="AJ98">
            <v>485.6</v>
          </cell>
          <cell r="AK98">
            <v>276.23996999999997</v>
          </cell>
          <cell r="AL98">
            <v>-209.36003000000005</v>
          </cell>
          <cell r="AM98">
            <v>97.12</v>
          </cell>
          <cell r="AN98">
            <v>2.3123809523809525E-3</v>
          </cell>
          <cell r="AO98">
            <v>0</v>
          </cell>
          <cell r="AP98" t="e">
            <v>#DIV/0!</v>
          </cell>
          <cell r="AQ98">
            <v>582.72</v>
          </cell>
          <cell r="AR98">
            <v>276.23996999999997</v>
          </cell>
          <cell r="AS98">
            <v>-306.48003000000006</v>
          </cell>
          <cell r="AT98">
            <v>97.12</v>
          </cell>
          <cell r="AU98">
            <v>2.3123809523809525E-3</v>
          </cell>
          <cell r="AV98">
            <v>0</v>
          </cell>
          <cell r="AW98" t="e">
            <v>#DIV/0!</v>
          </cell>
          <cell r="AX98">
            <v>679.84</v>
          </cell>
          <cell r="AY98">
            <v>276.23996999999997</v>
          </cell>
          <cell r="AZ98">
            <v>-403.60003000000006</v>
          </cell>
          <cell r="BA98">
            <v>97.12</v>
          </cell>
          <cell r="BB98">
            <v>2.3123809523809525E-3</v>
          </cell>
          <cell r="BC98">
            <v>0</v>
          </cell>
          <cell r="BD98" t="e">
            <v>#DIV/0!</v>
          </cell>
          <cell r="BE98">
            <v>776.96</v>
          </cell>
          <cell r="BF98">
            <v>276.23996999999997</v>
          </cell>
          <cell r="BG98">
            <v>-500.72003000000007</v>
          </cell>
          <cell r="BH98">
            <v>97.12</v>
          </cell>
          <cell r="BI98">
            <v>2.3123809523809525E-3</v>
          </cell>
          <cell r="BJ98">
            <v>0</v>
          </cell>
          <cell r="BK98" t="e">
            <v>#DIV/0!</v>
          </cell>
          <cell r="BL98">
            <v>874.08</v>
          </cell>
          <cell r="BM98">
            <v>276.23996999999997</v>
          </cell>
          <cell r="BN98">
            <v>-597.84003000000007</v>
          </cell>
          <cell r="BO98">
            <v>97.12</v>
          </cell>
          <cell r="BP98">
            <v>2.3123809523809525E-3</v>
          </cell>
          <cell r="BQ98">
            <v>0</v>
          </cell>
          <cell r="BR98" t="e">
            <v>#DIV/0!</v>
          </cell>
          <cell r="BS98">
            <v>971.2</v>
          </cell>
          <cell r="BT98">
            <v>276.23996999999997</v>
          </cell>
          <cell r="BU98">
            <v>-694.96003000000007</v>
          </cell>
          <cell r="BV98">
            <v>97.12</v>
          </cell>
          <cell r="BW98">
            <v>2.3123809523809525E-3</v>
          </cell>
          <cell r="BX98">
            <v>0</v>
          </cell>
          <cell r="BY98" t="e">
            <v>#DIV/0!</v>
          </cell>
          <cell r="BZ98">
            <v>1068.3200000000002</v>
          </cell>
          <cell r="CA98">
            <v>276.23996999999997</v>
          </cell>
          <cell r="CB98">
            <v>-792.08003000000019</v>
          </cell>
          <cell r="CC98">
            <v>97.12</v>
          </cell>
          <cell r="CD98">
            <v>2.3123809523809525E-3</v>
          </cell>
          <cell r="CE98">
            <v>0</v>
          </cell>
          <cell r="CF98" t="e">
            <v>#DIV/0!</v>
          </cell>
          <cell r="CG98">
            <v>1165.44</v>
          </cell>
          <cell r="CH98">
            <v>276.23996999999997</v>
          </cell>
        </row>
        <row r="99">
          <cell r="A99" t="str">
            <v>Plano de Saúde</v>
          </cell>
          <cell r="B99">
            <v>9.4699527436195637E-3</v>
          </cell>
          <cell r="C99">
            <v>3559.8607631666669</v>
          </cell>
          <cell r="D99">
            <v>4520</v>
          </cell>
          <cell r="E99">
            <v>0.10761904761904761</v>
          </cell>
          <cell r="F99">
            <v>4237.6601140000002</v>
          </cell>
          <cell r="G99">
            <v>8.1417064775466952E-2</v>
          </cell>
          <cell r="H99">
            <v>4520</v>
          </cell>
          <cell r="I99">
            <v>4237.6601140000002</v>
          </cell>
          <cell r="J99">
            <v>-282.33988599999975</v>
          </cell>
          <cell r="K99">
            <v>4520</v>
          </cell>
          <cell r="L99">
            <v>0.10761904761904761</v>
          </cell>
          <cell r="M99">
            <v>4565.6793600000001</v>
          </cell>
          <cell r="N99">
            <v>0.19298417173500557</v>
          </cell>
          <cell r="O99">
            <v>9040</v>
          </cell>
          <cell r="P99">
            <v>8803.3394740000003</v>
          </cell>
          <cell r="Q99">
            <v>-236.66052599999966</v>
          </cell>
          <cell r="R99">
            <v>4520</v>
          </cell>
          <cell r="S99">
            <v>0.10761904761904761</v>
          </cell>
          <cell r="T99">
            <v>4882.7108980000003</v>
          </cell>
          <cell r="U99">
            <v>0.13418464598219193</v>
          </cell>
          <cell r="V99">
            <v>13560</v>
          </cell>
          <cell r="W99">
            <v>13686.050372000002</v>
          </cell>
          <cell r="X99">
            <v>126.05037200000152</v>
          </cell>
          <cell r="Y99">
            <v>4520</v>
          </cell>
          <cell r="Z99">
            <v>0.10761904761904761</v>
          </cell>
          <cell r="AA99">
            <v>0</v>
          </cell>
          <cell r="AB99" t="e">
            <v>#DIV/0!</v>
          </cell>
          <cell r="AC99">
            <v>18080</v>
          </cell>
          <cell r="AD99">
            <v>13686.050372000002</v>
          </cell>
          <cell r="AE99">
            <v>-4393.9496279999985</v>
          </cell>
          <cell r="AF99">
            <v>4520</v>
          </cell>
          <cell r="AG99">
            <v>0.10761904761904761</v>
          </cell>
          <cell r="AH99">
            <v>0</v>
          </cell>
          <cell r="AI99" t="e">
            <v>#DIV/0!</v>
          </cell>
          <cell r="AJ99">
            <v>22600</v>
          </cell>
          <cell r="AK99">
            <v>13686.050372000002</v>
          </cell>
          <cell r="AL99">
            <v>-8913.9496279999985</v>
          </cell>
          <cell r="AM99">
            <v>4520</v>
          </cell>
          <cell r="AN99">
            <v>0.10761904761904761</v>
          </cell>
          <cell r="AO99">
            <v>0</v>
          </cell>
          <cell r="AP99" t="e">
            <v>#DIV/0!</v>
          </cell>
          <cell r="AQ99">
            <v>27120</v>
          </cell>
          <cell r="AR99">
            <v>13686.050372000002</v>
          </cell>
          <cell r="AS99">
            <v>-13433.949627999998</v>
          </cell>
          <cell r="AT99">
            <v>4520</v>
          </cell>
          <cell r="AU99">
            <v>0.10761904761904761</v>
          </cell>
          <cell r="AV99">
            <v>0</v>
          </cell>
          <cell r="AW99" t="e">
            <v>#DIV/0!</v>
          </cell>
          <cell r="AX99">
            <v>31640</v>
          </cell>
          <cell r="AY99">
            <v>13686.050372000002</v>
          </cell>
          <cell r="AZ99">
            <v>-17953.949627999998</v>
          </cell>
          <cell r="BA99">
            <v>4520</v>
          </cell>
          <cell r="BB99">
            <v>0.10761904761904761</v>
          </cell>
          <cell r="BC99">
            <v>0</v>
          </cell>
          <cell r="BD99" t="e">
            <v>#DIV/0!</v>
          </cell>
          <cell r="BE99">
            <v>36160</v>
          </cell>
          <cell r="BF99">
            <v>13686.050372000002</v>
          </cell>
          <cell r="BG99">
            <v>-22473.949627999998</v>
          </cell>
          <cell r="BH99">
            <v>4520</v>
          </cell>
          <cell r="BI99">
            <v>0.10761904761904761</v>
          </cell>
          <cell r="BJ99">
            <v>0</v>
          </cell>
          <cell r="BK99" t="e">
            <v>#DIV/0!</v>
          </cell>
          <cell r="BL99">
            <v>40680</v>
          </cell>
          <cell r="BM99">
            <v>13686.050372000002</v>
          </cell>
          <cell r="BN99">
            <v>-26993.949627999998</v>
          </cell>
          <cell r="BO99">
            <v>5198</v>
          </cell>
          <cell r="BP99">
            <v>0.12376190476190477</v>
          </cell>
          <cell r="BQ99">
            <v>0</v>
          </cell>
          <cell r="BR99" t="e">
            <v>#DIV/0!</v>
          </cell>
          <cell r="BS99">
            <v>45878</v>
          </cell>
          <cell r="BT99">
            <v>13686.050372000002</v>
          </cell>
          <cell r="BU99">
            <v>-32191.949627999998</v>
          </cell>
          <cell r="BV99">
            <v>5198</v>
          </cell>
          <cell r="BW99">
            <v>0.12376190476190477</v>
          </cell>
          <cell r="BX99">
            <v>0</v>
          </cell>
          <cell r="BY99" t="e">
            <v>#DIV/0!</v>
          </cell>
          <cell r="BZ99">
            <v>51076</v>
          </cell>
          <cell r="CA99">
            <v>13686.050372000002</v>
          </cell>
          <cell r="CB99">
            <v>-37389.949628000002</v>
          </cell>
          <cell r="CC99">
            <v>5198</v>
          </cell>
          <cell r="CD99">
            <v>0.12376190476190477</v>
          </cell>
          <cell r="CE99">
            <v>0</v>
          </cell>
          <cell r="CF99" t="e">
            <v>#DIV/0!</v>
          </cell>
          <cell r="CG99">
            <v>56274</v>
          </cell>
          <cell r="CH99">
            <v>13686.050372000002</v>
          </cell>
        </row>
        <row r="100">
          <cell r="A100" t="str">
            <v>Plano Odontológico</v>
          </cell>
          <cell r="B100">
            <v>5.5560336874113951E-4</v>
          </cell>
          <cell r="C100">
            <v>208.85749758333336</v>
          </cell>
          <cell r="D100">
            <v>219.45</v>
          </cell>
          <cell r="E100">
            <v>5.2249999999999996E-3</v>
          </cell>
          <cell r="F100">
            <v>292.95998800000001</v>
          </cell>
          <cell r="G100">
            <v>5.6285642731978714E-3</v>
          </cell>
          <cell r="H100">
            <v>219.45</v>
          </cell>
          <cell r="I100">
            <v>292.95998800000001</v>
          </cell>
          <cell r="J100">
            <v>73.509988000000021</v>
          </cell>
          <cell r="K100">
            <v>219.45</v>
          </cell>
          <cell r="L100">
            <v>5.2249999999999996E-3</v>
          </cell>
          <cell r="M100">
            <v>219.73998700000001</v>
          </cell>
          <cell r="N100">
            <v>9.2880677867523079E-3</v>
          </cell>
          <cell r="O100">
            <v>438.9</v>
          </cell>
          <cell r="P100">
            <v>512.69997499999999</v>
          </cell>
          <cell r="Q100">
            <v>73.799975000000018</v>
          </cell>
          <cell r="R100">
            <v>219.45</v>
          </cell>
          <cell r="S100">
            <v>5.2249999999999996E-3</v>
          </cell>
          <cell r="T100">
            <v>219.740027</v>
          </cell>
          <cell r="U100">
            <v>6.0388047433219743E-3</v>
          </cell>
          <cell r="V100">
            <v>658.34999999999991</v>
          </cell>
          <cell r="W100">
            <v>732.44000200000005</v>
          </cell>
          <cell r="X100">
            <v>74.09000200000014</v>
          </cell>
          <cell r="Y100">
            <v>219.45</v>
          </cell>
          <cell r="Z100">
            <v>5.2249999999999996E-3</v>
          </cell>
          <cell r="AA100">
            <v>0</v>
          </cell>
          <cell r="AB100" t="e">
            <v>#DIV/0!</v>
          </cell>
          <cell r="AC100">
            <v>877.8</v>
          </cell>
          <cell r="AD100">
            <v>732.44000200000005</v>
          </cell>
          <cell r="AE100">
            <v>-145.35999799999991</v>
          </cell>
          <cell r="AF100">
            <v>219.45</v>
          </cell>
          <cell r="AG100">
            <v>5.2249999999999996E-3</v>
          </cell>
          <cell r="AH100">
            <v>0</v>
          </cell>
          <cell r="AI100" t="e">
            <v>#DIV/0!</v>
          </cell>
          <cell r="AJ100">
            <v>1097.25</v>
          </cell>
          <cell r="AK100">
            <v>732.44000200000005</v>
          </cell>
          <cell r="AL100">
            <v>-364.80999799999995</v>
          </cell>
          <cell r="AM100">
            <v>219.45</v>
          </cell>
          <cell r="AN100">
            <v>5.2249999999999996E-3</v>
          </cell>
          <cell r="AO100">
            <v>0</v>
          </cell>
          <cell r="AP100" t="e">
            <v>#DIV/0!</v>
          </cell>
          <cell r="AQ100">
            <v>1316.7</v>
          </cell>
          <cell r="AR100">
            <v>732.44000200000005</v>
          </cell>
          <cell r="AS100">
            <v>-584.259998</v>
          </cell>
          <cell r="AT100">
            <v>219.45</v>
          </cell>
          <cell r="AU100">
            <v>5.2249999999999996E-3</v>
          </cell>
          <cell r="AV100">
            <v>0</v>
          </cell>
          <cell r="AW100" t="e">
            <v>#DIV/0!</v>
          </cell>
          <cell r="AX100">
            <v>1536.15</v>
          </cell>
          <cell r="AY100">
            <v>732.44000200000005</v>
          </cell>
          <cell r="AZ100">
            <v>-803.70999800000004</v>
          </cell>
          <cell r="BA100">
            <v>219.45</v>
          </cell>
          <cell r="BB100">
            <v>5.2249999999999996E-3</v>
          </cell>
          <cell r="BC100">
            <v>0</v>
          </cell>
          <cell r="BD100" t="e">
            <v>#DIV/0!</v>
          </cell>
          <cell r="BE100">
            <v>1755.6000000000001</v>
          </cell>
          <cell r="BF100">
            <v>732.44000200000005</v>
          </cell>
          <cell r="BG100">
            <v>-1023.1599980000001</v>
          </cell>
          <cell r="BH100">
            <v>219.45</v>
          </cell>
          <cell r="BI100">
            <v>5.2249999999999996E-3</v>
          </cell>
          <cell r="BJ100">
            <v>0</v>
          </cell>
          <cell r="BK100" t="e">
            <v>#DIV/0!</v>
          </cell>
          <cell r="BL100">
            <v>1975.0500000000002</v>
          </cell>
          <cell r="BM100">
            <v>732.44000200000005</v>
          </cell>
          <cell r="BN100">
            <v>-1242.6099980000001</v>
          </cell>
          <cell r="BO100">
            <v>219.45</v>
          </cell>
          <cell r="BP100">
            <v>5.2249999999999996E-3</v>
          </cell>
          <cell r="BQ100">
            <v>0</v>
          </cell>
          <cell r="BR100" t="e">
            <v>#DIV/0!</v>
          </cell>
          <cell r="BS100">
            <v>2194.5</v>
          </cell>
          <cell r="BT100">
            <v>732.44000200000005</v>
          </cell>
          <cell r="BU100">
            <v>-1462.059998</v>
          </cell>
          <cell r="BV100">
            <v>219.45</v>
          </cell>
          <cell r="BW100">
            <v>5.2249999999999996E-3</v>
          </cell>
          <cell r="BX100">
            <v>0</v>
          </cell>
          <cell r="BY100" t="e">
            <v>#DIV/0!</v>
          </cell>
          <cell r="BZ100">
            <v>2413.9499999999998</v>
          </cell>
          <cell r="CA100">
            <v>732.44000200000005</v>
          </cell>
          <cell r="CB100">
            <v>-1681.5099979999998</v>
          </cell>
          <cell r="CC100">
            <v>219.45</v>
          </cell>
          <cell r="CD100">
            <v>5.2249999999999996E-3</v>
          </cell>
          <cell r="CE100">
            <v>0</v>
          </cell>
          <cell r="CF100" t="e">
            <v>#DIV/0!</v>
          </cell>
          <cell r="CG100">
            <v>2633.3999999999996</v>
          </cell>
          <cell r="CH100">
            <v>732.44000200000005</v>
          </cell>
        </row>
        <row r="101">
          <cell r="A101" t="str">
            <v>Redação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e">
            <v>#DIV/0!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 t="e">
            <v>#DIV/0!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</row>
        <row r="102">
          <cell r="A102" t="str">
            <v>Remuneração</v>
          </cell>
          <cell r="B102">
            <v>6.1790198947990746E-2</v>
          </cell>
          <cell r="C102">
            <v>23227.62433333333</v>
          </cell>
          <cell r="D102">
            <v>22533</v>
          </cell>
          <cell r="E102">
            <v>0.53649999999999998</v>
          </cell>
          <cell r="F102">
            <v>22302.5</v>
          </cell>
          <cell r="G102">
            <v>0.42849214856943374</v>
          </cell>
          <cell r="H102">
            <v>22533</v>
          </cell>
          <cell r="I102">
            <v>22302.5</v>
          </cell>
          <cell r="J102">
            <v>-230.5</v>
          </cell>
          <cell r="K102">
            <v>22533</v>
          </cell>
          <cell r="L102">
            <v>0.53649999999999998</v>
          </cell>
          <cell r="M102">
            <v>21318.55</v>
          </cell>
          <cell r="N102">
            <v>0.90110198065711367</v>
          </cell>
          <cell r="O102">
            <v>45066</v>
          </cell>
          <cell r="P102">
            <v>43621.05</v>
          </cell>
          <cell r="Q102">
            <v>-1444.9499999999971</v>
          </cell>
          <cell r="R102">
            <v>22533</v>
          </cell>
          <cell r="S102">
            <v>0.53649999999999998</v>
          </cell>
          <cell r="T102">
            <v>27962.560000000001</v>
          </cell>
          <cell r="U102">
            <v>0.7684555347916896</v>
          </cell>
          <cell r="V102">
            <v>67599</v>
          </cell>
          <cell r="W102">
            <v>71583.61</v>
          </cell>
          <cell r="X102">
            <v>3984.6100000000006</v>
          </cell>
          <cell r="Y102">
            <v>22973</v>
          </cell>
          <cell r="Z102">
            <v>0.5469761904761905</v>
          </cell>
          <cell r="AA102">
            <v>0</v>
          </cell>
          <cell r="AB102" t="e">
            <v>#DIV/0!</v>
          </cell>
          <cell r="AC102">
            <v>90572</v>
          </cell>
          <cell r="AD102">
            <v>71583.61</v>
          </cell>
          <cell r="AE102">
            <v>-18988.39</v>
          </cell>
          <cell r="AF102">
            <v>22973</v>
          </cell>
          <cell r="AG102">
            <v>0.5469761904761905</v>
          </cell>
          <cell r="AH102">
            <v>0</v>
          </cell>
          <cell r="AI102" t="e">
            <v>#DIV/0!</v>
          </cell>
          <cell r="AJ102">
            <v>113545</v>
          </cell>
          <cell r="AK102">
            <v>71583.61</v>
          </cell>
          <cell r="AL102">
            <v>-41961.39</v>
          </cell>
          <cell r="AM102">
            <v>22973</v>
          </cell>
          <cell r="AN102">
            <v>0.5469761904761905</v>
          </cell>
          <cell r="AO102">
            <v>0</v>
          </cell>
          <cell r="AP102" t="e">
            <v>#DIV/0!</v>
          </cell>
          <cell r="AQ102">
            <v>136518</v>
          </cell>
          <cell r="AR102">
            <v>71583.61</v>
          </cell>
          <cell r="AS102">
            <v>-64934.39</v>
          </cell>
          <cell r="AT102">
            <v>22973</v>
          </cell>
          <cell r="AU102">
            <v>0.5469761904761905</v>
          </cell>
          <cell r="AV102">
            <v>0</v>
          </cell>
          <cell r="AW102" t="e">
            <v>#DIV/0!</v>
          </cell>
          <cell r="AX102">
            <v>159491</v>
          </cell>
          <cell r="AY102">
            <v>71583.61</v>
          </cell>
          <cell r="AZ102">
            <v>-87907.39</v>
          </cell>
          <cell r="BA102">
            <v>22973</v>
          </cell>
          <cell r="BB102">
            <v>0.5469761904761905</v>
          </cell>
          <cell r="BC102">
            <v>0</v>
          </cell>
          <cell r="BD102" t="e">
            <v>#DIV/0!</v>
          </cell>
          <cell r="BE102">
            <v>182464</v>
          </cell>
          <cell r="BF102">
            <v>71583.61</v>
          </cell>
          <cell r="BG102">
            <v>-110880.39</v>
          </cell>
          <cell r="BH102">
            <v>22973</v>
          </cell>
          <cell r="BI102">
            <v>0.5469761904761905</v>
          </cell>
          <cell r="BJ102">
            <v>0</v>
          </cell>
          <cell r="BK102" t="e">
            <v>#DIV/0!</v>
          </cell>
          <cell r="BL102">
            <v>205437</v>
          </cell>
          <cell r="BM102">
            <v>71583.61</v>
          </cell>
          <cell r="BN102">
            <v>-133853.39000000001</v>
          </cell>
          <cell r="BO102">
            <v>22973</v>
          </cell>
          <cell r="BP102">
            <v>0.5469761904761905</v>
          </cell>
          <cell r="BQ102">
            <v>0</v>
          </cell>
          <cell r="BR102" t="e">
            <v>#DIV/0!</v>
          </cell>
          <cell r="BS102">
            <v>228410</v>
          </cell>
          <cell r="BT102">
            <v>71583.61</v>
          </cell>
          <cell r="BU102">
            <v>-156826.39000000001</v>
          </cell>
          <cell r="BV102">
            <v>22973</v>
          </cell>
          <cell r="BW102">
            <v>0.5469761904761905</v>
          </cell>
          <cell r="BX102">
            <v>0</v>
          </cell>
          <cell r="BY102" t="e">
            <v>#DIV/0!</v>
          </cell>
          <cell r="BZ102">
            <v>251383</v>
          </cell>
          <cell r="CA102">
            <v>71583.61</v>
          </cell>
          <cell r="CB102">
            <v>-179799.39</v>
          </cell>
          <cell r="CC102">
            <v>22973</v>
          </cell>
          <cell r="CD102">
            <v>0.5469761904761905</v>
          </cell>
          <cell r="CE102">
            <v>0</v>
          </cell>
          <cell r="CF102" t="e">
            <v>#DIV/0!</v>
          </cell>
          <cell r="CG102">
            <v>274356</v>
          </cell>
          <cell r="CH102">
            <v>71583.61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 t="e">
            <v>#DIV/0!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e">
            <v>#DIV/0!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 t="e">
            <v>#DIV/0!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 t="e">
            <v>#DIV/0!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 t="e">
            <v>#DIV/0!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 t="e">
            <v>#DIV/0!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 t="e">
            <v>#DIV/0!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 t="e">
            <v>#DIV/0!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 t="e">
            <v>#DIV/0!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#DIV/0!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 t="e">
            <v>#DIV/0!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#DIV/0!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 t="e">
            <v>#DIV/0!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5.1130323289254624E-3</v>
          </cell>
          <cell r="C106">
            <v>1922.0458286666665</v>
          </cell>
          <cell r="D106">
            <v>2814</v>
          </cell>
          <cell r="E106">
            <v>6.7000000000000004E-2</v>
          </cell>
          <cell r="F106">
            <v>1539.6898980000001</v>
          </cell>
          <cell r="G106">
            <v>2.9581662707080927E-2</v>
          </cell>
          <cell r="H106">
            <v>2814</v>
          </cell>
          <cell r="I106">
            <v>1539.6898980000001</v>
          </cell>
          <cell r="J106">
            <v>-1274.3101019999999</v>
          </cell>
          <cell r="K106">
            <v>2814</v>
          </cell>
          <cell r="L106">
            <v>6.7000000000000004E-2</v>
          </cell>
          <cell r="M106">
            <v>2052.9197060000001</v>
          </cell>
          <cell r="N106">
            <v>8.6773725849394995E-2</v>
          </cell>
          <cell r="O106">
            <v>5628</v>
          </cell>
          <cell r="P106">
            <v>3592.6096040000002</v>
          </cell>
          <cell r="Q106">
            <v>-2035.3903959999998</v>
          </cell>
          <cell r="R106">
            <v>2814</v>
          </cell>
          <cell r="S106">
            <v>6.7000000000000004E-2</v>
          </cell>
          <cell r="T106">
            <v>1797.7799600000001</v>
          </cell>
          <cell r="U106">
            <v>4.9405846982521713E-2</v>
          </cell>
          <cell r="V106">
            <v>8442</v>
          </cell>
          <cell r="W106">
            <v>5390.3895640000001</v>
          </cell>
          <cell r="X106">
            <v>-3051.6104359999999</v>
          </cell>
          <cell r="Y106">
            <v>2814</v>
          </cell>
          <cell r="Z106">
            <v>6.7000000000000004E-2</v>
          </cell>
          <cell r="AA106">
            <v>0</v>
          </cell>
          <cell r="AB106" t="e">
            <v>#DIV/0!</v>
          </cell>
          <cell r="AC106">
            <v>11256</v>
          </cell>
          <cell r="AD106">
            <v>5390.3895640000001</v>
          </cell>
          <cell r="AE106">
            <v>-5865.6104359999999</v>
          </cell>
          <cell r="AF106">
            <v>2814</v>
          </cell>
          <cell r="AG106">
            <v>6.7000000000000004E-2</v>
          </cell>
          <cell r="AH106">
            <v>0</v>
          </cell>
          <cell r="AI106" t="e">
            <v>#DIV/0!</v>
          </cell>
          <cell r="AJ106">
            <v>14070</v>
          </cell>
          <cell r="AK106">
            <v>5390.3895640000001</v>
          </cell>
          <cell r="AL106">
            <v>-8679.610435999999</v>
          </cell>
          <cell r="AM106">
            <v>2110.5</v>
          </cell>
          <cell r="AN106">
            <v>5.0250000000000003E-2</v>
          </cell>
          <cell r="AO106">
            <v>0</v>
          </cell>
          <cell r="AP106" t="e">
            <v>#DIV/0!</v>
          </cell>
          <cell r="AQ106">
            <v>16180.5</v>
          </cell>
          <cell r="AR106">
            <v>5390.3895640000001</v>
          </cell>
          <cell r="AS106">
            <v>-10790.110435999999</v>
          </cell>
          <cell r="AT106">
            <v>2110.5</v>
          </cell>
          <cell r="AU106">
            <v>5.0250000000000003E-2</v>
          </cell>
          <cell r="AV106">
            <v>0</v>
          </cell>
          <cell r="AW106" t="e">
            <v>#DIV/0!</v>
          </cell>
          <cell r="AX106">
            <v>18291</v>
          </cell>
          <cell r="AY106">
            <v>5390.3895640000001</v>
          </cell>
          <cell r="AZ106">
            <v>-12900.610435999999</v>
          </cell>
          <cell r="BA106">
            <v>2110.5</v>
          </cell>
          <cell r="BB106">
            <v>5.0250000000000003E-2</v>
          </cell>
          <cell r="BC106">
            <v>0</v>
          </cell>
          <cell r="BD106" t="e">
            <v>#DIV/0!</v>
          </cell>
          <cell r="BE106">
            <v>20401.5</v>
          </cell>
          <cell r="BF106">
            <v>5390.3895640000001</v>
          </cell>
          <cell r="BG106">
            <v>-15011.110435999999</v>
          </cell>
          <cell r="BH106">
            <v>2110.5</v>
          </cell>
          <cell r="BI106">
            <v>5.0250000000000003E-2</v>
          </cell>
          <cell r="BJ106">
            <v>0</v>
          </cell>
          <cell r="BK106" t="e">
            <v>#DIV/0!</v>
          </cell>
          <cell r="BL106">
            <v>22512</v>
          </cell>
          <cell r="BM106">
            <v>5390.3895640000001</v>
          </cell>
          <cell r="BN106">
            <v>-17121.610435999999</v>
          </cell>
          <cell r="BO106">
            <v>2110.5</v>
          </cell>
          <cell r="BP106">
            <v>5.0250000000000003E-2</v>
          </cell>
          <cell r="BQ106">
            <v>0</v>
          </cell>
          <cell r="BR106" t="e">
            <v>#DIV/0!</v>
          </cell>
          <cell r="BS106">
            <v>24622.5</v>
          </cell>
          <cell r="BT106">
            <v>5390.3895640000001</v>
          </cell>
          <cell r="BU106">
            <v>-19232.110435999999</v>
          </cell>
          <cell r="BV106">
            <v>2110.5</v>
          </cell>
          <cell r="BW106">
            <v>5.0250000000000003E-2</v>
          </cell>
          <cell r="BX106">
            <v>0</v>
          </cell>
          <cell r="BY106" t="e">
            <v>#DIV/0!</v>
          </cell>
          <cell r="BZ106">
            <v>26733</v>
          </cell>
          <cell r="CA106">
            <v>5390.3895640000001</v>
          </cell>
          <cell r="CB106">
            <v>-21342.610435999999</v>
          </cell>
          <cell r="CC106">
            <v>2110.5</v>
          </cell>
          <cell r="CD106">
            <v>5.0250000000000003E-2</v>
          </cell>
          <cell r="CE106">
            <v>0</v>
          </cell>
          <cell r="CF106" t="e">
            <v>#DIV/0!</v>
          </cell>
          <cell r="CG106">
            <v>28843.5</v>
          </cell>
          <cell r="CH106">
            <v>5390.3895640000001</v>
          </cell>
        </row>
        <row r="107">
          <cell r="A107" t="str">
            <v>Vale Transporte</v>
          </cell>
          <cell r="B107">
            <v>3.2625175148882479E-4</v>
          </cell>
          <cell r="C107">
            <v>122.64166891666666</v>
          </cell>
          <cell r="D107">
            <v>100</v>
          </cell>
          <cell r="E107">
            <v>2.3809523809523812E-3</v>
          </cell>
          <cell r="F107">
            <v>20.000003</v>
          </cell>
          <cell r="G107">
            <v>3.8425487083802804E-4</v>
          </cell>
          <cell r="H107">
            <v>100</v>
          </cell>
          <cell r="I107">
            <v>20.000003</v>
          </cell>
          <cell r="J107">
            <v>-79.999997000000008</v>
          </cell>
          <cell r="K107">
            <v>100</v>
          </cell>
          <cell r="L107">
            <v>2.3809523809523812E-3</v>
          </cell>
          <cell r="M107">
            <v>106.400068</v>
          </cell>
          <cell r="N107">
            <v>4.4973655345626968E-3</v>
          </cell>
          <cell r="O107">
            <v>200</v>
          </cell>
          <cell r="P107">
            <v>126.400071</v>
          </cell>
          <cell r="Q107">
            <v>-73.599929000000003</v>
          </cell>
          <cell r="R107">
            <v>100</v>
          </cell>
          <cell r="S107">
            <v>2.3809523809523812E-3</v>
          </cell>
          <cell r="T107">
            <v>0</v>
          </cell>
          <cell r="U107">
            <v>0</v>
          </cell>
          <cell r="V107">
            <v>300</v>
          </cell>
          <cell r="W107">
            <v>126.400071</v>
          </cell>
          <cell r="X107">
            <v>-173.599929</v>
          </cell>
          <cell r="Y107">
            <v>100</v>
          </cell>
          <cell r="Z107">
            <v>2.3809523809523812E-3</v>
          </cell>
          <cell r="AA107">
            <v>0</v>
          </cell>
          <cell r="AB107" t="e">
            <v>#DIV/0!</v>
          </cell>
          <cell r="AC107">
            <v>400</v>
          </cell>
          <cell r="AD107">
            <v>126.400071</v>
          </cell>
          <cell r="AE107">
            <v>-273.59992899999997</v>
          </cell>
          <cell r="AF107">
            <v>100</v>
          </cell>
          <cell r="AG107">
            <v>2.3809523809523812E-3</v>
          </cell>
          <cell r="AH107">
            <v>0</v>
          </cell>
          <cell r="AI107" t="e">
            <v>#DIV/0!</v>
          </cell>
          <cell r="AJ107">
            <v>500</v>
          </cell>
          <cell r="AK107">
            <v>126.400071</v>
          </cell>
          <cell r="AL107">
            <v>-373.59992899999997</v>
          </cell>
          <cell r="AM107">
            <v>100</v>
          </cell>
          <cell r="AN107">
            <v>2.3809523809523812E-3</v>
          </cell>
          <cell r="AO107">
            <v>0</v>
          </cell>
          <cell r="AP107" t="e">
            <v>#DIV/0!</v>
          </cell>
          <cell r="AQ107">
            <v>600</v>
          </cell>
          <cell r="AR107">
            <v>126.400071</v>
          </cell>
          <cell r="AS107">
            <v>-473.59992899999997</v>
          </cell>
          <cell r="AT107">
            <v>100</v>
          </cell>
          <cell r="AU107">
            <v>2.3809523809523812E-3</v>
          </cell>
          <cell r="AV107">
            <v>0</v>
          </cell>
          <cell r="AW107" t="e">
            <v>#DIV/0!</v>
          </cell>
          <cell r="AX107">
            <v>700</v>
          </cell>
          <cell r="AY107">
            <v>126.400071</v>
          </cell>
          <cell r="AZ107">
            <v>-573.59992899999997</v>
          </cell>
          <cell r="BA107">
            <v>100</v>
          </cell>
          <cell r="BB107">
            <v>2.3809523809523812E-3</v>
          </cell>
          <cell r="BC107">
            <v>0</v>
          </cell>
          <cell r="BD107" t="e">
            <v>#DIV/0!</v>
          </cell>
          <cell r="BE107">
            <v>800</v>
          </cell>
          <cell r="BF107">
            <v>126.400071</v>
          </cell>
          <cell r="BG107">
            <v>-673.59992899999997</v>
          </cell>
          <cell r="BH107">
            <v>100</v>
          </cell>
          <cell r="BI107">
            <v>2.3809523809523812E-3</v>
          </cell>
          <cell r="BJ107">
            <v>0</v>
          </cell>
          <cell r="BK107" t="e">
            <v>#DIV/0!</v>
          </cell>
          <cell r="BL107">
            <v>900</v>
          </cell>
          <cell r="BM107">
            <v>126.400071</v>
          </cell>
          <cell r="BN107">
            <v>-773.59992899999997</v>
          </cell>
          <cell r="BO107">
            <v>100</v>
          </cell>
          <cell r="BP107">
            <v>2.3809523809523812E-3</v>
          </cell>
          <cell r="BQ107">
            <v>0</v>
          </cell>
          <cell r="BR107" t="e">
            <v>#DIV/0!</v>
          </cell>
          <cell r="BS107">
            <v>1000</v>
          </cell>
          <cell r="BT107">
            <v>126.400071</v>
          </cell>
          <cell r="BU107">
            <v>-873.59992899999997</v>
          </cell>
          <cell r="BV107">
            <v>100</v>
          </cell>
          <cell r="BW107">
            <v>2.3809523809523812E-3</v>
          </cell>
          <cell r="BX107">
            <v>0</v>
          </cell>
          <cell r="BY107" t="e">
            <v>#DIV/0!</v>
          </cell>
          <cell r="BZ107">
            <v>1100</v>
          </cell>
          <cell r="CA107">
            <v>126.400071</v>
          </cell>
          <cell r="CB107">
            <v>-973.59992899999997</v>
          </cell>
          <cell r="CC107">
            <v>100</v>
          </cell>
          <cell r="CD107">
            <v>2.3809523809523812E-3</v>
          </cell>
          <cell r="CE107">
            <v>0</v>
          </cell>
          <cell r="CF107" t="e">
            <v>#DIV/0!</v>
          </cell>
          <cell r="CG107">
            <v>1200</v>
          </cell>
          <cell r="CH107">
            <v>126.400071</v>
          </cell>
        </row>
        <row r="108">
          <cell r="A108" t="str">
            <v>Viagens - Alimentação / Hospedagem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60</v>
          </cell>
          <cell r="AG108">
            <v>1.4285714285714286E-3</v>
          </cell>
          <cell r="AH108">
            <v>0</v>
          </cell>
          <cell r="AI108" t="e">
            <v>#DIV/0!</v>
          </cell>
          <cell r="AJ108">
            <v>60</v>
          </cell>
          <cell r="AK108">
            <v>0</v>
          </cell>
          <cell r="AL108">
            <v>-60</v>
          </cell>
          <cell r="AM108">
            <v>60</v>
          </cell>
          <cell r="AN108">
            <v>1.4285714285714286E-3</v>
          </cell>
          <cell r="AO108">
            <v>0</v>
          </cell>
          <cell r="AP108" t="e">
            <v>#DIV/0!</v>
          </cell>
          <cell r="AQ108">
            <v>120</v>
          </cell>
          <cell r="AR108">
            <v>0</v>
          </cell>
          <cell r="AS108">
            <v>-120</v>
          </cell>
          <cell r="AT108">
            <v>60</v>
          </cell>
          <cell r="AU108">
            <v>1.4285714285714286E-3</v>
          </cell>
          <cell r="AV108">
            <v>0</v>
          </cell>
          <cell r="AW108" t="e">
            <v>#DIV/0!</v>
          </cell>
          <cell r="AX108">
            <v>180</v>
          </cell>
          <cell r="AY108">
            <v>0</v>
          </cell>
          <cell r="AZ108">
            <v>-180</v>
          </cell>
          <cell r="BA108">
            <v>60</v>
          </cell>
          <cell r="BB108">
            <v>1.4285714285714286E-3</v>
          </cell>
          <cell r="BC108">
            <v>0</v>
          </cell>
          <cell r="BD108" t="e">
            <v>#DIV/0!</v>
          </cell>
          <cell r="BE108">
            <v>240</v>
          </cell>
          <cell r="BF108">
            <v>0</v>
          </cell>
          <cell r="BG108">
            <v>-240</v>
          </cell>
          <cell r="BH108">
            <v>60</v>
          </cell>
          <cell r="BI108">
            <v>1.4285714285714286E-3</v>
          </cell>
          <cell r="BJ108">
            <v>0</v>
          </cell>
          <cell r="BK108" t="e">
            <v>#DIV/0!</v>
          </cell>
          <cell r="BL108">
            <v>300</v>
          </cell>
          <cell r="BM108">
            <v>0</v>
          </cell>
          <cell r="BN108">
            <v>-300</v>
          </cell>
          <cell r="BO108">
            <v>60</v>
          </cell>
          <cell r="BP108">
            <v>1.4285714285714286E-3</v>
          </cell>
          <cell r="BQ108">
            <v>0</v>
          </cell>
          <cell r="BR108" t="e">
            <v>#DIV/0!</v>
          </cell>
          <cell r="BS108">
            <v>360</v>
          </cell>
          <cell r="BT108">
            <v>0</v>
          </cell>
          <cell r="BU108">
            <v>-360</v>
          </cell>
          <cell r="BV108">
            <v>60</v>
          </cell>
          <cell r="BW108">
            <v>1.4285714285714286E-3</v>
          </cell>
          <cell r="BX108">
            <v>0</v>
          </cell>
          <cell r="BY108" t="e">
            <v>#DIV/0!</v>
          </cell>
          <cell r="BZ108">
            <v>420</v>
          </cell>
          <cell r="CA108">
            <v>0</v>
          </cell>
          <cell r="CB108">
            <v>-420</v>
          </cell>
          <cell r="CC108">
            <v>60</v>
          </cell>
          <cell r="CD108">
            <v>1.4285714285714286E-3</v>
          </cell>
          <cell r="CE108">
            <v>0</v>
          </cell>
          <cell r="CF108" t="e">
            <v>#DIV/0!</v>
          </cell>
          <cell r="CG108">
            <v>480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500</v>
          </cell>
          <cell r="AG109">
            <v>1.1904761904761904E-2</v>
          </cell>
          <cell r="AH109">
            <v>0</v>
          </cell>
          <cell r="AI109" t="e">
            <v>#DIV/0!</v>
          </cell>
          <cell r="AJ109">
            <v>500</v>
          </cell>
          <cell r="AK109">
            <v>0</v>
          </cell>
          <cell r="AL109">
            <v>-500</v>
          </cell>
          <cell r="AM109">
            <v>500</v>
          </cell>
          <cell r="AN109">
            <v>1.1904761904761904E-2</v>
          </cell>
          <cell r="AO109">
            <v>0</v>
          </cell>
          <cell r="AP109" t="e">
            <v>#DIV/0!</v>
          </cell>
          <cell r="AQ109">
            <v>1000</v>
          </cell>
          <cell r="AR109">
            <v>0</v>
          </cell>
          <cell r="AS109">
            <v>-1000</v>
          </cell>
          <cell r="AT109">
            <v>500</v>
          </cell>
          <cell r="AU109">
            <v>1.1904761904761904E-2</v>
          </cell>
          <cell r="AV109">
            <v>0</v>
          </cell>
          <cell r="AW109" t="e">
            <v>#DIV/0!</v>
          </cell>
          <cell r="AX109">
            <v>1500</v>
          </cell>
          <cell r="AY109">
            <v>0</v>
          </cell>
          <cell r="AZ109">
            <v>-1500</v>
          </cell>
          <cell r="BA109">
            <v>500</v>
          </cell>
          <cell r="BB109">
            <v>1.1904761904761904E-2</v>
          </cell>
          <cell r="BC109">
            <v>0</v>
          </cell>
          <cell r="BD109" t="e">
            <v>#DIV/0!</v>
          </cell>
          <cell r="BE109">
            <v>2000</v>
          </cell>
          <cell r="BF109">
            <v>0</v>
          </cell>
          <cell r="BG109">
            <v>-2000</v>
          </cell>
          <cell r="BH109">
            <v>500</v>
          </cell>
          <cell r="BI109">
            <v>1.1904761904761904E-2</v>
          </cell>
          <cell r="BJ109">
            <v>0</v>
          </cell>
          <cell r="BK109" t="e">
            <v>#DIV/0!</v>
          </cell>
          <cell r="BL109">
            <v>2500</v>
          </cell>
          <cell r="BM109">
            <v>0</v>
          </cell>
          <cell r="BN109">
            <v>-2500</v>
          </cell>
          <cell r="BO109">
            <v>500</v>
          </cell>
          <cell r="BP109">
            <v>1.1904761904761904E-2</v>
          </cell>
          <cell r="BQ109">
            <v>0</v>
          </cell>
          <cell r="BR109" t="e">
            <v>#DIV/0!</v>
          </cell>
          <cell r="BS109">
            <v>3000</v>
          </cell>
          <cell r="BT109">
            <v>0</v>
          </cell>
          <cell r="BU109">
            <v>-3000</v>
          </cell>
          <cell r="BV109">
            <v>500</v>
          </cell>
          <cell r="BW109">
            <v>1.1904761904761904E-2</v>
          </cell>
          <cell r="BX109">
            <v>0</v>
          </cell>
          <cell r="BY109" t="e">
            <v>#DIV/0!</v>
          </cell>
          <cell r="BZ109">
            <v>3500</v>
          </cell>
          <cell r="CA109">
            <v>0</v>
          </cell>
          <cell r="CB109">
            <v>-3500</v>
          </cell>
          <cell r="CC109">
            <v>500</v>
          </cell>
          <cell r="CD109">
            <v>1.1904761904761904E-2</v>
          </cell>
          <cell r="CE109">
            <v>0</v>
          </cell>
          <cell r="CF109" t="e">
            <v>#DIV/0!</v>
          </cell>
          <cell r="CG109">
            <v>4000</v>
          </cell>
          <cell r="CH109">
            <v>0</v>
          </cell>
        </row>
        <row r="123">
          <cell r="A123" t="str">
            <v>13º (+ Encargos)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e">
            <v>#DIV/0!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 t="e">
            <v>#DIV/0!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</row>
        <row r="124">
          <cell r="A124" t="str">
            <v>Acordo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e">
            <v>#DIV/0!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 t="e">
            <v>#DIV/0!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</row>
        <row r="125">
          <cell r="A125" t="str">
            <v>Aluguel + IPTU + Condomínio + Energia Elétrica</v>
          </cell>
          <cell r="B125">
            <v>5.3548666060388118E-3</v>
          </cell>
          <cell r="C125">
            <v>2012.9540282735359</v>
          </cell>
          <cell r="D125">
            <v>2089.3904425873611</v>
          </cell>
          <cell r="E125">
            <v>6.5293451330855033E-3</v>
          </cell>
          <cell r="F125">
            <v>1986.5048320000001</v>
          </cell>
          <cell r="G125">
            <v>5.3303543312558819E-3</v>
          </cell>
          <cell r="H125">
            <v>2089.3904425873611</v>
          </cell>
          <cell r="I125">
            <v>1986.5048320000001</v>
          </cell>
          <cell r="J125">
            <v>-102.88561058736104</v>
          </cell>
          <cell r="K125">
            <v>2089.3904425873611</v>
          </cell>
          <cell r="L125">
            <v>6.5293451330855033E-3</v>
          </cell>
          <cell r="M125">
            <v>2011.110997</v>
          </cell>
          <cell r="N125">
            <v>7.759170331588806E-3</v>
          </cell>
          <cell r="O125">
            <v>4178.7808851747222</v>
          </cell>
          <cell r="P125">
            <v>3997.6158290000003</v>
          </cell>
          <cell r="Q125">
            <v>-181.16505617472194</v>
          </cell>
          <cell r="R125">
            <v>2089.3904425873611</v>
          </cell>
          <cell r="S125">
            <v>5.8690742769307901E-3</v>
          </cell>
          <cell r="T125">
            <v>1971.0943159999999</v>
          </cell>
          <cell r="U125">
            <v>5.6598641169265653E-3</v>
          </cell>
          <cell r="V125">
            <v>6268.1713277620838</v>
          </cell>
          <cell r="W125">
            <v>5968.710145</v>
          </cell>
          <cell r="X125">
            <v>-299.46118276208381</v>
          </cell>
          <cell r="Y125">
            <v>2089.3904425873611</v>
          </cell>
          <cell r="Z125">
            <v>5.8690742769307901E-3</v>
          </cell>
          <cell r="AA125">
            <v>0</v>
          </cell>
          <cell r="AB125" t="e">
            <v>#DIV/0!</v>
          </cell>
          <cell r="AC125">
            <v>8357.5617703494445</v>
          </cell>
          <cell r="AD125">
            <v>5968.710145</v>
          </cell>
          <cell r="AE125">
            <v>-2388.8516253494445</v>
          </cell>
          <cell r="AF125">
            <v>2089.3904425873611</v>
          </cell>
          <cell r="AG125">
            <v>5.8690742769307901E-3</v>
          </cell>
          <cell r="AH125">
            <v>0</v>
          </cell>
          <cell r="AI125" t="e">
            <v>#DIV/0!</v>
          </cell>
          <cell r="AJ125">
            <v>10446.952212936805</v>
          </cell>
          <cell r="AK125">
            <v>5968.710145</v>
          </cell>
          <cell r="AL125">
            <v>-4478.2420679368051</v>
          </cell>
          <cell r="AM125">
            <v>2089.3904425873611</v>
          </cell>
          <cell r="AN125">
            <v>5.8690742769307901E-3</v>
          </cell>
          <cell r="AO125">
            <v>0</v>
          </cell>
          <cell r="AP125" t="e">
            <v>#DIV/0!</v>
          </cell>
          <cell r="AQ125">
            <v>12536.342655524166</v>
          </cell>
          <cell r="AR125">
            <v>5968.710145</v>
          </cell>
          <cell r="AS125">
            <v>-6567.6325105241658</v>
          </cell>
          <cell r="AT125">
            <v>2089.3904425873611</v>
          </cell>
          <cell r="AU125">
            <v>5.8690742769307901E-3</v>
          </cell>
          <cell r="AV125">
            <v>0</v>
          </cell>
          <cell r="AW125" t="e">
            <v>#DIV/0!</v>
          </cell>
          <cell r="AX125">
            <v>14625.733098111526</v>
          </cell>
          <cell r="AY125">
            <v>5968.710145</v>
          </cell>
          <cell r="AZ125">
            <v>-8657.0229531115256</v>
          </cell>
          <cell r="BA125">
            <v>2089.3904425873611</v>
          </cell>
          <cell r="BB125">
            <v>5.8690742769307901E-3</v>
          </cell>
          <cell r="BC125">
            <v>0</v>
          </cell>
          <cell r="BD125" t="e">
            <v>#DIV/0!</v>
          </cell>
          <cell r="BE125">
            <v>16715.123540698889</v>
          </cell>
          <cell r="BF125">
            <v>5968.710145</v>
          </cell>
          <cell r="BG125">
            <v>-10746.413395698888</v>
          </cell>
          <cell r="BH125">
            <v>2089.3904425873611</v>
          </cell>
          <cell r="BI125">
            <v>5.8690742769307901E-3</v>
          </cell>
          <cell r="BJ125">
            <v>0</v>
          </cell>
          <cell r="BK125" t="e">
            <v>#DIV/0!</v>
          </cell>
          <cell r="BL125">
            <v>18804.513983286251</v>
          </cell>
          <cell r="BM125">
            <v>5968.710145</v>
          </cell>
          <cell r="BN125">
            <v>-12835.803838286251</v>
          </cell>
          <cell r="BO125">
            <v>2170.358021137703</v>
          </cell>
          <cell r="BP125">
            <v>6.096511295330626E-3</v>
          </cell>
          <cell r="BQ125">
            <v>0</v>
          </cell>
          <cell r="BR125" t="e">
            <v>#DIV/0!</v>
          </cell>
          <cell r="BS125">
            <v>20974.872004423953</v>
          </cell>
          <cell r="BT125">
            <v>5968.710145</v>
          </cell>
          <cell r="BU125">
            <v>-15006.161859423952</v>
          </cell>
          <cell r="BV125">
            <v>2170.358021137703</v>
          </cell>
          <cell r="BW125">
            <v>6.096511295330626E-3</v>
          </cell>
          <cell r="BX125">
            <v>0</v>
          </cell>
          <cell r="BY125" t="e">
            <v>#DIV/0!</v>
          </cell>
          <cell r="BZ125">
            <v>23145.230025561657</v>
          </cell>
          <cell r="CA125">
            <v>5968.710145</v>
          </cell>
          <cell r="CB125">
            <v>-17176.519880561656</v>
          </cell>
          <cell r="CC125">
            <v>2170.358021137703</v>
          </cell>
          <cell r="CD125">
            <v>6.096511295330626E-3</v>
          </cell>
          <cell r="CE125">
            <v>0</v>
          </cell>
          <cell r="CF125" t="e">
            <v>#DIV/0!</v>
          </cell>
          <cell r="CG125">
            <v>25315.588046699362</v>
          </cell>
          <cell r="CH125">
            <v>5968.710145</v>
          </cell>
        </row>
        <row r="126">
          <cell r="A126" t="str">
            <v>Aperfeiçoamento - Treinamentos / Livros / Revistas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e">
            <v>#DIV/0!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 t="e">
            <v>#DIV/0!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</row>
        <row r="127">
          <cell r="A127" t="str">
            <v>OAB / Associações</v>
          </cell>
          <cell r="B127">
            <v>2.8309216655925508E-4</v>
          </cell>
          <cell r="C127">
            <v>106.4175</v>
          </cell>
          <cell r="D127">
            <v>108</v>
          </cell>
          <cell r="E127">
            <v>2.9834254143646407E-4</v>
          </cell>
          <cell r="F127">
            <v>0</v>
          </cell>
          <cell r="G127">
            <v>0</v>
          </cell>
          <cell r="H127">
            <v>108</v>
          </cell>
          <cell r="I127">
            <v>0</v>
          </cell>
          <cell r="J127">
            <v>-108</v>
          </cell>
          <cell r="K127">
            <v>108</v>
          </cell>
          <cell r="L127">
            <v>2.9834254143646407E-4</v>
          </cell>
          <cell r="M127">
            <v>0</v>
          </cell>
          <cell r="N127">
            <v>0</v>
          </cell>
          <cell r="O127">
            <v>216</v>
          </cell>
          <cell r="P127">
            <v>0</v>
          </cell>
          <cell r="Q127">
            <v>-216</v>
          </cell>
          <cell r="R127">
            <v>108</v>
          </cell>
          <cell r="S127">
            <v>2.7135678391959801E-4</v>
          </cell>
          <cell r="T127">
            <v>0</v>
          </cell>
          <cell r="U127">
            <v>0</v>
          </cell>
          <cell r="V127">
            <v>324</v>
          </cell>
          <cell r="W127">
            <v>0</v>
          </cell>
          <cell r="X127">
            <v>-324</v>
          </cell>
          <cell r="Y127">
            <v>108</v>
          </cell>
          <cell r="Z127">
            <v>2.7135678391959801E-4</v>
          </cell>
          <cell r="AA127">
            <v>0</v>
          </cell>
          <cell r="AB127" t="e">
            <v>#DIV/0!</v>
          </cell>
          <cell r="AC127">
            <v>432</v>
          </cell>
          <cell r="AD127">
            <v>0</v>
          </cell>
          <cell r="AE127">
            <v>-432</v>
          </cell>
          <cell r="AF127">
            <v>108</v>
          </cell>
          <cell r="AG127">
            <v>2.7135678391959801E-4</v>
          </cell>
          <cell r="AH127">
            <v>0</v>
          </cell>
          <cell r="AI127" t="e">
            <v>#DIV/0!</v>
          </cell>
          <cell r="AJ127">
            <v>540</v>
          </cell>
          <cell r="AK127">
            <v>0</v>
          </cell>
          <cell r="AL127">
            <v>-540</v>
          </cell>
          <cell r="AM127">
            <v>108</v>
          </cell>
          <cell r="AN127">
            <v>2.7135678391959801E-4</v>
          </cell>
          <cell r="AO127">
            <v>0</v>
          </cell>
          <cell r="AP127" t="e">
            <v>#DIV/0!</v>
          </cell>
          <cell r="AQ127">
            <v>648</v>
          </cell>
          <cell r="AR127">
            <v>0</v>
          </cell>
          <cell r="AS127">
            <v>-648</v>
          </cell>
          <cell r="AT127">
            <v>108</v>
          </cell>
          <cell r="AU127">
            <v>2.7135678391959801E-4</v>
          </cell>
          <cell r="AV127">
            <v>0</v>
          </cell>
          <cell r="AW127" t="e">
            <v>#DIV/0!</v>
          </cell>
          <cell r="AX127">
            <v>756</v>
          </cell>
          <cell r="AY127">
            <v>0</v>
          </cell>
          <cell r="AZ127">
            <v>-756</v>
          </cell>
          <cell r="BA127">
            <v>108</v>
          </cell>
          <cell r="BB127">
            <v>2.7135678391959801E-4</v>
          </cell>
          <cell r="BC127">
            <v>0</v>
          </cell>
          <cell r="BD127" t="e">
            <v>#DIV/0!</v>
          </cell>
          <cell r="BE127">
            <v>864</v>
          </cell>
          <cell r="BF127">
            <v>0</v>
          </cell>
          <cell r="BG127">
            <v>-864</v>
          </cell>
          <cell r="BH127">
            <v>108</v>
          </cell>
          <cell r="BI127">
            <v>2.7135678391959801E-4</v>
          </cell>
          <cell r="BJ127">
            <v>0</v>
          </cell>
          <cell r="BK127" t="e">
            <v>#DIV/0!</v>
          </cell>
          <cell r="BL127">
            <v>972</v>
          </cell>
          <cell r="BM127">
            <v>0</v>
          </cell>
          <cell r="BN127">
            <v>-972</v>
          </cell>
          <cell r="BO127">
            <v>108</v>
          </cell>
          <cell r="BP127">
            <v>2.7135678391959801E-4</v>
          </cell>
          <cell r="BQ127">
            <v>0</v>
          </cell>
          <cell r="BR127" t="e">
            <v>#DIV/0!</v>
          </cell>
          <cell r="BS127">
            <v>1080</v>
          </cell>
          <cell r="BT127">
            <v>0</v>
          </cell>
          <cell r="BU127">
            <v>-1080</v>
          </cell>
          <cell r="BV127">
            <v>108</v>
          </cell>
          <cell r="BW127">
            <v>2.7135678391959801E-4</v>
          </cell>
          <cell r="BX127">
            <v>0</v>
          </cell>
          <cell r="BY127" t="e">
            <v>#DIV/0!</v>
          </cell>
          <cell r="BZ127">
            <v>1188</v>
          </cell>
          <cell r="CA127">
            <v>0</v>
          </cell>
          <cell r="CB127">
            <v>-1188</v>
          </cell>
          <cell r="CC127">
            <v>108</v>
          </cell>
          <cell r="CD127">
            <v>2.7135678391959801E-4</v>
          </cell>
          <cell r="CE127">
            <v>0</v>
          </cell>
          <cell r="CF127" t="e">
            <v>#DIV/0!</v>
          </cell>
          <cell r="CG127">
            <v>1296</v>
          </cell>
          <cell r="CH127">
            <v>0</v>
          </cell>
        </row>
        <row r="128">
          <cell r="A128" t="str">
            <v>Back Office / Encerramento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e">
            <v>#DIV/0!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</row>
        <row r="129">
          <cell r="A129" t="str">
            <v>Bonificações/Premiações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 t="e">
            <v>#DIV/0!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e">
            <v>#DIV/0!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</row>
        <row r="130">
          <cell r="A130" t="str">
            <v>Cadastro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 t="e">
            <v>#DIV/0!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e">
            <v>#DIV/0!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Cartório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e">
            <v>#DIV/0!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 t="e">
            <v>#DIV/0!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 t="e">
            <v>#DIV/0!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 t="e">
            <v>#DIV/0!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 t="e">
            <v>#DIV/0!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 t="e">
            <v>#DIV/0!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 t="e">
            <v>#DIV/0!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 t="e">
            <v>#DIV/0!</v>
          </cell>
          <cell r="CG131">
            <v>0</v>
          </cell>
          <cell r="CH131">
            <v>0</v>
          </cell>
        </row>
        <row r="132">
          <cell r="A132" t="str">
            <v>Condenação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e">
            <v>#DIV/0!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Penalidades/Irregularidades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e">
            <v>#DIV/0!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</row>
        <row r="134">
          <cell r="A134" t="str">
            <v>Controladoria Jurídica - Custas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 t="e">
            <v>#DIV/0!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e">
            <v>#DIV/0!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GNA</v>
          </cell>
          <cell r="B135">
            <v>8.6759808613564148E-3</v>
          </cell>
          <cell r="C135">
            <v>3261.3978851306078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 t="e">
            <v>#DIV/0!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e">
            <v>#DIV/0!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Correios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e">
            <v>#DIV/0!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 t="e">
            <v>#DIV/0!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</row>
        <row r="137">
          <cell r="A137" t="str">
            <v xml:space="preserve">Correspondentes 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 t="e">
            <v>#DIV/0!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e">
            <v>#DIV/0!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Custas/Guias/Despesas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 t="e">
            <v>#DIV/0!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e">
            <v>#DIV/0!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 t="e">
            <v>#DIV/0!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0</v>
          </cell>
        </row>
        <row r="139">
          <cell r="A139" t="str">
            <v>Deslocamento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32.099186000000003</v>
          </cell>
          <cell r="N139">
            <v>1.134849127174595E-4</v>
          </cell>
          <cell r="O139">
            <v>0</v>
          </cell>
          <cell r="P139">
            <v>32.099186000000003</v>
          </cell>
          <cell r="Q139">
            <v>32.099186000000003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32.099186000000003</v>
          </cell>
          <cell r="X139">
            <v>32.099186000000003</v>
          </cell>
          <cell r="Y139">
            <v>0</v>
          </cell>
          <cell r="Z139">
            <v>0</v>
          </cell>
          <cell r="AA139">
            <v>0</v>
          </cell>
          <cell r="AB139" t="e">
            <v>#DIV/0!</v>
          </cell>
          <cell r="AC139">
            <v>0</v>
          </cell>
          <cell r="AD139">
            <v>32.099186000000003</v>
          </cell>
          <cell r="AE139">
            <v>32.099186000000003</v>
          </cell>
          <cell r="AF139">
            <v>0</v>
          </cell>
          <cell r="AG139">
            <v>0</v>
          </cell>
          <cell r="AH139">
            <v>0</v>
          </cell>
          <cell r="AI139" t="e">
            <v>#DIV/0!</v>
          </cell>
          <cell r="AJ139">
            <v>0</v>
          </cell>
          <cell r="AK139">
            <v>32.099186000000003</v>
          </cell>
          <cell r="AL139">
            <v>32.099186000000003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32.099186000000003</v>
          </cell>
          <cell r="AS139">
            <v>32.099186000000003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32.099186000000003</v>
          </cell>
          <cell r="AZ139">
            <v>32.099186000000003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32.099186000000003</v>
          </cell>
          <cell r="BG139">
            <v>32.099186000000003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32.099186000000003</v>
          </cell>
          <cell r="BN139">
            <v>32.099186000000003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32.099186000000003</v>
          </cell>
          <cell r="BU139">
            <v>32.099186000000003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32.099186000000003</v>
          </cell>
          <cell r="CB139">
            <v>32.099186000000003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32.099186000000003</v>
          </cell>
        </row>
        <row r="140">
          <cell r="A140" t="str">
            <v>Digitação / Atual. Sistemas / Lanç. Planilhas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 t="e">
            <v>#DIV/0!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e">
            <v>#DIV/0!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Diligências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 t="e">
            <v>#DIV/0!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e">
            <v>#DIV/0!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</row>
        <row r="142">
          <cell r="A142" t="str">
            <v>Encargos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e">
            <v>#DIV/0!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e">
            <v>#DIV/0!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>Encargos Rescisórios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 t="e">
            <v>#DIV/0!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e">
            <v>#DIV/0!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 t="e">
            <v>#DIV/0!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</row>
        <row r="144">
          <cell r="A144" t="str">
            <v>Encerramento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e">
            <v>#DIV/0!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Eventos / Representações</v>
          </cell>
          <cell r="B145">
            <v>7.617779850686878E-4</v>
          </cell>
          <cell r="C145">
            <v>286.36083333333335</v>
          </cell>
          <cell r="D145">
            <v>100</v>
          </cell>
          <cell r="E145">
            <v>2.7624309392265195E-4</v>
          </cell>
          <cell r="F145">
            <v>0</v>
          </cell>
          <cell r="G145">
            <v>0</v>
          </cell>
          <cell r="H145">
            <v>100</v>
          </cell>
          <cell r="I145">
            <v>0</v>
          </cell>
          <cell r="J145">
            <v>-100</v>
          </cell>
          <cell r="K145">
            <v>100</v>
          </cell>
          <cell r="L145">
            <v>2.7624309392265195E-4</v>
          </cell>
          <cell r="M145">
            <v>0</v>
          </cell>
          <cell r="N145">
            <v>0</v>
          </cell>
          <cell r="O145">
            <v>200</v>
          </cell>
          <cell r="P145">
            <v>0</v>
          </cell>
          <cell r="Q145">
            <v>-200</v>
          </cell>
          <cell r="R145">
            <v>100</v>
          </cell>
          <cell r="S145">
            <v>2.512562814070352E-4</v>
          </cell>
          <cell r="T145">
            <v>0</v>
          </cell>
          <cell r="U145">
            <v>0</v>
          </cell>
          <cell r="V145">
            <v>300</v>
          </cell>
          <cell r="W145">
            <v>0</v>
          </cell>
          <cell r="X145">
            <v>-300</v>
          </cell>
          <cell r="Y145">
            <v>100</v>
          </cell>
          <cell r="Z145">
            <v>2.512562814070352E-4</v>
          </cell>
          <cell r="AA145">
            <v>0</v>
          </cell>
          <cell r="AB145" t="e">
            <v>#DIV/0!</v>
          </cell>
          <cell r="AC145">
            <v>400</v>
          </cell>
          <cell r="AD145">
            <v>0</v>
          </cell>
          <cell r="AE145">
            <v>-400</v>
          </cell>
          <cell r="AF145">
            <v>100</v>
          </cell>
          <cell r="AG145">
            <v>2.512562814070352E-4</v>
          </cell>
          <cell r="AH145">
            <v>0</v>
          </cell>
          <cell r="AI145" t="e">
            <v>#DIV/0!</v>
          </cell>
          <cell r="AJ145">
            <v>500</v>
          </cell>
          <cell r="AK145">
            <v>0</v>
          </cell>
          <cell r="AL145">
            <v>-500</v>
          </cell>
          <cell r="AM145">
            <v>100</v>
          </cell>
          <cell r="AN145">
            <v>2.512562814070352E-4</v>
          </cell>
          <cell r="AO145">
            <v>0</v>
          </cell>
          <cell r="AP145" t="e">
            <v>#DIV/0!</v>
          </cell>
          <cell r="AQ145">
            <v>600</v>
          </cell>
          <cell r="AR145">
            <v>0</v>
          </cell>
          <cell r="AS145">
            <v>-600</v>
          </cell>
          <cell r="AT145">
            <v>100</v>
          </cell>
          <cell r="AU145">
            <v>2.512562814070352E-4</v>
          </cell>
          <cell r="AV145">
            <v>0</v>
          </cell>
          <cell r="AW145" t="e">
            <v>#DIV/0!</v>
          </cell>
          <cell r="AX145">
            <v>700</v>
          </cell>
          <cell r="AY145">
            <v>0</v>
          </cell>
          <cell r="AZ145">
            <v>-700</v>
          </cell>
          <cell r="BA145">
            <v>100</v>
          </cell>
          <cell r="BB145">
            <v>2.512562814070352E-4</v>
          </cell>
          <cell r="BC145">
            <v>0</v>
          </cell>
          <cell r="BD145" t="e">
            <v>#DIV/0!</v>
          </cell>
          <cell r="BE145">
            <v>800</v>
          </cell>
          <cell r="BF145">
            <v>0</v>
          </cell>
          <cell r="BG145">
            <v>-800</v>
          </cell>
          <cell r="BH145">
            <v>100</v>
          </cell>
          <cell r="BI145">
            <v>2.512562814070352E-4</v>
          </cell>
          <cell r="BJ145">
            <v>0</v>
          </cell>
          <cell r="BK145" t="e">
            <v>#DIV/0!</v>
          </cell>
          <cell r="BL145">
            <v>900</v>
          </cell>
          <cell r="BM145">
            <v>0</v>
          </cell>
          <cell r="BN145">
            <v>-900</v>
          </cell>
          <cell r="BO145">
            <v>100</v>
          </cell>
          <cell r="BP145">
            <v>2.512562814070352E-4</v>
          </cell>
          <cell r="BQ145">
            <v>0</v>
          </cell>
          <cell r="BR145" t="e">
            <v>#DIV/0!</v>
          </cell>
          <cell r="BS145">
            <v>1000</v>
          </cell>
          <cell r="BT145">
            <v>0</v>
          </cell>
          <cell r="BU145">
            <v>-1000</v>
          </cell>
          <cell r="BV145">
            <v>100</v>
          </cell>
          <cell r="BW145">
            <v>2.512562814070352E-4</v>
          </cell>
          <cell r="BX145">
            <v>0</v>
          </cell>
          <cell r="BY145" t="e">
            <v>#DIV/0!</v>
          </cell>
          <cell r="BZ145">
            <v>1100</v>
          </cell>
          <cell r="CA145">
            <v>0</v>
          </cell>
          <cell r="CB145">
            <v>-1100</v>
          </cell>
          <cell r="CC145">
            <v>100</v>
          </cell>
          <cell r="CD145">
            <v>2.512562814070352E-4</v>
          </cell>
          <cell r="CE145">
            <v>0</v>
          </cell>
          <cell r="CF145" t="e">
            <v>#DIV/0!</v>
          </cell>
          <cell r="CG145">
            <v>1200</v>
          </cell>
          <cell r="CH145">
            <v>0</v>
          </cell>
        </row>
        <row r="146">
          <cell r="A146" t="str">
            <v>Férias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 t="e">
            <v>#DIV/0!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e">
            <v>#DIV/0!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Exames Médicos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e">
            <v>#DIV/0!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Parcerias - Unidade Vitória / Unidade Pará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 t="e">
            <v>#DIV/0!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e">
            <v>#DIV/0!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 t="e">
            <v>#DIV/0!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</row>
        <row r="149">
          <cell r="A149" t="str">
            <v>Fotocópia/Xerox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 t="e">
            <v>#DIV/0!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e">
            <v>#DIV/0!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IR s/ Salário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e">
            <v>#DIV/0!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Consultoria de Projetos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e">
            <v>#DIV/0!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e">
            <v>#DIV/0!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Pauta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e">
            <v>#DIV/0!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</row>
        <row r="153">
          <cell r="A153" t="str">
            <v>Pauta - Gestão de Pauta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 t="e">
            <v>#DIV/0!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e">
            <v>#DIV/0!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Seguro de Vida</v>
          </cell>
          <cell r="B154">
            <v>3.7677379573646222E-5</v>
          </cell>
          <cell r="C154">
            <v>14.16334683333333</v>
          </cell>
          <cell r="D154">
            <v>12.14</v>
          </cell>
          <cell r="E154">
            <v>3.3535911602209948E-5</v>
          </cell>
          <cell r="F154">
            <v>11.510019</v>
          </cell>
          <cell r="G154">
            <v>2.7099829851727092E-5</v>
          </cell>
          <cell r="H154">
            <v>12.14</v>
          </cell>
          <cell r="I154">
            <v>11.510019</v>
          </cell>
          <cell r="J154">
            <v>-0.62998100000000079</v>
          </cell>
          <cell r="K154">
            <v>12.14</v>
          </cell>
          <cell r="L154">
            <v>3.3535911602209948E-5</v>
          </cell>
          <cell r="M154">
            <v>11.510021</v>
          </cell>
          <cell r="N154">
            <v>4.0693048370794381E-5</v>
          </cell>
          <cell r="O154">
            <v>24.28</v>
          </cell>
          <cell r="P154">
            <v>23.020040000000002</v>
          </cell>
          <cell r="Q154">
            <v>-1.2599599999999995</v>
          </cell>
          <cell r="R154">
            <v>12.14</v>
          </cell>
          <cell r="S154">
            <v>3.0502512562814072E-5</v>
          </cell>
          <cell r="T154">
            <v>11.504865000000001</v>
          </cell>
          <cell r="U154">
            <v>2.9910249480145706E-5</v>
          </cell>
          <cell r="V154">
            <v>36.42</v>
          </cell>
          <cell r="W154">
            <v>34.524905000000004</v>
          </cell>
          <cell r="X154">
            <v>-1.8950949999999978</v>
          </cell>
          <cell r="Y154">
            <v>12.14</v>
          </cell>
          <cell r="Z154">
            <v>3.0502512562814072E-5</v>
          </cell>
          <cell r="AA154">
            <v>0</v>
          </cell>
          <cell r="AB154" t="e">
            <v>#DIV/0!</v>
          </cell>
          <cell r="AC154">
            <v>48.56</v>
          </cell>
          <cell r="AD154">
            <v>34.524905000000004</v>
          </cell>
          <cell r="AE154">
            <v>-14.035094999999998</v>
          </cell>
          <cell r="AF154">
            <v>12.14</v>
          </cell>
          <cell r="AG154">
            <v>3.0502512562814072E-5</v>
          </cell>
          <cell r="AH154">
            <v>0</v>
          </cell>
          <cell r="AI154" t="e">
            <v>#DIV/0!</v>
          </cell>
          <cell r="AJ154">
            <v>60.7</v>
          </cell>
          <cell r="AK154">
            <v>34.524905000000004</v>
          </cell>
          <cell r="AL154">
            <v>-26.175094999999999</v>
          </cell>
          <cell r="AM154">
            <v>12.14</v>
          </cell>
          <cell r="AN154">
            <v>3.0502512562814072E-5</v>
          </cell>
          <cell r="AO154">
            <v>0</v>
          </cell>
          <cell r="AP154" t="e">
            <v>#DIV/0!</v>
          </cell>
          <cell r="AQ154">
            <v>72.84</v>
          </cell>
          <cell r="AR154">
            <v>34.524905000000004</v>
          </cell>
          <cell r="AS154">
            <v>-38.315094999999999</v>
          </cell>
          <cell r="AT154">
            <v>12.14</v>
          </cell>
          <cell r="AU154">
            <v>3.0502512562814072E-5</v>
          </cell>
          <cell r="AV154">
            <v>0</v>
          </cell>
          <cell r="AW154" t="e">
            <v>#DIV/0!</v>
          </cell>
          <cell r="AX154">
            <v>84.98</v>
          </cell>
          <cell r="AY154">
            <v>34.524905000000004</v>
          </cell>
          <cell r="AZ154">
            <v>-50.455095</v>
          </cell>
          <cell r="BA154">
            <v>12.14</v>
          </cell>
          <cell r="BB154">
            <v>3.0502512562814072E-5</v>
          </cell>
          <cell r="BC154">
            <v>0</v>
          </cell>
          <cell r="BD154" t="e">
            <v>#DIV/0!</v>
          </cell>
          <cell r="BE154">
            <v>97.12</v>
          </cell>
          <cell r="BF154">
            <v>34.524905000000004</v>
          </cell>
          <cell r="BG154">
            <v>-62.595095000000001</v>
          </cell>
          <cell r="BH154">
            <v>12.14</v>
          </cell>
          <cell r="BI154">
            <v>3.0502512562814072E-5</v>
          </cell>
          <cell r="BJ154">
            <v>0</v>
          </cell>
          <cell r="BK154" t="e">
            <v>#DIV/0!</v>
          </cell>
          <cell r="BL154">
            <v>109.26</v>
          </cell>
          <cell r="BM154">
            <v>34.524905000000004</v>
          </cell>
          <cell r="BN154">
            <v>-74.735095000000001</v>
          </cell>
          <cell r="BO154">
            <v>12.14</v>
          </cell>
          <cell r="BP154">
            <v>3.0502512562814072E-5</v>
          </cell>
          <cell r="BQ154">
            <v>0</v>
          </cell>
          <cell r="BR154" t="e">
            <v>#DIV/0!</v>
          </cell>
          <cell r="BS154">
            <v>121.4</v>
          </cell>
          <cell r="BT154">
            <v>34.524905000000004</v>
          </cell>
          <cell r="BU154">
            <v>-86.875095000000002</v>
          </cell>
          <cell r="BV154">
            <v>12.14</v>
          </cell>
          <cell r="BW154">
            <v>3.0502512562814072E-5</v>
          </cell>
          <cell r="BX154">
            <v>0</v>
          </cell>
          <cell r="BY154" t="e">
            <v>#DIV/0!</v>
          </cell>
          <cell r="BZ154">
            <v>133.54000000000002</v>
          </cell>
          <cell r="CA154">
            <v>34.524905000000004</v>
          </cell>
          <cell r="CB154">
            <v>-99.015095000000017</v>
          </cell>
          <cell r="CC154">
            <v>12.14</v>
          </cell>
          <cell r="CD154">
            <v>3.0502512562814072E-5</v>
          </cell>
          <cell r="CE154">
            <v>0</v>
          </cell>
          <cell r="CF154" t="e">
            <v>#DIV/0!</v>
          </cell>
          <cell r="CG154">
            <v>145.68</v>
          </cell>
          <cell r="CH154">
            <v>34.524905000000004</v>
          </cell>
        </row>
        <row r="155">
          <cell r="A155" t="str">
            <v>Plano de Saúde</v>
          </cell>
          <cell r="B155">
            <v>2.6653195276830628E-3</v>
          </cell>
          <cell r="C155">
            <v>1001.923311</v>
          </cell>
          <cell r="D155">
            <v>1060</v>
          </cell>
          <cell r="E155">
            <v>2.9281767955801107E-3</v>
          </cell>
          <cell r="F155">
            <v>1064.419543</v>
          </cell>
          <cell r="G155">
            <v>2.5061286611388835E-3</v>
          </cell>
          <cell r="H155">
            <v>1060</v>
          </cell>
          <cell r="I155">
            <v>1064.419543</v>
          </cell>
          <cell r="J155">
            <v>4.419542999999976</v>
          </cell>
          <cell r="K155">
            <v>1060</v>
          </cell>
          <cell r="L155">
            <v>2.9281767955801107E-3</v>
          </cell>
          <cell r="M155">
            <v>1058.5301710000001</v>
          </cell>
          <cell r="N155">
            <v>3.7423754005703595E-3</v>
          </cell>
          <cell r="O155">
            <v>2120</v>
          </cell>
          <cell r="P155">
            <v>2122.9497140000003</v>
          </cell>
          <cell r="Q155">
            <v>2.9497140000003128</v>
          </cell>
          <cell r="R155">
            <v>1060</v>
          </cell>
          <cell r="S155">
            <v>2.6633165829145727E-3</v>
          </cell>
          <cell r="T155">
            <v>1057.7508789999999</v>
          </cell>
          <cell r="U155">
            <v>2.7499316748813142E-3</v>
          </cell>
          <cell r="V155">
            <v>3180</v>
          </cell>
          <cell r="W155">
            <v>3180.7005930000005</v>
          </cell>
          <cell r="X155">
            <v>0.70059300000048097</v>
          </cell>
          <cell r="Y155">
            <v>1060</v>
          </cell>
          <cell r="Z155">
            <v>2.6633165829145727E-3</v>
          </cell>
          <cell r="AA155">
            <v>0</v>
          </cell>
          <cell r="AB155" t="e">
            <v>#DIV/0!</v>
          </cell>
          <cell r="AC155">
            <v>4240</v>
          </cell>
          <cell r="AD155">
            <v>3180.7005930000005</v>
          </cell>
          <cell r="AE155">
            <v>-1059.2994069999995</v>
          </cell>
          <cell r="AF155">
            <v>1060</v>
          </cell>
          <cell r="AG155">
            <v>2.6633165829145727E-3</v>
          </cell>
          <cell r="AH155">
            <v>0</v>
          </cell>
          <cell r="AI155" t="e">
            <v>#DIV/0!</v>
          </cell>
          <cell r="AJ155">
            <v>5300</v>
          </cell>
          <cell r="AK155">
            <v>3180.7005930000005</v>
          </cell>
          <cell r="AL155">
            <v>-2119.2994069999995</v>
          </cell>
          <cell r="AM155">
            <v>1060</v>
          </cell>
          <cell r="AN155">
            <v>2.6633165829145727E-3</v>
          </cell>
          <cell r="AO155">
            <v>0</v>
          </cell>
          <cell r="AP155" t="e">
            <v>#DIV/0!</v>
          </cell>
          <cell r="AQ155">
            <v>6360</v>
          </cell>
          <cell r="AR155">
            <v>3180.7005930000005</v>
          </cell>
          <cell r="AS155">
            <v>-3179.2994069999995</v>
          </cell>
          <cell r="AT155">
            <v>1060</v>
          </cell>
          <cell r="AU155">
            <v>2.6633165829145727E-3</v>
          </cell>
          <cell r="AV155">
            <v>0</v>
          </cell>
          <cell r="AW155" t="e">
            <v>#DIV/0!</v>
          </cell>
          <cell r="AX155">
            <v>7420</v>
          </cell>
          <cell r="AY155">
            <v>3180.7005930000005</v>
          </cell>
          <cell r="AZ155">
            <v>-4239.2994069999995</v>
          </cell>
          <cell r="BA155">
            <v>1060</v>
          </cell>
          <cell r="BB155">
            <v>2.6633165829145727E-3</v>
          </cell>
          <cell r="BC155">
            <v>0</v>
          </cell>
          <cell r="BD155" t="e">
            <v>#DIV/0!</v>
          </cell>
          <cell r="BE155">
            <v>8480</v>
          </cell>
          <cell r="BF155">
            <v>3180.7005930000005</v>
          </cell>
          <cell r="BG155">
            <v>-5299.2994069999995</v>
          </cell>
          <cell r="BH155">
            <v>1060</v>
          </cell>
          <cell r="BI155">
            <v>2.6633165829145727E-3</v>
          </cell>
          <cell r="BJ155">
            <v>0</v>
          </cell>
          <cell r="BK155" t="e">
            <v>#DIV/0!</v>
          </cell>
          <cell r="BL155">
            <v>9540</v>
          </cell>
          <cell r="BM155">
            <v>3180.7005930000005</v>
          </cell>
          <cell r="BN155">
            <v>-6359.2994069999995</v>
          </cell>
          <cell r="BO155">
            <v>1219</v>
          </cell>
          <cell r="BP155">
            <v>3.0628140703517588E-3</v>
          </cell>
          <cell r="BQ155">
            <v>0</v>
          </cell>
          <cell r="BR155" t="e">
            <v>#DIV/0!</v>
          </cell>
          <cell r="BS155">
            <v>10759</v>
          </cell>
          <cell r="BT155">
            <v>3180.7005930000005</v>
          </cell>
          <cell r="BU155">
            <v>-7578.2994069999995</v>
          </cell>
          <cell r="BV155">
            <v>1219</v>
          </cell>
          <cell r="BW155">
            <v>3.0628140703517588E-3</v>
          </cell>
          <cell r="BX155">
            <v>0</v>
          </cell>
          <cell r="BY155" t="e">
            <v>#DIV/0!</v>
          </cell>
          <cell r="BZ155">
            <v>11978</v>
          </cell>
          <cell r="CA155">
            <v>3180.7005930000005</v>
          </cell>
          <cell r="CB155">
            <v>-8797.2994069999986</v>
          </cell>
          <cell r="CC155">
            <v>1219</v>
          </cell>
          <cell r="CD155">
            <v>3.0628140703517588E-3</v>
          </cell>
          <cell r="CE155">
            <v>0</v>
          </cell>
          <cell r="CF155" t="e">
            <v>#DIV/0!</v>
          </cell>
          <cell r="CG155">
            <v>13197</v>
          </cell>
          <cell r="CH155">
            <v>3180.7005930000005</v>
          </cell>
        </row>
        <row r="156">
          <cell r="A156" t="str">
            <v>Plano Odontológico</v>
          </cell>
          <cell r="B156">
            <v>1.4767451803747629E-4</v>
          </cell>
          <cell r="C156">
            <v>55.512496916666663</v>
          </cell>
          <cell r="D156">
            <v>58.8</v>
          </cell>
          <cell r="E156">
            <v>1.6243093922651934E-4</v>
          </cell>
          <cell r="F156">
            <v>58.239984</v>
          </cell>
          <cell r="G156">
            <v>1.3712346234765626E-4</v>
          </cell>
          <cell r="H156">
            <v>58.8</v>
          </cell>
          <cell r="I156">
            <v>58.239984</v>
          </cell>
          <cell r="J156">
            <v>-0.5600159999999974</v>
          </cell>
          <cell r="K156">
            <v>58.8</v>
          </cell>
          <cell r="L156">
            <v>1.6243093922651934E-4</v>
          </cell>
          <cell r="M156">
            <v>58.239986999999999</v>
          </cell>
          <cell r="N156">
            <v>2.0590428185191285E-4</v>
          </cell>
          <cell r="O156">
            <v>117.6</v>
          </cell>
          <cell r="P156">
            <v>116.47997100000001</v>
          </cell>
          <cell r="Q156">
            <v>-1.1200289999999882</v>
          </cell>
          <cell r="R156">
            <v>58.8</v>
          </cell>
          <cell r="S156">
            <v>1.4773869346733668E-4</v>
          </cell>
          <cell r="T156">
            <v>58.239978999999998</v>
          </cell>
          <cell r="U156">
            <v>1.5141179853987393E-4</v>
          </cell>
          <cell r="V156">
            <v>176.39999999999998</v>
          </cell>
          <cell r="W156">
            <v>174.71995000000001</v>
          </cell>
          <cell r="X156">
            <v>-1.6800499999999658</v>
          </cell>
          <cell r="Y156">
            <v>58.8</v>
          </cell>
          <cell r="Z156">
            <v>1.4773869346733668E-4</v>
          </cell>
          <cell r="AA156">
            <v>0</v>
          </cell>
          <cell r="AB156" t="e">
            <v>#DIV/0!</v>
          </cell>
          <cell r="AC156">
            <v>235.2</v>
          </cell>
          <cell r="AD156">
            <v>174.71995000000001</v>
          </cell>
          <cell r="AE156">
            <v>-60.480049999999977</v>
          </cell>
          <cell r="AF156">
            <v>58.8</v>
          </cell>
          <cell r="AG156">
            <v>1.4773869346733668E-4</v>
          </cell>
          <cell r="AH156">
            <v>0</v>
          </cell>
          <cell r="AI156" t="e">
            <v>#DIV/0!</v>
          </cell>
          <cell r="AJ156">
            <v>294</v>
          </cell>
          <cell r="AK156">
            <v>174.71995000000001</v>
          </cell>
          <cell r="AL156">
            <v>-119.28004999999999</v>
          </cell>
          <cell r="AM156">
            <v>58.8</v>
          </cell>
          <cell r="AN156">
            <v>1.4773869346733668E-4</v>
          </cell>
          <cell r="AO156">
            <v>0</v>
          </cell>
          <cell r="AP156" t="e">
            <v>#DIV/0!</v>
          </cell>
          <cell r="AQ156">
            <v>352.8</v>
          </cell>
          <cell r="AR156">
            <v>174.71995000000001</v>
          </cell>
          <cell r="AS156">
            <v>-178.08005</v>
          </cell>
          <cell r="AT156">
            <v>58.8</v>
          </cell>
          <cell r="AU156">
            <v>1.4773869346733668E-4</v>
          </cell>
          <cell r="AV156">
            <v>0</v>
          </cell>
          <cell r="AW156" t="e">
            <v>#DIV/0!</v>
          </cell>
          <cell r="AX156">
            <v>411.6</v>
          </cell>
          <cell r="AY156">
            <v>174.71995000000001</v>
          </cell>
          <cell r="AZ156">
            <v>-236.88005000000001</v>
          </cell>
          <cell r="BA156">
            <v>58.8</v>
          </cell>
          <cell r="BB156">
            <v>1.4773869346733668E-4</v>
          </cell>
          <cell r="BC156">
            <v>0</v>
          </cell>
          <cell r="BD156" t="e">
            <v>#DIV/0!</v>
          </cell>
          <cell r="BE156">
            <v>470.40000000000003</v>
          </cell>
          <cell r="BF156">
            <v>174.71995000000001</v>
          </cell>
          <cell r="BG156">
            <v>-295.68005000000005</v>
          </cell>
          <cell r="BH156">
            <v>58.8</v>
          </cell>
          <cell r="BI156">
            <v>1.4773869346733668E-4</v>
          </cell>
          <cell r="BJ156">
            <v>0</v>
          </cell>
          <cell r="BK156" t="e">
            <v>#DIV/0!</v>
          </cell>
          <cell r="BL156">
            <v>529.20000000000005</v>
          </cell>
          <cell r="BM156">
            <v>174.71995000000001</v>
          </cell>
          <cell r="BN156">
            <v>-354.48005000000001</v>
          </cell>
          <cell r="BO156">
            <v>58.8</v>
          </cell>
          <cell r="BP156">
            <v>1.4773869346733668E-4</v>
          </cell>
          <cell r="BQ156">
            <v>0</v>
          </cell>
          <cell r="BR156" t="e">
            <v>#DIV/0!</v>
          </cell>
          <cell r="BS156">
            <v>588</v>
          </cell>
          <cell r="BT156">
            <v>174.71995000000001</v>
          </cell>
          <cell r="BU156">
            <v>-413.28004999999996</v>
          </cell>
          <cell r="BV156">
            <v>58.8</v>
          </cell>
          <cell r="BW156">
            <v>1.4773869346733668E-4</v>
          </cell>
          <cell r="BX156">
            <v>0</v>
          </cell>
          <cell r="BY156" t="e">
            <v>#DIV/0!</v>
          </cell>
          <cell r="BZ156">
            <v>646.79999999999995</v>
          </cell>
          <cell r="CA156">
            <v>174.71995000000001</v>
          </cell>
          <cell r="CB156">
            <v>-472.08004999999991</v>
          </cell>
          <cell r="CC156">
            <v>58.8</v>
          </cell>
          <cell r="CD156">
            <v>1.4773869346733668E-4</v>
          </cell>
          <cell r="CE156">
            <v>0</v>
          </cell>
          <cell r="CF156" t="e">
            <v>#DIV/0!</v>
          </cell>
          <cell r="CG156">
            <v>705.59999999999991</v>
          </cell>
          <cell r="CH156">
            <v>174.71995000000001</v>
          </cell>
        </row>
        <row r="157">
          <cell r="A157" t="str">
            <v>Redação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 t="e">
            <v>#DIV/0!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e">
            <v>#DIV/0!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Remuneração</v>
          </cell>
          <cell r="B158">
            <v>2.530113758798478E-2</v>
          </cell>
          <cell r="C158">
            <v>9510.9795583333344</v>
          </cell>
          <cell r="D158">
            <v>9800</v>
          </cell>
          <cell r="E158">
            <v>2.7071823204419889E-2</v>
          </cell>
          <cell r="F158">
            <v>9683.994999999999</v>
          </cell>
          <cell r="G158">
            <v>2.2800537234992913E-2</v>
          </cell>
          <cell r="H158">
            <v>9800</v>
          </cell>
          <cell r="I158">
            <v>9683.994999999999</v>
          </cell>
          <cell r="J158">
            <v>-116.00500000000102</v>
          </cell>
          <cell r="K158">
            <v>9800</v>
          </cell>
          <cell r="L158">
            <v>2.7071823204419889E-2</v>
          </cell>
          <cell r="M158">
            <v>9683.994999999999</v>
          </cell>
          <cell r="N158">
            <v>3.4237233533938025E-2</v>
          </cell>
          <cell r="O158">
            <v>19600</v>
          </cell>
          <cell r="P158">
            <v>19367.989999999998</v>
          </cell>
          <cell r="Q158">
            <v>-232.01000000000204</v>
          </cell>
          <cell r="R158">
            <v>9800</v>
          </cell>
          <cell r="S158">
            <v>2.4623115577889446E-2</v>
          </cell>
          <cell r="T158">
            <v>9683.99</v>
          </cell>
          <cell r="U158">
            <v>2.5176354252156474E-2</v>
          </cell>
          <cell r="V158">
            <v>29400</v>
          </cell>
          <cell r="W158">
            <v>29051.979999999996</v>
          </cell>
          <cell r="X158">
            <v>-348.02000000000407</v>
          </cell>
          <cell r="Y158">
            <v>9800</v>
          </cell>
          <cell r="Z158">
            <v>2.4623115577889446E-2</v>
          </cell>
          <cell r="AA158">
            <v>0</v>
          </cell>
          <cell r="AB158" t="e">
            <v>#DIV/0!</v>
          </cell>
          <cell r="AC158">
            <v>39200</v>
          </cell>
          <cell r="AD158">
            <v>29051.979999999996</v>
          </cell>
          <cell r="AE158">
            <v>-10148.020000000004</v>
          </cell>
          <cell r="AF158">
            <v>9800</v>
          </cell>
          <cell r="AG158">
            <v>2.4623115577889446E-2</v>
          </cell>
          <cell r="AH158">
            <v>0</v>
          </cell>
          <cell r="AI158" t="e">
            <v>#DIV/0!</v>
          </cell>
          <cell r="AJ158">
            <v>49000</v>
          </cell>
          <cell r="AK158">
            <v>29051.979999999996</v>
          </cell>
          <cell r="AL158">
            <v>-19948.020000000004</v>
          </cell>
          <cell r="AM158">
            <v>9800</v>
          </cell>
          <cell r="AN158">
            <v>2.4623115577889446E-2</v>
          </cell>
          <cell r="AO158">
            <v>0</v>
          </cell>
          <cell r="AP158" t="e">
            <v>#DIV/0!</v>
          </cell>
          <cell r="AQ158">
            <v>58800</v>
          </cell>
          <cell r="AR158">
            <v>29051.979999999996</v>
          </cell>
          <cell r="AS158">
            <v>-29748.020000000004</v>
          </cell>
          <cell r="AT158">
            <v>9800</v>
          </cell>
          <cell r="AU158">
            <v>2.4623115577889446E-2</v>
          </cell>
          <cell r="AV158">
            <v>0</v>
          </cell>
          <cell r="AW158" t="e">
            <v>#DIV/0!</v>
          </cell>
          <cell r="AX158">
            <v>68600</v>
          </cell>
          <cell r="AY158">
            <v>29051.979999999996</v>
          </cell>
          <cell r="AZ158">
            <v>-39548.020000000004</v>
          </cell>
          <cell r="BA158">
            <v>9800</v>
          </cell>
          <cell r="BB158">
            <v>2.4623115577889446E-2</v>
          </cell>
          <cell r="BC158">
            <v>0</v>
          </cell>
          <cell r="BD158" t="e">
            <v>#DIV/0!</v>
          </cell>
          <cell r="BE158">
            <v>78400</v>
          </cell>
          <cell r="BF158">
            <v>29051.979999999996</v>
          </cell>
          <cell r="BG158">
            <v>-49348.020000000004</v>
          </cell>
          <cell r="BH158">
            <v>9800</v>
          </cell>
          <cell r="BI158">
            <v>2.4623115577889446E-2</v>
          </cell>
          <cell r="BJ158">
            <v>0</v>
          </cell>
          <cell r="BK158" t="e">
            <v>#DIV/0!</v>
          </cell>
          <cell r="BL158">
            <v>88200</v>
          </cell>
          <cell r="BM158">
            <v>29051.979999999996</v>
          </cell>
          <cell r="BN158">
            <v>-59148.020000000004</v>
          </cell>
          <cell r="BO158">
            <v>9800</v>
          </cell>
          <cell r="BP158">
            <v>2.4623115577889446E-2</v>
          </cell>
          <cell r="BQ158">
            <v>0</v>
          </cell>
          <cell r="BR158" t="e">
            <v>#DIV/0!</v>
          </cell>
          <cell r="BS158">
            <v>98000</v>
          </cell>
          <cell r="BT158">
            <v>29051.979999999996</v>
          </cell>
          <cell r="BU158">
            <v>-68948.02</v>
          </cell>
          <cell r="BV158">
            <v>9800</v>
          </cell>
          <cell r="BW158">
            <v>2.4623115577889446E-2</v>
          </cell>
          <cell r="BX158">
            <v>0</v>
          </cell>
          <cell r="BY158" t="e">
            <v>#DIV/0!</v>
          </cell>
          <cell r="BZ158">
            <v>107800</v>
          </cell>
          <cell r="CA158">
            <v>29051.979999999996</v>
          </cell>
          <cell r="CB158">
            <v>-78748.02</v>
          </cell>
          <cell r="CC158">
            <v>9800</v>
          </cell>
          <cell r="CD158">
            <v>2.4623115577889446E-2</v>
          </cell>
          <cell r="CE158">
            <v>0</v>
          </cell>
          <cell r="CF158" t="e">
            <v>#DIV/0!</v>
          </cell>
          <cell r="CG158">
            <v>117600</v>
          </cell>
          <cell r="CH158">
            <v>29051.979999999996</v>
          </cell>
        </row>
        <row r="159">
          <cell r="A159" t="str">
            <v>Pesquisas/Consultas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e">
            <v>#DIV/0!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 t="e">
            <v>#DIV/0!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</row>
        <row r="160">
          <cell r="A160" t="str">
            <v>Sistemas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 t="e">
            <v>#DIV/0!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e">
            <v>#DIV/0!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 t="e">
            <v>#DIV/0!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0</v>
          </cell>
        </row>
        <row r="161">
          <cell r="A161" t="str">
            <v>Indenização por Ruptura de Contrato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 t="e">
            <v>#DIV/0!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e">
            <v>#DIV/0!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 t="e">
            <v>#DIV/0!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</row>
        <row r="162">
          <cell r="A162" t="str">
            <v>Vale Alimentação / Refeição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e">
            <v>#DIV/0!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</row>
        <row r="163">
          <cell r="A163" t="str">
            <v>Vale Transporte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e">
            <v>#DIV/0!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e">
            <v>#DIV/0!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 t="e">
            <v>#DIV/0!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</row>
        <row r="164">
          <cell r="A164" t="str">
            <v>Viagens - Alimentação / Hospedagem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 t="e">
            <v>#DIV/0!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e">
            <v>#DIV/0!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 t="e">
            <v>#DIV/0!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</row>
        <row r="165">
          <cell r="A165" t="str">
            <v>Viagens - Passagens / Traslados</v>
          </cell>
          <cell r="B165">
            <v>4.6250291613683924E-4</v>
          </cell>
          <cell r="C165">
            <v>173.86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e">
            <v>#DIV/0!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</sheetData>
      <sheetData sheetId="19">
        <row r="67">
          <cell r="A67" t="str">
            <v>13º (+ Encargos)</v>
          </cell>
          <cell r="B67">
            <v>0</v>
          </cell>
          <cell r="C67">
            <v>327.5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1050</v>
          </cell>
          <cell r="BW67">
            <v>1.0937499999999999E-2</v>
          </cell>
          <cell r="BX67">
            <v>0</v>
          </cell>
          <cell r="BY67">
            <v>0</v>
          </cell>
          <cell r="BZ67">
            <v>1050</v>
          </cell>
          <cell r="CA67">
            <v>0</v>
          </cell>
          <cell r="CB67">
            <v>-1050</v>
          </cell>
          <cell r="CC67">
            <v>1050</v>
          </cell>
          <cell r="CD67">
            <v>1.0937499999999999E-2</v>
          </cell>
          <cell r="CE67">
            <v>0</v>
          </cell>
          <cell r="CF67">
            <v>0</v>
          </cell>
          <cell r="CG67">
            <v>2100</v>
          </cell>
          <cell r="CH67">
            <v>0</v>
          </cell>
        </row>
        <row r="68">
          <cell r="A68" t="str">
            <v>Acordo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</row>
        <row r="69">
          <cell r="A69" t="str">
            <v>Aluguel + IPTU + Condomínio + Energia Elétrica</v>
          </cell>
          <cell r="B69">
            <v>0</v>
          </cell>
          <cell r="C69">
            <v>161.21108125712416</v>
          </cell>
          <cell r="D69">
            <v>900</v>
          </cell>
          <cell r="E69">
            <v>9.3749999999999997E-3</v>
          </cell>
          <cell r="F69">
            <v>899.99749999999995</v>
          </cell>
          <cell r="G69">
            <v>4.2437698927266293E-3</v>
          </cell>
          <cell r="H69">
            <v>900</v>
          </cell>
          <cell r="I69">
            <v>899.99749999999995</v>
          </cell>
          <cell r="J69">
            <v>-2.5000000000545697E-3</v>
          </cell>
          <cell r="K69">
            <v>900</v>
          </cell>
          <cell r="L69">
            <v>9.3749999999999997E-3</v>
          </cell>
          <cell r="M69">
            <v>899.99749999999995</v>
          </cell>
          <cell r="N69">
            <v>1.1090542205791743E-2</v>
          </cell>
          <cell r="O69">
            <v>1800</v>
          </cell>
          <cell r="P69">
            <v>1799.9949999999999</v>
          </cell>
          <cell r="Q69">
            <v>-5.0000000001091394E-3</v>
          </cell>
          <cell r="R69">
            <v>900</v>
          </cell>
          <cell r="S69">
            <v>9.3749999999999997E-3</v>
          </cell>
          <cell r="T69">
            <v>899.99749999999995</v>
          </cell>
          <cell r="U69">
            <v>5.994987510407993E-3</v>
          </cell>
          <cell r="V69">
            <v>2700</v>
          </cell>
          <cell r="W69">
            <v>2699.9924999999998</v>
          </cell>
          <cell r="X69">
            <v>-7.500000000163709E-3</v>
          </cell>
          <cell r="Y69">
            <v>900</v>
          </cell>
          <cell r="Z69">
            <v>9.3749999999999997E-3</v>
          </cell>
          <cell r="AA69">
            <v>0</v>
          </cell>
          <cell r="AB69">
            <v>0</v>
          </cell>
          <cell r="AC69">
            <v>3600</v>
          </cell>
          <cell r="AD69">
            <v>2699.9924999999998</v>
          </cell>
          <cell r="AE69">
            <v>-900.00750000000016</v>
          </cell>
          <cell r="AF69">
            <v>900</v>
          </cell>
          <cell r="AG69">
            <v>9.3749999999999997E-3</v>
          </cell>
          <cell r="AH69">
            <v>0</v>
          </cell>
          <cell r="AI69">
            <v>0</v>
          </cell>
          <cell r="AJ69">
            <v>4500</v>
          </cell>
          <cell r="AK69">
            <v>2699.9924999999998</v>
          </cell>
          <cell r="AL69">
            <v>-1800.0075000000002</v>
          </cell>
          <cell r="AM69">
            <v>900</v>
          </cell>
          <cell r="AN69">
            <v>9.3749999999999997E-3</v>
          </cell>
          <cell r="AO69">
            <v>0</v>
          </cell>
          <cell r="AP69">
            <v>0</v>
          </cell>
          <cell r="AQ69">
            <v>5400</v>
          </cell>
          <cell r="AR69">
            <v>2699.9924999999998</v>
          </cell>
          <cell r="AS69">
            <v>-2700.0075000000002</v>
          </cell>
          <cell r="AT69">
            <v>900</v>
          </cell>
          <cell r="AU69">
            <v>9.3749999999999997E-3</v>
          </cell>
          <cell r="AV69">
            <v>0</v>
          </cell>
          <cell r="AW69">
            <v>0</v>
          </cell>
          <cell r="AX69">
            <v>6300</v>
          </cell>
          <cell r="AY69">
            <v>2699.9924999999998</v>
          </cell>
          <cell r="AZ69">
            <v>-3600.0075000000002</v>
          </cell>
          <cell r="BA69">
            <v>900</v>
          </cell>
          <cell r="BB69">
            <v>9.3749999999999997E-3</v>
          </cell>
          <cell r="BC69">
            <v>0</v>
          </cell>
          <cell r="BD69">
            <v>0</v>
          </cell>
          <cell r="BE69">
            <v>7200</v>
          </cell>
          <cell r="BF69">
            <v>2699.9924999999998</v>
          </cell>
          <cell r="BG69">
            <v>-4500.0074999999997</v>
          </cell>
          <cell r="BH69">
            <v>900</v>
          </cell>
          <cell r="BI69">
            <v>9.3749999999999997E-3</v>
          </cell>
          <cell r="BJ69">
            <v>0</v>
          </cell>
          <cell r="BK69">
            <v>0</v>
          </cell>
          <cell r="BL69">
            <v>8100</v>
          </cell>
          <cell r="BM69">
            <v>2699.9924999999998</v>
          </cell>
          <cell r="BN69">
            <v>-5400.0074999999997</v>
          </cell>
          <cell r="BO69">
            <v>900</v>
          </cell>
          <cell r="BP69">
            <v>9.3749999999999997E-3</v>
          </cell>
          <cell r="BQ69">
            <v>0</v>
          </cell>
          <cell r="BR69">
            <v>0</v>
          </cell>
          <cell r="BS69">
            <v>9000</v>
          </cell>
          <cell r="BT69">
            <v>2699.9924999999998</v>
          </cell>
          <cell r="BU69">
            <v>-6300.0074999999997</v>
          </cell>
          <cell r="BV69">
            <v>900</v>
          </cell>
          <cell r="BW69">
            <v>9.3749999999999997E-3</v>
          </cell>
          <cell r="BX69">
            <v>0</v>
          </cell>
          <cell r="BY69">
            <v>0</v>
          </cell>
          <cell r="BZ69">
            <v>9900</v>
          </cell>
          <cell r="CA69">
            <v>2699.9924999999998</v>
          </cell>
          <cell r="CB69">
            <v>-7200.0074999999997</v>
          </cell>
          <cell r="CC69">
            <v>900</v>
          </cell>
          <cell r="CD69">
            <v>9.3749999999999997E-3</v>
          </cell>
          <cell r="CE69">
            <v>0</v>
          </cell>
          <cell r="CF69">
            <v>0</v>
          </cell>
          <cell r="CG69">
            <v>10800</v>
          </cell>
          <cell r="CH69">
            <v>2699.9924999999998</v>
          </cell>
        </row>
        <row r="70">
          <cell r="A70" t="str">
            <v>Aperfeiçoamento - Treinamentos / Livros / Revistas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</row>
        <row r="71">
          <cell r="A71" t="str">
            <v>OAB / Associações</v>
          </cell>
          <cell r="B71">
            <v>0</v>
          </cell>
          <cell r="C71">
            <v>1036.5741666666665</v>
          </cell>
          <cell r="D71">
            <v>539.45000000000005</v>
          </cell>
          <cell r="E71">
            <v>5.6192708333333338E-3</v>
          </cell>
          <cell r="F71">
            <v>193.67</v>
          </cell>
          <cell r="G71">
            <v>9.1321466462336435E-4</v>
          </cell>
          <cell r="H71">
            <v>539.45000000000005</v>
          </cell>
          <cell r="I71">
            <v>193.67</v>
          </cell>
          <cell r="J71">
            <v>-345.78000000000009</v>
          </cell>
          <cell r="K71">
            <v>539.45000000000005</v>
          </cell>
          <cell r="L71">
            <v>5.6192708333333338E-3</v>
          </cell>
          <cell r="M71">
            <v>193.67</v>
          </cell>
          <cell r="N71">
            <v>2.3865680837954406E-3</v>
          </cell>
          <cell r="O71">
            <v>1078.9000000000001</v>
          </cell>
          <cell r="P71">
            <v>387.34</v>
          </cell>
          <cell r="Q71">
            <v>-691.56000000000017</v>
          </cell>
          <cell r="R71">
            <v>539.45000000000005</v>
          </cell>
          <cell r="S71">
            <v>5.6192708333333338E-3</v>
          </cell>
          <cell r="T71">
            <v>85.78</v>
          </cell>
          <cell r="U71">
            <v>5.7139050791007496E-4</v>
          </cell>
          <cell r="V71">
            <v>1618.3500000000001</v>
          </cell>
          <cell r="W71">
            <v>473.12</v>
          </cell>
          <cell r="X71">
            <v>-1145.23</v>
          </cell>
          <cell r="Y71">
            <v>539.45000000000005</v>
          </cell>
          <cell r="Z71">
            <v>5.6192708333333338E-3</v>
          </cell>
          <cell r="AA71">
            <v>0</v>
          </cell>
          <cell r="AB71">
            <v>0</v>
          </cell>
          <cell r="AC71">
            <v>2157.8000000000002</v>
          </cell>
          <cell r="AD71">
            <v>473.12</v>
          </cell>
          <cell r="AE71">
            <v>-1684.6800000000003</v>
          </cell>
          <cell r="AF71">
            <v>539.45000000000005</v>
          </cell>
          <cell r="AG71">
            <v>5.6192708333333338E-3</v>
          </cell>
          <cell r="AH71">
            <v>0</v>
          </cell>
          <cell r="AI71">
            <v>0</v>
          </cell>
          <cell r="AJ71">
            <v>2697.25</v>
          </cell>
          <cell r="AK71">
            <v>473.12</v>
          </cell>
          <cell r="AL71">
            <v>-2224.13</v>
          </cell>
          <cell r="AM71">
            <v>539.45000000000005</v>
          </cell>
          <cell r="AN71">
            <v>5.6192708333333338E-3</v>
          </cell>
          <cell r="AO71">
            <v>0</v>
          </cell>
          <cell r="AP71">
            <v>0</v>
          </cell>
          <cell r="AQ71">
            <v>3236.7</v>
          </cell>
          <cell r="AR71">
            <v>473.12</v>
          </cell>
          <cell r="AS71">
            <v>-2763.58</v>
          </cell>
          <cell r="AT71">
            <v>539.45000000000005</v>
          </cell>
          <cell r="AU71">
            <v>5.6192708333333338E-3</v>
          </cell>
          <cell r="AV71">
            <v>0</v>
          </cell>
          <cell r="AW71">
            <v>0</v>
          </cell>
          <cell r="AX71">
            <v>3776.1499999999996</v>
          </cell>
          <cell r="AY71">
            <v>473.12</v>
          </cell>
          <cell r="AZ71">
            <v>-3303.0299999999997</v>
          </cell>
          <cell r="BA71">
            <v>539.45000000000005</v>
          </cell>
          <cell r="BB71">
            <v>5.6192708333333338E-3</v>
          </cell>
          <cell r="BC71">
            <v>0</v>
          </cell>
          <cell r="BD71">
            <v>0</v>
          </cell>
          <cell r="BE71">
            <v>4315.5999999999995</v>
          </cell>
          <cell r="BF71">
            <v>473.12</v>
          </cell>
          <cell r="BG71">
            <v>-3842.4799999999996</v>
          </cell>
          <cell r="BH71">
            <v>539.45000000000005</v>
          </cell>
          <cell r="BI71">
            <v>5.6192708333333338E-3</v>
          </cell>
          <cell r="BJ71">
            <v>0</v>
          </cell>
          <cell r="BK71">
            <v>0</v>
          </cell>
          <cell r="BL71">
            <v>4855.0499999999993</v>
          </cell>
          <cell r="BM71">
            <v>473.12</v>
          </cell>
          <cell r="BN71">
            <v>-4381.9299999999994</v>
          </cell>
          <cell r="BO71">
            <v>539.45000000000005</v>
          </cell>
          <cell r="BP71">
            <v>5.6192708333333338E-3</v>
          </cell>
          <cell r="BQ71">
            <v>0</v>
          </cell>
          <cell r="BR71">
            <v>0</v>
          </cell>
          <cell r="BS71">
            <v>5394.4999999999991</v>
          </cell>
          <cell r="BT71">
            <v>473.12</v>
          </cell>
          <cell r="BU71">
            <v>-4921.3799999999992</v>
          </cell>
          <cell r="BV71">
            <v>539.45000000000005</v>
          </cell>
          <cell r="BW71">
            <v>5.6192708333333338E-3</v>
          </cell>
          <cell r="BX71">
            <v>0</v>
          </cell>
          <cell r="BY71">
            <v>0</v>
          </cell>
          <cell r="BZ71">
            <v>5933.9499999999989</v>
          </cell>
          <cell r="CA71">
            <v>473.12</v>
          </cell>
          <cell r="CB71">
            <v>-5460.829999999999</v>
          </cell>
          <cell r="CC71">
            <v>539.45000000000005</v>
          </cell>
          <cell r="CD71">
            <v>5.6192708333333338E-3</v>
          </cell>
          <cell r="CE71">
            <v>0</v>
          </cell>
          <cell r="CF71">
            <v>0</v>
          </cell>
          <cell r="CG71">
            <v>6473.3999999999987</v>
          </cell>
          <cell r="CH71">
            <v>473.12</v>
          </cell>
        </row>
        <row r="72">
          <cell r="A72" t="str">
            <v>Back Office / Encerramento</v>
          </cell>
          <cell r="B72">
            <v>0</v>
          </cell>
          <cell r="C72">
            <v>352.89609912997804</v>
          </cell>
          <cell r="D72">
            <v>1000</v>
          </cell>
          <cell r="E72">
            <v>1.0416666666666666E-2</v>
          </cell>
          <cell r="F72">
            <v>0</v>
          </cell>
          <cell r="G72">
            <v>0</v>
          </cell>
          <cell r="H72">
            <v>1000</v>
          </cell>
          <cell r="I72">
            <v>0</v>
          </cell>
          <cell r="J72">
            <v>-1000</v>
          </cell>
          <cell r="K72">
            <v>1000</v>
          </cell>
          <cell r="L72">
            <v>1.0416666666666666E-2</v>
          </cell>
          <cell r="M72">
            <v>0</v>
          </cell>
          <cell r="N72">
            <v>0</v>
          </cell>
          <cell r="O72">
            <v>2000</v>
          </cell>
          <cell r="P72">
            <v>0</v>
          </cell>
          <cell r="Q72">
            <v>-2000</v>
          </cell>
          <cell r="R72">
            <v>1000</v>
          </cell>
          <cell r="S72">
            <v>1.0416666666666666E-2</v>
          </cell>
          <cell r="T72">
            <v>0</v>
          </cell>
          <cell r="U72">
            <v>0</v>
          </cell>
          <cell r="V72">
            <v>3000</v>
          </cell>
          <cell r="W72">
            <v>0</v>
          </cell>
          <cell r="X72">
            <v>-3000</v>
          </cell>
          <cell r="Y72">
            <v>1000</v>
          </cell>
          <cell r="Z72">
            <v>1.0416666666666666E-2</v>
          </cell>
          <cell r="AA72">
            <v>0</v>
          </cell>
          <cell r="AB72">
            <v>0</v>
          </cell>
          <cell r="AC72">
            <v>4000</v>
          </cell>
          <cell r="AD72">
            <v>0</v>
          </cell>
          <cell r="AE72">
            <v>-4000</v>
          </cell>
          <cell r="AF72">
            <v>1000</v>
          </cell>
          <cell r="AG72">
            <v>1.0416666666666666E-2</v>
          </cell>
          <cell r="AH72">
            <v>0</v>
          </cell>
          <cell r="AI72">
            <v>0</v>
          </cell>
          <cell r="AJ72">
            <v>5000</v>
          </cell>
          <cell r="AK72">
            <v>0</v>
          </cell>
          <cell r="AL72">
            <v>-5000</v>
          </cell>
          <cell r="AM72">
            <v>1000</v>
          </cell>
          <cell r="AN72">
            <v>1.0416666666666666E-2</v>
          </cell>
          <cell r="AO72">
            <v>0</v>
          </cell>
          <cell r="AP72">
            <v>0</v>
          </cell>
          <cell r="AQ72">
            <v>6000</v>
          </cell>
          <cell r="AR72">
            <v>0</v>
          </cell>
          <cell r="AS72">
            <v>-6000</v>
          </cell>
          <cell r="AT72">
            <v>1000</v>
          </cell>
          <cell r="AU72">
            <v>1.0416666666666666E-2</v>
          </cell>
          <cell r="AV72">
            <v>0</v>
          </cell>
          <cell r="AW72">
            <v>0</v>
          </cell>
          <cell r="AX72">
            <v>7000</v>
          </cell>
          <cell r="AY72">
            <v>0</v>
          </cell>
          <cell r="AZ72">
            <v>-7000</v>
          </cell>
          <cell r="BA72">
            <v>1000</v>
          </cell>
          <cell r="BB72">
            <v>1.0416666666666666E-2</v>
          </cell>
          <cell r="BC72">
            <v>0</v>
          </cell>
          <cell r="BD72">
            <v>0</v>
          </cell>
          <cell r="BE72">
            <v>8000</v>
          </cell>
          <cell r="BF72">
            <v>0</v>
          </cell>
          <cell r="BG72">
            <v>-8000</v>
          </cell>
          <cell r="BH72">
            <v>1000</v>
          </cell>
          <cell r="BI72">
            <v>1.0416666666666666E-2</v>
          </cell>
          <cell r="BJ72">
            <v>0</v>
          </cell>
          <cell r="BK72">
            <v>0</v>
          </cell>
          <cell r="BL72">
            <v>9000</v>
          </cell>
          <cell r="BM72">
            <v>0</v>
          </cell>
          <cell r="BN72">
            <v>-9000</v>
          </cell>
          <cell r="BO72">
            <v>1000</v>
          </cell>
          <cell r="BP72">
            <v>1.0416666666666666E-2</v>
          </cell>
          <cell r="BQ72">
            <v>0</v>
          </cell>
          <cell r="BR72">
            <v>0</v>
          </cell>
          <cell r="BS72">
            <v>10000</v>
          </cell>
          <cell r="BT72">
            <v>0</v>
          </cell>
          <cell r="BU72">
            <v>-10000</v>
          </cell>
          <cell r="BV72">
            <v>1000</v>
          </cell>
          <cell r="BW72">
            <v>1.0416666666666666E-2</v>
          </cell>
          <cell r="BX72">
            <v>0</v>
          </cell>
          <cell r="BY72">
            <v>0</v>
          </cell>
          <cell r="BZ72">
            <v>11000</v>
          </cell>
          <cell r="CA72">
            <v>0</v>
          </cell>
          <cell r="CB72">
            <v>-11000</v>
          </cell>
          <cell r="CC72">
            <v>1000</v>
          </cell>
          <cell r="CD72">
            <v>1.0416666666666666E-2</v>
          </cell>
          <cell r="CE72">
            <v>0</v>
          </cell>
          <cell r="CF72">
            <v>0</v>
          </cell>
          <cell r="CG72">
            <v>12000</v>
          </cell>
          <cell r="CH72">
            <v>0</v>
          </cell>
        </row>
        <row r="73">
          <cell r="A73" t="str">
            <v>Bonificações/Premiações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A74" t="str">
            <v>Cadastro</v>
          </cell>
          <cell r="B74">
            <v>0</v>
          </cell>
          <cell r="C74">
            <v>482.69354147298515</v>
          </cell>
          <cell r="D74">
            <v>553.94372706700676</v>
          </cell>
          <cell r="E74">
            <v>5.7702471569479868E-3</v>
          </cell>
          <cell r="F74">
            <v>547.18117822644899</v>
          </cell>
          <cell r="G74">
            <v>2.5801305115004079E-3</v>
          </cell>
          <cell r="H74">
            <v>553.94372706700676</v>
          </cell>
          <cell r="I74">
            <v>547.18117822644899</v>
          </cell>
          <cell r="J74">
            <v>-6.7625488405577698</v>
          </cell>
          <cell r="K74">
            <v>553.94372706700676</v>
          </cell>
          <cell r="L74">
            <v>5.7702471569479868E-3</v>
          </cell>
          <cell r="M74">
            <v>544.46023341133662</v>
          </cell>
          <cell r="N74">
            <v>6.7093066347669334E-3</v>
          </cell>
          <cell r="O74">
            <v>1107.8874541340135</v>
          </cell>
          <cell r="P74">
            <v>1091.6414116377855</v>
          </cell>
          <cell r="Q74">
            <v>-16.246042496228029</v>
          </cell>
          <cell r="R74">
            <v>553.94372706700676</v>
          </cell>
          <cell r="S74">
            <v>5.7702471569479868E-3</v>
          </cell>
          <cell r="T74">
            <v>546.36711356378748</v>
          </cell>
          <cell r="U74">
            <v>3.6394145782766862E-3</v>
          </cell>
          <cell r="V74">
            <v>1661.8311812010202</v>
          </cell>
          <cell r="W74">
            <v>1638.0085252015729</v>
          </cell>
          <cell r="X74">
            <v>-23.822655999447306</v>
          </cell>
          <cell r="Y74">
            <v>553.94372706700676</v>
          </cell>
          <cell r="Z74">
            <v>5.7702471569479868E-3</v>
          </cell>
          <cell r="AA74">
            <v>0</v>
          </cell>
          <cell r="AB74">
            <v>0</v>
          </cell>
          <cell r="AC74">
            <v>2215.774908268027</v>
          </cell>
          <cell r="AD74">
            <v>1638.0085252015729</v>
          </cell>
          <cell r="AE74">
            <v>-577.76638306645418</v>
          </cell>
          <cell r="AF74">
            <v>553.94372706700676</v>
          </cell>
          <cell r="AG74">
            <v>5.7702471569479868E-3</v>
          </cell>
          <cell r="AH74">
            <v>0</v>
          </cell>
          <cell r="AI74">
            <v>0</v>
          </cell>
          <cell r="AJ74">
            <v>2769.7186353350339</v>
          </cell>
          <cell r="AK74">
            <v>1638.0085252015729</v>
          </cell>
          <cell r="AL74">
            <v>-1131.7101101334611</v>
          </cell>
          <cell r="AM74">
            <v>553.94372706700676</v>
          </cell>
          <cell r="AN74">
            <v>5.7702471569479868E-3</v>
          </cell>
          <cell r="AO74">
            <v>0</v>
          </cell>
          <cell r="AP74">
            <v>0</v>
          </cell>
          <cell r="AQ74">
            <v>3323.6623624020408</v>
          </cell>
          <cell r="AR74">
            <v>1638.0085252015729</v>
          </cell>
          <cell r="AS74">
            <v>-1685.6538372004679</v>
          </cell>
          <cell r="AT74">
            <v>553.94372706700676</v>
          </cell>
          <cell r="AU74">
            <v>5.7702471569479868E-3</v>
          </cell>
          <cell r="AV74">
            <v>0</v>
          </cell>
          <cell r="AW74">
            <v>0</v>
          </cell>
          <cell r="AX74">
            <v>3877.6060894690477</v>
          </cell>
          <cell r="AY74">
            <v>1638.0085252015729</v>
          </cell>
          <cell r="AZ74">
            <v>-2239.5975642674748</v>
          </cell>
          <cell r="BA74">
            <v>553.94372706700676</v>
          </cell>
          <cell r="BB74">
            <v>5.7702471569479868E-3</v>
          </cell>
          <cell r="BC74">
            <v>0</v>
          </cell>
          <cell r="BD74">
            <v>0</v>
          </cell>
          <cell r="BE74">
            <v>4431.5498165360541</v>
          </cell>
          <cell r="BF74">
            <v>1638.0085252015729</v>
          </cell>
          <cell r="BG74">
            <v>-2793.5412913344812</v>
          </cell>
          <cell r="BH74">
            <v>553.94372706700676</v>
          </cell>
          <cell r="BI74">
            <v>5.7702471569479868E-3</v>
          </cell>
          <cell r="BJ74">
            <v>0</v>
          </cell>
          <cell r="BK74">
            <v>0</v>
          </cell>
          <cell r="BL74">
            <v>4985.493543603061</v>
          </cell>
          <cell r="BM74">
            <v>1638.0085252015729</v>
          </cell>
          <cell r="BN74">
            <v>-3347.4850184014881</v>
          </cell>
          <cell r="BO74">
            <v>553.94372706700676</v>
          </cell>
          <cell r="BP74">
            <v>5.7702471569479868E-3</v>
          </cell>
          <cell r="BQ74">
            <v>0</v>
          </cell>
          <cell r="BR74">
            <v>0</v>
          </cell>
          <cell r="BS74">
            <v>5539.4372706700678</v>
          </cell>
          <cell r="BT74">
            <v>1638.0085252015729</v>
          </cell>
          <cell r="BU74">
            <v>-3901.428745468495</v>
          </cell>
          <cell r="BV74">
            <v>553.94372706700676</v>
          </cell>
          <cell r="BW74">
            <v>5.7702471569479868E-3</v>
          </cell>
          <cell r="BX74">
            <v>0</v>
          </cell>
          <cell r="BY74">
            <v>0</v>
          </cell>
          <cell r="BZ74">
            <v>6093.3809977370747</v>
          </cell>
          <cell r="CA74">
            <v>1638.0085252015729</v>
          </cell>
          <cell r="CB74">
            <v>-4455.3724725355023</v>
          </cell>
          <cell r="CC74">
            <v>553.94372706700676</v>
          </cell>
          <cell r="CD74">
            <v>5.7702471569479868E-3</v>
          </cell>
          <cell r="CE74">
            <v>0</v>
          </cell>
          <cell r="CF74">
            <v>0</v>
          </cell>
          <cell r="CG74">
            <v>6647.3247248040816</v>
          </cell>
          <cell r="CH74">
            <v>1638.0085252015729</v>
          </cell>
        </row>
        <row r="75">
          <cell r="A75" t="str">
            <v>Cartório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76" t="str">
            <v>Condenação</v>
          </cell>
          <cell r="B76">
            <v>0</v>
          </cell>
          <cell r="C76">
            <v>3201.3549999999996</v>
          </cell>
          <cell r="D76">
            <v>2999.9999999999991</v>
          </cell>
          <cell r="E76">
            <v>3.124999999999999E-2</v>
          </cell>
          <cell r="F76">
            <v>0</v>
          </cell>
          <cell r="G76">
            <v>0</v>
          </cell>
          <cell r="H76">
            <v>2999.9999999999991</v>
          </cell>
          <cell r="I76">
            <v>0</v>
          </cell>
          <cell r="J76">
            <v>-2999.9999999999991</v>
          </cell>
          <cell r="K76">
            <v>2999.9999999999991</v>
          </cell>
          <cell r="L76">
            <v>3.124999999999999E-2</v>
          </cell>
          <cell r="M76">
            <v>0</v>
          </cell>
          <cell r="N76">
            <v>0</v>
          </cell>
          <cell r="O76">
            <v>5999.9999999999982</v>
          </cell>
          <cell r="P76">
            <v>0</v>
          </cell>
          <cell r="Q76">
            <v>-5999.9999999999982</v>
          </cell>
          <cell r="R76">
            <v>2999.9999999999991</v>
          </cell>
          <cell r="S76">
            <v>3.124999999999999E-2</v>
          </cell>
          <cell r="T76">
            <v>0</v>
          </cell>
          <cell r="U76">
            <v>0</v>
          </cell>
          <cell r="V76">
            <v>8999.9999999999964</v>
          </cell>
          <cell r="W76">
            <v>0</v>
          </cell>
          <cell r="X76">
            <v>-8999.9999999999964</v>
          </cell>
          <cell r="Y76">
            <v>2999.9999999999991</v>
          </cell>
          <cell r="Z76">
            <v>3.124999999999999E-2</v>
          </cell>
          <cell r="AA76">
            <v>0</v>
          </cell>
          <cell r="AB76">
            <v>0</v>
          </cell>
          <cell r="AC76">
            <v>11999.999999999996</v>
          </cell>
          <cell r="AD76">
            <v>0</v>
          </cell>
          <cell r="AE76">
            <v>-11999.999999999996</v>
          </cell>
          <cell r="AF76">
            <v>2999.9999999999991</v>
          </cell>
          <cell r="AG76">
            <v>3.124999999999999E-2</v>
          </cell>
          <cell r="AH76">
            <v>0</v>
          </cell>
          <cell r="AI76">
            <v>0</v>
          </cell>
          <cell r="AJ76">
            <v>14999.999999999996</v>
          </cell>
          <cell r="AK76">
            <v>0</v>
          </cell>
          <cell r="AL76">
            <v>-14999.999999999996</v>
          </cell>
          <cell r="AM76">
            <v>2999.9999999999991</v>
          </cell>
          <cell r="AN76">
            <v>3.124999999999999E-2</v>
          </cell>
          <cell r="AO76">
            <v>0</v>
          </cell>
          <cell r="AP76">
            <v>0</v>
          </cell>
          <cell r="AQ76">
            <v>17999.999999999996</v>
          </cell>
          <cell r="AR76">
            <v>0</v>
          </cell>
          <cell r="AS76">
            <v>-17999.999999999996</v>
          </cell>
          <cell r="AT76">
            <v>2999.9999999999991</v>
          </cell>
          <cell r="AU76">
            <v>3.124999999999999E-2</v>
          </cell>
          <cell r="AV76">
            <v>0</v>
          </cell>
          <cell r="AW76">
            <v>0</v>
          </cell>
          <cell r="AX76">
            <v>20999.999999999996</v>
          </cell>
          <cell r="AY76">
            <v>0</v>
          </cell>
          <cell r="AZ76">
            <v>-20999.999999999996</v>
          </cell>
          <cell r="BA76">
            <v>2999.9999999999991</v>
          </cell>
          <cell r="BB76">
            <v>3.124999999999999E-2</v>
          </cell>
          <cell r="BC76">
            <v>0</v>
          </cell>
          <cell r="BD76">
            <v>0</v>
          </cell>
          <cell r="BE76">
            <v>23999.999999999996</v>
          </cell>
          <cell r="BF76">
            <v>0</v>
          </cell>
          <cell r="BG76">
            <v>-23999.999999999996</v>
          </cell>
          <cell r="BH76">
            <v>2999.9999999999991</v>
          </cell>
          <cell r="BI76">
            <v>3.124999999999999E-2</v>
          </cell>
          <cell r="BJ76">
            <v>0</v>
          </cell>
          <cell r="BK76">
            <v>0</v>
          </cell>
          <cell r="BL76">
            <v>26999.999999999996</v>
          </cell>
          <cell r="BM76">
            <v>0</v>
          </cell>
          <cell r="BN76">
            <v>-26999.999999999996</v>
          </cell>
          <cell r="BO76">
            <v>2999.9999999999991</v>
          </cell>
          <cell r="BP76">
            <v>3.124999999999999E-2</v>
          </cell>
          <cell r="BQ76">
            <v>0</v>
          </cell>
          <cell r="BR76">
            <v>0</v>
          </cell>
          <cell r="BS76">
            <v>29999.999999999996</v>
          </cell>
          <cell r="BT76">
            <v>0</v>
          </cell>
          <cell r="BU76">
            <v>-29999.999999999996</v>
          </cell>
          <cell r="BV76">
            <v>2999.9999999999991</v>
          </cell>
          <cell r="BW76">
            <v>3.124999999999999E-2</v>
          </cell>
          <cell r="BX76">
            <v>0</v>
          </cell>
          <cell r="BY76">
            <v>0</v>
          </cell>
          <cell r="BZ76">
            <v>32999.999999999993</v>
          </cell>
          <cell r="CA76">
            <v>0</v>
          </cell>
          <cell r="CB76">
            <v>-32999.999999999993</v>
          </cell>
          <cell r="CC76">
            <v>2999.9999999999991</v>
          </cell>
          <cell r="CD76">
            <v>3.124999999999999E-2</v>
          </cell>
          <cell r="CE76">
            <v>0</v>
          </cell>
          <cell r="CF76">
            <v>0</v>
          </cell>
          <cell r="CG76">
            <v>35999.999999999993</v>
          </cell>
          <cell r="CH76">
            <v>0</v>
          </cell>
        </row>
        <row r="77">
          <cell r="A77" t="str">
            <v>Penalidades/Irregularidades</v>
          </cell>
          <cell r="B77">
            <v>0</v>
          </cell>
          <cell r="C77">
            <v>6459.623333333333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</row>
        <row r="78">
          <cell r="A78" t="str">
            <v>Controladoria Jurídica - Custas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</row>
        <row r="79">
          <cell r="A79" t="str">
            <v>GNA</v>
          </cell>
          <cell r="B79">
            <v>0</v>
          </cell>
          <cell r="C79">
            <v>2020.7897672705633</v>
          </cell>
          <cell r="D79">
            <v>960</v>
          </cell>
          <cell r="E79">
            <v>0.01</v>
          </cell>
          <cell r="F79">
            <v>0</v>
          </cell>
          <cell r="G79">
            <v>0</v>
          </cell>
          <cell r="H79">
            <v>960</v>
          </cell>
          <cell r="I79">
            <v>0</v>
          </cell>
          <cell r="J79">
            <v>-960</v>
          </cell>
          <cell r="K79">
            <v>960</v>
          </cell>
          <cell r="L79">
            <v>0.01</v>
          </cell>
          <cell r="M79">
            <v>1068.645200060686</v>
          </cell>
          <cell r="N79">
            <v>1.3168764017999827E-2</v>
          </cell>
          <cell r="O79">
            <v>1920</v>
          </cell>
          <cell r="P79">
            <v>1068.645200060686</v>
          </cell>
          <cell r="Q79">
            <v>-851.35479993931403</v>
          </cell>
          <cell r="R79">
            <v>960</v>
          </cell>
          <cell r="S79">
            <v>0.01</v>
          </cell>
          <cell r="T79">
            <v>1544.3085160996138</v>
          </cell>
          <cell r="U79">
            <v>1.0286817759198093E-2</v>
          </cell>
          <cell r="V79">
            <v>2880</v>
          </cell>
          <cell r="W79">
            <v>2612.9537161602998</v>
          </cell>
          <cell r="X79">
            <v>-267.04628383970021</v>
          </cell>
          <cell r="Y79">
            <v>960</v>
          </cell>
          <cell r="Z79">
            <v>0.01</v>
          </cell>
          <cell r="AA79">
            <v>0</v>
          </cell>
          <cell r="AB79">
            <v>0</v>
          </cell>
          <cell r="AC79">
            <v>3840</v>
          </cell>
          <cell r="AD79">
            <v>2612.9537161602998</v>
          </cell>
          <cell r="AE79">
            <v>-1227.0462838397002</v>
          </cell>
          <cell r="AF79">
            <v>960</v>
          </cell>
          <cell r="AG79">
            <v>0.01</v>
          </cell>
          <cell r="AH79">
            <v>0</v>
          </cell>
          <cell r="AI79">
            <v>0</v>
          </cell>
          <cell r="AJ79">
            <v>4800</v>
          </cell>
          <cell r="AK79">
            <v>2612.9537161602998</v>
          </cell>
          <cell r="AL79">
            <v>-2187.0462838397002</v>
          </cell>
          <cell r="AM79">
            <v>960</v>
          </cell>
          <cell r="AN79">
            <v>0.01</v>
          </cell>
          <cell r="AO79">
            <v>0</v>
          </cell>
          <cell r="AP79">
            <v>0</v>
          </cell>
          <cell r="AQ79">
            <v>5760</v>
          </cell>
          <cell r="AR79">
            <v>2612.9537161602998</v>
          </cell>
          <cell r="AS79">
            <v>-3147.0462838397002</v>
          </cell>
          <cell r="AT79">
            <v>960</v>
          </cell>
          <cell r="AU79">
            <v>0.01</v>
          </cell>
          <cell r="AV79">
            <v>0</v>
          </cell>
          <cell r="AW79">
            <v>0</v>
          </cell>
          <cell r="AX79">
            <v>6720</v>
          </cell>
          <cell r="AY79">
            <v>2612.9537161602998</v>
          </cell>
          <cell r="AZ79">
            <v>-4107.0462838396998</v>
          </cell>
          <cell r="BA79">
            <v>960</v>
          </cell>
          <cell r="BB79">
            <v>0.01</v>
          </cell>
          <cell r="BC79">
            <v>0</v>
          </cell>
          <cell r="BD79">
            <v>0</v>
          </cell>
          <cell r="BE79">
            <v>7680</v>
          </cell>
          <cell r="BF79">
            <v>2612.9537161602998</v>
          </cell>
          <cell r="BG79">
            <v>-5067.0462838396998</v>
          </cell>
          <cell r="BH79">
            <v>960</v>
          </cell>
          <cell r="BI79">
            <v>0.01</v>
          </cell>
          <cell r="BJ79">
            <v>0</v>
          </cell>
          <cell r="BK79">
            <v>0</v>
          </cell>
          <cell r="BL79">
            <v>8640</v>
          </cell>
          <cell r="BM79">
            <v>2612.9537161602998</v>
          </cell>
          <cell r="BN79">
            <v>-6027.0462838396998</v>
          </cell>
          <cell r="BO79">
            <v>960</v>
          </cell>
          <cell r="BP79">
            <v>0.01</v>
          </cell>
          <cell r="BQ79">
            <v>0</v>
          </cell>
          <cell r="BR79">
            <v>0</v>
          </cell>
          <cell r="BS79">
            <v>9600</v>
          </cell>
          <cell r="BT79">
            <v>2612.9537161602998</v>
          </cell>
          <cell r="BU79">
            <v>-6987.0462838396998</v>
          </cell>
          <cell r="BV79">
            <v>960</v>
          </cell>
          <cell r="BW79">
            <v>0.01</v>
          </cell>
          <cell r="BX79">
            <v>0</v>
          </cell>
          <cell r="BY79">
            <v>0</v>
          </cell>
          <cell r="BZ79">
            <v>10560</v>
          </cell>
          <cell r="CA79">
            <v>2612.9537161602998</v>
          </cell>
          <cell r="CB79">
            <v>-7947.0462838396998</v>
          </cell>
          <cell r="CC79">
            <v>960</v>
          </cell>
          <cell r="CD79">
            <v>0.01</v>
          </cell>
          <cell r="CE79">
            <v>0</v>
          </cell>
          <cell r="CF79">
            <v>0</v>
          </cell>
          <cell r="CG79">
            <v>11520</v>
          </cell>
          <cell r="CH79">
            <v>2612.9537161602998</v>
          </cell>
        </row>
        <row r="80">
          <cell r="A80" t="str">
            <v>Correios</v>
          </cell>
          <cell r="B80">
            <v>0</v>
          </cell>
          <cell r="C80">
            <v>3.75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</row>
        <row r="81">
          <cell r="A81" t="str">
            <v xml:space="preserve">Correspondentes </v>
          </cell>
          <cell r="B81">
            <v>0</v>
          </cell>
          <cell r="C81">
            <v>5502.4508402499996</v>
          </cell>
          <cell r="D81">
            <v>4000</v>
          </cell>
          <cell r="E81">
            <v>4.1666666666666664E-2</v>
          </cell>
          <cell r="F81">
            <v>4420.1502170000003</v>
          </cell>
          <cell r="G81">
            <v>2.084239168690322E-2</v>
          </cell>
          <cell r="H81">
            <v>4000</v>
          </cell>
          <cell r="I81">
            <v>4420.1502170000003</v>
          </cell>
          <cell r="J81">
            <v>420.15021700000034</v>
          </cell>
          <cell r="K81">
            <v>4000</v>
          </cell>
          <cell r="L81">
            <v>4.1666666666666664E-2</v>
          </cell>
          <cell r="M81">
            <v>2784.9320579999999</v>
          </cell>
          <cell r="N81">
            <v>3.4318324805914971E-2</v>
          </cell>
          <cell r="O81">
            <v>8000</v>
          </cell>
          <cell r="P81">
            <v>7205.0822750000007</v>
          </cell>
          <cell r="Q81">
            <v>-794.91772499999934</v>
          </cell>
          <cell r="R81">
            <v>4000</v>
          </cell>
          <cell r="S81">
            <v>4.1666666666666664E-2</v>
          </cell>
          <cell r="T81">
            <v>228.05927400000027</v>
          </cell>
          <cell r="U81">
            <v>1.5191292189841816E-3</v>
          </cell>
          <cell r="V81">
            <v>12000</v>
          </cell>
          <cell r="W81">
            <v>7433.1415490000009</v>
          </cell>
          <cell r="X81">
            <v>-4566.8584509999991</v>
          </cell>
          <cell r="Y81">
            <v>4000</v>
          </cell>
          <cell r="Z81">
            <v>4.1666666666666664E-2</v>
          </cell>
          <cell r="AA81">
            <v>0</v>
          </cell>
          <cell r="AB81">
            <v>0</v>
          </cell>
          <cell r="AC81">
            <v>16000</v>
          </cell>
          <cell r="AD81">
            <v>7433.1415490000009</v>
          </cell>
          <cell r="AE81">
            <v>-8566.8584510000001</v>
          </cell>
          <cell r="AF81">
            <v>4000</v>
          </cell>
          <cell r="AG81">
            <v>4.1666666666666664E-2</v>
          </cell>
          <cell r="AH81">
            <v>0</v>
          </cell>
          <cell r="AI81">
            <v>0</v>
          </cell>
          <cell r="AJ81">
            <v>20000</v>
          </cell>
          <cell r="AK81">
            <v>7433.1415490000009</v>
          </cell>
          <cell r="AL81">
            <v>-12566.858451</v>
          </cell>
          <cell r="AM81">
            <v>4000</v>
          </cell>
          <cell r="AN81">
            <v>4.1666666666666664E-2</v>
          </cell>
          <cell r="AO81">
            <v>0</v>
          </cell>
          <cell r="AP81">
            <v>0</v>
          </cell>
          <cell r="AQ81">
            <v>24000</v>
          </cell>
          <cell r="AR81">
            <v>7433.1415490000009</v>
          </cell>
          <cell r="AS81">
            <v>-16566.858451</v>
          </cell>
          <cell r="AT81">
            <v>4000</v>
          </cell>
          <cell r="AU81">
            <v>4.1666666666666664E-2</v>
          </cell>
          <cell r="AV81">
            <v>0</v>
          </cell>
          <cell r="AW81">
            <v>0</v>
          </cell>
          <cell r="AX81">
            <v>28000</v>
          </cell>
          <cell r="AY81">
            <v>7433.1415490000009</v>
          </cell>
          <cell r="AZ81">
            <v>-20566.858451</v>
          </cell>
          <cell r="BA81">
            <v>4000</v>
          </cell>
          <cell r="BB81">
            <v>4.1666666666666664E-2</v>
          </cell>
          <cell r="BC81">
            <v>0</v>
          </cell>
          <cell r="BD81">
            <v>0</v>
          </cell>
          <cell r="BE81">
            <v>32000</v>
          </cell>
          <cell r="BF81">
            <v>7433.1415490000009</v>
          </cell>
          <cell r="BG81">
            <v>-24566.858451</v>
          </cell>
          <cell r="BH81">
            <v>4000</v>
          </cell>
          <cell r="BI81">
            <v>4.1666666666666664E-2</v>
          </cell>
          <cell r="BJ81">
            <v>0</v>
          </cell>
          <cell r="BK81">
            <v>0</v>
          </cell>
          <cell r="BL81">
            <v>36000</v>
          </cell>
          <cell r="BM81">
            <v>7433.1415490000009</v>
          </cell>
          <cell r="BN81">
            <v>-28566.858451</v>
          </cell>
          <cell r="BO81">
            <v>4000</v>
          </cell>
          <cell r="BP81">
            <v>4.1666666666666664E-2</v>
          </cell>
          <cell r="BQ81">
            <v>0</v>
          </cell>
          <cell r="BR81">
            <v>0</v>
          </cell>
          <cell r="BS81">
            <v>40000</v>
          </cell>
          <cell r="BT81">
            <v>7433.1415490000009</v>
          </cell>
          <cell r="BU81">
            <v>-32566.858451</v>
          </cell>
          <cell r="BV81">
            <v>4000</v>
          </cell>
          <cell r="BW81">
            <v>4.1666666666666664E-2</v>
          </cell>
          <cell r="BX81">
            <v>0</v>
          </cell>
          <cell r="BY81">
            <v>0</v>
          </cell>
          <cell r="BZ81">
            <v>44000</v>
          </cell>
          <cell r="CA81">
            <v>7433.1415490000009</v>
          </cell>
          <cell r="CB81">
            <v>-36566.858451</v>
          </cell>
          <cell r="CC81">
            <v>4000</v>
          </cell>
          <cell r="CD81">
            <v>4.1666666666666664E-2</v>
          </cell>
          <cell r="CE81">
            <v>0</v>
          </cell>
          <cell r="CF81">
            <v>0</v>
          </cell>
          <cell r="CG81">
            <v>48000</v>
          </cell>
          <cell r="CH81">
            <v>7433.1415490000009</v>
          </cell>
        </row>
        <row r="82">
          <cell r="A82" t="str">
            <v>Custas/Guias/Despesas</v>
          </cell>
          <cell r="B82">
            <v>0</v>
          </cell>
          <cell r="C82">
            <v>520.35416666666663</v>
          </cell>
          <cell r="D82">
            <v>25.02</v>
          </cell>
          <cell r="E82">
            <v>2.6062500000000001E-4</v>
          </cell>
          <cell r="F82">
            <v>0</v>
          </cell>
          <cell r="G82">
            <v>0</v>
          </cell>
          <cell r="H82">
            <v>25.02</v>
          </cell>
          <cell r="I82">
            <v>0</v>
          </cell>
          <cell r="J82">
            <v>-25.02</v>
          </cell>
          <cell r="K82">
            <v>25.02</v>
          </cell>
          <cell r="L82">
            <v>2.6062500000000001E-4</v>
          </cell>
          <cell r="M82">
            <v>270.12</v>
          </cell>
          <cell r="N82">
            <v>3.3286506469500923E-3</v>
          </cell>
          <cell r="O82">
            <v>50.04</v>
          </cell>
          <cell r="P82">
            <v>270.12</v>
          </cell>
          <cell r="Q82">
            <v>220.08</v>
          </cell>
          <cell r="R82">
            <v>25.02</v>
          </cell>
          <cell r="S82">
            <v>2.6062500000000001E-4</v>
          </cell>
          <cell r="T82">
            <v>0</v>
          </cell>
          <cell r="U82">
            <v>0</v>
          </cell>
          <cell r="V82">
            <v>75.06</v>
          </cell>
          <cell r="W82">
            <v>270.12</v>
          </cell>
          <cell r="X82">
            <v>195.06</v>
          </cell>
          <cell r="Y82">
            <v>25.02</v>
          </cell>
          <cell r="Z82">
            <v>2.6062500000000001E-4</v>
          </cell>
          <cell r="AA82">
            <v>0</v>
          </cell>
          <cell r="AB82">
            <v>0</v>
          </cell>
          <cell r="AC82">
            <v>100.08</v>
          </cell>
          <cell r="AD82">
            <v>270.12</v>
          </cell>
          <cell r="AE82">
            <v>170.04000000000002</v>
          </cell>
          <cell r="AF82">
            <v>25.02</v>
          </cell>
          <cell r="AG82">
            <v>2.6062500000000001E-4</v>
          </cell>
          <cell r="AH82">
            <v>0</v>
          </cell>
          <cell r="AI82">
            <v>0</v>
          </cell>
          <cell r="AJ82">
            <v>125.1</v>
          </cell>
          <cell r="AK82">
            <v>270.12</v>
          </cell>
          <cell r="AL82">
            <v>145.02000000000001</v>
          </cell>
          <cell r="AM82">
            <v>25.02</v>
          </cell>
          <cell r="AN82">
            <v>2.6062500000000001E-4</v>
          </cell>
          <cell r="AO82">
            <v>0</v>
          </cell>
          <cell r="AP82">
            <v>0</v>
          </cell>
          <cell r="AQ82">
            <v>150.12</v>
          </cell>
          <cell r="AR82">
            <v>270.12</v>
          </cell>
          <cell r="AS82">
            <v>120</v>
          </cell>
          <cell r="AT82">
            <v>25.02</v>
          </cell>
          <cell r="AU82">
            <v>2.6062500000000001E-4</v>
          </cell>
          <cell r="AV82">
            <v>0</v>
          </cell>
          <cell r="AW82">
            <v>0</v>
          </cell>
          <cell r="AX82">
            <v>175.14000000000001</v>
          </cell>
          <cell r="AY82">
            <v>270.12</v>
          </cell>
          <cell r="AZ82">
            <v>94.97999999999999</v>
          </cell>
          <cell r="BA82">
            <v>25.02</v>
          </cell>
          <cell r="BB82">
            <v>2.6062500000000001E-4</v>
          </cell>
          <cell r="BC82">
            <v>0</v>
          </cell>
          <cell r="BD82">
            <v>0</v>
          </cell>
          <cell r="BE82">
            <v>200.16000000000003</v>
          </cell>
          <cell r="BF82">
            <v>270.12</v>
          </cell>
          <cell r="BG82">
            <v>69.95999999999998</v>
          </cell>
          <cell r="BH82">
            <v>25.02</v>
          </cell>
          <cell r="BI82">
            <v>2.6062500000000001E-4</v>
          </cell>
          <cell r="BJ82">
            <v>0</v>
          </cell>
          <cell r="BK82">
            <v>0</v>
          </cell>
          <cell r="BL82">
            <v>225.18000000000004</v>
          </cell>
          <cell r="BM82">
            <v>270.12</v>
          </cell>
          <cell r="BN82">
            <v>44.939999999999969</v>
          </cell>
          <cell r="BO82">
            <v>25.02</v>
          </cell>
          <cell r="BP82">
            <v>2.6062500000000001E-4</v>
          </cell>
          <cell r="BQ82">
            <v>0</v>
          </cell>
          <cell r="BR82">
            <v>0</v>
          </cell>
          <cell r="BS82">
            <v>250.20000000000005</v>
          </cell>
          <cell r="BT82">
            <v>270.12</v>
          </cell>
          <cell r="BU82">
            <v>19.919999999999959</v>
          </cell>
          <cell r="BV82">
            <v>25.02</v>
          </cell>
          <cell r="BW82">
            <v>2.6062500000000001E-4</v>
          </cell>
          <cell r="BX82">
            <v>0</v>
          </cell>
          <cell r="BY82">
            <v>0</v>
          </cell>
          <cell r="BZ82">
            <v>275.22000000000003</v>
          </cell>
          <cell r="CA82">
            <v>270.12</v>
          </cell>
          <cell r="CB82">
            <v>-5.1000000000000227</v>
          </cell>
          <cell r="CC82">
            <v>25.02</v>
          </cell>
          <cell r="CD82">
            <v>2.6062500000000001E-4</v>
          </cell>
          <cell r="CE82">
            <v>0</v>
          </cell>
          <cell r="CF82">
            <v>0</v>
          </cell>
          <cell r="CG82">
            <v>300.24</v>
          </cell>
          <cell r="CH82">
            <v>270.12</v>
          </cell>
        </row>
        <row r="83">
          <cell r="A83" t="str">
            <v>Deslocamento</v>
          </cell>
          <cell r="B83">
            <v>0</v>
          </cell>
          <cell r="C83">
            <v>5.8333332499999999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</row>
        <row r="84">
          <cell r="A84" t="str">
            <v>Digitação / Atual. Sistemas / Lanç. Planilhas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</row>
        <row r="85">
          <cell r="A85" t="str">
            <v>Diligências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</row>
        <row r="86">
          <cell r="A86" t="str">
            <v>Encargos</v>
          </cell>
          <cell r="B86">
            <v>0</v>
          </cell>
          <cell r="C86">
            <v>795.23195450421554</v>
          </cell>
          <cell r="D86">
            <v>1501.6665064902165</v>
          </cell>
          <cell r="E86">
            <v>1.5642359442606422E-2</v>
          </cell>
          <cell r="F86">
            <v>971.54386892408775</v>
          </cell>
          <cell r="G86">
            <v>4.5811334147074752E-3</v>
          </cell>
          <cell r="H86">
            <v>1501.6665064902165</v>
          </cell>
          <cell r="I86">
            <v>971.54386892408775</v>
          </cell>
          <cell r="J86">
            <v>-530.12263756612879</v>
          </cell>
          <cell r="K86">
            <v>1501.6665064902165</v>
          </cell>
          <cell r="L86">
            <v>1.5642359442606422E-2</v>
          </cell>
          <cell r="M86">
            <v>1501.6665064902168</v>
          </cell>
          <cell r="N86">
            <v>1.8504824479238655E-2</v>
          </cell>
          <cell r="O86">
            <v>3003.3330129804331</v>
          </cell>
          <cell r="P86">
            <v>2473.2103754143045</v>
          </cell>
          <cell r="Q86">
            <v>-530.12263756612856</v>
          </cell>
          <cell r="R86">
            <v>1501.6665064902165</v>
          </cell>
          <cell r="S86">
            <v>1.5642359442606422E-2</v>
          </cell>
          <cell r="T86">
            <v>1132.0309647005349</v>
          </cell>
          <cell r="U86">
            <v>7.5405892736088919E-3</v>
          </cell>
          <cell r="V86">
            <v>4504.9995194706498</v>
          </cell>
          <cell r="W86">
            <v>3605.2413401148397</v>
          </cell>
          <cell r="X86">
            <v>-899.75817935581017</v>
          </cell>
          <cell r="Y86">
            <v>1501.6665064902165</v>
          </cell>
          <cell r="Z86">
            <v>1.5642359442606422E-2</v>
          </cell>
          <cell r="AA86">
            <v>0</v>
          </cell>
          <cell r="AB86">
            <v>0</v>
          </cell>
          <cell r="AC86">
            <v>6006.6660259608661</v>
          </cell>
          <cell r="AD86">
            <v>3605.2413401148397</v>
          </cell>
          <cell r="AE86">
            <v>-2401.4246858460265</v>
          </cell>
          <cell r="AF86">
            <v>1501.6665064902165</v>
          </cell>
          <cell r="AG86">
            <v>1.5642359442606422E-2</v>
          </cell>
          <cell r="AH86">
            <v>0</v>
          </cell>
          <cell r="AI86">
            <v>0</v>
          </cell>
          <cell r="AJ86">
            <v>7508.3325324510824</v>
          </cell>
          <cell r="AK86">
            <v>3605.2413401148397</v>
          </cell>
          <cell r="AL86">
            <v>-3903.0911923362428</v>
          </cell>
          <cell r="AM86">
            <v>1501.6665064902165</v>
          </cell>
          <cell r="AN86">
            <v>1.5642359442606422E-2</v>
          </cell>
          <cell r="AO86">
            <v>0</v>
          </cell>
          <cell r="AP86">
            <v>0</v>
          </cell>
          <cell r="AQ86">
            <v>9009.9990389412997</v>
          </cell>
          <cell r="AR86">
            <v>3605.2413401148397</v>
          </cell>
          <cell r="AS86">
            <v>-5404.75769882646</v>
          </cell>
          <cell r="AT86">
            <v>1501.6665064902165</v>
          </cell>
          <cell r="AU86">
            <v>1.5642359442606422E-2</v>
          </cell>
          <cell r="AV86">
            <v>0</v>
          </cell>
          <cell r="AW86">
            <v>0</v>
          </cell>
          <cell r="AX86">
            <v>10511.665545431517</v>
          </cell>
          <cell r="AY86">
            <v>3605.2413401148397</v>
          </cell>
          <cell r="AZ86">
            <v>-6906.4242053166772</v>
          </cell>
          <cell r="BA86">
            <v>1501.6665064902165</v>
          </cell>
          <cell r="BB86">
            <v>1.5642359442606422E-2</v>
          </cell>
          <cell r="BC86">
            <v>0</v>
          </cell>
          <cell r="BD86">
            <v>0</v>
          </cell>
          <cell r="BE86">
            <v>12013.332051921734</v>
          </cell>
          <cell r="BF86">
            <v>3605.2413401148397</v>
          </cell>
          <cell r="BG86">
            <v>-8408.0907118068935</v>
          </cell>
          <cell r="BH86">
            <v>1501.6665064902165</v>
          </cell>
          <cell r="BI86">
            <v>1.5642359442606422E-2</v>
          </cell>
          <cell r="BJ86">
            <v>0</v>
          </cell>
          <cell r="BK86">
            <v>0</v>
          </cell>
          <cell r="BL86">
            <v>13514.998558411951</v>
          </cell>
          <cell r="BM86">
            <v>3605.2413401148397</v>
          </cell>
          <cell r="BN86">
            <v>-9909.7572182971126</v>
          </cell>
          <cell r="BO86">
            <v>1501.6665064902165</v>
          </cell>
          <cell r="BP86">
            <v>1.5642359442606422E-2</v>
          </cell>
          <cell r="BQ86">
            <v>0</v>
          </cell>
          <cell r="BR86">
            <v>0</v>
          </cell>
          <cell r="BS86">
            <v>15016.665064902169</v>
          </cell>
          <cell r="BT86">
            <v>3605.2413401148397</v>
          </cell>
          <cell r="BU86">
            <v>-11411.423724787328</v>
          </cell>
          <cell r="BV86">
            <v>1501.6665064902165</v>
          </cell>
          <cell r="BW86">
            <v>1.5642359442606422E-2</v>
          </cell>
          <cell r="BX86">
            <v>0</v>
          </cell>
          <cell r="BY86">
            <v>0</v>
          </cell>
          <cell r="BZ86">
            <v>16518.331571392384</v>
          </cell>
          <cell r="CA86">
            <v>3605.2413401148397</v>
          </cell>
          <cell r="CB86">
            <v>-12913.090231277543</v>
          </cell>
          <cell r="CC86">
            <v>1501.6665064902165</v>
          </cell>
          <cell r="CD86">
            <v>1.5642359442606422E-2</v>
          </cell>
          <cell r="CE86">
            <v>0</v>
          </cell>
          <cell r="CF86">
            <v>0</v>
          </cell>
          <cell r="CG86">
            <v>18019.998077882599</v>
          </cell>
          <cell r="CH86">
            <v>3605.2413401148397</v>
          </cell>
        </row>
        <row r="87">
          <cell r="A87" t="str">
            <v>Encargos Rescisórios</v>
          </cell>
          <cell r="B87">
            <v>0</v>
          </cell>
          <cell r="C87">
            <v>210.39000000000001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</row>
        <row r="88">
          <cell r="A88" t="str">
            <v>Encerramento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</row>
        <row r="89">
          <cell r="A89" t="str">
            <v>Eventos / Representações</v>
          </cell>
          <cell r="B89">
            <v>0</v>
          </cell>
          <cell r="C89">
            <v>51.516666750000006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</row>
        <row r="90">
          <cell r="A90" t="str">
            <v>Férias</v>
          </cell>
          <cell r="B90">
            <v>0</v>
          </cell>
          <cell r="C90">
            <v>207.9383333333333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</row>
        <row r="91">
          <cell r="A91" t="str">
            <v>Exames Médicos</v>
          </cell>
          <cell r="B91">
            <v>0</v>
          </cell>
          <cell r="C91">
            <v>0</v>
          </cell>
          <cell r="D91">
            <v>16</v>
          </cell>
          <cell r="E91">
            <v>1.6666666666666666E-4</v>
          </cell>
          <cell r="F91">
            <v>0</v>
          </cell>
          <cell r="G91">
            <v>0</v>
          </cell>
          <cell r="H91">
            <v>16</v>
          </cell>
          <cell r="I91">
            <v>0</v>
          </cell>
          <cell r="J91">
            <v>-16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16</v>
          </cell>
          <cell r="P91">
            <v>0</v>
          </cell>
          <cell r="Q91">
            <v>-16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16</v>
          </cell>
          <cell r="W91">
            <v>0</v>
          </cell>
          <cell r="X91">
            <v>-16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16</v>
          </cell>
          <cell r="AD91">
            <v>0</v>
          </cell>
          <cell r="AE91">
            <v>-16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16</v>
          </cell>
          <cell r="AK91">
            <v>0</v>
          </cell>
          <cell r="AL91">
            <v>-16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16</v>
          </cell>
          <cell r="AR91">
            <v>0</v>
          </cell>
          <cell r="AS91">
            <v>-16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16</v>
          </cell>
          <cell r="AY91">
            <v>0</v>
          </cell>
          <cell r="AZ91">
            <v>-16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16</v>
          </cell>
          <cell r="BF91">
            <v>0</v>
          </cell>
          <cell r="BG91">
            <v>-16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16</v>
          </cell>
          <cell r="BM91">
            <v>0</v>
          </cell>
          <cell r="BN91">
            <v>-16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16</v>
          </cell>
          <cell r="BT91">
            <v>0</v>
          </cell>
          <cell r="BU91">
            <v>-16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16</v>
          </cell>
          <cell r="CA91">
            <v>0</v>
          </cell>
          <cell r="CB91">
            <v>-16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16</v>
          </cell>
          <cell r="CH91">
            <v>0</v>
          </cell>
        </row>
        <row r="92">
          <cell r="A92" t="str">
            <v>Parcerias: Bruna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</row>
        <row r="93">
          <cell r="A93" t="str">
            <v>Fotocópia/Xerox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</row>
        <row r="94">
          <cell r="A94" t="str">
            <v>IR s/ Salário</v>
          </cell>
          <cell r="B94">
            <v>0</v>
          </cell>
          <cell r="C94">
            <v>25.040833333333335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</row>
        <row r="95">
          <cell r="A95" t="str">
            <v>Consultoria de Projetos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</row>
        <row r="96">
          <cell r="A96" t="str">
            <v>Pauta</v>
          </cell>
          <cell r="B96">
            <v>0</v>
          </cell>
          <cell r="C96">
            <v>369.45696363630896</v>
          </cell>
          <cell r="D96">
            <v>238.59131347207207</v>
          </cell>
          <cell r="E96">
            <v>2.4853261820007508E-3</v>
          </cell>
          <cell r="F96">
            <v>145.75392495063471</v>
          </cell>
          <cell r="G96">
            <v>6.8727537404519488E-4</v>
          </cell>
          <cell r="H96">
            <v>238.59131347207207</v>
          </cell>
          <cell r="I96">
            <v>145.75392495063471</v>
          </cell>
          <cell r="J96">
            <v>-92.837388521437362</v>
          </cell>
          <cell r="K96">
            <v>238.59131347207207</v>
          </cell>
          <cell r="L96">
            <v>2.4853261820007508E-3</v>
          </cell>
          <cell r="M96">
            <v>121.03150176079734</v>
          </cell>
          <cell r="N96">
            <v>1.4914541190486426E-3</v>
          </cell>
          <cell r="O96">
            <v>477.18262694414415</v>
          </cell>
          <cell r="P96">
            <v>266.78542671143202</v>
          </cell>
          <cell r="Q96">
            <v>-210.39720023271212</v>
          </cell>
          <cell r="R96">
            <v>238.59131347207207</v>
          </cell>
          <cell r="S96">
            <v>2.4853261820007508E-3</v>
          </cell>
          <cell r="T96">
            <v>259.63211280667952</v>
          </cell>
          <cell r="U96">
            <v>1.7294395524175155E-3</v>
          </cell>
          <cell r="V96">
            <v>715.77394041621619</v>
          </cell>
          <cell r="W96">
            <v>526.41753951811154</v>
          </cell>
          <cell r="X96">
            <v>-189.35640089810465</v>
          </cell>
          <cell r="Y96">
            <v>238.59131347207207</v>
          </cell>
          <cell r="Z96">
            <v>2.4853261820007508E-3</v>
          </cell>
          <cell r="AA96">
            <v>0</v>
          </cell>
          <cell r="AB96">
            <v>0</v>
          </cell>
          <cell r="AC96">
            <v>954.36525388828829</v>
          </cell>
          <cell r="AD96">
            <v>526.41753951811154</v>
          </cell>
          <cell r="AE96">
            <v>-427.94771437017675</v>
          </cell>
          <cell r="AF96">
            <v>238.59131347207207</v>
          </cell>
          <cell r="AG96">
            <v>2.4853261820007508E-3</v>
          </cell>
          <cell r="AH96">
            <v>0</v>
          </cell>
          <cell r="AI96">
            <v>0</v>
          </cell>
          <cell r="AJ96">
            <v>1192.9565673603604</v>
          </cell>
          <cell r="AK96">
            <v>526.41753951811154</v>
          </cell>
          <cell r="AL96">
            <v>-666.53902784224886</v>
          </cell>
          <cell r="AM96">
            <v>238.59131347207207</v>
          </cell>
          <cell r="AN96">
            <v>2.4853261820007508E-3</v>
          </cell>
          <cell r="AO96">
            <v>0</v>
          </cell>
          <cell r="AP96">
            <v>0</v>
          </cell>
          <cell r="AQ96">
            <v>1431.5478808324324</v>
          </cell>
          <cell r="AR96">
            <v>526.41753951811154</v>
          </cell>
          <cell r="AS96">
            <v>-905.13034131432084</v>
          </cell>
          <cell r="AT96">
            <v>238.59131347207207</v>
          </cell>
          <cell r="AU96">
            <v>2.4853261820007508E-3</v>
          </cell>
          <cell r="AV96">
            <v>0</v>
          </cell>
          <cell r="AW96">
            <v>0</v>
          </cell>
          <cell r="AX96">
            <v>1670.1391943045044</v>
          </cell>
          <cell r="AY96">
            <v>526.41753951811154</v>
          </cell>
          <cell r="AZ96">
            <v>-1143.7216547863927</v>
          </cell>
          <cell r="BA96">
            <v>238.59131347207207</v>
          </cell>
          <cell r="BB96">
            <v>2.4853261820007508E-3</v>
          </cell>
          <cell r="BC96">
            <v>0</v>
          </cell>
          <cell r="BD96">
            <v>0</v>
          </cell>
          <cell r="BE96">
            <v>1908.7305077765764</v>
          </cell>
          <cell r="BF96">
            <v>526.41753951811154</v>
          </cell>
          <cell r="BG96">
            <v>-1382.3129682584649</v>
          </cell>
          <cell r="BH96">
            <v>238.59131347207207</v>
          </cell>
          <cell r="BI96">
            <v>2.4853261820007508E-3</v>
          </cell>
          <cell r="BJ96">
            <v>0</v>
          </cell>
          <cell r="BK96">
            <v>0</v>
          </cell>
          <cell r="BL96">
            <v>2147.3218212486486</v>
          </cell>
          <cell r="BM96">
            <v>526.41753951811154</v>
          </cell>
          <cell r="BN96">
            <v>-1620.9042817305371</v>
          </cell>
          <cell r="BO96">
            <v>238.59131347207207</v>
          </cell>
          <cell r="BP96">
            <v>2.4853261820007508E-3</v>
          </cell>
          <cell r="BQ96">
            <v>0</v>
          </cell>
          <cell r="BR96">
            <v>0</v>
          </cell>
          <cell r="BS96">
            <v>2385.9131347207208</v>
          </cell>
          <cell r="BT96">
            <v>526.41753951811154</v>
          </cell>
          <cell r="BU96">
            <v>-1859.4955952026094</v>
          </cell>
          <cell r="BV96">
            <v>238.59131347207207</v>
          </cell>
          <cell r="BW96">
            <v>2.4853261820007508E-3</v>
          </cell>
          <cell r="BX96">
            <v>0</v>
          </cell>
          <cell r="BY96">
            <v>0</v>
          </cell>
          <cell r="BZ96">
            <v>2624.504448192793</v>
          </cell>
          <cell r="CA96">
            <v>526.41753951811154</v>
          </cell>
          <cell r="CB96">
            <v>-2098.0869086746816</v>
          </cell>
          <cell r="CC96">
            <v>238.59131347207199</v>
          </cell>
          <cell r="CD96">
            <v>2.4853261820007499E-3</v>
          </cell>
          <cell r="CE96">
            <v>0</v>
          </cell>
          <cell r="CF96">
            <v>0</v>
          </cell>
          <cell r="CG96">
            <v>2863.0957616648648</v>
          </cell>
          <cell r="CH96">
            <v>526.41753951811154</v>
          </cell>
        </row>
        <row r="97">
          <cell r="A97" t="str">
            <v>Pauta - Gestão de Pauta</v>
          </cell>
          <cell r="B97">
            <v>0</v>
          </cell>
          <cell r="C97">
            <v>368.18102923076441</v>
          </cell>
          <cell r="D97">
            <v>416.47139122158222</v>
          </cell>
          <cell r="E97">
            <v>4.3382436585581484E-3</v>
          </cell>
          <cell r="F97">
            <v>367.35678332767736</v>
          </cell>
          <cell r="G97">
            <v>1.7322022083115754E-3</v>
          </cell>
          <cell r="H97">
            <v>416.47139122158222</v>
          </cell>
          <cell r="I97">
            <v>367.35678332767736</v>
          </cell>
          <cell r="J97">
            <v>-49.114607893904861</v>
          </cell>
          <cell r="K97">
            <v>416.47139122158222</v>
          </cell>
          <cell r="L97">
            <v>4.3382436585581484E-3</v>
          </cell>
          <cell r="M97">
            <v>286.57606441720446</v>
          </cell>
          <cell r="N97">
            <v>3.531436406866352E-3</v>
          </cell>
          <cell r="O97">
            <v>832.94278244316445</v>
          </cell>
          <cell r="P97">
            <v>653.93284774488188</v>
          </cell>
          <cell r="Q97">
            <v>-179.00993469828256</v>
          </cell>
          <cell r="R97">
            <v>416.47139122158222</v>
          </cell>
          <cell r="S97">
            <v>4.3382436585581484E-3</v>
          </cell>
          <cell r="T97">
            <v>302.53398794843571</v>
          </cell>
          <cell r="U97">
            <v>2.0152139080661831E-3</v>
          </cell>
          <cell r="V97">
            <v>1249.4141736647466</v>
          </cell>
          <cell r="W97">
            <v>956.46683569331753</v>
          </cell>
          <cell r="X97">
            <v>-292.94733797142908</v>
          </cell>
          <cell r="Y97">
            <v>416.47139122158222</v>
          </cell>
          <cell r="Z97">
            <v>4.3382436585581484E-3</v>
          </cell>
          <cell r="AA97">
            <v>0</v>
          </cell>
          <cell r="AB97">
            <v>0</v>
          </cell>
          <cell r="AC97">
            <v>1665.8855648863289</v>
          </cell>
          <cell r="AD97">
            <v>956.46683569331753</v>
          </cell>
          <cell r="AE97">
            <v>-709.41872919301136</v>
          </cell>
          <cell r="AF97">
            <v>416.47139122158222</v>
          </cell>
          <cell r="AG97">
            <v>4.3382436585581484E-3</v>
          </cell>
          <cell r="AH97">
            <v>0</v>
          </cell>
          <cell r="AI97">
            <v>0</v>
          </cell>
          <cell r="AJ97">
            <v>2082.3569561079112</v>
          </cell>
          <cell r="AK97">
            <v>956.46683569331753</v>
          </cell>
          <cell r="AL97">
            <v>-1125.8901204145936</v>
          </cell>
          <cell r="AM97">
            <v>416.47139122158222</v>
          </cell>
          <cell r="AN97">
            <v>4.3382436585581484E-3</v>
          </cell>
          <cell r="AO97">
            <v>0</v>
          </cell>
          <cell r="AP97">
            <v>0</v>
          </cell>
          <cell r="AQ97">
            <v>2498.8283473294932</v>
          </cell>
          <cell r="AR97">
            <v>956.46683569331753</v>
          </cell>
          <cell r="AS97">
            <v>-1542.3615116361757</v>
          </cell>
          <cell r="AT97">
            <v>416.47139122158222</v>
          </cell>
          <cell r="AU97">
            <v>4.3382436585581484E-3</v>
          </cell>
          <cell r="AV97">
            <v>0</v>
          </cell>
          <cell r="AW97">
            <v>0</v>
          </cell>
          <cell r="AX97">
            <v>2915.2997385510753</v>
          </cell>
          <cell r="AY97">
            <v>956.46683569331753</v>
          </cell>
          <cell r="AZ97">
            <v>-1958.8329028577577</v>
          </cell>
          <cell r="BA97">
            <v>416.47139122158222</v>
          </cell>
          <cell r="BB97">
            <v>4.3382436585581484E-3</v>
          </cell>
          <cell r="BC97">
            <v>0</v>
          </cell>
          <cell r="BD97">
            <v>0</v>
          </cell>
          <cell r="BE97">
            <v>3331.7711297726573</v>
          </cell>
          <cell r="BF97">
            <v>956.46683569331753</v>
          </cell>
          <cell r="BG97">
            <v>-2375.3042940793398</v>
          </cell>
          <cell r="BH97">
            <v>416.47139122158222</v>
          </cell>
          <cell r="BI97">
            <v>4.3382436585581484E-3</v>
          </cell>
          <cell r="BJ97">
            <v>0</v>
          </cell>
          <cell r="BK97">
            <v>0</v>
          </cell>
          <cell r="BL97">
            <v>3748.2425209942394</v>
          </cell>
          <cell r="BM97">
            <v>956.46683569331753</v>
          </cell>
          <cell r="BN97">
            <v>-2791.7756853009219</v>
          </cell>
          <cell r="BO97">
            <v>416.47139122158222</v>
          </cell>
          <cell r="BP97">
            <v>4.3382436585581484E-3</v>
          </cell>
          <cell r="BQ97">
            <v>0</v>
          </cell>
          <cell r="BR97">
            <v>0</v>
          </cell>
          <cell r="BS97">
            <v>4164.7139122158214</v>
          </cell>
          <cell r="BT97">
            <v>956.46683569331753</v>
          </cell>
          <cell r="BU97">
            <v>-3208.2470765225039</v>
          </cell>
          <cell r="BV97">
            <v>416.47139122158222</v>
          </cell>
          <cell r="BW97">
            <v>4.3382436585581484E-3</v>
          </cell>
          <cell r="BX97">
            <v>0</v>
          </cell>
          <cell r="BY97">
            <v>0</v>
          </cell>
          <cell r="BZ97">
            <v>4581.1853034374035</v>
          </cell>
          <cell r="CA97">
            <v>956.46683569331753</v>
          </cell>
          <cell r="CB97">
            <v>-3624.718467744086</v>
          </cell>
          <cell r="CC97">
            <v>416.47139122158222</v>
          </cell>
          <cell r="CD97">
            <v>4.3382436585581484E-3</v>
          </cell>
          <cell r="CE97">
            <v>0</v>
          </cell>
          <cell r="CF97">
            <v>0</v>
          </cell>
          <cell r="CG97">
            <v>4997.6566946589855</v>
          </cell>
          <cell r="CH97">
            <v>956.46683569331753</v>
          </cell>
        </row>
        <row r="98">
          <cell r="A98" t="str">
            <v>Seguro de Vida</v>
          </cell>
          <cell r="B98">
            <v>0</v>
          </cell>
          <cell r="C98">
            <v>110.27175366666665</v>
          </cell>
          <cell r="D98">
            <v>97</v>
          </cell>
          <cell r="E98">
            <v>1.0104166666666666E-3</v>
          </cell>
          <cell r="F98">
            <v>108.19400399999999</v>
          </cell>
          <cell r="G98">
            <v>5.1016859130024756E-4</v>
          </cell>
          <cell r="H98">
            <v>97</v>
          </cell>
          <cell r="I98">
            <v>108.19400399999999</v>
          </cell>
          <cell r="J98">
            <v>11.194003999999993</v>
          </cell>
          <cell r="K98">
            <v>97</v>
          </cell>
          <cell r="L98">
            <v>1.0104166666666666E-3</v>
          </cell>
          <cell r="M98">
            <v>123.502287</v>
          </cell>
          <cell r="N98">
            <v>1.5219012569316081E-3</v>
          </cell>
          <cell r="O98">
            <v>194</v>
          </cell>
          <cell r="P98">
            <v>231.69629099999997</v>
          </cell>
          <cell r="Q98">
            <v>37.696290999999974</v>
          </cell>
          <cell r="R98">
            <v>97</v>
          </cell>
          <cell r="S98">
            <v>1.0104166666666666E-3</v>
          </cell>
          <cell r="T98">
            <v>120.39460700000001</v>
          </cell>
          <cell r="U98">
            <v>8.0196241132389685E-4</v>
          </cell>
          <cell r="V98">
            <v>291</v>
          </cell>
          <cell r="W98">
            <v>352.09089799999998</v>
          </cell>
          <cell r="X98">
            <v>61.090897999999981</v>
          </cell>
          <cell r="Y98">
            <v>97</v>
          </cell>
          <cell r="Z98">
            <v>1.0104166666666666E-3</v>
          </cell>
          <cell r="AA98">
            <v>0</v>
          </cell>
          <cell r="AB98">
            <v>0</v>
          </cell>
          <cell r="AC98">
            <v>388</v>
          </cell>
          <cell r="AD98">
            <v>352.09089799999998</v>
          </cell>
          <cell r="AE98">
            <v>-35.909102000000019</v>
          </cell>
          <cell r="AF98">
            <v>97</v>
          </cell>
          <cell r="AG98">
            <v>1.0104166666666666E-3</v>
          </cell>
          <cell r="AH98">
            <v>0</v>
          </cell>
          <cell r="AI98">
            <v>0</v>
          </cell>
          <cell r="AJ98">
            <v>485</v>
          </cell>
          <cell r="AK98">
            <v>352.09089799999998</v>
          </cell>
          <cell r="AL98">
            <v>-132.90910200000002</v>
          </cell>
          <cell r="AM98">
            <v>97</v>
          </cell>
          <cell r="AN98">
            <v>1.0104166666666666E-3</v>
          </cell>
          <cell r="AO98">
            <v>0</v>
          </cell>
          <cell r="AP98">
            <v>0</v>
          </cell>
          <cell r="AQ98">
            <v>582</v>
          </cell>
          <cell r="AR98">
            <v>352.09089799999998</v>
          </cell>
          <cell r="AS98">
            <v>-229.90910200000002</v>
          </cell>
          <cell r="AT98">
            <v>97</v>
          </cell>
          <cell r="AU98">
            <v>1.0104166666666666E-3</v>
          </cell>
          <cell r="AV98">
            <v>0</v>
          </cell>
          <cell r="AW98">
            <v>0</v>
          </cell>
          <cell r="AX98">
            <v>679</v>
          </cell>
          <cell r="AY98">
            <v>352.09089799999998</v>
          </cell>
          <cell r="AZ98">
            <v>-326.90910200000002</v>
          </cell>
          <cell r="BA98">
            <v>97</v>
          </cell>
          <cell r="BB98">
            <v>1.0104166666666666E-3</v>
          </cell>
          <cell r="BC98">
            <v>0</v>
          </cell>
          <cell r="BD98">
            <v>0</v>
          </cell>
          <cell r="BE98">
            <v>776</v>
          </cell>
          <cell r="BF98">
            <v>352.09089799999998</v>
          </cell>
          <cell r="BG98">
            <v>-423.90910200000002</v>
          </cell>
          <cell r="BH98">
            <v>97</v>
          </cell>
          <cell r="BI98">
            <v>1.0104166666666666E-3</v>
          </cell>
          <cell r="BJ98">
            <v>0</v>
          </cell>
          <cell r="BK98">
            <v>0</v>
          </cell>
          <cell r="BL98">
            <v>873</v>
          </cell>
          <cell r="BM98">
            <v>352.09089799999998</v>
          </cell>
          <cell r="BN98">
            <v>-520.90910200000008</v>
          </cell>
          <cell r="BO98">
            <v>97</v>
          </cell>
          <cell r="BP98">
            <v>1.0104166666666666E-3</v>
          </cell>
          <cell r="BQ98">
            <v>0</v>
          </cell>
          <cell r="BR98">
            <v>0</v>
          </cell>
          <cell r="BS98">
            <v>970</v>
          </cell>
          <cell r="BT98">
            <v>352.09089799999998</v>
          </cell>
          <cell r="BU98">
            <v>-617.90910200000008</v>
          </cell>
          <cell r="BV98">
            <v>97</v>
          </cell>
          <cell r="BW98">
            <v>1.0104166666666666E-3</v>
          </cell>
          <cell r="BX98">
            <v>0</v>
          </cell>
          <cell r="BY98">
            <v>0</v>
          </cell>
          <cell r="BZ98">
            <v>1067</v>
          </cell>
          <cell r="CA98">
            <v>352.09089799999998</v>
          </cell>
          <cell r="CB98">
            <v>-714.90910200000008</v>
          </cell>
          <cell r="CC98">
            <v>97</v>
          </cell>
          <cell r="CD98">
            <v>1.0104166666666666E-3</v>
          </cell>
          <cell r="CE98">
            <v>0</v>
          </cell>
          <cell r="CF98">
            <v>0</v>
          </cell>
          <cell r="CG98">
            <v>1164</v>
          </cell>
          <cell r="CH98">
            <v>352.09089799999998</v>
          </cell>
        </row>
        <row r="99">
          <cell r="A99" t="str">
            <v>Plano de Saúde</v>
          </cell>
          <cell r="B99">
            <v>0</v>
          </cell>
          <cell r="C99">
            <v>5492.6684115098042</v>
          </cell>
          <cell r="D99">
            <v>3718.979069</v>
          </cell>
          <cell r="E99">
            <v>3.8739365302083335E-2</v>
          </cell>
          <cell r="F99">
            <v>3676.0003069999998</v>
          </cell>
          <cell r="G99">
            <v>1.7333491958033714E-2</v>
          </cell>
          <cell r="H99">
            <v>3718.979069</v>
          </cell>
          <cell r="I99">
            <v>3676.0003069999998</v>
          </cell>
          <cell r="J99">
            <v>-42.978762000000188</v>
          </cell>
          <cell r="K99">
            <v>3718.979069</v>
          </cell>
          <cell r="L99">
            <v>3.8739365302083335E-2</v>
          </cell>
          <cell r="M99">
            <v>3096.3210403571425</v>
          </cell>
          <cell r="N99">
            <v>3.815552729953349E-2</v>
          </cell>
          <cell r="O99">
            <v>7437.958138</v>
          </cell>
          <cell r="P99">
            <v>6772.3213473571423</v>
          </cell>
          <cell r="Q99">
            <v>-665.6367906428577</v>
          </cell>
          <cell r="R99">
            <v>3718.979069</v>
          </cell>
          <cell r="S99">
            <v>3.8739365302083335E-2</v>
          </cell>
          <cell r="T99">
            <v>3305.9157783333344</v>
          </cell>
          <cell r="U99">
            <v>2.2021087615875665E-2</v>
          </cell>
          <cell r="V99">
            <v>11156.937206999999</v>
          </cell>
          <cell r="W99">
            <v>10078.237125690477</v>
          </cell>
          <cell r="X99">
            <v>-1078.7000813095219</v>
          </cell>
          <cell r="Y99">
            <v>3718.979069</v>
          </cell>
          <cell r="Z99">
            <v>3.8739365302083335E-2</v>
          </cell>
          <cell r="AA99">
            <v>0</v>
          </cell>
          <cell r="AB99">
            <v>0</v>
          </cell>
          <cell r="AC99">
            <v>14875.916276</v>
          </cell>
          <cell r="AD99">
            <v>10078.237125690477</v>
          </cell>
          <cell r="AE99">
            <v>-4797.6791503095228</v>
          </cell>
          <cell r="AF99">
            <v>3718.979069</v>
          </cell>
          <cell r="AG99">
            <v>3.8739365302083335E-2</v>
          </cell>
          <cell r="AH99">
            <v>0</v>
          </cell>
          <cell r="AI99">
            <v>0</v>
          </cell>
          <cell r="AJ99">
            <v>18594.895345000001</v>
          </cell>
          <cell r="AK99">
            <v>10078.237125690477</v>
          </cell>
          <cell r="AL99">
            <v>-8516.6582193095237</v>
          </cell>
          <cell r="AM99">
            <v>3718.979069</v>
          </cell>
          <cell r="AN99">
            <v>3.8739365302083335E-2</v>
          </cell>
          <cell r="AO99">
            <v>0</v>
          </cell>
          <cell r="AP99">
            <v>0</v>
          </cell>
          <cell r="AQ99">
            <v>22313.874414000002</v>
          </cell>
          <cell r="AR99">
            <v>10078.237125690477</v>
          </cell>
          <cell r="AS99">
            <v>-12235.637288309525</v>
          </cell>
          <cell r="AT99">
            <v>3718.979069</v>
          </cell>
          <cell r="AU99">
            <v>3.8739365302083335E-2</v>
          </cell>
          <cell r="AV99">
            <v>0</v>
          </cell>
          <cell r="AW99">
            <v>0</v>
          </cell>
          <cell r="AX99">
            <v>26032.853483000003</v>
          </cell>
          <cell r="AY99">
            <v>10078.237125690477</v>
          </cell>
          <cell r="AZ99">
            <v>-15954.616357309525</v>
          </cell>
          <cell r="BA99">
            <v>3718.979069</v>
          </cell>
          <cell r="BB99">
            <v>3.8739365302083335E-2</v>
          </cell>
          <cell r="BC99">
            <v>0</v>
          </cell>
          <cell r="BD99">
            <v>0</v>
          </cell>
          <cell r="BE99">
            <v>29751.832552000003</v>
          </cell>
          <cell r="BF99">
            <v>10078.237125690477</v>
          </cell>
          <cell r="BG99">
            <v>-19673.595426309526</v>
          </cell>
          <cell r="BH99">
            <v>3718.979069</v>
          </cell>
          <cell r="BI99">
            <v>3.8739365302083335E-2</v>
          </cell>
          <cell r="BJ99">
            <v>0</v>
          </cell>
          <cell r="BK99">
            <v>0</v>
          </cell>
          <cell r="BL99">
            <v>33470.811621000001</v>
          </cell>
          <cell r="BM99">
            <v>10078.237125690477</v>
          </cell>
          <cell r="BN99">
            <v>-23392.574495309524</v>
          </cell>
          <cell r="BO99">
            <v>4276.8260689999997</v>
          </cell>
          <cell r="BP99">
            <v>4.4550271552083333E-2</v>
          </cell>
          <cell r="BQ99">
            <v>0</v>
          </cell>
          <cell r="BR99">
            <v>0</v>
          </cell>
          <cell r="BS99">
            <v>37747.637690000003</v>
          </cell>
          <cell r="BT99">
            <v>10078.237125690477</v>
          </cell>
          <cell r="BU99">
            <v>-27669.400564309526</v>
          </cell>
          <cell r="BV99">
            <v>4276.8260689999997</v>
          </cell>
          <cell r="BW99">
            <v>4.4550271552083333E-2</v>
          </cell>
          <cell r="BX99">
            <v>0</v>
          </cell>
          <cell r="BY99">
            <v>0</v>
          </cell>
          <cell r="BZ99">
            <v>42024.463759000006</v>
          </cell>
          <cell r="CA99">
            <v>10078.237125690477</v>
          </cell>
          <cell r="CB99">
            <v>-31946.226633309529</v>
          </cell>
          <cell r="CC99">
            <v>4276.8260689999997</v>
          </cell>
          <cell r="CD99">
            <v>4.4550271552083333E-2</v>
          </cell>
          <cell r="CE99">
            <v>0</v>
          </cell>
          <cell r="CF99">
            <v>0</v>
          </cell>
          <cell r="CG99">
            <v>46301.289828000008</v>
          </cell>
          <cell r="CH99">
            <v>10078.237125690477</v>
          </cell>
        </row>
        <row r="100">
          <cell r="A100" t="str">
            <v>Plano Odontológico</v>
          </cell>
          <cell r="B100">
            <v>0</v>
          </cell>
          <cell r="C100">
            <v>148.75999908333333</v>
          </cell>
          <cell r="D100">
            <v>69.650045000000006</v>
          </cell>
          <cell r="E100">
            <v>7.2552130208333341E-4</v>
          </cell>
          <cell r="F100">
            <v>73.3</v>
          </cell>
          <cell r="G100">
            <v>3.456324413532948E-4</v>
          </cell>
          <cell r="H100">
            <v>69.650045000000006</v>
          </cell>
          <cell r="I100">
            <v>73.3</v>
          </cell>
          <cell r="J100">
            <v>3.6499549999999914</v>
          </cell>
          <cell r="K100">
            <v>69.650045000000006</v>
          </cell>
          <cell r="L100">
            <v>7.2552130208333341E-4</v>
          </cell>
          <cell r="M100">
            <v>71.467500000000001</v>
          </cell>
          <cell r="N100">
            <v>8.8068391866913127E-4</v>
          </cell>
          <cell r="O100">
            <v>139.30009000000001</v>
          </cell>
          <cell r="P100">
            <v>144.76749999999998</v>
          </cell>
          <cell r="Q100">
            <v>5.4674099999999726</v>
          </cell>
          <cell r="R100">
            <v>69.650045000000006</v>
          </cell>
          <cell r="S100">
            <v>7.2552130208333341E-4</v>
          </cell>
          <cell r="T100">
            <v>67.436000000000007</v>
          </cell>
          <cell r="U100">
            <v>4.4919900083263952E-4</v>
          </cell>
          <cell r="V100">
            <v>208.95013500000002</v>
          </cell>
          <cell r="W100">
            <v>212.20349999999999</v>
          </cell>
          <cell r="X100">
            <v>3.2533649999999739</v>
          </cell>
          <cell r="Y100">
            <v>69.650045000000006</v>
          </cell>
          <cell r="Z100">
            <v>7.2552130208333341E-4</v>
          </cell>
          <cell r="AA100">
            <v>0</v>
          </cell>
          <cell r="AB100">
            <v>0</v>
          </cell>
          <cell r="AC100">
            <v>278.60018000000002</v>
          </cell>
          <cell r="AD100">
            <v>212.20349999999999</v>
          </cell>
          <cell r="AE100">
            <v>-66.396680000000032</v>
          </cell>
          <cell r="AF100">
            <v>69.650045000000006</v>
          </cell>
          <cell r="AG100">
            <v>7.2552130208333341E-4</v>
          </cell>
          <cell r="AH100">
            <v>0</v>
          </cell>
          <cell r="AI100">
            <v>0</v>
          </cell>
          <cell r="AJ100">
            <v>348.250225</v>
          </cell>
          <cell r="AK100">
            <v>212.20349999999999</v>
          </cell>
          <cell r="AL100">
            <v>-136.04672500000001</v>
          </cell>
          <cell r="AM100">
            <v>69.650045000000006</v>
          </cell>
          <cell r="AN100">
            <v>7.2552130208333341E-4</v>
          </cell>
          <cell r="AO100">
            <v>0</v>
          </cell>
          <cell r="AP100">
            <v>0</v>
          </cell>
          <cell r="AQ100">
            <v>417.90026999999998</v>
          </cell>
          <cell r="AR100">
            <v>212.20349999999999</v>
          </cell>
          <cell r="AS100">
            <v>-205.69676999999999</v>
          </cell>
          <cell r="AT100">
            <v>69.650045000000006</v>
          </cell>
          <cell r="AU100">
            <v>7.2552130208333341E-4</v>
          </cell>
          <cell r="AV100">
            <v>0</v>
          </cell>
          <cell r="AW100">
            <v>0</v>
          </cell>
          <cell r="AX100">
            <v>487.55031499999996</v>
          </cell>
          <cell r="AY100">
            <v>212.20349999999999</v>
          </cell>
          <cell r="AZ100">
            <v>-275.34681499999999</v>
          </cell>
          <cell r="BA100">
            <v>69.650045000000006</v>
          </cell>
          <cell r="BB100">
            <v>7.2552130208333341E-4</v>
          </cell>
          <cell r="BC100">
            <v>0</v>
          </cell>
          <cell r="BD100">
            <v>0</v>
          </cell>
          <cell r="BE100">
            <v>557.20035999999993</v>
          </cell>
          <cell r="BF100">
            <v>212.20349999999999</v>
          </cell>
          <cell r="BG100">
            <v>-344.99685999999997</v>
          </cell>
          <cell r="BH100">
            <v>69.650045000000006</v>
          </cell>
          <cell r="BI100">
            <v>7.2552130208333341E-4</v>
          </cell>
          <cell r="BJ100">
            <v>0</v>
          </cell>
          <cell r="BK100">
            <v>0</v>
          </cell>
          <cell r="BL100">
            <v>626.85040499999991</v>
          </cell>
          <cell r="BM100">
            <v>212.20349999999999</v>
          </cell>
          <cell r="BN100">
            <v>-414.64690499999995</v>
          </cell>
          <cell r="BO100">
            <v>69.650045000000006</v>
          </cell>
          <cell r="BP100">
            <v>7.2552130208333341E-4</v>
          </cell>
          <cell r="BQ100">
            <v>0</v>
          </cell>
          <cell r="BR100">
            <v>0</v>
          </cell>
          <cell r="BS100">
            <v>696.50044999999989</v>
          </cell>
          <cell r="BT100">
            <v>212.20349999999999</v>
          </cell>
          <cell r="BU100">
            <v>-484.29694999999992</v>
          </cell>
          <cell r="BV100">
            <v>69.650045000000006</v>
          </cell>
          <cell r="BW100">
            <v>7.2552130208333341E-4</v>
          </cell>
          <cell r="BX100">
            <v>0</v>
          </cell>
          <cell r="BY100">
            <v>0</v>
          </cell>
          <cell r="BZ100">
            <v>766.15049499999986</v>
          </cell>
          <cell r="CA100">
            <v>212.20349999999999</v>
          </cell>
          <cell r="CB100">
            <v>-553.9469949999999</v>
          </cell>
          <cell r="CC100">
            <v>69.650045000000006</v>
          </cell>
          <cell r="CD100">
            <v>7.2552130208333341E-4</v>
          </cell>
          <cell r="CE100">
            <v>0</v>
          </cell>
          <cell r="CF100">
            <v>0</v>
          </cell>
          <cell r="CG100">
            <v>835.80053999999984</v>
          </cell>
          <cell r="CH100">
            <v>212.20349999999999</v>
          </cell>
        </row>
        <row r="101">
          <cell r="A101" t="str">
            <v>Saneamento Gestão</v>
          </cell>
          <cell r="B101">
            <v>0</v>
          </cell>
          <cell r="C101">
            <v>468.00985578946364</v>
          </cell>
          <cell r="D101">
            <v>6666.7</v>
          </cell>
          <cell r="E101">
            <v>6.9444791666666658E-2</v>
          </cell>
          <cell r="F101">
            <v>5797.2353390049329</v>
          </cell>
          <cell r="G101">
            <v>2.7335779035741758E-2</v>
          </cell>
          <cell r="H101">
            <v>6666.7</v>
          </cell>
          <cell r="I101">
            <v>5797.2353390049329</v>
          </cell>
          <cell r="J101">
            <v>-869.46466099506688</v>
          </cell>
          <cell r="K101">
            <v>3666.7</v>
          </cell>
          <cell r="L101">
            <v>3.8194791666666665E-2</v>
          </cell>
          <cell r="M101">
            <v>0</v>
          </cell>
          <cell r="N101">
            <v>0</v>
          </cell>
          <cell r="O101">
            <v>10333.4</v>
          </cell>
          <cell r="P101">
            <v>5797.2353390049329</v>
          </cell>
          <cell r="Q101">
            <v>-4536.1646609950667</v>
          </cell>
          <cell r="R101">
            <v>3666.7</v>
          </cell>
          <cell r="S101">
            <v>3.8194791666666665E-2</v>
          </cell>
          <cell r="T101">
            <v>-1.233167213547163E-5</v>
          </cell>
          <cell r="U101">
            <v>-8.2142695323707774E-11</v>
          </cell>
          <cell r="V101">
            <v>14000.099999999999</v>
          </cell>
          <cell r="W101">
            <v>5797.2353266732607</v>
          </cell>
          <cell r="X101">
            <v>-8202.8646733267378</v>
          </cell>
          <cell r="Y101">
            <v>3666.7</v>
          </cell>
          <cell r="Z101">
            <v>3.8194791666666665E-2</v>
          </cell>
          <cell r="AA101">
            <v>0</v>
          </cell>
          <cell r="AB101">
            <v>0</v>
          </cell>
          <cell r="AC101">
            <v>17666.8</v>
          </cell>
          <cell r="AD101">
            <v>5797.2353266732607</v>
          </cell>
          <cell r="AE101">
            <v>-11869.564673326739</v>
          </cell>
          <cell r="AF101">
            <v>3666.7</v>
          </cell>
          <cell r="AG101">
            <v>3.8194791666666665E-2</v>
          </cell>
          <cell r="AH101">
            <v>0</v>
          </cell>
          <cell r="AI101">
            <v>0</v>
          </cell>
          <cell r="AJ101">
            <v>21333.5</v>
          </cell>
          <cell r="AK101">
            <v>5797.2353266732607</v>
          </cell>
          <cell r="AL101">
            <v>-15536.264673326739</v>
          </cell>
          <cell r="AM101">
            <v>3666.7</v>
          </cell>
          <cell r="AN101">
            <v>3.8194791666666665E-2</v>
          </cell>
          <cell r="AO101">
            <v>0</v>
          </cell>
          <cell r="AP101">
            <v>0</v>
          </cell>
          <cell r="AQ101">
            <v>25000.2</v>
          </cell>
          <cell r="AR101">
            <v>5797.2353266732607</v>
          </cell>
          <cell r="AS101">
            <v>-19202.96467332674</v>
          </cell>
          <cell r="AT101">
            <v>3666.7</v>
          </cell>
          <cell r="AU101">
            <v>3.8194791666666665E-2</v>
          </cell>
          <cell r="AV101">
            <v>0</v>
          </cell>
          <cell r="AW101">
            <v>0</v>
          </cell>
          <cell r="AX101">
            <v>28666.9</v>
          </cell>
          <cell r="AY101">
            <v>5797.2353266732607</v>
          </cell>
          <cell r="AZ101">
            <v>-22869.664673326741</v>
          </cell>
          <cell r="BA101">
            <v>3666.7</v>
          </cell>
          <cell r="BB101">
            <v>3.8194791666666665E-2</v>
          </cell>
          <cell r="BC101">
            <v>0</v>
          </cell>
          <cell r="BD101">
            <v>0</v>
          </cell>
          <cell r="BE101">
            <v>32333.600000000002</v>
          </cell>
          <cell r="BF101">
            <v>5797.2353266732607</v>
          </cell>
          <cell r="BG101">
            <v>-26536.364673326741</v>
          </cell>
          <cell r="BH101">
            <v>3666.7</v>
          </cell>
          <cell r="BI101">
            <v>3.8194791666666665E-2</v>
          </cell>
          <cell r="BJ101">
            <v>0</v>
          </cell>
          <cell r="BK101">
            <v>0</v>
          </cell>
          <cell r="BL101">
            <v>36000.300000000003</v>
          </cell>
          <cell r="BM101">
            <v>5797.2353266732607</v>
          </cell>
          <cell r="BN101">
            <v>-30203.064673326742</v>
          </cell>
          <cell r="BO101">
            <v>3666.7</v>
          </cell>
          <cell r="BP101">
            <v>3.8194791666666665E-2</v>
          </cell>
          <cell r="BQ101">
            <v>0</v>
          </cell>
          <cell r="BR101">
            <v>0</v>
          </cell>
          <cell r="BS101">
            <v>39667</v>
          </cell>
          <cell r="BT101">
            <v>5797.2353266732607</v>
          </cell>
          <cell r="BU101">
            <v>-33869.764673326739</v>
          </cell>
          <cell r="BV101">
            <v>3666.7</v>
          </cell>
          <cell r="BW101">
            <v>3.8194791666666665E-2</v>
          </cell>
          <cell r="BX101">
            <v>0</v>
          </cell>
          <cell r="BY101">
            <v>0</v>
          </cell>
          <cell r="BZ101">
            <v>43333.7</v>
          </cell>
          <cell r="CA101">
            <v>5797.2353266732607</v>
          </cell>
          <cell r="CB101">
            <v>-37536.464673326736</v>
          </cell>
          <cell r="CC101">
            <v>3666.7</v>
          </cell>
          <cell r="CD101">
            <v>3.8194791666666665E-2</v>
          </cell>
          <cell r="CE101">
            <v>0</v>
          </cell>
          <cell r="CF101">
            <v>0</v>
          </cell>
          <cell r="CG101">
            <v>47000.399999999994</v>
          </cell>
          <cell r="CH101">
            <v>5797.2353266732607</v>
          </cell>
        </row>
        <row r="102">
          <cell r="A102" t="str">
            <v>Remuneração</v>
          </cell>
          <cell r="B102">
            <v>0</v>
          </cell>
          <cell r="C102">
            <v>30846.406408333336</v>
          </cell>
          <cell r="D102">
            <v>35986.379000000001</v>
          </cell>
          <cell r="E102">
            <v>0.37485811458333335</v>
          </cell>
          <cell r="F102">
            <v>35572.455000000002</v>
          </cell>
          <cell r="G102">
            <v>0.16773525875279974</v>
          </cell>
          <cell r="H102">
            <v>35986.379000000001</v>
          </cell>
          <cell r="I102">
            <v>35572.455000000002</v>
          </cell>
          <cell r="J102">
            <v>-413.92399999999907</v>
          </cell>
          <cell r="K102">
            <v>35986.379000000001</v>
          </cell>
          <cell r="L102">
            <v>0.37485811458333335</v>
          </cell>
          <cell r="M102">
            <v>40887.775999999998</v>
          </cell>
          <cell r="N102">
            <v>0.50385429451632779</v>
          </cell>
          <cell r="O102">
            <v>71972.758000000002</v>
          </cell>
          <cell r="P102">
            <v>76460.231</v>
          </cell>
          <cell r="Q102">
            <v>4487.4729999999981</v>
          </cell>
          <cell r="R102">
            <v>35986.379000000001</v>
          </cell>
          <cell r="S102">
            <v>0.37485811458333335</v>
          </cell>
          <cell r="T102">
            <v>38061.312000000005</v>
          </cell>
          <cell r="U102">
            <v>0.25353080432972525</v>
          </cell>
          <cell r="V102">
            <v>107959.137</v>
          </cell>
          <cell r="W102">
            <v>114521.54300000001</v>
          </cell>
          <cell r="X102">
            <v>6562.4060000000027</v>
          </cell>
          <cell r="Y102">
            <v>35986.379000000001</v>
          </cell>
          <cell r="Z102">
            <v>0.37485811458333335</v>
          </cell>
          <cell r="AA102">
            <v>0</v>
          </cell>
          <cell r="AB102">
            <v>0</v>
          </cell>
          <cell r="AC102">
            <v>143945.516</v>
          </cell>
          <cell r="AD102">
            <v>114521.54300000001</v>
          </cell>
          <cell r="AE102">
            <v>-29423.972999999998</v>
          </cell>
          <cell r="AF102">
            <v>35986.379000000001</v>
          </cell>
          <cell r="AG102">
            <v>0.37485811458333335</v>
          </cell>
          <cell r="AH102">
            <v>0</v>
          </cell>
          <cell r="AI102">
            <v>0</v>
          </cell>
          <cell r="AJ102">
            <v>179931.89500000002</v>
          </cell>
          <cell r="AK102">
            <v>114521.54300000001</v>
          </cell>
          <cell r="AL102">
            <v>-65410.352000000014</v>
          </cell>
          <cell r="AM102">
            <v>35986.379000000001</v>
          </cell>
          <cell r="AN102">
            <v>0.37485811458333335</v>
          </cell>
          <cell r="AO102">
            <v>0</v>
          </cell>
          <cell r="AP102">
            <v>0</v>
          </cell>
          <cell r="AQ102">
            <v>215918.27400000003</v>
          </cell>
          <cell r="AR102">
            <v>114521.54300000001</v>
          </cell>
          <cell r="AS102">
            <v>-101396.73100000003</v>
          </cell>
          <cell r="AT102">
            <v>35986.379000000001</v>
          </cell>
          <cell r="AU102">
            <v>0.37485811458333335</v>
          </cell>
          <cell r="AV102">
            <v>0</v>
          </cell>
          <cell r="AW102">
            <v>0</v>
          </cell>
          <cell r="AX102">
            <v>251904.65300000005</v>
          </cell>
          <cell r="AY102">
            <v>114521.54300000001</v>
          </cell>
          <cell r="AZ102">
            <v>-137383.11000000004</v>
          </cell>
          <cell r="BA102">
            <v>35986.379000000001</v>
          </cell>
          <cell r="BB102">
            <v>0.37485811458333335</v>
          </cell>
          <cell r="BC102">
            <v>0</v>
          </cell>
          <cell r="BD102">
            <v>0</v>
          </cell>
          <cell r="BE102">
            <v>287891.03200000006</v>
          </cell>
          <cell r="BF102">
            <v>114521.54300000001</v>
          </cell>
          <cell r="BG102">
            <v>-173369.48900000006</v>
          </cell>
          <cell r="BH102">
            <v>35986.379000000001</v>
          </cell>
          <cell r="BI102">
            <v>0.37485811458333335</v>
          </cell>
          <cell r="BJ102">
            <v>0</v>
          </cell>
          <cell r="BK102">
            <v>0</v>
          </cell>
          <cell r="BL102">
            <v>323877.41100000008</v>
          </cell>
          <cell r="BM102">
            <v>114521.54300000001</v>
          </cell>
          <cell r="BN102">
            <v>-209355.86800000007</v>
          </cell>
          <cell r="BO102">
            <v>35986.379000000001</v>
          </cell>
          <cell r="BP102">
            <v>0.37485811458333335</v>
          </cell>
          <cell r="BQ102">
            <v>0</v>
          </cell>
          <cell r="BR102">
            <v>0</v>
          </cell>
          <cell r="BS102">
            <v>359863.7900000001</v>
          </cell>
          <cell r="BT102">
            <v>114521.54300000001</v>
          </cell>
          <cell r="BU102">
            <v>-245342.24700000009</v>
          </cell>
          <cell r="BV102">
            <v>35986.379000000001</v>
          </cell>
          <cell r="BW102">
            <v>0.37485811458333335</v>
          </cell>
          <cell r="BX102">
            <v>0</v>
          </cell>
          <cell r="BY102">
            <v>0</v>
          </cell>
          <cell r="BZ102">
            <v>395850.16900000011</v>
          </cell>
          <cell r="CA102">
            <v>114521.54300000001</v>
          </cell>
          <cell r="CB102">
            <v>-281328.62600000011</v>
          </cell>
          <cell r="CC102">
            <v>35986.379000000001</v>
          </cell>
          <cell r="CD102">
            <v>0.37485811458333335</v>
          </cell>
          <cell r="CE102">
            <v>0</v>
          </cell>
          <cell r="CF102">
            <v>0</v>
          </cell>
          <cell r="CG102">
            <v>431836.54800000013</v>
          </cell>
          <cell r="CH102">
            <v>114521.54300000001</v>
          </cell>
        </row>
        <row r="103">
          <cell r="A103" t="str">
            <v>Pesquisas/Consultas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</row>
        <row r="104">
          <cell r="A104" t="str">
            <v>Sistemas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</row>
        <row r="105">
          <cell r="A105" t="str">
            <v>Indenização por Ruptura de Contrato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106" t="str">
            <v>Vale Alimentação / Refeição</v>
          </cell>
          <cell r="B106">
            <v>0</v>
          </cell>
          <cell r="C106">
            <v>1185.3516685833333</v>
          </cell>
          <cell r="D106">
            <v>703.60999600000002</v>
          </cell>
          <cell r="E106">
            <v>7.3292707916666668E-3</v>
          </cell>
          <cell r="F106">
            <v>513.22988399999997</v>
          </cell>
          <cell r="G106">
            <v>2.4200395331840149E-3</v>
          </cell>
          <cell r="H106">
            <v>703.60999600000002</v>
          </cell>
          <cell r="I106">
            <v>513.22988399999997</v>
          </cell>
          <cell r="J106">
            <v>-190.38011200000005</v>
          </cell>
          <cell r="K106">
            <v>703.60999600000002</v>
          </cell>
          <cell r="L106">
            <v>7.3292707916666668E-3</v>
          </cell>
          <cell r="M106">
            <v>1079.292604</v>
          </cell>
          <cell r="N106">
            <v>1.3299970474430068E-2</v>
          </cell>
          <cell r="O106">
            <v>1407.219992</v>
          </cell>
          <cell r="P106">
            <v>1592.5224880000001</v>
          </cell>
          <cell r="Q106">
            <v>185.30249600000002</v>
          </cell>
          <cell r="R106">
            <v>703.60999600000002</v>
          </cell>
          <cell r="S106">
            <v>7.3292707916666668E-3</v>
          </cell>
          <cell r="T106">
            <v>756.95988899999998</v>
          </cell>
          <cell r="U106">
            <v>5.0421974288093257E-3</v>
          </cell>
          <cell r="V106">
            <v>2110.829988</v>
          </cell>
          <cell r="W106">
            <v>2349.4823770000003</v>
          </cell>
          <cell r="X106">
            <v>238.65238900000031</v>
          </cell>
          <cell r="Y106">
            <v>703.60999600000002</v>
          </cell>
          <cell r="Z106">
            <v>7.3292707916666668E-3</v>
          </cell>
          <cell r="AA106">
            <v>0</v>
          </cell>
          <cell r="AB106">
            <v>0</v>
          </cell>
          <cell r="AC106">
            <v>2814.4399840000001</v>
          </cell>
          <cell r="AD106">
            <v>2349.4823770000003</v>
          </cell>
          <cell r="AE106">
            <v>-464.95760699999983</v>
          </cell>
          <cell r="AF106">
            <v>703.60999600000002</v>
          </cell>
          <cell r="AG106">
            <v>7.3292707916666668E-3</v>
          </cell>
          <cell r="AH106">
            <v>0</v>
          </cell>
          <cell r="AI106">
            <v>0</v>
          </cell>
          <cell r="AJ106">
            <v>3518.0499800000002</v>
          </cell>
          <cell r="AK106">
            <v>2349.4823770000003</v>
          </cell>
          <cell r="AL106">
            <v>-1168.567603</v>
          </cell>
          <cell r="AM106">
            <v>703.60999600000002</v>
          </cell>
          <cell r="AN106">
            <v>7.3292707916666668E-3</v>
          </cell>
          <cell r="AO106">
            <v>0</v>
          </cell>
          <cell r="AP106">
            <v>0</v>
          </cell>
          <cell r="AQ106">
            <v>4221.6599759999999</v>
          </cell>
          <cell r="AR106">
            <v>2349.4823770000003</v>
          </cell>
          <cell r="AS106">
            <v>-1872.1775989999996</v>
          </cell>
          <cell r="AT106">
            <v>703.60999600000002</v>
          </cell>
          <cell r="AU106">
            <v>7.3292707916666668E-3</v>
          </cell>
          <cell r="AV106">
            <v>0</v>
          </cell>
          <cell r="AW106">
            <v>0</v>
          </cell>
          <cell r="AX106">
            <v>4925.2699720000001</v>
          </cell>
          <cell r="AY106">
            <v>2349.4823770000003</v>
          </cell>
          <cell r="AZ106">
            <v>-2575.7875949999998</v>
          </cell>
          <cell r="BA106">
            <v>703.60999600000002</v>
          </cell>
          <cell r="BB106">
            <v>7.3292707916666668E-3</v>
          </cell>
          <cell r="BC106">
            <v>0</v>
          </cell>
          <cell r="BD106">
            <v>0</v>
          </cell>
          <cell r="BE106">
            <v>5628.8799680000002</v>
          </cell>
          <cell r="BF106">
            <v>2349.4823770000003</v>
          </cell>
          <cell r="BG106">
            <v>-3279.3975909999999</v>
          </cell>
          <cell r="BH106">
            <v>703.60999600000002</v>
          </cell>
          <cell r="BI106">
            <v>7.3292707916666668E-3</v>
          </cell>
          <cell r="BJ106">
            <v>0</v>
          </cell>
          <cell r="BK106">
            <v>0</v>
          </cell>
          <cell r="BL106">
            <v>6332.4899640000003</v>
          </cell>
          <cell r="BM106">
            <v>2349.4823770000003</v>
          </cell>
          <cell r="BN106">
            <v>-3983.0075870000001</v>
          </cell>
          <cell r="BO106">
            <v>703.60999600000002</v>
          </cell>
          <cell r="BP106">
            <v>7.3292707916666668E-3</v>
          </cell>
          <cell r="BQ106">
            <v>0</v>
          </cell>
          <cell r="BR106">
            <v>0</v>
          </cell>
          <cell r="BS106">
            <v>7036.0999600000005</v>
          </cell>
          <cell r="BT106">
            <v>2349.4823770000003</v>
          </cell>
          <cell r="BU106">
            <v>-4686.6175830000002</v>
          </cell>
          <cell r="BV106">
            <v>703.60999600000002</v>
          </cell>
          <cell r="BW106">
            <v>7.3292707916666668E-3</v>
          </cell>
          <cell r="BX106">
            <v>0</v>
          </cell>
          <cell r="BY106">
            <v>0</v>
          </cell>
          <cell r="BZ106">
            <v>7739.7099560000006</v>
          </cell>
          <cell r="CA106">
            <v>2349.4823770000003</v>
          </cell>
          <cell r="CB106">
            <v>-5390.2275790000003</v>
          </cell>
          <cell r="CC106">
            <v>703.60999600000002</v>
          </cell>
          <cell r="CD106">
            <v>7.3292707916666668E-3</v>
          </cell>
          <cell r="CE106">
            <v>0</v>
          </cell>
          <cell r="CF106">
            <v>0</v>
          </cell>
          <cell r="CG106">
            <v>8443.3199519999998</v>
          </cell>
          <cell r="CH106">
            <v>2349.4823770000003</v>
          </cell>
        </row>
        <row r="107">
          <cell r="A107" t="str">
            <v>Vale Transporte</v>
          </cell>
          <cell r="B107">
            <v>0</v>
          </cell>
          <cell r="C107">
            <v>90.061542333333321</v>
          </cell>
          <cell r="D107">
            <v>40.000002000000002</v>
          </cell>
          <cell r="E107">
            <v>4.1666668750000002E-4</v>
          </cell>
          <cell r="F107">
            <v>39.999991000000001</v>
          </cell>
          <cell r="G107">
            <v>1.8861247671814218E-4</v>
          </cell>
          <cell r="H107">
            <v>40.000002000000002</v>
          </cell>
          <cell r="I107">
            <v>39.999991000000001</v>
          </cell>
          <cell r="J107">
            <v>-1.1000000000649379E-5</v>
          </cell>
          <cell r="K107">
            <v>40.000002000000002</v>
          </cell>
          <cell r="L107">
            <v>4.1666668750000002E-4</v>
          </cell>
          <cell r="M107">
            <v>130.00023400000001</v>
          </cell>
          <cell r="N107">
            <v>1.6019745409735059E-3</v>
          </cell>
          <cell r="O107">
            <v>80.000004000000004</v>
          </cell>
          <cell r="P107">
            <v>170.000225</v>
          </cell>
          <cell r="Q107">
            <v>90.000220999999996</v>
          </cell>
          <cell r="R107">
            <v>40.000002000000002</v>
          </cell>
          <cell r="S107">
            <v>4.1666668750000002E-4</v>
          </cell>
          <cell r="T107">
            <v>0</v>
          </cell>
          <cell r="U107">
            <v>0</v>
          </cell>
          <cell r="V107">
            <v>120.00000600000001</v>
          </cell>
          <cell r="W107">
            <v>170.000225</v>
          </cell>
          <cell r="X107">
            <v>50.000218999999987</v>
          </cell>
          <cell r="Y107">
            <v>40.000002000000002</v>
          </cell>
          <cell r="Z107">
            <v>4.1666668750000002E-4</v>
          </cell>
          <cell r="AA107">
            <v>0</v>
          </cell>
          <cell r="AB107">
            <v>0</v>
          </cell>
          <cell r="AC107">
            <v>160.00000800000001</v>
          </cell>
          <cell r="AD107">
            <v>170.000225</v>
          </cell>
          <cell r="AE107">
            <v>10.000216999999992</v>
          </cell>
          <cell r="AF107">
            <v>40.000002000000002</v>
          </cell>
          <cell r="AG107">
            <v>4.1666668750000002E-4</v>
          </cell>
          <cell r="AH107">
            <v>0</v>
          </cell>
          <cell r="AI107">
            <v>0</v>
          </cell>
          <cell r="AJ107">
            <v>200.00001</v>
          </cell>
          <cell r="AK107">
            <v>170.000225</v>
          </cell>
          <cell r="AL107">
            <v>-29.999785000000003</v>
          </cell>
          <cell r="AM107">
            <v>40.000002000000002</v>
          </cell>
          <cell r="AN107">
            <v>4.1666668750000002E-4</v>
          </cell>
          <cell r="AO107">
            <v>0</v>
          </cell>
          <cell r="AP107">
            <v>0</v>
          </cell>
          <cell r="AQ107">
            <v>240.000012</v>
          </cell>
          <cell r="AR107">
            <v>170.000225</v>
          </cell>
          <cell r="AS107">
            <v>-69.999786999999998</v>
          </cell>
          <cell r="AT107">
            <v>40.000002000000002</v>
          </cell>
          <cell r="AU107">
            <v>4.1666668750000002E-4</v>
          </cell>
          <cell r="AV107">
            <v>0</v>
          </cell>
          <cell r="AW107">
            <v>0</v>
          </cell>
          <cell r="AX107">
            <v>280.00001400000002</v>
          </cell>
          <cell r="AY107">
            <v>170.000225</v>
          </cell>
          <cell r="AZ107">
            <v>-109.99978900000002</v>
          </cell>
          <cell r="BA107">
            <v>40.000002000000002</v>
          </cell>
          <cell r="BB107">
            <v>4.1666668750000002E-4</v>
          </cell>
          <cell r="BC107">
            <v>0</v>
          </cell>
          <cell r="BD107">
            <v>0</v>
          </cell>
          <cell r="BE107">
            <v>320.00001600000002</v>
          </cell>
          <cell r="BF107">
            <v>170.000225</v>
          </cell>
          <cell r="BG107">
            <v>-149.99979100000002</v>
          </cell>
          <cell r="BH107">
            <v>40.000002000000002</v>
          </cell>
          <cell r="BI107">
            <v>4.1666668750000002E-4</v>
          </cell>
          <cell r="BJ107">
            <v>0</v>
          </cell>
          <cell r="BK107">
            <v>0</v>
          </cell>
          <cell r="BL107">
            <v>360.00001800000001</v>
          </cell>
          <cell r="BM107">
            <v>170.000225</v>
          </cell>
          <cell r="BN107">
            <v>-189.99979300000001</v>
          </cell>
          <cell r="BO107">
            <v>40.000002000000002</v>
          </cell>
          <cell r="BP107">
            <v>4.1666668750000002E-4</v>
          </cell>
          <cell r="BQ107">
            <v>0</v>
          </cell>
          <cell r="BR107">
            <v>0</v>
          </cell>
          <cell r="BS107">
            <v>400.00002000000001</v>
          </cell>
          <cell r="BT107">
            <v>170.000225</v>
          </cell>
          <cell r="BU107">
            <v>-229.99979500000001</v>
          </cell>
          <cell r="BV107">
            <v>40.000002000000002</v>
          </cell>
          <cell r="BW107">
            <v>4.1666668750000002E-4</v>
          </cell>
          <cell r="BX107">
            <v>0</v>
          </cell>
          <cell r="BY107">
            <v>0</v>
          </cell>
          <cell r="BZ107">
            <v>440.000022</v>
          </cell>
          <cell r="CA107">
            <v>170.000225</v>
          </cell>
          <cell r="CB107">
            <v>-269.999797</v>
          </cell>
          <cell r="CC107">
            <v>40.000002000000002</v>
          </cell>
          <cell r="CD107">
            <v>4.1666668750000002E-4</v>
          </cell>
          <cell r="CE107">
            <v>0</v>
          </cell>
          <cell r="CF107">
            <v>0</v>
          </cell>
          <cell r="CG107">
            <v>480.000024</v>
          </cell>
          <cell r="CH107">
            <v>170.000225</v>
          </cell>
        </row>
        <row r="108">
          <cell r="A108" t="str">
            <v>Viagens - Alimentação / Hospedagem</v>
          </cell>
          <cell r="B108">
            <v>0</v>
          </cell>
          <cell r="C108">
            <v>46.868333333333332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</row>
        <row r="109">
          <cell r="A109" t="str">
            <v>Viagens - Passagens / Traslados</v>
          </cell>
          <cell r="B109">
            <v>0</v>
          </cell>
          <cell r="C109">
            <v>108.11333333333334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</row>
        <row r="129">
          <cell r="A129" t="str">
            <v>13º (+ Encargos)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1095.1500000000001</v>
          </cell>
          <cell r="BW129">
            <v>2.9042651933701657E-2</v>
          </cell>
          <cell r="BX129">
            <v>0</v>
          </cell>
          <cell r="BY129" t="e">
            <v>#DIV/0!</v>
          </cell>
          <cell r="BZ129">
            <v>1095.1500000000001</v>
          </cell>
          <cell r="CA129">
            <v>0</v>
          </cell>
          <cell r="CB129">
            <v>-1095.1500000000001</v>
          </cell>
          <cell r="CC129">
            <v>1095.1500000000001</v>
          </cell>
          <cell r="CD129">
            <v>2.9042651933701657E-2</v>
          </cell>
          <cell r="CE129">
            <v>0</v>
          </cell>
          <cell r="CF129" t="e">
            <v>#DIV/0!</v>
          </cell>
          <cell r="CG129">
            <v>2190.3000000000002</v>
          </cell>
          <cell r="CH129">
            <v>0</v>
          </cell>
        </row>
        <row r="130">
          <cell r="A130" t="str">
            <v>Acordo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0</v>
          </cell>
        </row>
        <row r="131">
          <cell r="A131" t="str">
            <v>Aluguel + IPTU + Condomínio + Energia Elétrica</v>
          </cell>
          <cell r="B131">
            <v>0</v>
          </cell>
          <cell r="C131">
            <v>0</v>
          </cell>
          <cell r="D131">
            <v>900</v>
          </cell>
          <cell r="E131">
            <v>2.3867403314917126E-2</v>
          </cell>
          <cell r="F131">
            <v>899.99749999999995</v>
          </cell>
          <cell r="G131">
            <v>3.4615287972930356E-2</v>
          </cell>
          <cell r="H131">
            <v>900</v>
          </cell>
          <cell r="I131">
            <v>899.99749999999995</v>
          </cell>
          <cell r="J131">
            <v>-2.5000000000545697E-3</v>
          </cell>
          <cell r="K131">
            <v>900</v>
          </cell>
          <cell r="L131">
            <v>2.3867403314917126E-2</v>
          </cell>
          <cell r="M131">
            <v>899.99749999999995</v>
          </cell>
          <cell r="N131">
            <v>0.5999983333333333</v>
          </cell>
          <cell r="O131">
            <v>1800</v>
          </cell>
          <cell r="P131">
            <v>1799.9949999999999</v>
          </cell>
          <cell r="Q131">
            <v>-5.0000000001091394E-3</v>
          </cell>
          <cell r="R131">
            <v>900</v>
          </cell>
          <cell r="S131">
            <v>2.3867403314917126E-2</v>
          </cell>
          <cell r="T131">
            <v>899.99749999999995</v>
          </cell>
          <cell r="U131">
            <v>1.3080447258824498E-3</v>
          </cell>
          <cell r="V131">
            <v>2700</v>
          </cell>
          <cell r="W131">
            <v>2699.9924999999998</v>
          </cell>
          <cell r="X131">
            <v>-7.500000000163709E-3</v>
          </cell>
          <cell r="Y131">
            <v>900</v>
          </cell>
          <cell r="Z131">
            <v>2.3867403314917126E-2</v>
          </cell>
          <cell r="AA131">
            <v>0</v>
          </cell>
          <cell r="AB131">
            <v>0</v>
          </cell>
          <cell r="AC131">
            <v>3600</v>
          </cell>
          <cell r="AD131">
            <v>2699.9924999999998</v>
          </cell>
          <cell r="AE131">
            <v>-900.00750000000016</v>
          </cell>
          <cell r="AF131">
            <v>900</v>
          </cell>
          <cell r="AG131">
            <v>2.3867403314917126E-2</v>
          </cell>
          <cell r="AH131">
            <v>0</v>
          </cell>
          <cell r="AI131">
            <v>0</v>
          </cell>
          <cell r="AJ131">
            <v>4500</v>
          </cell>
          <cell r="AK131">
            <v>2699.9924999999998</v>
          </cell>
          <cell r="AL131">
            <v>-1800.0075000000002</v>
          </cell>
          <cell r="AM131">
            <v>900</v>
          </cell>
          <cell r="AN131">
            <v>2.3867403314917126E-2</v>
          </cell>
          <cell r="AO131">
            <v>0</v>
          </cell>
          <cell r="AP131" t="e">
            <v>#DIV/0!</v>
          </cell>
          <cell r="AQ131">
            <v>5400</v>
          </cell>
          <cell r="AR131">
            <v>2699.9924999999998</v>
          </cell>
          <cell r="AS131">
            <v>-2700.0075000000002</v>
          </cell>
          <cell r="AT131">
            <v>900</v>
          </cell>
          <cell r="AU131">
            <v>2.3867403314917126E-2</v>
          </cell>
          <cell r="AV131">
            <v>0</v>
          </cell>
          <cell r="AW131" t="e">
            <v>#DIV/0!</v>
          </cell>
          <cell r="AX131">
            <v>6300</v>
          </cell>
          <cell r="AY131">
            <v>2699.9924999999998</v>
          </cell>
          <cell r="AZ131">
            <v>-3600.0075000000002</v>
          </cell>
          <cell r="BA131">
            <v>900</v>
          </cell>
          <cell r="BB131">
            <v>2.3867403314917126E-2</v>
          </cell>
          <cell r="BC131">
            <v>0</v>
          </cell>
          <cell r="BD131" t="e">
            <v>#DIV/0!</v>
          </cell>
          <cell r="BE131">
            <v>7200</v>
          </cell>
          <cell r="BF131">
            <v>2699.9924999999998</v>
          </cell>
          <cell r="BG131">
            <v>-4500.0074999999997</v>
          </cell>
          <cell r="BH131">
            <v>900</v>
          </cell>
          <cell r="BI131">
            <v>2.3867403314917126E-2</v>
          </cell>
          <cell r="BJ131">
            <v>0</v>
          </cell>
          <cell r="BK131" t="e">
            <v>#DIV/0!</v>
          </cell>
          <cell r="BL131">
            <v>8100</v>
          </cell>
          <cell r="BM131">
            <v>2699.9924999999998</v>
          </cell>
          <cell r="BN131">
            <v>-5400.0074999999997</v>
          </cell>
          <cell r="BO131">
            <v>900</v>
          </cell>
          <cell r="BP131">
            <v>2.3867403314917126E-2</v>
          </cell>
          <cell r="BQ131">
            <v>0</v>
          </cell>
          <cell r="BR131" t="e">
            <v>#DIV/0!</v>
          </cell>
          <cell r="BS131">
            <v>9000</v>
          </cell>
          <cell r="BT131">
            <v>2699.9924999999998</v>
          </cell>
          <cell r="BU131">
            <v>-6300.0074999999997</v>
          </cell>
          <cell r="BV131">
            <v>900</v>
          </cell>
          <cell r="BW131">
            <v>2.3867403314917126E-2</v>
          </cell>
          <cell r="BX131">
            <v>0</v>
          </cell>
          <cell r="BY131" t="e">
            <v>#DIV/0!</v>
          </cell>
          <cell r="BZ131">
            <v>9900</v>
          </cell>
          <cell r="CA131">
            <v>2699.9924999999998</v>
          </cell>
          <cell r="CB131">
            <v>-7200.0074999999997</v>
          </cell>
          <cell r="CC131">
            <v>900</v>
          </cell>
          <cell r="CD131">
            <v>2.3867403314917126E-2</v>
          </cell>
          <cell r="CE131">
            <v>0</v>
          </cell>
          <cell r="CF131" t="e">
            <v>#DIV/0!</v>
          </cell>
          <cell r="CG131">
            <v>10800</v>
          </cell>
          <cell r="CH131">
            <v>2699.9924999999998</v>
          </cell>
        </row>
        <row r="132">
          <cell r="A132" t="str">
            <v>Aperfeiçoamento - Treinamentos / Livros / Revistas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</row>
        <row r="133">
          <cell r="A133" t="str">
            <v>OAB / Associações</v>
          </cell>
          <cell r="B133">
            <v>9.8774522290864157E-4</v>
          </cell>
          <cell r="C133">
            <v>386.07583333333332</v>
          </cell>
          <cell r="D133">
            <v>0</v>
          </cell>
          <cell r="E133">
            <v>0</v>
          </cell>
          <cell r="F133">
            <v>266.70499999999998</v>
          </cell>
          <cell r="G133">
            <v>1.0257884470590629E-2</v>
          </cell>
          <cell r="H133">
            <v>0</v>
          </cell>
          <cell r="I133">
            <v>266.70499999999998</v>
          </cell>
          <cell r="J133">
            <v>266.70499999999998</v>
          </cell>
          <cell r="K133">
            <v>0</v>
          </cell>
          <cell r="L133">
            <v>0</v>
          </cell>
          <cell r="M133">
            <v>107.89</v>
          </cell>
          <cell r="N133">
            <v>7.1926666666666667E-2</v>
          </cell>
          <cell r="O133">
            <v>0</v>
          </cell>
          <cell r="P133">
            <v>374.59499999999997</v>
          </cell>
          <cell r="Q133">
            <v>374.59499999999997</v>
          </cell>
          <cell r="R133">
            <v>0</v>
          </cell>
          <cell r="S133">
            <v>0</v>
          </cell>
          <cell r="T133">
            <v>474.09</v>
          </cell>
          <cell r="U133">
            <v>6.8903627409366212E-4</v>
          </cell>
          <cell r="V133">
            <v>0</v>
          </cell>
          <cell r="W133">
            <v>848.68499999999995</v>
          </cell>
          <cell r="X133">
            <v>848.68499999999995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848.68499999999995</v>
          </cell>
          <cell r="AE133">
            <v>848.68499999999995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848.68499999999995</v>
          </cell>
          <cell r="AL133">
            <v>848.68499999999995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848.68499999999995</v>
          </cell>
          <cell r="AS133">
            <v>848.68499999999995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848.68499999999995</v>
          </cell>
          <cell r="AZ133">
            <v>848.68499999999995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848.68499999999995</v>
          </cell>
          <cell r="BG133">
            <v>848.68499999999995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848.68499999999995</v>
          </cell>
          <cell r="BN133">
            <v>848.68499999999995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848.68499999999995</v>
          </cell>
          <cell r="BU133">
            <v>848.68499999999995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848.68499999999995</v>
          </cell>
          <cell r="CB133">
            <v>848.68499999999995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848.68499999999995</v>
          </cell>
        </row>
        <row r="134">
          <cell r="A134" t="str">
            <v>Back Office / Encerramento</v>
          </cell>
          <cell r="B134">
            <v>6.8560403347599238E-5</v>
          </cell>
          <cell r="C134">
            <v>26.797917359851457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</row>
        <row r="135">
          <cell r="A135" t="str">
            <v>Bonificações/Premiações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</row>
        <row r="136">
          <cell r="A136" t="str">
            <v>Cadastro</v>
          </cell>
          <cell r="B136">
            <v>1.7118128286639219E-4</v>
          </cell>
          <cell r="C136">
            <v>66.908910213807346</v>
          </cell>
          <cell r="D136">
            <v>28.28648819065566</v>
          </cell>
          <cell r="E136">
            <v>7.5013891334335453E-4</v>
          </cell>
          <cell r="F136">
            <v>53.124386235577575</v>
          </cell>
          <cell r="G136">
            <v>2.0432455956040938E-3</v>
          </cell>
          <cell r="H136">
            <v>28.28648819065566</v>
          </cell>
          <cell r="I136">
            <v>53.124386235577575</v>
          </cell>
          <cell r="J136">
            <v>24.837898044921914</v>
          </cell>
          <cell r="K136">
            <v>28.28648819065566</v>
          </cell>
          <cell r="L136">
            <v>7.5013891334335453E-4</v>
          </cell>
          <cell r="M136">
            <v>67.071188173860307</v>
          </cell>
          <cell r="N136">
            <v>4.4714125449240208E-2</v>
          </cell>
          <cell r="O136">
            <v>56.572976381311321</v>
          </cell>
          <cell r="P136">
            <v>120.19557440943788</v>
          </cell>
          <cell r="Q136">
            <v>63.622598028126561</v>
          </cell>
          <cell r="R136">
            <v>28.28648819065566</v>
          </cell>
          <cell r="S136">
            <v>7.5013891334335453E-4</v>
          </cell>
          <cell r="T136">
            <v>39.903216159153018</v>
          </cell>
          <cell r="U136">
            <v>5.799481825530344E-5</v>
          </cell>
          <cell r="V136">
            <v>84.859464571966981</v>
          </cell>
          <cell r="W136">
            <v>160.09879056859091</v>
          </cell>
          <cell r="X136">
            <v>75.239325996623933</v>
          </cell>
          <cell r="Y136">
            <v>28.28648819065566</v>
          </cell>
          <cell r="Z136">
            <v>7.5013891334335453E-4</v>
          </cell>
          <cell r="AA136">
            <v>0</v>
          </cell>
          <cell r="AB136">
            <v>0</v>
          </cell>
          <cell r="AC136">
            <v>113.14595276262264</v>
          </cell>
          <cell r="AD136">
            <v>160.09879056859091</v>
          </cell>
          <cell r="AE136">
            <v>46.952837805968272</v>
          </cell>
          <cell r="AF136">
            <v>28.28648819065566</v>
          </cell>
          <cell r="AG136">
            <v>7.5013891334335453E-4</v>
          </cell>
          <cell r="AH136">
            <v>0</v>
          </cell>
          <cell r="AI136">
            <v>0</v>
          </cell>
          <cell r="AJ136">
            <v>141.4324409532783</v>
          </cell>
          <cell r="AK136">
            <v>160.09879056859091</v>
          </cell>
          <cell r="AL136">
            <v>18.666349615312612</v>
          </cell>
          <cell r="AM136">
            <v>28.28648819065566</v>
          </cell>
          <cell r="AN136">
            <v>7.5013891334335453E-4</v>
          </cell>
          <cell r="AO136">
            <v>0</v>
          </cell>
          <cell r="AP136" t="e">
            <v>#DIV/0!</v>
          </cell>
          <cell r="AQ136">
            <v>169.71892914393396</v>
          </cell>
          <cell r="AR136">
            <v>160.09879056859091</v>
          </cell>
          <cell r="AS136">
            <v>-9.6201385753430486</v>
          </cell>
          <cell r="AT136">
            <v>28.28648819065566</v>
          </cell>
          <cell r="AU136">
            <v>7.5013891334335453E-4</v>
          </cell>
          <cell r="AV136">
            <v>0</v>
          </cell>
          <cell r="AW136" t="e">
            <v>#DIV/0!</v>
          </cell>
          <cell r="AX136">
            <v>198.00541733458962</v>
          </cell>
          <cell r="AY136">
            <v>160.09879056859091</v>
          </cell>
          <cell r="AZ136">
            <v>-37.906626765998709</v>
          </cell>
          <cell r="BA136">
            <v>28.28648819065566</v>
          </cell>
          <cell r="BB136">
            <v>7.5013891334335453E-4</v>
          </cell>
          <cell r="BC136">
            <v>0</v>
          </cell>
          <cell r="BD136" t="e">
            <v>#DIV/0!</v>
          </cell>
          <cell r="BE136">
            <v>226.29190552524528</v>
          </cell>
          <cell r="BF136">
            <v>160.09879056859091</v>
          </cell>
          <cell r="BG136">
            <v>-66.19311495665437</v>
          </cell>
          <cell r="BH136">
            <v>28.28648819065566</v>
          </cell>
          <cell r="BI136">
            <v>7.5013891334335453E-4</v>
          </cell>
          <cell r="BJ136">
            <v>0</v>
          </cell>
          <cell r="BK136" t="e">
            <v>#DIV/0!</v>
          </cell>
          <cell r="BL136">
            <v>254.57839371590094</v>
          </cell>
          <cell r="BM136">
            <v>160.09879056859091</v>
          </cell>
          <cell r="BN136">
            <v>-94.47960314731003</v>
          </cell>
          <cell r="BO136">
            <v>28.28648819065566</v>
          </cell>
          <cell r="BP136">
            <v>7.5013891334335453E-4</v>
          </cell>
          <cell r="BQ136">
            <v>0</v>
          </cell>
          <cell r="BR136" t="e">
            <v>#DIV/0!</v>
          </cell>
          <cell r="BS136">
            <v>282.8648819065566</v>
          </cell>
          <cell r="BT136">
            <v>160.09879056859091</v>
          </cell>
          <cell r="BU136">
            <v>-122.76609133796569</v>
          </cell>
          <cell r="BV136">
            <v>28.28648819065566</v>
          </cell>
          <cell r="BW136">
            <v>7.5013891334335453E-4</v>
          </cell>
          <cell r="BX136">
            <v>0</v>
          </cell>
          <cell r="BY136" t="e">
            <v>#DIV/0!</v>
          </cell>
          <cell r="BZ136">
            <v>311.15137009721229</v>
          </cell>
          <cell r="CA136">
            <v>160.09879056859091</v>
          </cell>
          <cell r="CB136">
            <v>-151.05257952862138</v>
          </cell>
          <cell r="CC136">
            <v>28.28648819065566</v>
          </cell>
          <cell r="CD136">
            <v>7.5013891334335453E-4</v>
          </cell>
          <cell r="CE136">
            <v>0</v>
          </cell>
          <cell r="CF136" t="e">
            <v>#DIV/0!</v>
          </cell>
          <cell r="CG136">
            <v>339.43785828786793</v>
          </cell>
          <cell r="CH136">
            <v>160.09879056859091</v>
          </cell>
        </row>
        <row r="137">
          <cell r="A137" t="str">
            <v>Cartório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</row>
        <row r="138">
          <cell r="A138" t="str">
            <v>Condenação</v>
          </cell>
          <cell r="B138">
            <v>0</v>
          </cell>
          <cell r="C138">
            <v>0</v>
          </cell>
          <cell r="D138">
            <v>259.08</v>
          </cell>
          <cell r="E138">
            <v>6.8706298342541428E-3</v>
          </cell>
          <cell r="F138">
            <v>0</v>
          </cell>
          <cell r="G138">
            <v>0</v>
          </cell>
          <cell r="H138">
            <v>259.08</v>
          </cell>
          <cell r="I138">
            <v>0</v>
          </cell>
          <cell r="J138">
            <v>-259.08</v>
          </cell>
          <cell r="K138">
            <v>259.08</v>
          </cell>
          <cell r="L138">
            <v>6.8706298342541428E-3</v>
          </cell>
          <cell r="M138">
            <v>0</v>
          </cell>
          <cell r="N138">
            <v>0</v>
          </cell>
          <cell r="O138">
            <v>518.16</v>
          </cell>
          <cell r="P138">
            <v>0</v>
          </cell>
          <cell r="Q138">
            <v>-518.16</v>
          </cell>
          <cell r="R138">
            <v>259.08</v>
          </cell>
          <cell r="S138">
            <v>6.8706298342541428E-3</v>
          </cell>
          <cell r="T138">
            <v>0</v>
          </cell>
          <cell r="U138">
            <v>0</v>
          </cell>
          <cell r="V138">
            <v>777.24</v>
          </cell>
          <cell r="W138">
            <v>0</v>
          </cell>
          <cell r="X138">
            <v>-777.24</v>
          </cell>
          <cell r="Y138">
            <v>259.08</v>
          </cell>
          <cell r="Z138">
            <v>6.8706298342541428E-3</v>
          </cell>
          <cell r="AA138">
            <v>0</v>
          </cell>
          <cell r="AB138">
            <v>0</v>
          </cell>
          <cell r="AC138">
            <v>1036.32</v>
          </cell>
          <cell r="AD138">
            <v>0</v>
          </cell>
          <cell r="AE138">
            <v>-1036.32</v>
          </cell>
          <cell r="AF138">
            <v>259.08</v>
          </cell>
          <cell r="AG138">
            <v>6.8706298342541428E-3</v>
          </cell>
          <cell r="AH138">
            <v>0</v>
          </cell>
          <cell r="AI138">
            <v>0</v>
          </cell>
          <cell r="AJ138">
            <v>1295.3999999999999</v>
          </cell>
          <cell r="AK138">
            <v>0</v>
          </cell>
          <cell r="AL138">
            <v>-1295.3999999999999</v>
          </cell>
          <cell r="AM138">
            <v>259.08</v>
          </cell>
          <cell r="AN138">
            <v>6.8706298342541428E-3</v>
          </cell>
          <cell r="AO138">
            <v>0</v>
          </cell>
          <cell r="AP138" t="e">
            <v>#DIV/0!</v>
          </cell>
          <cell r="AQ138">
            <v>1554.4799999999998</v>
          </cell>
          <cell r="AR138">
            <v>0</v>
          </cell>
          <cell r="AS138">
            <v>-1554.4799999999998</v>
          </cell>
          <cell r="AT138">
            <v>259.08</v>
          </cell>
          <cell r="AU138">
            <v>6.8706298342541428E-3</v>
          </cell>
          <cell r="AV138">
            <v>0</v>
          </cell>
          <cell r="AW138" t="e">
            <v>#DIV/0!</v>
          </cell>
          <cell r="AX138">
            <v>1813.5599999999997</v>
          </cell>
          <cell r="AY138">
            <v>0</v>
          </cell>
          <cell r="AZ138">
            <v>-1813.5599999999997</v>
          </cell>
          <cell r="BA138">
            <v>259.08</v>
          </cell>
          <cell r="BB138">
            <v>6.8706298342541428E-3</v>
          </cell>
          <cell r="BC138">
            <v>0</v>
          </cell>
          <cell r="BD138" t="e">
            <v>#DIV/0!</v>
          </cell>
          <cell r="BE138">
            <v>2072.64</v>
          </cell>
          <cell r="BF138">
            <v>0</v>
          </cell>
          <cell r="BG138">
            <v>-2072.64</v>
          </cell>
          <cell r="BH138">
            <v>259.08</v>
          </cell>
          <cell r="BI138">
            <v>6.8706298342541428E-3</v>
          </cell>
          <cell r="BJ138">
            <v>0</v>
          </cell>
          <cell r="BK138" t="e">
            <v>#DIV/0!</v>
          </cell>
          <cell r="BL138">
            <v>2331.7199999999998</v>
          </cell>
          <cell r="BM138">
            <v>0</v>
          </cell>
          <cell r="BN138">
            <v>-2331.7199999999998</v>
          </cell>
          <cell r="BO138">
            <v>259.08</v>
          </cell>
          <cell r="BP138">
            <v>6.8706298342541428E-3</v>
          </cell>
          <cell r="BQ138">
            <v>0</v>
          </cell>
          <cell r="BR138" t="e">
            <v>#DIV/0!</v>
          </cell>
          <cell r="BS138">
            <v>2590.7999999999997</v>
          </cell>
          <cell r="BT138">
            <v>0</v>
          </cell>
          <cell r="BU138">
            <v>-2590.7999999999997</v>
          </cell>
          <cell r="BV138">
            <v>259.08</v>
          </cell>
          <cell r="BW138">
            <v>6.8706298342541428E-3</v>
          </cell>
          <cell r="BX138">
            <v>0</v>
          </cell>
          <cell r="BY138" t="e">
            <v>#DIV/0!</v>
          </cell>
          <cell r="BZ138">
            <v>2849.8799999999997</v>
          </cell>
          <cell r="CA138">
            <v>0</v>
          </cell>
          <cell r="CB138">
            <v>-2849.8799999999997</v>
          </cell>
          <cell r="CC138">
            <v>259.08</v>
          </cell>
          <cell r="CD138">
            <v>6.8706298342541428E-3</v>
          </cell>
          <cell r="CE138">
            <v>0</v>
          </cell>
          <cell r="CF138" t="e">
            <v>#DIV/0!</v>
          </cell>
          <cell r="CG138">
            <v>3108.9599999999996</v>
          </cell>
          <cell r="CH138">
            <v>0</v>
          </cell>
        </row>
        <row r="139">
          <cell r="A139" t="str">
            <v>Penalidades/Irregularidades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</row>
        <row r="140">
          <cell r="A140" t="str">
            <v>Controladoria Jurídica - Custas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0</v>
          </cell>
        </row>
        <row r="141">
          <cell r="A141" t="str">
            <v>GNA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19.75314602699974</v>
          </cell>
          <cell r="N141">
            <v>1.3168764017999827E-2</v>
          </cell>
          <cell r="O141">
            <v>0</v>
          </cell>
          <cell r="P141">
            <v>19.75314602699974</v>
          </cell>
          <cell r="Q141">
            <v>19.75314602699974</v>
          </cell>
          <cell r="R141">
            <v>0</v>
          </cell>
          <cell r="S141">
            <v>0</v>
          </cell>
          <cell r="T141">
            <v>354.89521269233421</v>
          </cell>
          <cell r="U141">
            <v>5.1580011189268648E-4</v>
          </cell>
          <cell r="V141">
            <v>0</v>
          </cell>
          <cell r="W141">
            <v>374.64835871933394</v>
          </cell>
          <cell r="X141">
            <v>374.64835871933394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374.64835871933394</v>
          </cell>
          <cell r="AE141">
            <v>374.64835871933394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374.64835871933394</v>
          </cell>
          <cell r="AL141">
            <v>374.64835871933394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374.64835871933394</v>
          </cell>
          <cell r="AS141">
            <v>374.64835871933394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374.64835871933394</v>
          </cell>
          <cell r="AZ141">
            <v>374.64835871933394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374.64835871933394</v>
          </cell>
          <cell r="BG141">
            <v>374.64835871933394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374.64835871933394</v>
          </cell>
          <cell r="BN141">
            <v>374.64835871933394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374.64835871933394</v>
          </cell>
          <cell r="BU141">
            <v>374.64835871933394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374.64835871933394</v>
          </cell>
          <cell r="CB141">
            <v>374.64835871933394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374.64835871933394</v>
          </cell>
        </row>
        <row r="142">
          <cell r="A142" t="str">
            <v>Correios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</row>
        <row r="143">
          <cell r="A143" t="str">
            <v xml:space="preserve">Correspondentes </v>
          </cell>
          <cell r="B143">
            <v>1.7404870816618346E-3</v>
          </cell>
          <cell r="C143">
            <v>680.29688716666669</v>
          </cell>
          <cell r="D143">
            <v>573.46002699999997</v>
          </cell>
          <cell r="E143">
            <v>1.5207779721546959E-2</v>
          </cell>
          <cell r="F143">
            <v>1209.4005830000001</v>
          </cell>
          <cell r="G143">
            <v>4.6515406381878691E-2</v>
          </cell>
          <cell r="H143">
            <v>573.46002699999997</v>
          </cell>
          <cell r="I143">
            <v>1209.4005830000001</v>
          </cell>
          <cell r="J143">
            <v>635.94055600000013</v>
          </cell>
          <cell r="K143">
            <v>573.46002699999997</v>
          </cell>
          <cell r="L143">
            <v>1.5207779721546959E-2</v>
          </cell>
          <cell r="M143">
            <v>5253.1058119999998</v>
          </cell>
          <cell r="N143">
            <v>3.5020705413333331</v>
          </cell>
          <cell r="O143">
            <v>1146.9200539999999</v>
          </cell>
          <cell r="P143">
            <v>6462.5063950000003</v>
          </cell>
          <cell r="Q143">
            <v>5315.5863410000002</v>
          </cell>
          <cell r="R143">
            <v>573.46002699999997</v>
          </cell>
          <cell r="S143">
            <v>1.5207779721546959E-2</v>
          </cell>
          <cell r="T143">
            <v>4134.7312420000007</v>
          </cell>
          <cell r="U143">
            <v>6.0093649082797376E-3</v>
          </cell>
          <cell r="V143">
            <v>1720.3800809999998</v>
          </cell>
          <cell r="W143">
            <v>10597.237637000002</v>
          </cell>
          <cell r="X143">
            <v>8876.8575560000027</v>
          </cell>
          <cell r="Y143">
            <v>573.46002699999997</v>
          </cell>
          <cell r="Z143">
            <v>1.5207779721546959E-2</v>
          </cell>
          <cell r="AA143">
            <v>0</v>
          </cell>
          <cell r="AB143">
            <v>0</v>
          </cell>
          <cell r="AC143">
            <v>2293.8401079999999</v>
          </cell>
          <cell r="AD143">
            <v>10597.237637000002</v>
          </cell>
          <cell r="AE143">
            <v>8303.3975290000017</v>
          </cell>
          <cell r="AF143">
            <v>573.46002699999997</v>
          </cell>
          <cell r="AG143">
            <v>1.5207779721546959E-2</v>
          </cell>
          <cell r="AH143">
            <v>0</v>
          </cell>
          <cell r="AI143">
            <v>0</v>
          </cell>
          <cell r="AJ143">
            <v>2867.300135</v>
          </cell>
          <cell r="AK143">
            <v>10597.237637000002</v>
          </cell>
          <cell r="AL143">
            <v>7729.9375020000025</v>
          </cell>
          <cell r="AM143">
            <v>573.46002699999997</v>
          </cell>
          <cell r="AN143">
            <v>1.5207779721546959E-2</v>
          </cell>
          <cell r="AO143">
            <v>0</v>
          </cell>
          <cell r="AP143" t="e">
            <v>#DIV/0!</v>
          </cell>
          <cell r="AQ143">
            <v>3440.760162</v>
          </cell>
          <cell r="AR143">
            <v>10597.237637000002</v>
          </cell>
          <cell r="AS143">
            <v>7156.4774750000015</v>
          </cell>
          <cell r="AT143">
            <v>573.46002699999997</v>
          </cell>
          <cell r="AU143">
            <v>1.5207779721546959E-2</v>
          </cell>
          <cell r="AV143">
            <v>0</v>
          </cell>
          <cell r="AW143" t="e">
            <v>#DIV/0!</v>
          </cell>
          <cell r="AX143">
            <v>4014.2201890000001</v>
          </cell>
          <cell r="AY143">
            <v>10597.237637000002</v>
          </cell>
          <cell r="AZ143">
            <v>6583.0174480000023</v>
          </cell>
          <cell r="BA143">
            <v>573.46002699999997</v>
          </cell>
          <cell r="BB143">
            <v>1.5207779721546959E-2</v>
          </cell>
          <cell r="BC143">
            <v>0</v>
          </cell>
          <cell r="BD143" t="e">
            <v>#DIV/0!</v>
          </cell>
          <cell r="BE143">
            <v>4587.6802159999997</v>
          </cell>
          <cell r="BF143">
            <v>10597.237637000002</v>
          </cell>
          <cell r="BG143">
            <v>6009.5574210000023</v>
          </cell>
          <cell r="BH143">
            <v>573.46002699999997</v>
          </cell>
          <cell r="BI143">
            <v>1.5207779721546959E-2</v>
          </cell>
          <cell r="BJ143">
            <v>0</v>
          </cell>
          <cell r="BK143" t="e">
            <v>#DIV/0!</v>
          </cell>
          <cell r="BL143">
            <v>5161.1402429999998</v>
          </cell>
          <cell r="BM143">
            <v>10597.237637000002</v>
          </cell>
          <cell r="BN143">
            <v>5436.0973940000022</v>
          </cell>
          <cell r="BO143">
            <v>573.46002699999997</v>
          </cell>
          <cell r="BP143">
            <v>1.5207779721546959E-2</v>
          </cell>
          <cell r="BQ143">
            <v>0</v>
          </cell>
          <cell r="BR143" t="e">
            <v>#DIV/0!</v>
          </cell>
          <cell r="BS143">
            <v>5734.6002699999999</v>
          </cell>
          <cell r="BT143">
            <v>10597.237637000002</v>
          </cell>
          <cell r="BU143">
            <v>4862.6373670000021</v>
          </cell>
          <cell r="BV143">
            <v>573.46002699999997</v>
          </cell>
          <cell r="BW143">
            <v>1.5207779721546959E-2</v>
          </cell>
          <cell r="BX143">
            <v>0</v>
          </cell>
          <cell r="BY143" t="e">
            <v>#DIV/0!</v>
          </cell>
          <cell r="BZ143">
            <v>6308.060297</v>
          </cell>
          <cell r="CA143">
            <v>10597.237637000002</v>
          </cell>
          <cell r="CB143">
            <v>4289.177340000002</v>
          </cell>
          <cell r="CC143">
            <v>573.46002699999997</v>
          </cell>
          <cell r="CD143">
            <v>1.5207779721546959E-2</v>
          </cell>
          <cell r="CE143">
            <v>0</v>
          </cell>
          <cell r="CF143" t="e">
            <v>#DIV/0!</v>
          </cell>
          <cell r="CG143">
            <v>6881.5203240000001</v>
          </cell>
          <cell r="CH143">
            <v>10597.237637000002</v>
          </cell>
        </row>
        <row r="144">
          <cell r="A144" t="str">
            <v>Custas/Guias/Despesas</v>
          </cell>
          <cell r="B144">
            <v>4.0003072836370318E-4</v>
          </cell>
          <cell r="C144">
            <v>156.35833333333332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</row>
        <row r="145">
          <cell r="A145" t="str">
            <v>Deslocamento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 t="e">
            <v>#DIV/0!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</row>
        <row r="146">
          <cell r="A146" t="str">
            <v>Digitação / Atual. Sistemas / Lanç. Planilhas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</row>
        <row r="147">
          <cell r="A147" t="str">
            <v>Diligências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</row>
        <row r="148">
          <cell r="A148" t="str">
            <v>Encargos</v>
          </cell>
          <cell r="B148">
            <v>9.9275477960382387E-5</v>
          </cell>
          <cell r="C148">
            <v>38.803389775203819</v>
          </cell>
          <cell r="D148">
            <v>924.10246553244099</v>
          </cell>
          <cell r="E148">
            <v>2.4506584721302301E-2</v>
          </cell>
          <cell r="F148">
            <v>971.54386892408775</v>
          </cell>
          <cell r="G148">
            <v>3.73670713542451E-2</v>
          </cell>
          <cell r="H148">
            <v>924.10246553244099</v>
          </cell>
          <cell r="I148">
            <v>971.54386892408775</v>
          </cell>
          <cell r="J148">
            <v>47.441403391646759</v>
          </cell>
          <cell r="K148">
            <v>924.10246553244099</v>
          </cell>
          <cell r="L148">
            <v>2.4506584721302301E-2</v>
          </cell>
          <cell r="M148">
            <v>924.10246553244099</v>
          </cell>
          <cell r="N148">
            <v>0.61606831035496068</v>
          </cell>
          <cell r="O148">
            <v>1848.204931064882</v>
          </cell>
          <cell r="P148">
            <v>1895.6463344565286</v>
          </cell>
          <cell r="Q148">
            <v>47.441403391646645</v>
          </cell>
          <cell r="R148">
            <v>924.10246553244099</v>
          </cell>
          <cell r="S148">
            <v>2.4506584721302301E-2</v>
          </cell>
          <cell r="T148">
            <v>943.35913725044577</v>
          </cell>
          <cell r="U148">
            <v>1.3710659686204281E-3</v>
          </cell>
          <cell r="V148">
            <v>2772.3073965973231</v>
          </cell>
          <cell r="W148">
            <v>2839.0054717069743</v>
          </cell>
          <cell r="X148">
            <v>66.698075109651199</v>
          </cell>
          <cell r="Y148">
            <v>924.10246553244099</v>
          </cell>
          <cell r="Z148">
            <v>2.4506584721302301E-2</v>
          </cell>
          <cell r="AA148">
            <v>0</v>
          </cell>
          <cell r="AB148">
            <v>0</v>
          </cell>
          <cell r="AC148">
            <v>3696.409862129764</v>
          </cell>
          <cell r="AD148">
            <v>2839.0054717069743</v>
          </cell>
          <cell r="AE148">
            <v>-857.40439042278967</v>
          </cell>
          <cell r="AF148">
            <v>924.10246553244099</v>
          </cell>
          <cell r="AG148">
            <v>2.4506584721302301E-2</v>
          </cell>
          <cell r="AH148">
            <v>0</v>
          </cell>
          <cell r="AI148">
            <v>0</v>
          </cell>
          <cell r="AJ148">
            <v>4620.5123276622053</v>
          </cell>
          <cell r="AK148">
            <v>2839.0054717069743</v>
          </cell>
          <cell r="AL148">
            <v>-1781.506855955231</v>
          </cell>
          <cell r="AM148">
            <v>924.10246553244099</v>
          </cell>
          <cell r="AN148">
            <v>2.4506584721302301E-2</v>
          </cell>
          <cell r="AO148">
            <v>0</v>
          </cell>
          <cell r="AP148" t="e">
            <v>#DIV/0!</v>
          </cell>
          <cell r="AQ148">
            <v>5544.6147931946462</v>
          </cell>
          <cell r="AR148">
            <v>2839.0054717069743</v>
          </cell>
          <cell r="AS148">
            <v>-2705.6093214876719</v>
          </cell>
          <cell r="AT148">
            <v>924.10246553244099</v>
          </cell>
          <cell r="AU148">
            <v>2.4506584721302301E-2</v>
          </cell>
          <cell r="AV148">
            <v>0</v>
          </cell>
          <cell r="AW148" t="e">
            <v>#DIV/0!</v>
          </cell>
          <cell r="AX148">
            <v>6468.717258727087</v>
          </cell>
          <cell r="AY148">
            <v>2839.0054717069743</v>
          </cell>
          <cell r="AZ148">
            <v>-3629.7117870201128</v>
          </cell>
          <cell r="BA148">
            <v>924.10246553244099</v>
          </cell>
          <cell r="BB148">
            <v>2.4506584721302301E-2</v>
          </cell>
          <cell r="BC148">
            <v>0</v>
          </cell>
          <cell r="BD148" t="e">
            <v>#DIV/0!</v>
          </cell>
          <cell r="BE148">
            <v>7392.8197242595279</v>
          </cell>
          <cell r="BF148">
            <v>2839.0054717069743</v>
          </cell>
          <cell r="BG148">
            <v>-4553.8142525525536</v>
          </cell>
          <cell r="BH148">
            <v>924.10246553244099</v>
          </cell>
          <cell r="BI148">
            <v>2.4506584721302301E-2</v>
          </cell>
          <cell r="BJ148">
            <v>0</v>
          </cell>
          <cell r="BK148" t="e">
            <v>#DIV/0!</v>
          </cell>
          <cell r="BL148">
            <v>8316.9221897919688</v>
          </cell>
          <cell r="BM148">
            <v>2839.0054717069743</v>
          </cell>
          <cell r="BN148">
            <v>-5477.9167180849945</v>
          </cell>
          <cell r="BO148">
            <v>924.10246553244099</v>
          </cell>
          <cell r="BP148">
            <v>2.4506584721302301E-2</v>
          </cell>
          <cell r="BQ148">
            <v>0</v>
          </cell>
          <cell r="BR148" t="e">
            <v>#DIV/0!</v>
          </cell>
          <cell r="BS148">
            <v>9241.0246553244106</v>
          </cell>
          <cell r="BT148">
            <v>2839.0054717069743</v>
          </cell>
          <cell r="BU148">
            <v>-6402.0191836174363</v>
          </cell>
          <cell r="BV148">
            <v>924.10246553244099</v>
          </cell>
          <cell r="BW148">
            <v>2.4506584721302301E-2</v>
          </cell>
          <cell r="BX148">
            <v>0</v>
          </cell>
          <cell r="BY148" t="e">
            <v>#DIV/0!</v>
          </cell>
          <cell r="BZ148">
            <v>10165.127120856852</v>
          </cell>
          <cell r="CA148">
            <v>2839.0054717069743</v>
          </cell>
          <cell r="CB148">
            <v>-7326.1216491498781</v>
          </cell>
          <cell r="CC148">
            <v>924.10246553244099</v>
          </cell>
          <cell r="CD148">
            <v>2.4506584721302301E-2</v>
          </cell>
          <cell r="CE148">
            <v>0</v>
          </cell>
          <cell r="CF148" t="e">
            <v>#DIV/0!</v>
          </cell>
          <cell r="CG148">
            <v>11089.229586389294</v>
          </cell>
          <cell r="CH148">
            <v>2839.0054717069743</v>
          </cell>
        </row>
        <row r="149">
          <cell r="A149" t="str">
            <v>Encargos Rescisórios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</row>
        <row r="150">
          <cell r="A150" t="str">
            <v>Encerramento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</row>
        <row r="151">
          <cell r="A151" t="str">
            <v>Eventos / Representações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</row>
        <row r="152">
          <cell r="A152" t="str">
            <v>Férias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1180.3800000000001</v>
          </cell>
          <cell r="U152">
            <v>1.7155490248996542E-3</v>
          </cell>
          <cell r="V152">
            <v>0</v>
          </cell>
          <cell r="W152">
            <v>1180.3800000000001</v>
          </cell>
          <cell r="X152">
            <v>1180.3800000000001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1180.3800000000001</v>
          </cell>
          <cell r="AE152">
            <v>1180.3800000000001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1180.3800000000001</v>
          </cell>
          <cell r="AL152">
            <v>1180.3800000000001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1180.3800000000001</v>
          </cell>
          <cell r="AS152">
            <v>1180.3800000000001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1180.3800000000001</v>
          </cell>
          <cell r="AZ152">
            <v>1180.3800000000001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1180.3800000000001</v>
          </cell>
          <cell r="BG152">
            <v>1180.3800000000001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1180.3800000000001</v>
          </cell>
          <cell r="BN152">
            <v>1180.3800000000001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1180.3800000000001</v>
          </cell>
          <cell r="BU152">
            <v>1180.3800000000001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1180.3800000000001</v>
          </cell>
          <cell r="CB152">
            <v>1180.3800000000001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1180.3800000000001</v>
          </cell>
        </row>
        <row r="153">
          <cell r="A153" t="str">
            <v>Exames Médicos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</row>
        <row r="154">
          <cell r="A154" t="str">
            <v>Parcerias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 t="e">
            <v>#DIV/0!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</row>
        <row r="155">
          <cell r="A155" t="str">
            <v>Fotocópia/Xerox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 t="e">
            <v>#DIV/0!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 t="e">
            <v>#DIV/0!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 t="e">
            <v>#DIV/0!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 t="e">
            <v>#DIV/0!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 t="e">
            <v>#DIV/0!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 t="e">
            <v>#DIV/0!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 t="e">
            <v>#DIV/0!</v>
          </cell>
          <cell r="CG155">
            <v>0</v>
          </cell>
          <cell r="CH155">
            <v>0</v>
          </cell>
        </row>
        <row r="156">
          <cell r="A156" t="str">
            <v>IR s/ Salário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 t="e">
            <v>#DIV/0!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</row>
        <row r="157">
          <cell r="A157" t="str">
            <v>Consultoria de Projetos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</row>
        <row r="158">
          <cell r="A158" t="str">
            <v>Pauta</v>
          </cell>
          <cell r="B158">
            <v>1.0885040587288154E-4</v>
          </cell>
          <cell r="C158">
            <v>42.545901697497989</v>
          </cell>
          <cell r="D158">
            <v>34.08447335315315</v>
          </cell>
          <cell r="E158">
            <v>9.038976358847244E-4</v>
          </cell>
          <cell r="F158">
            <v>0</v>
          </cell>
          <cell r="G158">
            <v>0</v>
          </cell>
          <cell r="H158">
            <v>34.08447335315315</v>
          </cell>
          <cell r="I158">
            <v>0</v>
          </cell>
          <cell r="J158">
            <v>-34.08447335315315</v>
          </cell>
          <cell r="K158">
            <v>34.08447335315315</v>
          </cell>
          <cell r="L158">
            <v>9.038976358847244E-4</v>
          </cell>
          <cell r="M158">
            <v>0</v>
          </cell>
          <cell r="N158">
            <v>0</v>
          </cell>
          <cell r="O158">
            <v>68.168946706306301</v>
          </cell>
          <cell r="P158">
            <v>0</v>
          </cell>
          <cell r="Q158">
            <v>-68.168946706306301</v>
          </cell>
          <cell r="R158">
            <v>34.08447335315315</v>
          </cell>
          <cell r="S158">
            <v>9.038976358847244E-4</v>
          </cell>
          <cell r="T158">
            <v>32.454014100834939</v>
          </cell>
          <cell r="U158">
            <v>4.7168244332136263E-5</v>
          </cell>
          <cell r="V158">
            <v>102.25342005945944</v>
          </cell>
          <cell r="W158">
            <v>32.454014100834939</v>
          </cell>
          <cell r="X158">
            <v>-69.799405958624504</v>
          </cell>
          <cell r="Y158">
            <v>34.08447335315315</v>
          </cell>
          <cell r="Z158">
            <v>9.038976358847244E-4</v>
          </cell>
          <cell r="AA158">
            <v>0</v>
          </cell>
          <cell r="AB158">
            <v>0</v>
          </cell>
          <cell r="AC158">
            <v>136.3378934126126</v>
          </cell>
          <cell r="AD158">
            <v>32.454014100834939</v>
          </cell>
          <cell r="AE158">
            <v>-103.88387931177766</v>
          </cell>
          <cell r="AF158">
            <v>34.08447335315315</v>
          </cell>
          <cell r="AG158">
            <v>9.038976358847244E-4</v>
          </cell>
          <cell r="AH158">
            <v>0</v>
          </cell>
          <cell r="AI158">
            <v>0</v>
          </cell>
          <cell r="AJ158">
            <v>170.42236676576576</v>
          </cell>
          <cell r="AK158">
            <v>32.454014100834939</v>
          </cell>
          <cell r="AL158">
            <v>-137.96835266493082</v>
          </cell>
          <cell r="AM158">
            <v>34.08447335315315</v>
          </cell>
          <cell r="AN158">
            <v>9.038976358847244E-4</v>
          </cell>
          <cell r="AO158">
            <v>0</v>
          </cell>
          <cell r="AP158" t="e">
            <v>#DIV/0!</v>
          </cell>
          <cell r="AQ158">
            <v>204.50684011891892</v>
          </cell>
          <cell r="AR158">
            <v>32.454014100834939</v>
          </cell>
          <cell r="AS158">
            <v>-172.05282601808398</v>
          </cell>
          <cell r="AT158">
            <v>34.08447335315315</v>
          </cell>
          <cell r="AU158">
            <v>9.038976358847244E-4</v>
          </cell>
          <cell r="AV158">
            <v>0</v>
          </cell>
          <cell r="AW158" t="e">
            <v>#DIV/0!</v>
          </cell>
          <cell r="AX158">
            <v>238.59131347207207</v>
          </cell>
          <cell r="AY158">
            <v>32.454014100834939</v>
          </cell>
          <cell r="AZ158">
            <v>-206.13729937123713</v>
          </cell>
          <cell r="BA158">
            <v>34.08447335315315</v>
          </cell>
          <cell r="BB158">
            <v>9.038976358847244E-4</v>
          </cell>
          <cell r="BC158">
            <v>0</v>
          </cell>
          <cell r="BD158" t="e">
            <v>#DIV/0!</v>
          </cell>
          <cell r="BE158">
            <v>272.6757868252252</v>
          </cell>
          <cell r="BF158">
            <v>32.454014100834939</v>
          </cell>
          <cell r="BG158">
            <v>-240.22177272439026</v>
          </cell>
          <cell r="BH158">
            <v>34.08447335315315</v>
          </cell>
          <cell r="BI158">
            <v>9.038976358847244E-4</v>
          </cell>
          <cell r="BJ158">
            <v>0</v>
          </cell>
          <cell r="BK158" t="e">
            <v>#DIV/0!</v>
          </cell>
          <cell r="BL158">
            <v>306.76026017837836</v>
          </cell>
          <cell r="BM158">
            <v>32.454014100834939</v>
          </cell>
          <cell r="BN158">
            <v>-274.30624607754339</v>
          </cell>
          <cell r="BO158">
            <v>34.08447335315315</v>
          </cell>
          <cell r="BP158">
            <v>9.038976358847244E-4</v>
          </cell>
          <cell r="BQ158">
            <v>0</v>
          </cell>
          <cell r="BR158" t="e">
            <v>#DIV/0!</v>
          </cell>
          <cell r="BS158">
            <v>340.84473353153152</v>
          </cell>
          <cell r="BT158">
            <v>32.454014100834939</v>
          </cell>
          <cell r="BU158">
            <v>-308.39071943069655</v>
          </cell>
          <cell r="BV158">
            <v>34.08447335315315</v>
          </cell>
          <cell r="BW158">
            <v>9.038976358847244E-4</v>
          </cell>
          <cell r="BX158">
            <v>0</v>
          </cell>
          <cell r="BY158" t="e">
            <v>#DIV/0!</v>
          </cell>
          <cell r="BZ158">
            <v>374.92920688468467</v>
          </cell>
          <cell r="CA158">
            <v>32.454014100834939</v>
          </cell>
          <cell r="CB158">
            <v>-342.47519278384971</v>
          </cell>
          <cell r="CC158">
            <v>34.08447335315315</v>
          </cell>
          <cell r="CD158">
            <v>9.038976358847244E-4</v>
          </cell>
          <cell r="CE158">
            <v>0</v>
          </cell>
          <cell r="CF158" t="e">
            <v>#DIV/0!</v>
          </cell>
          <cell r="CG158">
            <v>409.01368023783783</v>
          </cell>
          <cell r="CH158">
            <v>32.454014100834939</v>
          </cell>
        </row>
        <row r="159">
          <cell r="A159" t="str">
            <v>Pauta - Gestão de Pauta</v>
          </cell>
          <cell r="B159">
            <v>9.8925114597453914E-5</v>
          </cell>
          <cell r="C159">
            <v>38.666444716726332</v>
          </cell>
          <cell r="D159">
            <v>65.073654878372224</v>
          </cell>
          <cell r="E159">
            <v>1.7257101846198158E-3</v>
          </cell>
          <cell r="F159">
            <v>30.613065277306443</v>
          </cell>
          <cell r="G159">
            <v>1.1774255709688945E-3</v>
          </cell>
          <cell r="H159">
            <v>65.073654878372224</v>
          </cell>
          <cell r="I159">
            <v>30.613065277306443</v>
          </cell>
          <cell r="J159">
            <v>-34.460589601065777</v>
          </cell>
          <cell r="K159">
            <v>65.073654878372224</v>
          </cell>
          <cell r="L159">
            <v>1.7257101846198158E-3</v>
          </cell>
          <cell r="M159">
            <v>28.095692589922002</v>
          </cell>
          <cell r="N159">
            <v>1.8730461726614668E-2</v>
          </cell>
          <cell r="O159">
            <v>130.14730975674445</v>
          </cell>
          <cell r="P159">
            <v>58.708757867228442</v>
          </cell>
          <cell r="Q159">
            <v>-71.438551889516006</v>
          </cell>
          <cell r="R159">
            <v>65.073654878372224</v>
          </cell>
          <cell r="S159">
            <v>1.7257101846198158E-3</v>
          </cell>
          <cell r="T159">
            <v>14.638741352343665</v>
          </cell>
          <cell r="U159">
            <v>2.1275757343204234E-5</v>
          </cell>
          <cell r="V159">
            <v>195.22096463511667</v>
          </cell>
          <cell r="W159">
            <v>73.347499219572114</v>
          </cell>
          <cell r="X159">
            <v>-121.87346541554456</v>
          </cell>
          <cell r="Y159">
            <v>65.073654878372224</v>
          </cell>
          <cell r="Z159">
            <v>1.7257101846198158E-3</v>
          </cell>
          <cell r="AA159">
            <v>0</v>
          </cell>
          <cell r="AB159">
            <v>0</v>
          </cell>
          <cell r="AC159">
            <v>260.2946195134889</v>
          </cell>
          <cell r="AD159">
            <v>73.347499219572114</v>
          </cell>
          <cell r="AE159">
            <v>-186.94712029391678</v>
          </cell>
          <cell r="AF159">
            <v>65.073654878372224</v>
          </cell>
          <cell r="AG159">
            <v>1.7257101846198158E-3</v>
          </cell>
          <cell r="AH159">
            <v>0</v>
          </cell>
          <cell r="AI159">
            <v>0</v>
          </cell>
          <cell r="AJ159">
            <v>325.36827439186112</v>
          </cell>
          <cell r="AK159">
            <v>73.347499219572114</v>
          </cell>
          <cell r="AL159">
            <v>-252.02077517228901</v>
          </cell>
          <cell r="AM159">
            <v>65.073654878372224</v>
          </cell>
          <cell r="AN159">
            <v>1.7257101846198158E-3</v>
          </cell>
          <cell r="AO159">
            <v>0</v>
          </cell>
          <cell r="AP159" t="e">
            <v>#DIV/0!</v>
          </cell>
          <cell r="AQ159">
            <v>390.44192927023335</v>
          </cell>
          <cell r="AR159">
            <v>73.347499219572114</v>
          </cell>
          <cell r="AS159">
            <v>-317.09443005066123</v>
          </cell>
          <cell r="AT159">
            <v>65.073654878372224</v>
          </cell>
          <cell r="AU159">
            <v>1.7257101846198158E-3</v>
          </cell>
          <cell r="AV159">
            <v>0</v>
          </cell>
          <cell r="AW159" t="e">
            <v>#DIV/0!</v>
          </cell>
          <cell r="AX159">
            <v>455.51558414860557</v>
          </cell>
          <cell r="AY159">
            <v>73.347499219572114</v>
          </cell>
          <cell r="AZ159">
            <v>-382.16808492903345</v>
          </cell>
          <cell r="BA159">
            <v>65.073654878372224</v>
          </cell>
          <cell r="BB159">
            <v>1.7257101846198158E-3</v>
          </cell>
          <cell r="BC159">
            <v>0</v>
          </cell>
          <cell r="BD159" t="e">
            <v>#DIV/0!</v>
          </cell>
          <cell r="BE159">
            <v>520.58923902697779</v>
          </cell>
          <cell r="BF159">
            <v>73.347499219572114</v>
          </cell>
          <cell r="BG159">
            <v>-447.24173980740568</v>
          </cell>
          <cell r="BH159">
            <v>65.073654878372224</v>
          </cell>
          <cell r="BI159">
            <v>1.7257101846198158E-3</v>
          </cell>
          <cell r="BJ159">
            <v>0</v>
          </cell>
          <cell r="BK159" t="e">
            <v>#DIV/0!</v>
          </cell>
          <cell r="BL159">
            <v>585.66289390535007</v>
          </cell>
          <cell r="BM159">
            <v>73.347499219572114</v>
          </cell>
          <cell r="BN159">
            <v>-512.31539468577796</v>
          </cell>
          <cell r="BO159">
            <v>65.073654878372224</v>
          </cell>
          <cell r="BP159">
            <v>1.7257101846198158E-3</v>
          </cell>
          <cell r="BQ159">
            <v>0</v>
          </cell>
          <cell r="BR159" t="e">
            <v>#DIV/0!</v>
          </cell>
          <cell r="BS159">
            <v>650.73654878372236</v>
          </cell>
          <cell r="BT159">
            <v>73.347499219572114</v>
          </cell>
          <cell r="BU159">
            <v>-577.38904956415024</v>
          </cell>
          <cell r="BV159">
            <v>65.073654878372224</v>
          </cell>
          <cell r="BW159">
            <v>1.7257101846198158E-3</v>
          </cell>
          <cell r="BX159">
            <v>0</v>
          </cell>
          <cell r="BY159" t="e">
            <v>#DIV/0!</v>
          </cell>
          <cell r="BZ159">
            <v>715.81020366209464</v>
          </cell>
          <cell r="CA159">
            <v>73.347499219572114</v>
          </cell>
          <cell r="CB159">
            <v>-642.46270444252252</v>
          </cell>
          <cell r="CC159">
            <v>65.073654878372224</v>
          </cell>
          <cell r="CD159">
            <v>1.7257101846198158E-3</v>
          </cell>
          <cell r="CE159">
            <v>0</v>
          </cell>
          <cell r="CF159" t="e">
            <v>#DIV/0!</v>
          </cell>
          <cell r="CG159">
            <v>780.88385854046692</v>
          </cell>
          <cell r="CH159">
            <v>73.347499219572114</v>
          </cell>
        </row>
        <row r="160">
          <cell r="A160" t="str">
            <v>Seguro de Vida</v>
          </cell>
          <cell r="B160">
            <v>1.3007243888529083E-4</v>
          </cell>
          <cell r="C160">
            <v>50.840868749999991</v>
          </cell>
          <cell r="D160">
            <v>0</v>
          </cell>
          <cell r="E160">
            <v>0</v>
          </cell>
          <cell r="F160">
            <v>57.549984000000002</v>
          </cell>
          <cell r="G160">
            <v>2.2134608918330714E-3</v>
          </cell>
          <cell r="H160">
            <v>0</v>
          </cell>
          <cell r="I160">
            <v>57.549984000000002</v>
          </cell>
          <cell r="J160">
            <v>57.549984000000002</v>
          </cell>
          <cell r="K160">
            <v>0</v>
          </cell>
          <cell r="L160">
            <v>0</v>
          </cell>
          <cell r="M160">
            <v>57.549993000000001</v>
          </cell>
          <cell r="N160">
            <v>3.8366662000000003E-2</v>
          </cell>
          <cell r="O160">
            <v>0</v>
          </cell>
          <cell r="P160">
            <v>115.099977</v>
          </cell>
          <cell r="Q160">
            <v>115.099977</v>
          </cell>
          <cell r="R160">
            <v>0</v>
          </cell>
          <cell r="S160">
            <v>0</v>
          </cell>
          <cell r="T160">
            <v>46.039991999999998</v>
          </cell>
          <cell r="U160">
            <v>6.6913928888991564E-5</v>
          </cell>
          <cell r="V160">
            <v>0</v>
          </cell>
          <cell r="W160">
            <v>161.13996900000001</v>
          </cell>
          <cell r="X160">
            <v>161.13996900000001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161.13996900000001</v>
          </cell>
          <cell r="AE160">
            <v>161.13996900000001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161.13996900000001</v>
          </cell>
          <cell r="AL160">
            <v>161.13996900000001</v>
          </cell>
          <cell r="AM160">
            <v>0</v>
          </cell>
          <cell r="AN160">
            <v>0</v>
          </cell>
          <cell r="AO160">
            <v>0</v>
          </cell>
          <cell r="AP160" t="e">
            <v>#DIV/0!</v>
          </cell>
          <cell r="AQ160">
            <v>0</v>
          </cell>
          <cell r="AR160">
            <v>161.13996900000001</v>
          </cell>
          <cell r="AS160">
            <v>161.13996900000001</v>
          </cell>
          <cell r="AT160">
            <v>0</v>
          </cell>
          <cell r="AU160">
            <v>0</v>
          </cell>
          <cell r="AV160">
            <v>0</v>
          </cell>
          <cell r="AW160" t="e">
            <v>#DIV/0!</v>
          </cell>
          <cell r="AX160">
            <v>0</v>
          </cell>
          <cell r="AY160">
            <v>161.13996900000001</v>
          </cell>
          <cell r="AZ160">
            <v>161.13996900000001</v>
          </cell>
          <cell r="BA160">
            <v>0</v>
          </cell>
          <cell r="BB160">
            <v>0</v>
          </cell>
          <cell r="BC160">
            <v>0</v>
          </cell>
          <cell r="BD160" t="e">
            <v>#DIV/0!</v>
          </cell>
          <cell r="BE160">
            <v>0</v>
          </cell>
          <cell r="BF160">
            <v>161.13996900000001</v>
          </cell>
          <cell r="BG160">
            <v>161.13996900000001</v>
          </cell>
          <cell r="BH160">
            <v>0</v>
          </cell>
          <cell r="BI160">
            <v>0</v>
          </cell>
          <cell r="BJ160">
            <v>0</v>
          </cell>
          <cell r="BK160" t="e">
            <v>#DIV/0!</v>
          </cell>
          <cell r="BL160">
            <v>0</v>
          </cell>
          <cell r="BM160">
            <v>161.13996900000001</v>
          </cell>
          <cell r="BN160">
            <v>161.13996900000001</v>
          </cell>
          <cell r="BO160">
            <v>0</v>
          </cell>
          <cell r="BP160">
            <v>0</v>
          </cell>
          <cell r="BQ160">
            <v>0</v>
          </cell>
          <cell r="BR160" t="e">
            <v>#DIV/0!</v>
          </cell>
          <cell r="BS160">
            <v>0</v>
          </cell>
          <cell r="BT160">
            <v>161.13996900000001</v>
          </cell>
          <cell r="BU160">
            <v>161.13996900000001</v>
          </cell>
          <cell r="BV160">
            <v>0</v>
          </cell>
          <cell r="BW160">
            <v>0</v>
          </cell>
          <cell r="BX160">
            <v>0</v>
          </cell>
          <cell r="BY160" t="e">
            <v>#DIV/0!</v>
          </cell>
          <cell r="BZ160">
            <v>0</v>
          </cell>
          <cell r="CA160">
            <v>161.13996900000001</v>
          </cell>
          <cell r="CB160">
            <v>161.13996900000001</v>
          </cell>
          <cell r="CC160">
            <v>0</v>
          </cell>
          <cell r="CD160">
            <v>0</v>
          </cell>
          <cell r="CE160">
            <v>0</v>
          </cell>
          <cell r="CF160" t="e">
            <v>#DIV/0!</v>
          </cell>
          <cell r="CG160">
            <v>0</v>
          </cell>
          <cell r="CH160">
            <v>161.13996900000001</v>
          </cell>
        </row>
        <row r="161">
          <cell r="A161" t="str">
            <v>Plano de Saúde</v>
          </cell>
          <cell r="B161">
            <v>5.0545707649505937E-3</v>
          </cell>
          <cell r="C161">
            <v>1975.6588793961675</v>
          </cell>
          <cell r="D161">
            <v>3599.089692</v>
          </cell>
          <cell r="E161">
            <v>9.544547249502762E-2</v>
          </cell>
          <cell r="F161">
            <v>1685.500783</v>
          </cell>
          <cell r="G161">
            <v>6.4826952277250327E-2</v>
          </cell>
          <cell r="H161">
            <v>3599.089692</v>
          </cell>
          <cell r="I161">
            <v>1685.500783</v>
          </cell>
          <cell r="J161">
            <v>-1913.5889090000001</v>
          </cell>
          <cell r="K161">
            <v>3599.089692</v>
          </cell>
          <cell r="L161">
            <v>9.544547249502762E-2</v>
          </cell>
          <cell r="M161">
            <v>1679.609935</v>
          </cell>
          <cell r="N161">
            <v>1.1197399566666666</v>
          </cell>
          <cell r="O161">
            <v>7198.179384</v>
          </cell>
          <cell r="P161">
            <v>3365.1107179999999</v>
          </cell>
          <cell r="Q161">
            <v>-3833.0686660000001</v>
          </cell>
          <cell r="R161">
            <v>3599.089692</v>
          </cell>
          <cell r="S161">
            <v>9.544547249502762E-2</v>
          </cell>
          <cell r="T161">
            <v>1788.7191049999999</v>
          </cell>
          <cell r="U161">
            <v>2.5997012118149508E-3</v>
          </cell>
          <cell r="V161">
            <v>10797.269076</v>
          </cell>
          <cell r="W161">
            <v>5153.829823</v>
          </cell>
          <cell r="X161">
            <v>-5643.4392530000005</v>
          </cell>
          <cell r="Y161">
            <v>3599.089692</v>
          </cell>
          <cell r="Z161">
            <v>9.544547249502762E-2</v>
          </cell>
          <cell r="AA161">
            <v>0</v>
          </cell>
          <cell r="AB161">
            <v>0</v>
          </cell>
          <cell r="AC161">
            <v>14396.358768</v>
          </cell>
          <cell r="AD161">
            <v>5153.829823</v>
          </cell>
          <cell r="AE161">
            <v>-9242.528945</v>
          </cell>
          <cell r="AF161">
            <v>3599.089692</v>
          </cell>
          <cell r="AG161">
            <v>9.544547249502762E-2</v>
          </cell>
          <cell r="AH161">
            <v>0</v>
          </cell>
          <cell r="AI161">
            <v>0</v>
          </cell>
          <cell r="AJ161">
            <v>17995.44846</v>
          </cell>
          <cell r="AK161">
            <v>5153.829823</v>
          </cell>
          <cell r="AL161">
            <v>-12841.618637</v>
          </cell>
          <cell r="AM161">
            <v>3599.089692</v>
          </cell>
          <cell r="AN161">
            <v>9.544547249502762E-2</v>
          </cell>
          <cell r="AO161">
            <v>0</v>
          </cell>
          <cell r="AP161" t="e">
            <v>#DIV/0!</v>
          </cell>
          <cell r="AQ161">
            <v>21594.538152000001</v>
          </cell>
          <cell r="AR161">
            <v>5153.829823</v>
          </cell>
          <cell r="AS161">
            <v>-16440.708329000001</v>
          </cell>
          <cell r="AT161">
            <v>3599.089692</v>
          </cell>
          <cell r="AU161">
            <v>9.544547249502762E-2</v>
          </cell>
          <cell r="AV161">
            <v>0</v>
          </cell>
          <cell r="AW161" t="e">
            <v>#DIV/0!</v>
          </cell>
          <cell r="AX161">
            <v>25193.627844000002</v>
          </cell>
          <cell r="AY161">
            <v>5153.829823</v>
          </cell>
          <cell r="AZ161">
            <v>-20039.798021000002</v>
          </cell>
          <cell r="BA161">
            <v>3599.089692</v>
          </cell>
          <cell r="BB161">
            <v>9.544547249502762E-2</v>
          </cell>
          <cell r="BC161">
            <v>0</v>
          </cell>
          <cell r="BD161" t="e">
            <v>#DIV/0!</v>
          </cell>
          <cell r="BE161">
            <v>28792.717536000004</v>
          </cell>
          <cell r="BF161">
            <v>5153.829823</v>
          </cell>
          <cell r="BG161">
            <v>-23638.887713000004</v>
          </cell>
          <cell r="BH161">
            <v>3599.089692</v>
          </cell>
          <cell r="BI161">
            <v>9.544547249502762E-2</v>
          </cell>
          <cell r="BJ161">
            <v>0</v>
          </cell>
          <cell r="BK161" t="e">
            <v>#DIV/0!</v>
          </cell>
          <cell r="BL161">
            <v>32391.807228000005</v>
          </cell>
          <cell r="BM161">
            <v>5153.829823</v>
          </cell>
          <cell r="BN161">
            <v>-27237.977405000005</v>
          </cell>
          <cell r="BO161">
            <v>4138.9531458000001</v>
          </cell>
          <cell r="BP161">
            <v>0.10976229336928177</v>
          </cell>
          <cell r="BQ161">
            <v>0</v>
          </cell>
          <cell r="BR161" t="e">
            <v>#DIV/0!</v>
          </cell>
          <cell r="BS161">
            <v>36530.760373800003</v>
          </cell>
          <cell r="BT161">
            <v>5153.829823</v>
          </cell>
          <cell r="BU161">
            <v>-31376.930550800003</v>
          </cell>
          <cell r="BV161">
            <v>4138.9531458000001</v>
          </cell>
          <cell r="BW161">
            <v>0.10976229336928177</v>
          </cell>
          <cell r="BX161">
            <v>0</v>
          </cell>
          <cell r="BY161" t="e">
            <v>#DIV/0!</v>
          </cell>
          <cell r="BZ161">
            <v>40669.713519600002</v>
          </cell>
          <cell r="CA161">
            <v>5153.829823</v>
          </cell>
          <cell r="CB161">
            <v>-35515.883696600002</v>
          </cell>
          <cell r="CC161">
            <v>4138.9531458000001</v>
          </cell>
          <cell r="CD161">
            <v>0.10976229336928177</v>
          </cell>
          <cell r="CE161">
            <v>0</v>
          </cell>
          <cell r="CF161" t="e">
            <v>#DIV/0!</v>
          </cell>
          <cell r="CG161">
            <v>44808.6666654</v>
          </cell>
          <cell r="CH161">
            <v>5153.829823</v>
          </cell>
        </row>
        <row r="162">
          <cell r="A162" t="str">
            <v>Plano Odontológico</v>
          </cell>
          <cell r="B162">
            <v>1.4434194921731936E-4</v>
          </cell>
          <cell r="C162">
            <v>56.418332416666665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24.080010000000001</v>
          </cell>
          <cell r="U162">
            <v>3.4997575081815953E-5</v>
          </cell>
          <cell r="V162">
            <v>0</v>
          </cell>
          <cell r="W162">
            <v>24.080010000000001</v>
          </cell>
          <cell r="X162">
            <v>24.080010000000001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24.080010000000001</v>
          </cell>
          <cell r="AE162">
            <v>24.080010000000001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24.080010000000001</v>
          </cell>
          <cell r="AL162">
            <v>24.080010000000001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24.080010000000001</v>
          </cell>
          <cell r="AS162">
            <v>24.080010000000001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24.080010000000001</v>
          </cell>
          <cell r="AZ162">
            <v>24.080010000000001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24.080010000000001</v>
          </cell>
          <cell r="BG162">
            <v>24.080010000000001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24.080010000000001</v>
          </cell>
          <cell r="BN162">
            <v>24.080010000000001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24.080010000000001</v>
          </cell>
          <cell r="BU162">
            <v>24.080010000000001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24.080010000000001</v>
          </cell>
          <cell r="CB162">
            <v>24.080010000000001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24.080010000000001</v>
          </cell>
        </row>
        <row r="163">
          <cell r="A163" t="str">
            <v>Saneamento Gestão</v>
          </cell>
          <cell r="B163">
            <v>1.1973670958344668E-3</v>
          </cell>
          <cell r="C163">
            <v>468.00985578946364</v>
          </cell>
          <cell r="D163">
            <v>6336.83</v>
          </cell>
          <cell r="E163">
            <v>0.16804853038674031</v>
          </cell>
          <cell r="F163">
            <v>5797.2353390049329</v>
          </cell>
          <cell r="G163">
            <v>0.22297058681441259</v>
          </cell>
          <cell r="H163">
            <v>6336.83</v>
          </cell>
          <cell r="I163">
            <v>5797.2353390049329</v>
          </cell>
          <cell r="J163">
            <v>-539.59466099506699</v>
          </cell>
          <cell r="K163">
            <v>3336.83</v>
          </cell>
          <cell r="L163">
            <v>8.8490519337016571E-2</v>
          </cell>
          <cell r="M163">
            <v>0</v>
          </cell>
          <cell r="N163">
            <v>0</v>
          </cell>
          <cell r="O163">
            <v>9673.66</v>
          </cell>
          <cell r="P163">
            <v>5797.2353390049329</v>
          </cell>
          <cell r="Q163">
            <v>-3876.4246609950669</v>
          </cell>
          <cell r="R163">
            <v>3336.83</v>
          </cell>
          <cell r="S163">
            <v>8.8490519337016571E-2</v>
          </cell>
          <cell r="T163">
            <v>-1.233167213547163E-5</v>
          </cell>
          <cell r="U163">
            <v>-1.7922692783163548E-11</v>
          </cell>
          <cell r="V163">
            <v>13010.49</v>
          </cell>
          <cell r="W163">
            <v>5797.2353266732607</v>
          </cell>
          <cell r="X163">
            <v>-7213.2546733267391</v>
          </cell>
          <cell r="Y163">
            <v>3336.83</v>
          </cell>
          <cell r="Z163">
            <v>8.8490519337016571E-2</v>
          </cell>
          <cell r="AA163">
            <v>0</v>
          </cell>
          <cell r="AB163">
            <v>0</v>
          </cell>
          <cell r="AC163">
            <v>16347.32</v>
          </cell>
          <cell r="AD163">
            <v>5797.2353266732607</v>
          </cell>
          <cell r="AE163">
            <v>-10550.084673326739</v>
          </cell>
          <cell r="AF163">
            <v>3336.83</v>
          </cell>
          <cell r="AG163">
            <v>8.8490519337016571E-2</v>
          </cell>
          <cell r="AH163">
            <v>0</v>
          </cell>
          <cell r="AI163">
            <v>0</v>
          </cell>
          <cell r="AJ163">
            <v>19684.150000000001</v>
          </cell>
          <cell r="AK163">
            <v>5797.2353266732607</v>
          </cell>
          <cell r="AL163">
            <v>-13886.914673326741</v>
          </cell>
          <cell r="AM163">
            <v>3336.83</v>
          </cell>
          <cell r="AN163">
            <v>8.8490519337016571E-2</v>
          </cell>
          <cell r="AO163">
            <v>0</v>
          </cell>
          <cell r="AP163" t="e">
            <v>#DIV/0!</v>
          </cell>
          <cell r="AQ163">
            <v>23020.980000000003</v>
          </cell>
          <cell r="AR163">
            <v>5797.2353266732607</v>
          </cell>
          <cell r="AS163">
            <v>-17223.744673326742</v>
          </cell>
          <cell r="AT163">
            <v>3336.83</v>
          </cell>
          <cell r="AU163">
            <v>8.8490519337016571E-2</v>
          </cell>
          <cell r="AV163">
            <v>0</v>
          </cell>
          <cell r="AW163" t="e">
            <v>#DIV/0!</v>
          </cell>
          <cell r="AX163">
            <v>26357.810000000005</v>
          </cell>
          <cell r="AY163">
            <v>5797.2353266732607</v>
          </cell>
          <cell r="AZ163">
            <v>-20560.574673326744</v>
          </cell>
          <cell r="BA163">
            <v>3336.83</v>
          </cell>
          <cell r="BB163">
            <v>8.8490519337016571E-2</v>
          </cell>
          <cell r="BC163">
            <v>0</v>
          </cell>
          <cell r="BD163" t="e">
            <v>#DIV/0!</v>
          </cell>
          <cell r="BE163">
            <v>29694.640000000007</v>
          </cell>
          <cell r="BF163">
            <v>5797.2353266732607</v>
          </cell>
          <cell r="BG163">
            <v>-23897.404673326746</v>
          </cell>
          <cell r="BH163">
            <v>3336.83</v>
          </cell>
          <cell r="BI163">
            <v>8.8490519337016571E-2</v>
          </cell>
          <cell r="BJ163">
            <v>0</v>
          </cell>
          <cell r="BK163" t="e">
            <v>#DIV/0!</v>
          </cell>
          <cell r="BL163">
            <v>33031.470000000008</v>
          </cell>
          <cell r="BM163">
            <v>5797.2353266732607</v>
          </cell>
          <cell r="BN163">
            <v>-27234.234673326748</v>
          </cell>
          <cell r="BO163">
            <v>3336.83</v>
          </cell>
          <cell r="BP163">
            <v>8.8490519337016571E-2</v>
          </cell>
          <cell r="BQ163">
            <v>0</v>
          </cell>
          <cell r="BR163" t="e">
            <v>#DIV/0!</v>
          </cell>
          <cell r="BS163">
            <v>36368.30000000001</v>
          </cell>
          <cell r="BT163">
            <v>5797.2353266732607</v>
          </cell>
          <cell r="BU163">
            <v>-30571.064673326749</v>
          </cell>
          <cell r="BV163">
            <v>3336.83</v>
          </cell>
          <cell r="BW163">
            <v>8.8490519337016571E-2</v>
          </cell>
          <cell r="BX163">
            <v>0</v>
          </cell>
          <cell r="BY163" t="e">
            <v>#DIV/0!</v>
          </cell>
          <cell r="BZ163">
            <v>39705.130000000012</v>
          </cell>
          <cell r="CA163">
            <v>5797.2353266732607</v>
          </cell>
          <cell r="CB163">
            <v>-33907.894673326751</v>
          </cell>
          <cell r="CC163">
            <v>3336.83</v>
          </cell>
          <cell r="CD163">
            <v>8.8490519337016571E-2</v>
          </cell>
          <cell r="CE163">
            <v>0</v>
          </cell>
          <cell r="CF163" t="e">
            <v>#DIV/0!</v>
          </cell>
          <cell r="CG163">
            <v>43041.960000000014</v>
          </cell>
          <cell r="CH163">
            <v>5797.2353266732607</v>
          </cell>
        </row>
        <row r="164">
          <cell r="A164" t="str">
            <v>Remuneração</v>
          </cell>
          <cell r="B164">
            <v>4.3121818078876474E-2</v>
          </cell>
          <cell r="C164">
            <v>16854.844208333332</v>
          </cell>
          <cell r="D164">
            <v>16158.940999999999</v>
          </cell>
          <cell r="E164">
            <v>0.4285244022099447</v>
          </cell>
          <cell r="F164">
            <v>27013.191240280994</v>
          </cell>
          <cell r="G164">
            <v>1.0389688791915159</v>
          </cell>
          <cell r="H164">
            <v>16158.940999999999</v>
          </cell>
          <cell r="I164">
            <v>27013.191240280994</v>
          </cell>
          <cell r="J164">
            <v>10854.250240280995</v>
          </cell>
          <cell r="K164">
            <v>16158.940999999999</v>
          </cell>
          <cell r="L164">
            <v>0.4285244022099447</v>
          </cell>
          <cell r="M164">
            <v>16766.310990280992</v>
          </cell>
          <cell r="N164">
            <v>11.177540660187328</v>
          </cell>
          <cell r="O164">
            <v>32317.881999999998</v>
          </cell>
          <cell r="P164">
            <v>43779.502230561986</v>
          </cell>
          <cell r="Q164">
            <v>11461.620230561988</v>
          </cell>
          <cell r="R164">
            <v>16158.940999999999</v>
          </cell>
          <cell r="S164">
            <v>0.4285244022099447</v>
          </cell>
          <cell r="T164">
            <v>18278.161240280988</v>
          </cell>
          <cell r="U164">
            <v>2.6565243135873783E-2</v>
          </cell>
          <cell r="V164">
            <v>48476.822999999997</v>
          </cell>
          <cell r="W164">
            <v>62057.663470842977</v>
          </cell>
          <cell r="X164">
            <v>13580.840470842981</v>
          </cell>
          <cell r="Y164">
            <v>16158.940999999999</v>
          </cell>
          <cell r="Z164">
            <v>0.4285244022099447</v>
          </cell>
          <cell r="AA164">
            <v>0</v>
          </cell>
          <cell r="AB164">
            <v>0</v>
          </cell>
          <cell r="AC164">
            <v>64635.763999999996</v>
          </cell>
          <cell r="AD164">
            <v>62057.663470842977</v>
          </cell>
          <cell r="AE164">
            <v>-2578.1005291570182</v>
          </cell>
          <cell r="AF164">
            <v>16158.940999999999</v>
          </cell>
          <cell r="AG164">
            <v>0.4285244022099447</v>
          </cell>
          <cell r="AH164">
            <v>0</v>
          </cell>
          <cell r="AI164">
            <v>0</v>
          </cell>
          <cell r="AJ164">
            <v>80794.704999999987</v>
          </cell>
          <cell r="AK164">
            <v>62057.663470842977</v>
          </cell>
          <cell r="AL164">
            <v>-18737.04152915701</v>
          </cell>
          <cell r="AM164">
            <v>16158.940999999999</v>
          </cell>
          <cell r="AN164">
            <v>0.4285244022099447</v>
          </cell>
          <cell r="AO164">
            <v>0</v>
          </cell>
          <cell r="AP164" t="e">
            <v>#DIV/0!</v>
          </cell>
          <cell r="AQ164">
            <v>96953.645999999979</v>
          </cell>
          <cell r="AR164">
            <v>62057.663470842977</v>
          </cell>
          <cell r="AS164">
            <v>-34895.982529157001</v>
          </cell>
          <cell r="AT164">
            <v>16158.940999999999</v>
          </cell>
          <cell r="AU164">
            <v>0.4285244022099447</v>
          </cell>
          <cell r="AV164">
            <v>0</v>
          </cell>
          <cell r="AW164" t="e">
            <v>#DIV/0!</v>
          </cell>
          <cell r="AX164">
            <v>113112.58699999997</v>
          </cell>
          <cell r="AY164">
            <v>62057.663470842977</v>
          </cell>
          <cell r="AZ164">
            <v>-51054.923529156993</v>
          </cell>
          <cell r="BA164">
            <v>16158.940999999999</v>
          </cell>
          <cell r="BB164">
            <v>0.4285244022099447</v>
          </cell>
          <cell r="BC164">
            <v>0</v>
          </cell>
          <cell r="BD164" t="e">
            <v>#DIV/0!</v>
          </cell>
          <cell r="BE164">
            <v>129271.52799999996</v>
          </cell>
          <cell r="BF164">
            <v>62057.663470842977</v>
          </cell>
          <cell r="BG164">
            <v>-67213.864529156985</v>
          </cell>
          <cell r="BH164">
            <v>16158.940999999999</v>
          </cell>
          <cell r="BI164">
            <v>0.4285244022099447</v>
          </cell>
          <cell r="BJ164">
            <v>0</v>
          </cell>
          <cell r="BK164" t="e">
            <v>#DIV/0!</v>
          </cell>
          <cell r="BL164">
            <v>145430.46899999995</v>
          </cell>
          <cell r="BM164">
            <v>62057.663470842977</v>
          </cell>
          <cell r="BN164">
            <v>-83372.805529156976</v>
          </cell>
          <cell r="BO164">
            <v>16158.940999999999</v>
          </cell>
          <cell r="BP164">
            <v>0.4285244022099447</v>
          </cell>
          <cell r="BQ164">
            <v>0</v>
          </cell>
          <cell r="BR164" t="e">
            <v>#DIV/0!</v>
          </cell>
          <cell r="BS164">
            <v>161589.40999999995</v>
          </cell>
          <cell r="BT164">
            <v>62057.663470842977</v>
          </cell>
          <cell r="BU164">
            <v>-99531.746529156968</v>
          </cell>
          <cell r="BV164">
            <v>16158.940999999999</v>
          </cell>
          <cell r="BW164">
            <v>0.4285244022099447</v>
          </cell>
          <cell r="BX164">
            <v>0</v>
          </cell>
          <cell r="BY164" t="e">
            <v>#DIV/0!</v>
          </cell>
          <cell r="BZ164">
            <v>177748.35099999994</v>
          </cell>
          <cell r="CA164">
            <v>62057.663470842977</v>
          </cell>
          <cell r="CB164">
            <v>-115690.68752915696</v>
          </cell>
          <cell r="CC164">
            <v>16158.940999999999</v>
          </cell>
          <cell r="CD164">
            <v>0.4285244022099447</v>
          </cell>
          <cell r="CE164">
            <v>0</v>
          </cell>
          <cell r="CF164" t="e">
            <v>#DIV/0!</v>
          </cell>
          <cell r="CG164">
            <v>193907.29199999993</v>
          </cell>
          <cell r="CH164">
            <v>62057.663470842977</v>
          </cell>
        </row>
        <row r="165">
          <cell r="A165" t="str">
            <v>Pesquisas/Consultas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</row>
        <row r="166">
          <cell r="A166" t="str">
            <v>Sistemas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 t="e">
            <v>#DIV/0!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 t="e">
            <v>#DIV/0!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 t="e">
            <v>#DIV/0!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 t="e">
            <v>#DIV/0!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 t="e">
            <v>#DIV/0!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 t="e">
            <v>#DIV/0!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 t="e">
            <v>#DIV/0!</v>
          </cell>
          <cell r="CG166">
            <v>0</v>
          </cell>
          <cell r="CH166">
            <v>0</v>
          </cell>
        </row>
        <row r="167">
          <cell r="A167" t="str">
            <v>Indenização por Ruptura de Contrato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 t="e">
            <v>#DIV/0!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 t="e">
            <v>#DIV/0!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 t="e">
            <v>#DIV/0!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 t="e">
            <v>#DIV/0!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 t="e">
            <v>#DIV/0!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 t="e">
            <v>#DIV/0!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 t="e">
            <v>#DIV/0!</v>
          </cell>
          <cell r="CG167">
            <v>0</v>
          </cell>
          <cell r="CH167">
            <v>0</v>
          </cell>
        </row>
        <row r="168">
          <cell r="A168" t="str">
            <v>Vale Alimentação / Refeição</v>
          </cell>
          <cell r="B168">
            <v>0</v>
          </cell>
          <cell r="C168">
            <v>0</v>
          </cell>
          <cell r="D168">
            <v>573.61</v>
          </cell>
          <cell r="E168">
            <v>1.5211756906077347E-2</v>
          </cell>
          <cell r="F168">
            <v>513.23</v>
          </cell>
          <cell r="G168">
            <v>1.9739615105983127E-2</v>
          </cell>
          <cell r="H168">
            <v>573.61</v>
          </cell>
          <cell r="I168">
            <v>513.23</v>
          </cell>
          <cell r="J168">
            <v>-60.379999999999995</v>
          </cell>
          <cell r="K168">
            <v>573.61</v>
          </cell>
          <cell r="L168">
            <v>1.5211756906077347E-2</v>
          </cell>
          <cell r="M168">
            <v>664.18</v>
          </cell>
          <cell r="N168">
            <v>0.44278666666666661</v>
          </cell>
          <cell r="O168">
            <v>1147.22</v>
          </cell>
          <cell r="P168">
            <v>1177.4099999999999</v>
          </cell>
          <cell r="Q168">
            <v>30.189999999999827</v>
          </cell>
          <cell r="R168">
            <v>573.61</v>
          </cell>
          <cell r="S168">
            <v>1.5211756906077347E-2</v>
          </cell>
          <cell r="T168">
            <v>252.31999999999994</v>
          </cell>
          <cell r="U168">
            <v>3.6671862447913435E-4</v>
          </cell>
          <cell r="V168">
            <v>1720.83</v>
          </cell>
          <cell r="W168">
            <v>1429.7299999999998</v>
          </cell>
          <cell r="X168">
            <v>-291.10000000000014</v>
          </cell>
          <cell r="Y168">
            <v>573.61</v>
          </cell>
          <cell r="Z168">
            <v>1.5211756906077347E-2</v>
          </cell>
          <cell r="AA168">
            <v>0</v>
          </cell>
          <cell r="AB168">
            <v>0</v>
          </cell>
          <cell r="AC168">
            <v>2294.44</v>
          </cell>
          <cell r="AD168">
            <v>1429.7299999999998</v>
          </cell>
          <cell r="AE168">
            <v>-864.71000000000026</v>
          </cell>
          <cell r="AF168">
            <v>573.61</v>
          </cell>
          <cell r="AG168">
            <v>1.5211756906077347E-2</v>
          </cell>
          <cell r="AH168">
            <v>0</v>
          </cell>
          <cell r="AI168">
            <v>0</v>
          </cell>
          <cell r="AJ168">
            <v>2868.05</v>
          </cell>
          <cell r="AK168">
            <v>1429.7299999999998</v>
          </cell>
          <cell r="AL168">
            <v>-1438.3200000000004</v>
          </cell>
          <cell r="AM168">
            <v>573.61</v>
          </cell>
          <cell r="AN168">
            <v>1.5211756906077347E-2</v>
          </cell>
          <cell r="AO168">
            <v>0</v>
          </cell>
          <cell r="AP168" t="e">
            <v>#DIV/0!</v>
          </cell>
          <cell r="AQ168">
            <v>3441.6600000000003</v>
          </cell>
          <cell r="AR168">
            <v>1429.7299999999998</v>
          </cell>
          <cell r="AS168">
            <v>-2011.9300000000005</v>
          </cell>
          <cell r="AT168">
            <v>573.61</v>
          </cell>
          <cell r="AU168">
            <v>1.5211756906077347E-2</v>
          </cell>
          <cell r="AV168">
            <v>0</v>
          </cell>
          <cell r="AW168" t="e">
            <v>#DIV/0!</v>
          </cell>
          <cell r="AX168">
            <v>4015.2700000000004</v>
          </cell>
          <cell r="AY168">
            <v>1429.7299999999998</v>
          </cell>
          <cell r="AZ168">
            <v>-2585.5400000000009</v>
          </cell>
          <cell r="BA168">
            <v>573.61</v>
          </cell>
          <cell r="BB168">
            <v>1.5211756906077347E-2</v>
          </cell>
          <cell r="BC168">
            <v>0</v>
          </cell>
          <cell r="BD168" t="e">
            <v>#DIV/0!</v>
          </cell>
          <cell r="BE168">
            <v>4588.88</v>
          </cell>
          <cell r="BF168">
            <v>1429.7299999999998</v>
          </cell>
          <cell r="BG168">
            <v>-3159.1500000000005</v>
          </cell>
          <cell r="BH168">
            <v>573.61</v>
          </cell>
          <cell r="BI168">
            <v>1.5211756906077347E-2</v>
          </cell>
          <cell r="BJ168">
            <v>0</v>
          </cell>
          <cell r="BK168" t="e">
            <v>#DIV/0!</v>
          </cell>
          <cell r="BL168">
            <v>5162.49</v>
          </cell>
          <cell r="BM168">
            <v>1429.7299999999998</v>
          </cell>
          <cell r="BN168">
            <v>-3732.76</v>
          </cell>
          <cell r="BO168">
            <v>573.61</v>
          </cell>
          <cell r="BP168">
            <v>1.5211756906077347E-2</v>
          </cell>
          <cell r="BQ168">
            <v>0</v>
          </cell>
          <cell r="BR168" t="e">
            <v>#DIV/0!</v>
          </cell>
          <cell r="BS168">
            <v>5736.0999999999995</v>
          </cell>
          <cell r="BT168">
            <v>1429.7299999999998</v>
          </cell>
          <cell r="BU168">
            <v>-4306.37</v>
          </cell>
          <cell r="BV168">
            <v>573.61</v>
          </cell>
          <cell r="BW168">
            <v>1.5211756906077347E-2</v>
          </cell>
          <cell r="BX168">
            <v>0</v>
          </cell>
          <cell r="BY168" t="e">
            <v>#DIV/0!</v>
          </cell>
          <cell r="BZ168">
            <v>6309.7099999999991</v>
          </cell>
          <cell r="CA168">
            <v>1429.7299999999998</v>
          </cell>
          <cell r="CB168">
            <v>-4879.9799999999996</v>
          </cell>
          <cell r="CC168">
            <v>573.61</v>
          </cell>
          <cell r="CD168">
            <v>1.5211756906077347E-2</v>
          </cell>
          <cell r="CE168">
            <v>0</v>
          </cell>
          <cell r="CF168" t="e">
            <v>#DIV/0!</v>
          </cell>
          <cell r="CG168">
            <v>6883.3199999999988</v>
          </cell>
          <cell r="CH168">
            <v>1429.7299999999998</v>
          </cell>
        </row>
        <row r="169">
          <cell r="A169" t="str">
            <v>Vale Transporte</v>
          </cell>
          <cell r="B169">
            <v>0</v>
          </cell>
          <cell r="C169">
            <v>0</v>
          </cell>
          <cell r="D169">
            <v>68.400008</v>
          </cell>
          <cell r="E169">
            <v>1.8139228640883978E-3</v>
          </cell>
          <cell r="F169">
            <v>75.200002999999995</v>
          </cell>
          <cell r="G169">
            <v>2.8923077668662708E-3</v>
          </cell>
          <cell r="H169">
            <v>68.400008</v>
          </cell>
          <cell r="I169">
            <v>75.200002999999995</v>
          </cell>
          <cell r="J169">
            <v>6.7999949999999956</v>
          </cell>
          <cell r="K169">
            <v>68.400008</v>
          </cell>
          <cell r="L169">
            <v>1.8139228640883978E-3</v>
          </cell>
          <cell r="M169">
            <v>75.200001999999998</v>
          </cell>
          <cell r="N169">
            <v>5.0133334666666668E-2</v>
          </cell>
          <cell r="O169">
            <v>136.800016</v>
          </cell>
          <cell r="P169">
            <v>150.40000499999999</v>
          </cell>
          <cell r="Q169">
            <v>13.599988999999994</v>
          </cell>
          <cell r="R169">
            <v>68.400008</v>
          </cell>
          <cell r="S169">
            <v>1.8139228640883978E-3</v>
          </cell>
          <cell r="T169">
            <v>0</v>
          </cell>
          <cell r="U169">
            <v>0</v>
          </cell>
          <cell r="V169">
            <v>205.20002399999998</v>
          </cell>
          <cell r="W169">
            <v>150.40000499999999</v>
          </cell>
          <cell r="X169">
            <v>-54.800018999999992</v>
          </cell>
          <cell r="Y169">
            <v>68.400008</v>
          </cell>
          <cell r="Z169">
            <v>1.8139228640883978E-3</v>
          </cell>
          <cell r="AA169">
            <v>0</v>
          </cell>
          <cell r="AB169">
            <v>0</v>
          </cell>
          <cell r="AC169">
            <v>273.600032</v>
          </cell>
          <cell r="AD169">
            <v>150.40000499999999</v>
          </cell>
          <cell r="AE169">
            <v>-123.20002700000001</v>
          </cell>
          <cell r="AF169">
            <v>68.400008</v>
          </cell>
          <cell r="AG169">
            <v>1.8139228640883978E-3</v>
          </cell>
          <cell r="AH169">
            <v>0</v>
          </cell>
          <cell r="AI169">
            <v>0</v>
          </cell>
          <cell r="AJ169">
            <v>342.00004000000001</v>
          </cell>
          <cell r="AK169">
            <v>150.40000499999999</v>
          </cell>
          <cell r="AL169">
            <v>-191.60003500000002</v>
          </cell>
          <cell r="AM169">
            <v>68.400008</v>
          </cell>
          <cell r="AN169">
            <v>1.8139228640883978E-3</v>
          </cell>
          <cell r="AO169">
            <v>0</v>
          </cell>
          <cell r="AP169" t="e">
            <v>#DIV/0!</v>
          </cell>
          <cell r="AQ169">
            <v>410.40004800000003</v>
          </cell>
          <cell r="AR169">
            <v>150.40000499999999</v>
          </cell>
          <cell r="AS169">
            <v>-260.00004300000001</v>
          </cell>
          <cell r="AT169">
            <v>68.400008</v>
          </cell>
          <cell r="AU169">
            <v>1.8139228640883978E-3</v>
          </cell>
          <cell r="AV169">
            <v>0</v>
          </cell>
          <cell r="AW169" t="e">
            <v>#DIV/0!</v>
          </cell>
          <cell r="AX169">
            <v>478.80005600000004</v>
          </cell>
          <cell r="AY169">
            <v>150.40000499999999</v>
          </cell>
          <cell r="AZ169">
            <v>-328.40005100000008</v>
          </cell>
          <cell r="BA169">
            <v>68.400008</v>
          </cell>
          <cell r="BB169">
            <v>1.8139228640883978E-3</v>
          </cell>
          <cell r="BC169">
            <v>0</v>
          </cell>
          <cell r="BD169" t="e">
            <v>#DIV/0!</v>
          </cell>
          <cell r="BE169">
            <v>547.200064</v>
          </cell>
          <cell r="BF169">
            <v>150.40000499999999</v>
          </cell>
          <cell r="BG169">
            <v>-396.80005900000003</v>
          </cell>
          <cell r="BH169">
            <v>68.400008</v>
          </cell>
          <cell r="BI169">
            <v>1.8139228640883978E-3</v>
          </cell>
          <cell r="BJ169">
            <v>0</v>
          </cell>
          <cell r="BK169" t="e">
            <v>#DIV/0!</v>
          </cell>
          <cell r="BL169">
            <v>615.60007199999995</v>
          </cell>
          <cell r="BM169">
            <v>150.40000499999999</v>
          </cell>
          <cell r="BN169">
            <v>-465.20006699999999</v>
          </cell>
          <cell r="BO169">
            <v>68.400008</v>
          </cell>
          <cell r="BP169">
            <v>1.8139228640883978E-3</v>
          </cell>
          <cell r="BQ169">
            <v>0</v>
          </cell>
          <cell r="BR169" t="e">
            <v>#DIV/0!</v>
          </cell>
          <cell r="BS169">
            <v>684.00007999999991</v>
          </cell>
          <cell r="BT169">
            <v>150.40000499999999</v>
          </cell>
          <cell r="BU169">
            <v>-533.60007499999995</v>
          </cell>
          <cell r="BV169">
            <v>68.400008</v>
          </cell>
          <cell r="BW169">
            <v>1.8139228640883978E-3</v>
          </cell>
          <cell r="BX169">
            <v>0</v>
          </cell>
          <cell r="BY169" t="e">
            <v>#DIV/0!</v>
          </cell>
          <cell r="BZ169">
            <v>752.40008799999987</v>
          </cell>
          <cell r="CA169">
            <v>150.40000499999999</v>
          </cell>
          <cell r="CB169">
            <v>-602.0000829999999</v>
          </cell>
          <cell r="CC169">
            <v>68.400008</v>
          </cell>
          <cell r="CD169">
            <v>1.8139228640883978E-3</v>
          </cell>
          <cell r="CE169">
            <v>0</v>
          </cell>
          <cell r="CF169" t="e">
            <v>#DIV/0!</v>
          </cell>
          <cell r="CG169">
            <v>820.80009599999983</v>
          </cell>
          <cell r="CH169">
            <v>150.40000499999999</v>
          </cell>
        </row>
        <row r="170">
          <cell r="A170" t="str">
            <v>Viagens - Alimentação / Hospedagem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 t="e">
            <v>#DIV/0!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 t="e">
            <v>#DIV/0!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 t="e">
            <v>#DIV/0!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 t="e">
            <v>#DIV/0!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 t="e">
            <v>#DIV/0!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 t="e">
            <v>#DIV/0!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 t="e">
            <v>#DIV/0!</v>
          </cell>
          <cell r="CG170">
            <v>0</v>
          </cell>
          <cell r="CH170">
            <v>0</v>
          </cell>
        </row>
        <row r="171">
          <cell r="A171" t="str">
            <v>Viagens - Passagens / Traslados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 t="e">
            <v>#DIV/0!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 t="e">
            <v>#DIV/0!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 t="e">
            <v>#DIV/0!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 t="e">
            <v>#DIV/0!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 t="e">
            <v>#DIV/0!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 t="e">
            <v>#DIV/0!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 t="e">
            <v>#DIV/0!</v>
          </cell>
          <cell r="CG171">
            <v>0</v>
          </cell>
          <cell r="CH171">
            <v>0</v>
          </cell>
        </row>
        <row r="191">
          <cell r="A191" t="str">
            <v>13º (+ Encargos)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 t="e">
            <v>#DIV/0!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 t="e">
            <v>#DIV/0!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 t="e">
            <v>#DIV/0!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 t="e">
            <v>#DIV/0!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 t="e">
            <v>#DIV/0!</v>
          </cell>
          <cell r="BS191">
            <v>0</v>
          </cell>
          <cell r="BT191">
            <v>0</v>
          </cell>
          <cell r="BU191">
            <v>0</v>
          </cell>
          <cell r="BV191">
            <v>1050</v>
          </cell>
          <cell r="BW191">
            <v>2.8902065580163089E-2</v>
          </cell>
          <cell r="BX191">
            <v>0</v>
          </cell>
          <cell r="BY191" t="e">
            <v>#DIV/0!</v>
          </cell>
          <cell r="BZ191">
            <v>1050</v>
          </cell>
          <cell r="CA191">
            <v>0</v>
          </cell>
          <cell r="CB191">
            <v>-1050</v>
          </cell>
          <cell r="CC191">
            <v>1050</v>
          </cell>
          <cell r="CD191">
            <v>2.8902065580163089E-2</v>
          </cell>
          <cell r="CE191">
            <v>0</v>
          </cell>
          <cell r="CF191" t="e">
            <v>#DIV/0!</v>
          </cell>
          <cell r="CG191">
            <v>2100</v>
          </cell>
          <cell r="CH191">
            <v>0</v>
          </cell>
        </row>
        <row r="192">
          <cell r="A192" t="str">
            <v>Acordo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 t="e">
            <v>#DIV/0!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 t="e">
            <v>#DIV/0!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 t="e">
            <v>#DIV/0!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 t="e">
            <v>#DIV/0!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 t="e">
            <v>#DIV/0!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 t="e">
            <v>#DIV/0!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 t="e">
            <v>#DIV/0!</v>
          </cell>
          <cell r="CG192">
            <v>0</v>
          </cell>
          <cell r="CH192">
            <v>0</v>
          </cell>
        </row>
        <row r="193">
          <cell r="A193" t="str">
            <v>Aluguel + IPTU + Condomínio + Energia Elétrica</v>
          </cell>
          <cell r="B193">
            <v>0</v>
          </cell>
          <cell r="C193">
            <v>0</v>
          </cell>
          <cell r="D193">
            <v>184.35798022829655</v>
          </cell>
          <cell r="E193">
            <v>5.0745966045567968E-3</v>
          </cell>
          <cell r="F193">
            <v>0</v>
          </cell>
          <cell r="G193">
            <v>0</v>
          </cell>
          <cell r="H193">
            <v>184.35798022829655</v>
          </cell>
          <cell r="I193">
            <v>0</v>
          </cell>
          <cell r="J193">
            <v>-184.35798022829655</v>
          </cell>
          <cell r="K193">
            <v>184.35798022829655</v>
          </cell>
          <cell r="L193">
            <v>5.0745966045567968E-3</v>
          </cell>
          <cell r="M193">
            <v>181.24397200000001</v>
          </cell>
          <cell r="N193">
            <v>7.3067515420278178E-3</v>
          </cell>
          <cell r="O193">
            <v>368.71596045659311</v>
          </cell>
          <cell r="P193">
            <v>181.24397200000001</v>
          </cell>
          <cell r="Q193">
            <v>-187.4719884565931</v>
          </cell>
          <cell r="R193">
            <v>184.35798022829655</v>
          </cell>
          <cell r="S193">
            <v>5.0745966045567968E-3</v>
          </cell>
          <cell r="T193">
            <v>177.63761600000001</v>
          </cell>
          <cell r="U193">
            <v>2.5817621351962856E-4</v>
          </cell>
          <cell r="V193">
            <v>553.07394068488964</v>
          </cell>
          <cell r="W193">
            <v>358.88158800000002</v>
          </cell>
          <cell r="X193">
            <v>-194.19235268488961</v>
          </cell>
          <cell r="Y193">
            <v>184.35798022829655</v>
          </cell>
          <cell r="Z193">
            <v>5.0745966045567968E-3</v>
          </cell>
          <cell r="AA193">
            <v>0</v>
          </cell>
          <cell r="AB193">
            <v>0</v>
          </cell>
          <cell r="AC193">
            <v>737.43192091318622</v>
          </cell>
          <cell r="AD193">
            <v>358.88158800000002</v>
          </cell>
          <cell r="AE193">
            <v>-378.5503329131862</v>
          </cell>
          <cell r="AF193">
            <v>184.35798022829655</v>
          </cell>
          <cell r="AG193">
            <v>5.0745966045567968E-3</v>
          </cell>
          <cell r="AH193">
            <v>0</v>
          </cell>
          <cell r="AI193">
            <v>0</v>
          </cell>
          <cell r="AJ193">
            <v>921.7899011414828</v>
          </cell>
          <cell r="AK193">
            <v>358.88158800000002</v>
          </cell>
          <cell r="AL193">
            <v>-562.90831314148272</v>
          </cell>
          <cell r="AM193">
            <v>184.35798022829655</v>
          </cell>
          <cell r="AN193">
            <v>5.0745966045567968E-3</v>
          </cell>
          <cell r="AO193">
            <v>0</v>
          </cell>
          <cell r="AP193" t="e">
            <v>#DIV/0!</v>
          </cell>
          <cell r="AQ193">
            <v>1106.1478813697793</v>
          </cell>
          <cell r="AR193">
            <v>358.88158800000002</v>
          </cell>
          <cell r="AS193">
            <v>-747.26629336977931</v>
          </cell>
          <cell r="AT193">
            <v>184.35798022829655</v>
          </cell>
          <cell r="AU193">
            <v>5.0745966045567968E-3</v>
          </cell>
          <cell r="AV193">
            <v>0</v>
          </cell>
          <cell r="AW193" t="e">
            <v>#DIV/0!</v>
          </cell>
          <cell r="AX193">
            <v>1290.5058615980759</v>
          </cell>
          <cell r="AY193">
            <v>358.88158800000002</v>
          </cell>
          <cell r="AZ193">
            <v>-931.62427359807589</v>
          </cell>
          <cell r="BA193">
            <v>184.35798022829655</v>
          </cell>
          <cell r="BB193">
            <v>5.0745966045567968E-3</v>
          </cell>
          <cell r="BC193">
            <v>0</v>
          </cell>
          <cell r="BD193" t="e">
            <v>#DIV/0!</v>
          </cell>
          <cell r="BE193">
            <v>1474.8638418263724</v>
          </cell>
          <cell r="BF193">
            <v>358.88158800000002</v>
          </cell>
          <cell r="BG193">
            <v>-1115.9822538263725</v>
          </cell>
          <cell r="BH193">
            <v>184.35798022829655</v>
          </cell>
          <cell r="BI193">
            <v>5.0745966045567968E-3</v>
          </cell>
          <cell r="BJ193">
            <v>0</v>
          </cell>
          <cell r="BK193" t="e">
            <v>#DIV/0!</v>
          </cell>
          <cell r="BL193">
            <v>1659.221822054669</v>
          </cell>
          <cell r="BM193">
            <v>358.88158800000002</v>
          </cell>
          <cell r="BN193">
            <v>-1300.3402340546691</v>
          </cell>
          <cell r="BO193">
            <v>191.50217833567964</v>
          </cell>
          <cell r="BP193">
            <v>5.271246206668476E-3</v>
          </cell>
          <cell r="BQ193">
            <v>0</v>
          </cell>
          <cell r="BR193" t="e">
            <v>#DIV/0!</v>
          </cell>
          <cell r="BS193">
            <v>1850.7240003903487</v>
          </cell>
          <cell r="BT193">
            <v>358.88158800000002</v>
          </cell>
          <cell r="BU193">
            <v>-1491.8424123903487</v>
          </cell>
          <cell r="BV193">
            <v>191.50217833567964</v>
          </cell>
          <cell r="BW193">
            <v>5.271246206668476E-3</v>
          </cell>
          <cell r="BX193">
            <v>0</v>
          </cell>
          <cell r="BY193" t="e">
            <v>#DIV/0!</v>
          </cell>
          <cell r="BZ193">
            <v>2042.2261787260284</v>
          </cell>
          <cell r="CA193">
            <v>358.88158800000002</v>
          </cell>
          <cell r="CB193">
            <v>-1683.3445907260284</v>
          </cell>
          <cell r="CC193">
            <v>191.50217833567964</v>
          </cell>
          <cell r="CD193">
            <v>5.271246206668476E-3</v>
          </cell>
          <cell r="CE193">
            <v>0</v>
          </cell>
          <cell r="CF193" t="e">
            <v>#DIV/0!</v>
          </cell>
          <cell r="CG193">
            <v>2233.7283570617078</v>
          </cell>
          <cell r="CH193">
            <v>358.88158800000002</v>
          </cell>
        </row>
        <row r="194">
          <cell r="A194" t="str">
            <v>Aperfeiçoamento - Treinamentos / Livros / Revistas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 t="e">
            <v>#DIV/0!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 t="e">
            <v>#DIV/0!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 t="e">
            <v>#DIV/0!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 t="e">
            <v>#DIV/0!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 t="e">
            <v>#DIV/0!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 t="e">
            <v>#DIV/0!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 t="e">
            <v>#DIV/0!</v>
          </cell>
          <cell r="CG194">
            <v>0</v>
          </cell>
          <cell r="CH194">
            <v>0</v>
          </cell>
        </row>
        <row r="195">
          <cell r="A195" t="str">
            <v>OAB / Associações</v>
          </cell>
          <cell r="B195">
            <v>3.4146949598439278E-4</v>
          </cell>
          <cell r="C195">
            <v>133.46875</v>
          </cell>
          <cell r="D195">
            <v>202</v>
          </cell>
          <cell r="E195">
            <v>5.5602069020885183E-3</v>
          </cell>
          <cell r="F195">
            <v>171.56</v>
          </cell>
          <cell r="G195">
            <v>6.9570154095701543E-3</v>
          </cell>
          <cell r="H195">
            <v>202</v>
          </cell>
          <cell r="I195">
            <v>171.56</v>
          </cell>
          <cell r="J195">
            <v>-30.439999999999998</v>
          </cell>
          <cell r="K195">
            <v>202</v>
          </cell>
          <cell r="L195">
            <v>5.5602069020885183E-3</v>
          </cell>
          <cell r="M195">
            <v>171.56</v>
          </cell>
          <cell r="N195">
            <v>6.9163475105825439E-3</v>
          </cell>
          <cell r="O195">
            <v>404</v>
          </cell>
          <cell r="P195">
            <v>343.12</v>
          </cell>
          <cell r="Q195">
            <v>-60.879999999999995</v>
          </cell>
          <cell r="R195">
            <v>202</v>
          </cell>
          <cell r="S195">
            <v>5.5602069020885183E-3</v>
          </cell>
          <cell r="T195">
            <v>171.56</v>
          </cell>
          <cell r="U195">
            <v>2.4934308503345078E-4</v>
          </cell>
          <cell r="V195">
            <v>606</v>
          </cell>
          <cell r="W195">
            <v>514.68000000000006</v>
          </cell>
          <cell r="X195">
            <v>-91.319999999999936</v>
          </cell>
          <cell r="Y195">
            <v>202</v>
          </cell>
          <cell r="Z195">
            <v>5.5602069020885183E-3</v>
          </cell>
          <cell r="AA195">
            <v>0</v>
          </cell>
          <cell r="AB195">
            <v>0</v>
          </cell>
          <cell r="AC195">
            <v>808</v>
          </cell>
          <cell r="AD195">
            <v>514.68000000000006</v>
          </cell>
          <cell r="AE195">
            <v>-293.31999999999994</v>
          </cell>
          <cell r="AF195">
            <v>202</v>
          </cell>
          <cell r="AG195">
            <v>5.5602069020885183E-3</v>
          </cell>
          <cell r="AH195">
            <v>0</v>
          </cell>
          <cell r="AI195">
            <v>0</v>
          </cell>
          <cell r="AJ195">
            <v>1010</v>
          </cell>
          <cell r="AK195">
            <v>514.68000000000006</v>
          </cell>
          <cell r="AL195">
            <v>-495.31999999999994</v>
          </cell>
          <cell r="AM195">
            <v>202</v>
          </cell>
          <cell r="AN195">
            <v>5.5602069020885183E-3</v>
          </cell>
          <cell r="AO195">
            <v>0</v>
          </cell>
          <cell r="AP195" t="e">
            <v>#DIV/0!</v>
          </cell>
          <cell r="AQ195">
            <v>1212</v>
          </cell>
          <cell r="AR195">
            <v>514.68000000000006</v>
          </cell>
          <cell r="AS195">
            <v>-697.31999999999994</v>
          </cell>
          <cell r="AT195">
            <v>202</v>
          </cell>
          <cell r="AU195">
            <v>5.5602069020885183E-3</v>
          </cell>
          <cell r="AV195">
            <v>0</v>
          </cell>
          <cell r="AW195" t="e">
            <v>#DIV/0!</v>
          </cell>
          <cell r="AX195">
            <v>1414</v>
          </cell>
          <cell r="AY195">
            <v>514.68000000000006</v>
          </cell>
          <cell r="AZ195">
            <v>-899.31999999999994</v>
          </cell>
          <cell r="BA195">
            <v>202</v>
          </cell>
          <cell r="BB195">
            <v>5.5602069020885183E-3</v>
          </cell>
          <cell r="BC195">
            <v>0</v>
          </cell>
          <cell r="BD195" t="e">
            <v>#DIV/0!</v>
          </cell>
          <cell r="BE195">
            <v>1616</v>
          </cell>
          <cell r="BF195">
            <v>514.68000000000006</v>
          </cell>
          <cell r="BG195">
            <v>-1101.32</v>
          </cell>
          <cell r="BH195">
            <v>202</v>
          </cell>
          <cell r="BI195">
            <v>5.5602069020885183E-3</v>
          </cell>
          <cell r="BJ195">
            <v>0</v>
          </cell>
          <cell r="BK195" t="e">
            <v>#DIV/0!</v>
          </cell>
          <cell r="BL195">
            <v>1818</v>
          </cell>
          <cell r="BM195">
            <v>514.68000000000006</v>
          </cell>
          <cell r="BN195">
            <v>-1303.32</v>
          </cell>
          <cell r="BO195">
            <v>202</v>
          </cell>
          <cell r="BP195">
            <v>5.5602069020885183E-3</v>
          </cell>
          <cell r="BQ195">
            <v>0</v>
          </cell>
          <cell r="BR195" t="e">
            <v>#DIV/0!</v>
          </cell>
          <cell r="BS195">
            <v>2020</v>
          </cell>
          <cell r="BT195">
            <v>514.68000000000006</v>
          </cell>
          <cell r="BU195">
            <v>-1505.32</v>
          </cell>
          <cell r="BV195">
            <v>202</v>
          </cell>
          <cell r="BW195">
            <v>5.5602069020885183E-3</v>
          </cell>
          <cell r="BX195">
            <v>0</v>
          </cell>
          <cell r="BY195" t="e">
            <v>#DIV/0!</v>
          </cell>
          <cell r="BZ195">
            <v>2222</v>
          </cell>
          <cell r="CA195">
            <v>514.68000000000006</v>
          </cell>
          <cell r="CB195">
            <v>-1707.32</v>
          </cell>
          <cell r="CC195">
            <v>202</v>
          </cell>
          <cell r="CD195">
            <v>5.5602069020885183E-3</v>
          </cell>
          <cell r="CE195">
            <v>0</v>
          </cell>
          <cell r="CF195" t="e">
            <v>#DIV/0!</v>
          </cell>
          <cell r="CG195">
            <v>2424</v>
          </cell>
          <cell r="CH195">
            <v>514.68000000000006</v>
          </cell>
        </row>
        <row r="196">
          <cell r="A196" t="str">
            <v>Back Office / Encerramento</v>
          </cell>
          <cell r="B196">
            <v>4.4101710591235542E-4</v>
          </cell>
          <cell r="C196">
            <v>172.37850685623187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 t="e">
            <v>#DIV/0!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 t="e">
            <v>#DIV/0!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 t="e">
            <v>#DIV/0!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 t="e">
            <v>#DIV/0!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 t="e">
            <v>#DIV/0!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 t="e">
            <v>#DIV/0!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 t="e">
            <v>#DIV/0!</v>
          </cell>
          <cell r="CG196">
            <v>0</v>
          </cell>
          <cell r="CH196">
            <v>0</v>
          </cell>
        </row>
        <row r="197">
          <cell r="A197" t="str">
            <v>Bonificações/Premiações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 t="e">
            <v>#DIV/0!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 t="e">
            <v>#DIV/0!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 t="e">
            <v>#DIV/0!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 t="e">
            <v>#DIV/0!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 t="e">
            <v>#DIV/0!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 t="e">
            <v>#DIV/0!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 t="e">
            <v>#DIV/0!</v>
          </cell>
          <cell r="CG197">
            <v>0</v>
          </cell>
          <cell r="CH197">
            <v>0</v>
          </cell>
        </row>
        <row r="198">
          <cell r="A198" t="str">
            <v>Cadastro</v>
          </cell>
          <cell r="B198">
            <v>1.5154265574685601E-3</v>
          </cell>
          <cell r="C198">
            <v>592.32842382903948</v>
          </cell>
          <cell r="D198">
            <v>282.86</v>
          </cell>
          <cell r="E198">
            <v>7.7859412095285059E-3</v>
          </cell>
          <cell r="F198">
            <v>366.55826502548524</v>
          </cell>
          <cell r="G198">
            <v>1.4864487632825841E-2</v>
          </cell>
          <cell r="H198">
            <v>282.86</v>
          </cell>
          <cell r="I198">
            <v>366.55826502548524</v>
          </cell>
          <cell r="J198">
            <v>83.698265025485227</v>
          </cell>
          <cell r="K198">
            <v>282.86</v>
          </cell>
          <cell r="L198">
            <v>7.7859412095285059E-3</v>
          </cell>
          <cell r="M198">
            <v>303.7930287874849</v>
          </cell>
          <cell r="N198">
            <v>1.2247249699152788E-2</v>
          </cell>
          <cell r="O198">
            <v>565.72</v>
          </cell>
          <cell r="P198">
            <v>670.3512938129702</v>
          </cell>
          <cell r="Q198">
            <v>104.63129381297017</v>
          </cell>
          <cell r="R198">
            <v>282.86</v>
          </cell>
          <cell r="S198">
            <v>7.7859412095285059E-3</v>
          </cell>
          <cell r="T198">
            <v>343.78155460193369</v>
          </cell>
          <cell r="U198">
            <v>4.9964766496876807E-4</v>
          </cell>
          <cell r="V198">
            <v>848.58</v>
          </cell>
          <cell r="W198">
            <v>1014.1328484149039</v>
          </cell>
          <cell r="X198">
            <v>165.55284841490391</v>
          </cell>
          <cell r="Y198">
            <v>282.86</v>
          </cell>
          <cell r="Z198">
            <v>7.7859412095285059E-3</v>
          </cell>
          <cell r="AA198">
            <v>0</v>
          </cell>
          <cell r="AB198">
            <v>0</v>
          </cell>
          <cell r="AC198">
            <v>1131.44</v>
          </cell>
          <cell r="AD198">
            <v>1014.1328484149039</v>
          </cell>
          <cell r="AE198">
            <v>-117.30715158509611</v>
          </cell>
          <cell r="AF198">
            <v>282.86</v>
          </cell>
          <cell r="AG198">
            <v>7.7859412095285059E-3</v>
          </cell>
          <cell r="AH198">
            <v>0</v>
          </cell>
          <cell r="AI198">
            <v>0</v>
          </cell>
          <cell r="AJ198">
            <v>1414.3000000000002</v>
          </cell>
          <cell r="AK198">
            <v>1014.1328484149039</v>
          </cell>
          <cell r="AL198">
            <v>-400.16715158509624</v>
          </cell>
          <cell r="AM198">
            <v>282.86</v>
          </cell>
          <cell r="AN198">
            <v>7.7859412095285059E-3</v>
          </cell>
          <cell r="AO198">
            <v>0</v>
          </cell>
          <cell r="AP198" t="e">
            <v>#DIV/0!</v>
          </cell>
          <cell r="AQ198">
            <v>1697.1600000000003</v>
          </cell>
          <cell r="AR198">
            <v>1014.1328484149039</v>
          </cell>
          <cell r="AS198">
            <v>-683.02715158509636</v>
          </cell>
          <cell r="AT198">
            <v>282.86</v>
          </cell>
          <cell r="AU198">
            <v>7.7859412095285059E-3</v>
          </cell>
          <cell r="AV198">
            <v>0</v>
          </cell>
          <cell r="AW198" t="e">
            <v>#DIV/0!</v>
          </cell>
          <cell r="AX198">
            <v>1980.0200000000004</v>
          </cell>
          <cell r="AY198">
            <v>1014.1328484149039</v>
          </cell>
          <cell r="AZ198">
            <v>-965.88715158509649</v>
          </cell>
          <cell r="BA198">
            <v>282.86</v>
          </cell>
          <cell r="BB198">
            <v>7.7859412095285059E-3</v>
          </cell>
          <cell r="BC198">
            <v>0</v>
          </cell>
          <cell r="BD198" t="e">
            <v>#DIV/0!</v>
          </cell>
          <cell r="BE198">
            <v>2262.8800000000006</v>
          </cell>
          <cell r="BF198">
            <v>1014.1328484149039</v>
          </cell>
          <cell r="BG198">
            <v>-1248.7471515850966</v>
          </cell>
          <cell r="BH198">
            <v>282.86</v>
          </cell>
          <cell r="BI198">
            <v>7.7859412095285059E-3</v>
          </cell>
          <cell r="BJ198">
            <v>0</v>
          </cell>
          <cell r="BK198" t="e">
            <v>#DIV/0!</v>
          </cell>
          <cell r="BL198">
            <v>2545.7400000000007</v>
          </cell>
          <cell r="BM198">
            <v>1014.1328484149039</v>
          </cell>
          <cell r="BN198">
            <v>-1531.6071515850967</v>
          </cell>
          <cell r="BO198">
            <v>282.86</v>
          </cell>
          <cell r="BP198">
            <v>7.7859412095285059E-3</v>
          </cell>
          <cell r="BQ198">
            <v>0</v>
          </cell>
          <cell r="BR198" t="e">
            <v>#DIV/0!</v>
          </cell>
          <cell r="BS198">
            <v>2828.6000000000008</v>
          </cell>
          <cell r="BT198">
            <v>1014.1328484149039</v>
          </cell>
          <cell r="BU198">
            <v>-1814.4671515850969</v>
          </cell>
          <cell r="BV198">
            <v>282.86</v>
          </cell>
          <cell r="BW198">
            <v>7.7859412095285059E-3</v>
          </cell>
          <cell r="BX198">
            <v>0</v>
          </cell>
          <cell r="BY198" t="e">
            <v>#DIV/0!</v>
          </cell>
          <cell r="BZ198">
            <v>3111.4600000000009</v>
          </cell>
          <cell r="CA198">
            <v>1014.1328484149039</v>
          </cell>
          <cell r="CB198">
            <v>-2097.327151585097</v>
          </cell>
          <cell r="CC198">
            <v>282.86</v>
          </cell>
          <cell r="CD198">
            <v>7.7859412095285059E-3</v>
          </cell>
          <cell r="CE198">
            <v>0</v>
          </cell>
          <cell r="CF198" t="e">
            <v>#DIV/0!</v>
          </cell>
          <cell r="CG198">
            <v>3394.3200000000011</v>
          </cell>
          <cell r="CH198">
            <v>1014.1328484149039</v>
          </cell>
        </row>
        <row r="199">
          <cell r="A199" t="str">
            <v>Cartório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 t="e">
            <v>#DIV/0!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 t="e">
            <v>#DIV/0!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 t="e">
            <v>#DIV/0!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 t="e">
            <v>#DIV/0!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 t="e">
            <v>#DIV/0!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 t="e">
            <v>#DIV/0!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 t="e">
            <v>#DIV/0!</v>
          </cell>
          <cell r="CG199">
            <v>0</v>
          </cell>
          <cell r="CH199">
            <v>0</v>
          </cell>
        </row>
        <row r="200">
          <cell r="A200" t="str">
            <v>Condenação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 t="e">
            <v>#DIV/0!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 t="e">
            <v>#DIV/0!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 t="e">
            <v>#DIV/0!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 t="e">
            <v>#DIV/0!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 t="e">
            <v>#DIV/0!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 t="e">
            <v>#DIV/0!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 t="e">
            <v>#DIV/0!</v>
          </cell>
          <cell r="CG200">
            <v>0</v>
          </cell>
          <cell r="CH200">
            <v>0</v>
          </cell>
        </row>
        <row r="201">
          <cell r="A201" t="str">
            <v>Penalidades/Irregularidades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 t="e">
            <v>#DIV/0!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 t="e">
            <v>#DIV/0!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 t="e">
            <v>#DIV/0!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 t="e">
            <v>#DIV/0!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 t="e">
            <v>#DIV/0!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 t="e">
            <v>#DIV/0!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 t="e">
            <v>#DIV/0!</v>
          </cell>
          <cell r="CG201">
            <v>0</v>
          </cell>
          <cell r="CH201">
            <v>0</v>
          </cell>
        </row>
        <row r="202">
          <cell r="A202" t="str">
            <v>Controladoria Jurídica - Custas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 t="e">
            <v>#DIV/0!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 t="e">
            <v>#DIV/0!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 t="e">
            <v>#DIV/0!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 t="e">
            <v>#DIV/0!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 t="e">
            <v>#DIV/0!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 t="e">
            <v>#DIV/0!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 t="e">
            <v>#DIV/0!</v>
          </cell>
          <cell r="CG202">
            <v>0</v>
          </cell>
          <cell r="CH202">
            <v>0</v>
          </cell>
        </row>
        <row r="203">
          <cell r="A203" t="str">
            <v>GNA</v>
          </cell>
          <cell r="B203">
            <v>3.0332071322423191E-5</v>
          </cell>
          <cell r="C203">
            <v>11.855769525309828</v>
          </cell>
          <cell r="D203">
            <v>250.52</v>
          </cell>
          <cell r="E203">
            <v>6.8957575896594833E-3</v>
          </cell>
          <cell r="F203">
            <v>0</v>
          </cell>
          <cell r="G203">
            <v>0</v>
          </cell>
          <cell r="H203">
            <v>250.52</v>
          </cell>
          <cell r="I203">
            <v>0</v>
          </cell>
          <cell r="J203">
            <v>-250.52</v>
          </cell>
          <cell r="K203">
            <v>250.52</v>
          </cell>
          <cell r="L203">
            <v>6.8957575896594833E-3</v>
          </cell>
          <cell r="M203">
            <v>326.65119146648573</v>
          </cell>
          <cell r="N203">
            <v>1.3168764017999829E-2</v>
          </cell>
          <cell r="O203">
            <v>501.04</v>
          </cell>
          <cell r="P203">
            <v>326.65119146648573</v>
          </cell>
          <cell r="Q203">
            <v>-174.38880853351429</v>
          </cell>
          <cell r="R203">
            <v>250.52</v>
          </cell>
          <cell r="S203">
            <v>6.8957575896594833E-3</v>
          </cell>
          <cell r="T203">
            <v>252.07846918914927</v>
          </cell>
          <cell r="U203">
            <v>3.6636758672261687E-4</v>
          </cell>
          <cell r="V203">
            <v>751.56000000000006</v>
          </cell>
          <cell r="W203">
            <v>578.72966065563503</v>
          </cell>
          <cell r="X203">
            <v>-172.83033934436503</v>
          </cell>
          <cell r="Y203">
            <v>250.52</v>
          </cell>
          <cell r="Z203">
            <v>6.8957575896594833E-3</v>
          </cell>
          <cell r="AA203">
            <v>0</v>
          </cell>
          <cell r="AB203">
            <v>0</v>
          </cell>
          <cell r="AC203">
            <v>1002.08</v>
          </cell>
          <cell r="AD203">
            <v>578.72966065563503</v>
          </cell>
          <cell r="AE203">
            <v>-423.35033934436501</v>
          </cell>
          <cell r="AF203">
            <v>250.52</v>
          </cell>
          <cell r="AG203">
            <v>6.8957575896594833E-3</v>
          </cell>
          <cell r="AH203">
            <v>0</v>
          </cell>
          <cell r="AI203">
            <v>0</v>
          </cell>
          <cell r="AJ203">
            <v>1252.6000000000001</v>
          </cell>
          <cell r="AK203">
            <v>578.72966065563503</v>
          </cell>
          <cell r="AL203">
            <v>-673.87033934436511</v>
          </cell>
          <cell r="AM203">
            <v>250.52</v>
          </cell>
          <cell r="AN203">
            <v>6.8957575896594833E-3</v>
          </cell>
          <cell r="AO203">
            <v>0</v>
          </cell>
          <cell r="AP203" t="e">
            <v>#DIV/0!</v>
          </cell>
          <cell r="AQ203">
            <v>1503.1200000000001</v>
          </cell>
          <cell r="AR203">
            <v>578.72966065563503</v>
          </cell>
          <cell r="AS203">
            <v>-924.39033934436509</v>
          </cell>
          <cell r="AT203">
            <v>250.52</v>
          </cell>
          <cell r="AU203">
            <v>6.8957575896594833E-3</v>
          </cell>
          <cell r="AV203">
            <v>0</v>
          </cell>
          <cell r="AW203" t="e">
            <v>#DIV/0!</v>
          </cell>
          <cell r="AX203">
            <v>1753.64</v>
          </cell>
          <cell r="AY203">
            <v>578.72966065563503</v>
          </cell>
          <cell r="AZ203">
            <v>-1174.9103393443652</v>
          </cell>
          <cell r="BA203">
            <v>250.52</v>
          </cell>
          <cell r="BB203">
            <v>6.8957575896594833E-3</v>
          </cell>
          <cell r="BC203">
            <v>0</v>
          </cell>
          <cell r="BD203" t="e">
            <v>#DIV/0!</v>
          </cell>
          <cell r="BE203">
            <v>2004.16</v>
          </cell>
          <cell r="BF203">
            <v>578.72966065563503</v>
          </cell>
          <cell r="BG203">
            <v>-1425.4303393443652</v>
          </cell>
          <cell r="BH203">
            <v>250.52</v>
          </cell>
          <cell r="BI203">
            <v>6.8957575896594833E-3</v>
          </cell>
          <cell r="BJ203">
            <v>0</v>
          </cell>
          <cell r="BK203" t="e">
            <v>#DIV/0!</v>
          </cell>
          <cell r="BL203">
            <v>2254.6800000000003</v>
          </cell>
          <cell r="BM203">
            <v>578.72966065563503</v>
          </cell>
          <cell r="BN203">
            <v>-1675.9503393443651</v>
          </cell>
          <cell r="BO203">
            <v>250.52</v>
          </cell>
          <cell r="BP203">
            <v>6.8957575896594833E-3</v>
          </cell>
          <cell r="BQ203">
            <v>0</v>
          </cell>
          <cell r="BR203" t="e">
            <v>#DIV/0!</v>
          </cell>
          <cell r="BS203">
            <v>2505.2000000000003</v>
          </cell>
          <cell r="BT203">
            <v>578.72966065563503</v>
          </cell>
          <cell r="BU203">
            <v>-1926.4703393443651</v>
          </cell>
          <cell r="BV203">
            <v>250.52</v>
          </cell>
          <cell r="BW203">
            <v>6.8957575896594833E-3</v>
          </cell>
          <cell r="BX203">
            <v>0</v>
          </cell>
          <cell r="BY203" t="e">
            <v>#DIV/0!</v>
          </cell>
          <cell r="BZ203">
            <v>2755.7200000000003</v>
          </cell>
          <cell r="CA203">
            <v>578.72966065563503</v>
          </cell>
          <cell r="CB203">
            <v>-2176.9903393443651</v>
          </cell>
          <cell r="CC203">
            <v>250.52</v>
          </cell>
          <cell r="CD203">
            <v>6.8957575896594833E-3</v>
          </cell>
          <cell r="CE203">
            <v>0</v>
          </cell>
          <cell r="CF203" t="e">
            <v>#DIV/0!</v>
          </cell>
          <cell r="CG203">
            <v>3006.2400000000002</v>
          </cell>
          <cell r="CH203">
            <v>578.72966065563503</v>
          </cell>
        </row>
        <row r="204">
          <cell r="A204" t="str">
            <v>Correios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 t="e">
            <v>#DIV/0!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 t="e">
            <v>#DIV/0!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 t="e">
            <v>#DIV/0!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 t="e">
            <v>#DIV/0!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 t="e">
            <v>#DIV/0!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 t="e">
            <v>#DIV/0!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 t="e">
            <v>#DIV/0!</v>
          </cell>
          <cell r="CG204">
            <v>0</v>
          </cell>
          <cell r="CH204">
            <v>0</v>
          </cell>
        </row>
        <row r="205">
          <cell r="A205" t="str">
            <v xml:space="preserve">Correspondentes </v>
          </cell>
          <cell r="B205">
            <v>2.09527804947754E-4</v>
          </cell>
          <cell r="C205">
            <v>81.897254500000003</v>
          </cell>
          <cell r="D205">
            <v>800</v>
          </cell>
          <cell r="E205">
            <v>2.2020621394409971E-2</v>
          </cell>
          <cell r="F205">
            <v>971.09998099999996</v>
          </cell>
          <cell r="G205">
            <v>3.9379561273317112E-2</v>
          </cell>
          <cell r="H205">
            <v>800</v>
          </cell>
          <cell r="I205">
            <v>971.09998099999996</v>
          </cell>
          <cell r="J205">
            <v>171.09998099999996</v>
          </cell>
          <cell r="K205">
            <v>800</v>
          </cell>
          <cell r="L205">
            <v>2.2020621394409971E-2</v>
          </cell>
          <cell r="M205">
            <v>550.75241500000004</v>
          </cell>
          <cell r="N205">
            <v>2.2203282201169121E-2</v>
          </cell>
          <cell r="O205">
            <v>1600</v>
          </cell>
          <cell r="P205">
            <v>1521.852396</v>
          </cell>
          <cell r="Q205">
            <v>-78.147604000000001</v>
          </cell>
          <cell r="R205">
            <v>800</v>
          </cell>
          <cell r="S205">
            <v>2.2020621394409971E-2</v>
          </cell>
          <cell r="T205">
            <v>401.82823000000002</v>
          </cell>
          <cell r="U205">
            <v>5.8401195221340063E-4</v>
          </cell>
          <cell r="V205">
            <v>2400</v>
          </cell>
          <cell r="W205">
            <v>1923.6806260000001</v>
          </cell>
          <cell r="X205">
            <v>-476.31937399999993</v>
          </cell>
          <cell r="Y205">
            <v>800</v>
          </cell>
          <cell r="Z205">
            <v>2.2020621394409971E-2</v>
          </cell>
          <cell r="AA205">
            <v>0</v>
          </cell>
          <cell r="AB205">
            <v>0</v>
          </cell>
          <cell r="AC205">
            <v>3200</v>
          </cell>
          <cell r="AD205">
            <v>1923.6806260000001</v>
          </cell>
          <cell r="AE205">
            <v>-1276.3193739999999</v>
          </cell>
          <cell r="AF205">
            <v>800</v>
          </cell>
          <cell r="AG205">
            <v>2.2020621394409971E-2</v>
          </cell>
          <cell r="AH205">
            <v>0</v>
          </cell>
          <cell r="AI205">
            <v>0</v>
          </cell>
          <cell r="AJ205">
            <v>4000</v>
          </cell>
          <cell r="AK205">
            <v>1923.6806260000001</v>
          </cell>
          <cell r="AL205">
            <v>-2076.3193739999997</v>
          </cell>
          <cell r="AM205">
            <v>800</v>
          </cell>
          <cell r="AN205">
            <v>2.2020621394409971E-2</v>
          </cell>
          <cell r="AO205">
            <v>0</v>
          </cell>
          <cell r="AP205" t="e">
            <v>#DIV/0!</v>
          </cell>
          <cell r="AQ205">
            <v>4800</v>
          </cell>
          <cell r="AR205">
            <v>1923.6806260000001</v>
          </cell>
          <cell r="AS205">
            <v>-2876.3193739999997</v>
          </cell>
          <cell r="AT205">
            <v>800</v>
          </cell>
          <cell r="AU205">
            <v>2.2020621394409971E-2</v>
          </cell>
          <cell r="AV205">
            <v>0</v>
          </cell>
          <cell r="AW205" t="e">
            <v>#DIV/0!</v>
          </cell>
          <cell r="AX205">
            <v>5600</v>
          </cell>
          <cell r="AY205">
            <v>1923.6806260000001</v>
          </cell>
          <cell r="AZ205">
            <v>-3676.3193739999997</v>
          </cell>
          <cell r="BA205">
            <v>800</v>
          </cell>
          <cell r="BB205">
            <v>2.2020621394409971E-2</v>
          </cell>
          <cell r="BC205">
            <v>0</v>
          </cell>
          <cell r="BD205" t="e">
            <v>#DIV/0!</v>
          </cell>
          <cell r="BE205">
            <v>6400</v>
          </cell>
          <cell r="BF205">
            <v>1923.6806260000001</v>
          </cell>
          <cell r="BG205">
            <v>-4476.3193739999997</v>
          </cell>
          <cell r="BH205">
            <v>800</v>
          </cell>
          <cell r="BI205">
            <v>2.2020621394409971E-2</v>
          </cell>
          <cell r="BJ205">
            <v>0</v>
          </cell>
          <cell r="BK205" t="e">
            <v>#DIV/0!</v>
          </cell>
          <cell r="BL205">
            <v>7200</v>
          </cell>
          <cell r="BM205">
            <v>1923.6806260000001</v>
          </cell>
          <cell r="BN205">
            <v>-5276.3193739999997</v>
          </cell>
          <cell r="BO205">
            <v>800</v>
          </cell>
          <cell r="BP205">
            <v>2.2020621394409971E-2</v>
          </cell>
          <cell r="BQ205">
            <v>0</v>
          </cell>
          <cell r="BR205" t="e">
            <v>#DIV/0!</v>
          </cell>
          <cell r="BS205">
            <v>8000</v>
          </cell>
          <cell r="BT205">
            <v>1923.6806260000001</v>
          </cell>
          <cell r="BU205">
            <v>-6076.3193739999997</v>
          </cell>
          <cell r="BV205">
            <v>800</v>
          </cell>
          <cell r="BW205">
            <v>2.2020621394409971E-2</v>
          </cell>
          <cell r="BX205">
            <v>0</v>
          </cell>
          <cell r="BY205" t="e">
            <v>#DIV/0!</v>
          </cell>
          <cell r="BZ205">
            <v>8800</v>
          </cell>
          <cell r="CA205">
            <v>1923.6806260000001</v>
          </cell>
          <cell r="CB205">
            <v>-6876.3193739999997</v>
          </cell>
          <cell r="CC205">
            <v>800</v>
          </cell>
          <cell r="CD205">
            <v>2.2020621394409971E-2</v>
          </cell>
          <cell r="CE205">
            <v>0</v>
          </cell>
          <cell r="CF205" t="e">
            <v>#DIV/0!</v>
          </cell>
          <cell r="CG205">
            <v>9600</v>
          </cell>
          <cell r="CH205">
            <v>1923.6806260000001</v>
          </cell>
        </row>
        <row r="206">
          <cell r="A206" t="str">
            <v>Custas/Guias/Despesas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 t="e">
            <v>#DIV/0!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 t="e">
            <v>#DIV/0!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 t="e">
            <v>#DIV/0!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 t="e">
            <v>#DIV/0!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 t="e">
            <v>#DIV/0!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 t="e">
            <v>#DIV/0!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 t="e">
            <v>#DIV/0!</v>
          </cell>
          <cell r="CG206">
            <v>0</v>
          </cell>
          <cell r="CH206">
            <v>0</v>
          </cell>
        </row>
        <row r="207">
          <cell r="A207" t="str">
            <v>Deslocamento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1029.03</v>
          </cell>
          <cell r="G207">
            <v>4.1728710462287107E-2</v>
          </cell>
          <cell r="H207">
            <v>0</v>
          </cell>
          <cell r="I207">
            <v>1029.03</v>
          </cell>
          <cell r="J207">
            <v>1029.03</v>
          </cell>
          <cell r="K207">
            <v>0</v>
          </cell>
          <cell r="L207">
            <v>0</v>
          </cell>
          <cell r="M207">
            <v>232.450052</v>
          </cell>
          <cell r="N207">
            <v>9.3710966337431974E-3</v>
          </cell>
          <cell r="O207">
            <v>0</v>
          </cell>
          <cell r="P207">
            <v>1261.4800519999999</v>
          </cell>
          <cell r="Q207">
            <v>1261.4800519999999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1261.4800519999999</v>
          </cell>
          <cell r="X207">
            <v>1261.4800519999999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1261.4800519999999</v>
          </cell>
          <cell r="AE207">
            <v>1261.4800519999999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1261.4800519999999</v>
          </cell>
          <cell r="AL207">
            <v>1261.4800519999999</v>
          </cell>
          <cell r="AM207">
            <v>0</v>
          </cell>
          <cell r="AN207">
            <v>0</v>
          </cell>
          <cell r="AO207">
            <v>0</v>
          </cell>
          <cell r="AP207" t="e">
            <v>#DIV/0!</v>
          </cell>
          <cell r="AQ207">
            <v>0</v>
          </cell>
          <cell r="AR207">
            <v>1261.4800519999999</v>
          </cell>
          <cell r="AS207">
            <v>1261.4800519999999</v>
          </cell>
          <cell r="AT207">
            <v>0</v>
          </cell>
          <cell r="AU207">
            <v>0</v>
          </cell>
          <cell r="AV207">
            <v>0</v>
          </cell>
          <cell r="AW207" t="e">
            <v>#DIV/0!</v>
          </cell>
          <cell r="AX207">
            <v>0</v>
          </cell>
          <cell r="AY207">
            <v>1261.4800519999999</v>
          </cell>
          <cell r="AZ207">
            <v>1261.4800519999999</v>
          </cell>
          <cell r="BA207">
            <v>0</v>
          </cell>
          <cell r="BB207">
            <v>0</v>
          </cell>
          <cell r="BC207">
            <v>0</v>
          </cell>
          <cell r="BD207" t="e">
            <v>#DIV/0!</v>
          </cell>
          <cell r="BE207">
            <v>0</v>
          </cell>
          <cell r="BF207">
            <v>1261.4800519999999</v>
          </cell>
          <cell r="BG207">
            <v>1261.4800519999999</v>
          </cell>
          <cell r="BH207">
            <v>0</v>
          </cell>
          <cell r="BI207">
            <v>0</v>
          </cell>
          <cell r="BJ207">
            <v>0</v>
          </cell>
          <cell r="BK207" t="e">
            <v>#DIV/0!</v>
          </cell>
          <cell r="BL207">
            <v>0</v>
          </cell>
          <cell r="BM207">
            <v>1261.4800519999999</v>
          </cell>
          <cell r="BN207">
            <v>1261.4800519999999</v>
          </cell>
          <cell r="BO207">
            <v>0</v>
          </cell>
          <cell r="BP207">
            <v>0</v>
          </cell>
          <cell r="BQ207">
            <v>0</v>
          </cell>
          <cell r="BR207" t="e">
            <v>#DIV/0!</v>
          </cell>
          <cell r="BS207">
            <v>0</v>
          </cell>
          <cell r="BT207">
            <v>1261.4800519999999</v>
          </cell>
          <cell r="BU207">
            <v>1261.4800519999999</v>
          </cell>
          <cell r="BV207">
            <v>0</v>
          </cell>
          <cell r="BW207">
            <v>0</v>
          </cell>
          <cell r="BX207">
            <v>0</v>
          </cell>
          <cell r="BY207" t="e">
            <v>#DIV/0!</v>
          </cell>
          <cell r="BZ207">
            <v>0</v>
          </cell>
          <cell r="CA207">
            <v>1261.4800519999999</v>
          </cell>
          <cell r="CB207">
            <v>1261.4800519999999</v>
          </cell>
          <cell r="CC207">
            <v>0</v>
          </cell>
          <cell r="CD207">
            <v>0</v>
          </cell>
          <cell r="CE207">
            <v>0</v>
          </cell>
          <cell r="CF207" t="e">
            <v>#DIV/0!</v>
          </cell>
          <cell r="CG207">
            <v>0</v>
          </cell>
          <cell r="CH207">
            <v>1261.4800519999999</v>
          </cell>
        </row>
        <row r="208">
          <cell r="A208" t="str">
            <v>Digitação / Atual. Sistemas / Lanç. Planilhas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 t="e">
            <v>#DIV/0!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 t="e">
            <v>#DIV/0!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 t="e">
            <v>#DIV/0!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 t="e">
            <v>#DIV/0!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 t="e">
            <v>#DIV/0!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 t="e">
            <v>#DIV/0!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 t="e">
            <v>#DIV/0!</v>
          </cell>
          <cell r="CG208">
            <v>0</v>
          </cell>
          <cell r="CH208">
            <v>0</v>
          </cell>
        </row>
        <row r="209">
          <cell r="A209" t="str">
            <v>Diligências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 t="e">
            <v>#DIV/0!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 t="e">
            <v>#DIV/0!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 t="e">
            <v>#DIV/0!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 t="e">
            <v>#DIV/0!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 t="e">
            <v>#DIV/0!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 t="e">
            <v>#DIV/0!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 t="e">
            <v>#DIV/0!</v>
          </cell>
          <cell r="CG209">
            <v>0</v>
          </cell>
          <cell r="CH209">
            <v>0</v>
          </cell>
        </row>
        <row r="210">
          <cell r="A210" t="str">
            <v>Encargos</v>
          </cell>
          <cell r="B210">
            <v>8.6523416522862992E-4</v>
          </cell>
          <cell r="C210">
            <v>338.19044994764897</v>
          </cell>
          <cell r="D210">
            <v>962.60673492962599</v>
          </cell>
          <cell r="E210">
            <v>2.6496498076993065E-2</v>
          </cell>
          <cell r="F210">
            <v>485.77193446204387</v>
          </cell>
          <cell r="G210">
            <v>1.9698780797325378E-2</v>
          </cell>
          <cell r="H210">
            <v>962.60673492962599</v>
          </cell>
          <cell r="I210">
            <v>485.77193446204387</v>
          </cell>
          <cell r="J210">
            <v>-476.83480046758211</v>
          </cell>
          <cell r="K210">
            <v>962.60673492962599</v>
          </cell>
          <cell r="L210">
            <v>2.6496498076993065E-2</v>
          </cell>
          <cell r="M210">
            <v>962.60673492962599</v>
          </cell>
          <cell r="N210">
            <v>3.880696371415545E-2</v>
          </cell>
          <cell r="O210">
            <v>1925.213469859252</v>
          </cell>
          <cell r="P210">
            <v>1448.37866939167</v>
          </cell>
          <cell r="Q210">
            <v>-476.834800467582</v>
          </cell>
          <cell r="R210">
            <v>962.60673492962599</v>
          </cell>
          <cell r="S210">
            <v>2.6496498076993065E-2</v>
          </cell>
          <cell r="T210">
            <v>660.35139607531198</v>
          </cell>
          <cell r="U210">
            <v>9.5974617803429969E-4</v>
          </cell>
          <cell r="V210">
            <v>2887.8202047888781</v>
          </cell>
          <cell r="W210">
            <v>2108.7300654669821</v>
          </cell>
          <cell r="X210">
            <v>-779.090139321896</v>
          </cell>
          <cell r="Y210">
            <v>962.60673492962599</v>
          </cell>
          <cell r="Z210">
            <v>2.6496498076993065E-2</v>
          </cell>
          <cell r="AA210">
            <v>0</v>
          </cell>
          <cell r="AB210">
            <v>0</v>
          </cell>
          <cell r="AC210">
            <v>3850.4269397185039</v>
          </cell>
          <cell r="AD210">
            <v>2108.7300654669821</v>
          </cell>
          <cell r="AE210">
            <v>-1741.6968742515219</v>
          </cell>
          <cell r="AF210">
            <v>962.60673492962599</v>
          </cell>
          <cell r="AG210">
            <v>2.6496498076993065E-2</v>
          </cell>
          <cell r="AH210">
            <v>0</v>
          </cell>
          <cell r="AI210">
            <v>0</v>
          </cell>
          <cell r="AJ210">
            <v>4813.0336746481298</v>
          </cell>
          <cell r="AK210">
            <v>2108.7300654669821</v>
          </cell>
          <cell r="AL210">
            <v>-2704.3036091811477</v>
          </cell>
          <cell r="AM210">
            <v>962.60673492962599</v>
          </cell>
          <cell r="AN210">
            <v>2.6496498076993065E-2</v>
          </cell>
          <cell r="AO210">
            <v>0</v>
          </cell>
          <cell r="AP210" t="e">
            <v>#DIV/0!</v>
          </cell>
          <cell r="AQ210">
            <v>5775.6404095777561</v>
          </cell>
          <cell r="AR210">
            <v>2108.7300654669821</v>
          </cell>
          <cell r="AS210">
            <v>-3666.9103441107741</v>
          </cell>
          <cell r="AT210">
            <v>962.60673492962599</v>
          </cell>
          <cell r="AU210">
            <v>2.6496498076993065E-2</v>
          </cell>
          <cell r="AV210">
            <v>0</v>
          </cell>
          <cell r="AW210" t="e">
            <v>#DIV/0!</v>
          </cell>
          <cell r="AX210">
            <v>6738.2471445073825</v>
          </cell>
          <cell r="AY210">
            <v>2108.7300654669821</v>
          </cell>
          <cell r="AZ210">
            <v>-4629.5170790404009</v>
          </cell>
          <cell r="BA210">
            <v>962.60673492962599</v>
          </cell>
          <cell r="BB210">
            <v>2.6496498076993065E-2</v>
          </cell>
          <cell r="BC210">
            <v>0</v>
          </cell>
          <cell r="BD210" t="e">
            <v>#DIV/0!</v>
          </cell>
          <cell r="BE210">
            <v>7700.8538794370088</v>
          </cell>
          <cell r="BF210">
            <v>2108.7300654669821</v>
          </cell>
          <cell r="BG210">
            <v>-5592.1238139700272</v>
          </cell>
          <cell r="BH210">
            <v>962.60673492962599</v>
          </cell>
          <cell r="BI210">
            <v>2.6496498076993065E-2</v>
          </cell>
          <cell r="BJ210">
            <v>0</v>
          </cell>
          <cell r="BK210" t="e">
            <v>#DIV/0!</v>
          </cell>
          <cell r="BL210">
            <v>8663.4606143666351</v>
          </cell>
          <cell r="BM210">
            <v>2108.7300654669821</v>
          </cell>
          <cell r="BN210">
            <v>-6554.7305488996535</v>
          </cell>
          <cell r="BO210">
            <v>962.60673492962599</v>
          </cell>
          <cell r="BP210">
            <v>2.6496498076993065E-2</v>
          </cell>
          <cell r="BQ210">
            <v>0</v>
          </cell>
          <cell r="BR210" t="e">
            <v>#DIV/0!</v>
          </cell>
          <cell r="BS210">
            <v>9626.0673492962615</v>
          </cell>
          <cell r="BT210">
            <v>2108.7300654669821</v>
          </cell>
          <cell r="BU210">
            <v>-7517.3372838292798</v>
          </cell>
          <cell r="BV210">
            <v>962.60673492962599</v>
          </cell>
          <cell r="BW210">
            <v>2.6496498076993065E-2</v>
          </cell>
          <cell r="BX210">
            <v>0</v>
          </cell>
          <cell r="BY210" t="e">
            <v>#DIV/0!</v>
          </cell>
          <cell r="BZ210">
            <v>10588.674084225888</v>
          </cell>
          <cell r="CA210">
            <v>2108.7300654669821</v>
          </cell>
          <cell r="CB210">
            <v>-8479.9440187589062</v>
          </cell>
          <cell r="CC210">
            <v>962.60673492962599</v>
          </cell>
          <cell r="CD210">
            <v>2.6496498076993065E-2</v>
          </cell>
          <cell r="CE210">
            <v>0</v>
          </cell>
          <cell r="CF210" t="e">
            <v>#DIV/0!</v>
          </cell>
          <cell r="CG210">
            <v>11551.280819155514</v>
          </cell>
          <cell r="CH210">
            <v>2108.7300654669821</v>
          </cell>
        </row>
        <row r="211">
          <cell r="A211" t="str">
            <v>Encargos Rescisórios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 t="e">
            <v>#DIV/0!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 t="e">
            <v>#DIV/0!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 t="e">
            <v>#DIV/0!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 t="e">
            <v>#DIV/0!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 t="e">
            <v>#DIV/0!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 t="e">
            <v>#DIV/0!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 t="e">
            <v>#DIV/0!</v>
          </cell>
          <cell r="CG211">
            <v>0</v>
          </cell>
          <cell r="CH211">
            <v>0</v>
          </cell>
        </row>
        <row r="212">
          <cell r="A212" t="str">
            <v>Encerramento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 t="e">
            <v>#DIV/0!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 t="e">
            <v>#DIV/0!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 t="e">
            <v>#DIV/0!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 t="e">
            <v>#DIV/0!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 t="e">
            <v>#DIV/0!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 t="e">
            <v>#DIV/0!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 t="e">
            <v>#DIV/0!</v>
          </cell>
          <cell r="CG212">
            <v>0</v>
          </cell>
          <cell r="CH212">
            <v>0</v>
          </cell>
        </row>
        <row r="213">
          <cell r="A213" t="str">
            <v>Eventos / Representações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 t="e">
            <v>#DIV/0!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 t="e">
            <v>#DIV/0!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 t="e">
            <v>#DIV/0!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 t="e">
            <v>#DIV/0!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 t="e">
            <v>#DIV/0!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 t="e">
            <v>#DIV/0!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 t="e">
            <v>#DIV/0!</v>
          </cell>
          <cell r="CG213">
            <v>0</v>
          </cell>
          <cell r="CH213">
            <v>0</v>
          </cell>
        </row>
        <row r="214">
          <cell r="A214" t="str">
            <v>Férias</v>
          </cell>
          <cell r="B214">
            <v>0</v>
          </cell>
          <cell r="C214">
            <v>0</v>
          </cell>
          <cell r="D214">
            <v>29.791666666666668</v>
          </cell>
          <cell r="E214">
            <v>8.2003876546891301E-4</v>
          </cell>
          <cell r="F214">
            <v>0</v>
          </cell>
          <cell r="G214">
            <v>0</v>
          </cell>
          <cell r="H214">
            <v>29.791666666666668</v>
          </cell>
          <cell r="I214">
            <v>0</v>
          </cell>
          <cell r="J214">
            <v>-29.791666666666668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29.791666666666668</v>
          </cell>
          <cell r="P214">
            <v>0</v>
          </cell>
          <cell r="Q214">
            <v>-29.791666666666668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29.791666666666668</v>
          </cell>
          <cell r="W214">
            <v>0</v>
          </cell>
          <cell r="X214">
            <v>-29.791666666666668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29.791666666666668</v>
          </cell>
          <cell r="AD214">
            <v>0</v>
          </cell>
          <cell r="AE214">
            <v>-29.791666666666668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29.791666666666668</v>
          </cell>
          <cell r="AK214">
            <v>0</v>
          </cell>
          <cell r="AL214">
            <v>-29.791666666666668</v>
          </cell>
          <cell r="AM214">
            <v>0</v>
          </cell>
          <cell r="AN214">
            <v>0</v>
          </cell>
          <cell r="AO214">
            <v>0</v>
          </cell>
          <cell r="AP214" t="e">
            <v>#DIV/0!</v>
          </cell>
          <cell r="AQ214">
            <v>29.791666666666668</v>
          </cell>
          <cell r="AR214">
            <v>0</v>
          </cell>
          <cell r="AS214">
            <v>-29.791666666666668</v>
          </cell>
          <cell r="AT214">
            <v>0</v>
          </cell>
          <cell r="AU214">
            <v>0</v>
          </cell>
          <cell r="AV214">
            <v>0</v>
          </cell>
          <cell r="AW214" t="e">
            <v>#DIV/0!</v>
          </cell>
          <cell r="AX214">
            <v>29.791666666666668</v>
          </cell>
          <cell r="AY214">
            <v>0</v>
          </cell>
          <cell r="AZ214">
            <v>-29.791666666666668</v>
          </cell>
          <cell r="BA214">
            <v>0</v>
          </cell>
          <cell r="BB214">
            <v>0</v>
          </cell>
          <cell r="BC214">
            <v>0</v>
          </cell>
          <cell r="BD214" t="e">
            <v>#DIV/0!</v>
          </cell>
          <cell r="BE214">
            <v>29.791666666666668</v>
          </cell>
          <cell r="BF214">
            <v>0</v>
          </cell>
          <cell r="BG214">
            <v>-29.791666666666668</v>
          </cell>
          <cell r="BH214">
            <v>0</v>
          </cell>
          <cell r="BI214">
            <v>0</v>
          </cell>
          <cell r="BJ214">
            <v>0</v>
          </cell>
          <cell r="BK214" t="e">
            <v>#DIV/0!</v>
          </cell>
          <cell r="BL214">
            <v>29.791666666666668</v>
          </cell>
          <cell r="BM214">
            <v>0</v>
          </cell>
          <cell r="BN214">
            <v>-29.791666666666668</v>
          </cell>
          <cell r="BO214">
            <v>0</v>
          </cell>
          <cell r="BP214">
            <v>0</v>
          </cell>
          <cell r="BQ214">
            <v>0</v>
          </cell>
          <cell r="BR214" t="e">
            <v>#DIV/0!</v>
          </cell>
          <cell r="BS214">
            <v>29.791666666666668</v>
          </cell>
          <cell r="BT214">
            <v>0</v>
          </cell>
          <cell r="BU214">
            <v>-29.791666666666668</v>
          </cell>
          <cell r="BV214">
            <v>0</v>
          </cell>
          <cell r="BW214">
            <v>0</v>
          </cell>
          <cell r="BX214">
            <v>0</v>
          </cell>
          <cell r="BY214" t="e">
            <v>#DIV/0!</v>
          </cell>
          <cell r="BZ214">
            <v>29.791666666666668</v>
          </cell>
          <cell r="CA214">
            <v>0</v>
          </cell>
          <cell r="CB214">
            <v>-29.791666666666668</v>
          </cell>
          <cell r="CC214">
            <v>0</v>
          </cell>
          <cell r="CD214">
            <v>0</v>
          </cell>
          <cell r="CE214">
            <v>0</v>
          </cell>
          <cell r="CF214" t="e">
            <v>#DIV/0!</v>
          </cell>
          <cell r="CG214">
            <v>29.791666666666668</v>
          </cell>
          <cell r="CH214">
            <v>0</v>
          </cell>
        </row>
        <row r="215">
          <cell r="A215" t="str">
            <v>Exames Médicos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 t="e">
            <v>#DIV/0!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 t="e">
            <v>#DIV/0!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 t="e">
            <v>#DIV/0!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 t="e">
            <v>#DIV/0!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 t="e">
            <v>#DIV/0!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 t="e">
            <v>#DIV/0!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 t="e">
            <v>#DIV/0!</v>
          </cell>
          <cell r="CG215">
            <v>0</v>
          </cell>
          <cell r="CH215">
            <v>0</v>
          </cell>
        </row>
        <row r="216">
          <cell r="A216" t="str">
            <v>Parcerias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 t="e">
            <v>#DIV/0!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 t="e">
            <v>#DIV/0!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 t="e">
            <v>#DIV/0!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 t="e">
            <v>#DIV/0!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 t="e">
            <v>#DIV/0!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 t="e">
            <v>#DIV/0!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 t="e">
            <v>#DIV/0!</v>
          </cell>
          <cell r="CG216">
            <v>0</v>
          </cell>
          <cell r="CH216">
            <v>0</v>
          </cell>
        </row>
        <row r="217">
          <cell r="A217" t="str">
            <v>Fotocópia/Xerox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 t="e">
            <v>#DIV/0!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 t="e">
            <v>#DIV/0!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 t="e">
            <v>#DIV/0!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 t="e">
            <v>#DIV/0!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 t="e">
            <v>#DIV/0!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 t="e">
            <v>#DIV/0!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 t="e">
            <v>#DIV/0!</v>
          </cell>
          <cell r="CG217">
            <v>0</v>
          </cell>
          <cell r="CH217">
            <v>0</v>
          </cell>
        </row>
        <row r="218">
          <cell r="A218" t="str">
            <v>IR s/ Salário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 t="e">
            <v>#DIV/0!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 t="e">
            <v>#DIV/0!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 t="e">
            <v>#DIV/0!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 t="e">
            <v>#DIV/0!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 t="e">
            <v>#DIV/0!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 t="e">
            <v>#DIV/0!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 t="e">
            <v>#DIV/0!</v>
          </cell>
          <cell r="CG218">
            <v>0</v>
          </cell>
          <cell r="CH218">
            <v>0</v>
          </cell>
        </row>
        <row r="219">
          <cell r="A219" t="str">
            <v>Consultoria de Projetos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 t="e">
            <v>#DIV/0!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 t="e">
            <v>#DIV/0!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 t="e">
            <v>#DIV/0!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 t="e">
            <v>#DIV/0!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 t="e">
            <v>#DIV/0!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 t="e">
            <v>#DIV/0!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 t="e">
            <v>#DIV/0!</v>
          </cell>
          <cell r="CG219">
            <v>0</v>
          </cell>
          <cell r="CH219">
            <v>0</v>
          </cell>
        </row>
        <row r="220">
          <cell r="A220" t="str">
            <v>Pauta</v>
          </cell>
          <cell r="B220">
            <v>7.6732063690029178E-4</v>
          </cell>
          <cell r="C220">
            <v>299.91939971401348</v>
          </cell>
          <cell r="D220">
            <v>204.50684011891892</v>
          </cell>
          <cell r="E220">
            <v>5.629209623532307E-3</v>
          </cell>
          <cell r="F220">
            <v>218.6308874259521</v>
          </cell>
          <cell r="G220">
            <v>8.8658105201116014E-3</v>
          </cell>
          <cell r="H220">
            <v>204.50684011891892</v>
          </cell>
          <cell r="I220">
            <v>218.6308874259521</v>
          </cell>
          <cell r="J220">
            <v>14.12404730703318</v>
          </cell>
          <cell r="K220">
            <v>204.50684011891892</v>
          </cell>
          <cell r="L220">
            <v>5.629209623532307E-3</v>
          </cell>
          <cell r="M220">
            <v>121.03150176079734</v>
          </cell>
          <cell r="N220">
            <v>4.8793187567344222E-3</v>
          </cell>
          <cell r="O220">
            <v>409.01368023783783</v>
          </cell>
          <cell r="P220">
            <v>339.66238918674946</v>
          </cell>
          <cell r="Q220">
            <v>-69.351291051088367</v>
          </cell>
          <cell r="R220">
            <v>204.50684011891892</v>
          </cell>
          <cell r="S220">
            <v>5.629209623532307E-3</v>
          </cell>
          <cell r="T220">
            <v>389.44816921001927</v>
          </cell>
          <cell r="U220">
            <v>5.660189319856351E-4</v>
          </cell>
          <cell r="V220">
            <v>613.52052035675672</v>
          </cell>
          <cell r="W220">
            <v>729.11055839676874</v>
          </cell>
          <cell r="X220">
            <v>115.59003804001202</v>
          </cell>
          <cell r="Y220">
            <v>204.50684011891892</v>
          </cell>
          <cell r="Z220">
            <v>5.629209623532307E-3</v>
          </cell>
          <cell r="AA220">
            <v>0</v>
          </cell>
          <cell r="AB220">
            <v>0</v>
          </cell>
          <cell r="AC220">
            <v>818.02736047567566</v>
          </cell>
          <cell r="AD220">
            <v>729.11055839676874</v>
          </cell>
          <cell r="AE220">
            <v>-88.916802078906926</v>
          </cell>
          <cell r="AF220">
            <v>204.50684011891892</v>
          </cell>
          <cell r="AG220">
            <v>5.629209623532307E-3</v>
          </cell>
          <cell r="AH220">
            <v>0</v>
          </cell>
          <cell r="AI220">
            <v>0</v>
          </cell>
          <cell r="AJ220">
            <v>1022.5342005945946</v>
          </cell>
          <cell r="AK220">
            <v>729.11055839676874</v>
          </cell>
          <cell r="AL220">
            <v>-293.42364219782587</v>
          </cell>
          <cell r="AM220">
            <v>204.50684011891892</v>
          </cell>
          <cell r="AN220">
            <v>5.629209623532307E-3</v>
          </cell>
          <cell r="AO220">
            <v>0</v>
          </cell>
          <cell r="AP220" t="e">
            <v>#DIV/0!</v>
          </cell>
          <cell r="AQ220">
            <v>1227.0410407135134</v>
          </cell>
          <cell r="AR220">
            <v>729.11055839676874</v>
          </cell>
          <cell r="AS220">
            <v>-497.9304823167447</v>
          </cell>
          <cell r="AT220">
            <v>204.50684011891892</v>
          </cell>
          <cell r="AU220">
            <v>5.629209623532307E-3</v>
          </cell>
          <cell r="AV220">
            <v>0</v>
          </cell>
          <cell r="AW220" t="e">
            <v>#DIV/0!</v>
          </cell>
          <cell r="AX220">
            <v>1431.5478808324324</v>
          </cell>
          <cell r="AY220">
            <v>729.11055839676874</v>
          </cell>
          <cell r="AZ220">
            <v>-702.43732243566365</v>
          </cell>
          <cell r="BA220">
            <v>204.50684011891892</v>
          </cell>
          <cell r="BB220">
            <v>5.629209623532307E-3</v>
          </cell>
          <cell r="BC220">
            <v>0</v>
          </cell>
          <cell r="BD220" t="e">
            <v>#DIV/0!</v>
          </cell>
          <cell r="BE220">
            <v>1636.0547209513513</v>
          </cell>
          <cell r="BF220">
            <v>729.11055839676874</v>
          </cell>
          <cell r="BG220">
            <v>-906.94416255458259</v>
          </cell>
          <cell r="BH220">
            <v>204.50684011891892</v>
          </cell>
          <cell r="BI220">
            <v>5.629209623532307E-3</v>
          </cell>
          <cell r="BJ220">
            <v>0</v>
          </cell>
          <cell r="BK220" t="e">
            <v>#DIV/0!</v>
          </cell>
          <cell r="BL220">
            <v>1840.5615610702703</v>
          </cell>
          <cell r="BM220">
            <v>729.11055839676874</v>
          </cell>
          <cell r="BN220">
            <v>-1111.4510026735015</v>
          </cell>
          <cell r="BO220">
            <v>204.50684011891892</v>
          </cell>
          <cell r="BP220">
            <v>5.629209623532307E-3</v>
          </cell>
          <cell r="BQ220">
            <v>0</v>
          </cell>
          <cell r="BR220" t="e">
            <v>#DIV/0!</v>
          </cell>
          <cell r="BS220">
            <v>2045.0684011891892</v>
          </cell>
          <cell r="BT220">
            <v>729.11055839676874</v>
          </cell>
          <cell r="BU220">
            <v>-1315.9578427924205</v>
          </cell>
          <cell r="BV220">
            <v>204.50684011891892</v>
          </cell>
          <cell r="BW220">
            <v>5.629209623532307E-3</v>
          </cell>
          <cell r="BX220">
            <v>0</v>
          </cell>
          <cell r="BY220" t="e">
            <v>#DIV/0!</v>
          </cell>
          <cell r="BZ220">
            <v>2249.5752413081082</v>
          </cell>
          <cell r="CA220">
            <v>729.11055839676874</v>
          </cell>
          <cell r="CB220">
            <v>-1520.4646829113394</v>
          </cell>
          <cell r="CC220">
            <v>204.50684011891892</v>
          </cell>
          <cell r="CD220">
            <v>5.629209623532307E-3</v>
          </cell>
          <cell r="CE220">
            <v>0</v>
          </cell>
          <cell r="CF220" t="e">
            <v>#DIV/0!</v>
          </cell>
          <cell r="CG220">
            <v>2454.0820814270269</v>
          </cell>
          <cell r="CH220">
            <v>729.11055839676874</v>
          </cell>
        </row>
        <row r="221">
          <cell r="A221" t="str">
            <v>Pauta - Gestão de Pauta</v>
          </cell>
          <cell r="B221">
            <v>5.7364857842959237E-4</v>
          </cell>
          <cell r="C221">
            <v>224.21961435106962</v>
          </cell>
          <cell r="D221">
            <v>377.42719829455888</v>
          </cell>
          <cell r="E221">
            <v>1.0388976796996723E-2</v>
          </cell>
          <cell r="F221">
            <v>275.51758749575805</v>
          </cell>
          <cell r="G221">
            <v>1.1172651561060749E-2</v>
          </cell>
          <cell r="H221">
            <v>377.42719829455888</v>
          </cell>
          <cell r="I221">
            <v>275.51758749575805</v>
          </cell>
          <cell r="J221">
            <v>-101.90961079880083</v>
          </cell>
          <cell r="K221">
            <v>377.42719829455888</v>
          </cell>
          <cell r="L221">
            <v>1.0388976796996723E-2</v>
          </cell>
          <cell r="M221">
            <v>112.38277035968801</v>
          </cell>
          <cell r="N221">
            <v>4.5306498834786543E-3</v>
          </cell>
          <cell r="O221">
            <v>754.85439658911775</v>
          </cell>
          <cell r="P221">
            <v>387.90035785544603</v>
          </cell>
          <cell r="Q221">
            <v>-366.95403873367172</v>
          </cell>
          <cell r="R221">
            <v>377.42719829455888</v>
          </cell>
          <cell r="S221">
            <v>1.0388976796996723E-2</v>
          </cell>
          <cell r="T221">
            <v>209.82195938359254</v>
          </cell>
          <cell r="U221">
            <v>3.0495252191926073E-4</v>
          </cell>
          <cell r="V221">
            <v>1132.2815948836767</v>
          </cell>
          <cell r="W221">
            <v>597.7223172390386</v>
          </cell>
          <cell r="X221">
            <v>-534.55927764463809</v>
          </cell>
          <cell r="Y221">
            <v>377.42719829455888</v>
          </cell>
          <cell r="Z221">
            <v>1.0388976796996723E-2</v>
          </cell>
          <cell r="AA221">
            <v>0</v>
          </cell>
          <cell r="AB221">
            <v>0</v>
          </cell>
          <cell r="AC221">
            <v>1509.7087931782355</v>
          </cell>
          <cell r="AD221">
            <v>597.7223172390386</v>
          </cell>
          <cell r="AE221">
            <v>-911.98647593919691</v>
          </cell>
          <cell r="AF221">
            <v>377.42719829455888</v>
          </cell>
          <cell r="AG221">
            <v>1.0388976796996723E-2</v>
          </cell>
          <cell r="AH221">
            <v>0</v>
          </cell>
          <cell r="AI221">
            <v>0</v>
          </cell>
          <cell r="AJ221">
            <v>1887.1359914727943</v>
          </cell>
          <cell r="AK221">
            <v>597.7223172390386</v>
          </cell>
          <cell r="AL221">
            <v>-1289.4136742337557</v>
          </cell>
          <cell r="AM221">
            <v>377.42719829455888</v>
          </cell>
          <cell r="AN221">
            <v>1.0388976796996723E-2</v>
          </cell>
          <cell r="AO221">
            <v>0</v>
          </cell>
          <cell r="AP221" t="e">
            <v>#DIV/0!</v>
          </cell>
          <cell r="AQ221">
            <v>2264.5631897673534</v>
          </cell>
          <cell r="AR221">
            <v>597.7223172390386</v>
          </cell>
          <cell r="AS221">
            <v>-1666.8408725283148</v>
          </cell>
          <cell r="AT221">
            <v>377.42719829455888</v>
          </cell>
          <cell r="AU221">
            <v>1.0388976796996723E-2</v>
          </cell>
          <cell r="AV221">
            <v>0</v>
          </cell>
          <cell r="AW221" t="e">
            <v>#DIV/0!</v>
          </cell>
          <cell r="AX221">
            <v>2641.9903880619122</v>
          </cell>
          <cell r="AY221">
            <v>597.7223172390386</v>
          </cell>
          <cell r="AZ221">
            <v>-2044.2680708228736</v>
          </cell>
          <cell r="BA221">
            <v>377.42719829455888</v>
          </cell>
          <cell r="BB221">
            <v>1.0388976796996723E-2</v>
          </cell>
          <cell r="BC221">
            <v>0</v>
          </cell>
          <cell r="BD221" t="e">
            <v>#DIV/0!</v>
          </cell>
          <cell r="BE221">
            <v>3019.417586356471</v>
          </cell>
          <cell r="BF221">
            <v>597.7223172390386</v>
          </cell>
          <cell r="BG221">
            <v>-2421.6952691174324</v>
          </cell>
          <cell r="BH221">
            <v>377.42719829455888</v>
          </cell>
          <cell r="BI221">
            <v>1.0388976796996723E-2</v>
          </cell>
          <cell r="BJ221">
            <v>0</v>
          </cell>
          <cell r="BK221" t="e">
            <v>#DIV/0!</v>
          </cell>
          <cell r="BL221">
            <v>3396.8447846510298</v>
          </cell>
          <cell r="BM221">
            <v>597.7223172390386</v>
          </cell>
          <cell r="BN221">
            <v>-2799.1224674119912</v>
          </cell>
          <cell r="BO221">
            <v>377.42719829455888</v>
          </cell>
          <cell r="BP221">
            <v>1.0388976796996723E-2</v>
          </cell>
          <cell r="BQ221">
            <v>0</v>
          </cell>
          <cell r="BR221" t="e">
            <v>#DIV/0!</v>
          </cell>
          <cell r="BS221">
            <v>3774.2719829455887</v>
          </cell>
          <cell r="BT221">
            <v>597.7223172390386</v>
          </cell>
          <cell r="BU221">
            <v>-3176.5496657065501</v>
          </cell>
          <cell r="BV221">
            <v>377.42719829455888</v>
          </cell>
          <cell r="BW221">
            <v>1.0388976796996723E-2</v>
          </cell>
          <cell r="BX221">
            <v>0</v>
          </cell>
          <cell r="BY221" t="e">
            <v>#DIV/0!</v>
          </cell>
          <cell r="BZ221">
            <v>4151.6991812401475</v>
          </cell>
          <cell r="CA221">
            <v>597.7223172390386</v>
          </cell>
          <cell r="CB221">
            <v>-3553.9768640011089</v>
          </cell>
          <cell r="CC221">
            <v>377.42719829455888</v>
          </cell>
          <cell r="CD221">
            <v>1.0388976796996723E-2</v>
          </cell>
          <cell r="CE221">
            <v>0</v>
          </cell>
          <cell r="CF221" t="e">
            <v>#DIV/0!</v>
          </cell>
          <cell r="CG221">
            <v>4529.1263795347068</v>
          </cell>
          <cell r="CH221">
            <v>597.7223172390386</v>
          </cell>
        </row>
        <row r="222">
          <cell r="A222" t="str">
            <v>Seguro de Vida</v>
          </cell>
          <cell r="B222">
            <v>1.0870741511609311E-4</v>
          </cell>
          <cell r="C222">
            <v>42.490011500000001</v>
          </cell>
          <cell r="D222">
            <v>46.58</v>
          </cell>
          <cell r="E222">
            <v>1.2821506806895205E-3</v>
          </cell>
          <cell r="F222">
            <v>43.738002000000002</v>
          </cell>
          <cell r="G222">
            <v>1.773641605839416E-3</v>
          </cell>
          <cell r="H222">
            <v>46.58</v>
          </cell>
          <cell r="I222">
            <v>43.738002000000002</v>
          </cell>
          <cell r="J222">
            <v>-2.8419979999999967</v>
          </cell>
          <cell r="K222">
            <v>46.58</v>
          </cell>
          <cell r="L222">
            <v>1.2821506806895205E-3</v>
          </cell>
          <cell r="M222">
            <v>58.701000000000001</v>
          </cell>
          <cell r="N222">
            <v>2.3664986897802861E-3</v>
          </cell>
          <cell r="O222">
            <v>93.16</v>
          </cell>
          <cell r="P222">
            <v>102.439002</v>
          </cell>
          <cell r="Q222">
            <v>9.2790020000000055</v>
          </cell>
          <cell r="R222">
            <v>46.58</v>
          </cell>
          <cell r="S222">
            <v>1.2821506806895205E-3</v>
          </cell>
          <cell r="T222">
            <v>45.464508000000002</v>
          </cell>
          <cell r="U222">
            <v>6.6077527886733523E-5</v>
          </cell>
          <cell r="V222">
            <v>139.74</v>
          </cell>
          <cell r="W222">
            <v>147.90351000000001</v>
          </cell>
          <cell r="X222">
            <v>8.1635100000000023</v>
          </cell>
          <cell r="Y222">
            <v>46.58</v>
          </cell>
          <cell r="Z222">
            <v>1.2821506806895205E-3</v>
          </cell>
          <cell r="AA222">
            <v>0</v>
          </cell>
          <cell r="AB222">
            <v>0</v>
          </cell>
          <cell r="AC222">
            <v>186.32</v>
          </cell>
          <cell r="AD222">
            <v>147.90351000000001</v>
          </cell>
          <cell r="AE222">
            <v>-38.416489999999982</v>
          </cell>
          <cell r="AF222">
            <v>46.58</v>
          </cell>
          <cell r="AG222">
            <v>1.2821506806895205E-3</v>
          </cell>
          <cell r="AH222">
            <v>0</v>
          </cell>
          <cell r="AI222">
            <v>0</v>
          </cell>
          <cell r="AJ222">
            <v>232.89999999999998</v>
          </cell>
          <cell r="AK222">
            <v>147.90351000000001</v>
          </cell>
          <cell r="AL222">
            <v>-84.996489999999966</v>
          </cell>
          <cell r="AM222">
            <v>46.58</v>
          </cell>
          <cell r="AN222">
            <v>1.2821506806895205E-3</v>
          </cell>
          <cell r="AO222">
            <v>0</v>
          </cell>
          <cell r="AP222" t="e">
            <v>#DIV/0!</v>
          </cell>
          <cell r="AQ222">
            <v>279.47999999999996</v>
          </cell>
          <cell r="AR222">
            <v>147.90351000000001</v>
          </cell>
          <cell r="AS222">
            <v>-131.57648999999995</v>
          </cell>
          <cell r="AT222">
            <v>46.58</v>
          </cell>
          <cell r="AU222">
            <v>1.2821506806895205E-3</v>
          </cell>
          <cell r="AV222">
            <v>0</v>
          </cell>
          <cell r="AW222" t="e">
            <v>#DIV/0!</v>
          </cell>
          <cell r="AX222">
            <v>326.05999999999995</v>
          </cell>
          <cell r="AY222">
            <v>147.90351000000001</v>
          </cell>
          <cell r="AZ222">
            <v>-178.15648999999993</v>
          </cell>
          <cell r="BA222">
            <v>46.58</v>
          </cell>
          <cell r="BB222">
            <v>1.2821506806895205E-3</v>
          </cell>
          <cell r="BC222">
            <v>0</v>
          </cell>
          <cell r="BD222" t="e">
            <v>#DIV/0!</v>
          </cell>
          <cell r="BE222">
            <v>372.63999999999993</v>
          </cell>
          <cell r="BF222">
            <v>147.90351000000001</v>
          </cell>
          <cell r="BG222">
            <v>-224.73648999999992</v>
          </cell>
          <cell r="BH222">
            <v>46.58</v>
          </cell>
          <cell r="BI222">
            <v>1.2821506806895205E-3</v>
          </cell>
          <cell r="BJ222">
            <v>0</v>
          </cell>
          <cell r="BK222" t="e">
            <v>#DIV/0!</v>
          </cell>
          <cell r="BL222">
            <v>419.21999999999991</v>
          </cell>
          <cell r="BM222">
            <v>147.90351000000001</v>
          </cell>
          <cell r="BN222">
            <v>-271.31648999999993</v>
          </cell>
          <cell r="BO222">
            <v>46.58</v>
          </cell>
          <cell r="BP222">
            <v>1.2821506806895205E-3</v>
          </cell>
          <cell r="BQ222">
            <v>0</v>
          </cell>
          <cell r="BR222" t="e">
            <v>#DIV/0!</v>
          </cell>
          <cell r="BS222">
            <v>465.7999999999999</v>
          </cell>
          <cell r="BT222">
            <v>147.90351000000001</v>
          </cell>
          <cell r="BU222">
            <v>-317.89648999999986</v>
          </cell>
          <cell r="BV222">
            <v>46.58</v>
          </cell>
          <cell r="BW222">
            <v>1.2821506806895205E-3</v>
          </cell>
          <cell r="BX222">
            <v>0</v>
          </cell>
          <cell r="BY222" t="e">
            <v>#DIV/0!</v>
          </cell>
          <cell r="BZ222">
            <v>512.37999999999988</v>
          </cell>
          <cell r="CA222">
            <v>147.90351000000001</v>
          </cell>
          <cell r="CB222">
            <v>-364.4764899999999</v>
          </cell>
          <cell r="CC222">
            <v>46.58</v>
          </cell>
          <cell r="CD222">
            <v>1.2821506806895205E-3</v>
          </cell>
          <cell r="CE222">
            <v>0</v>
          </cell>
          <cell r="CF222" t="e">
            <v>#DIV/0!</v>
          </cell>
          <cell r="CG222">
            <v>558.95999999999992</v>
          </cell>
          <cell r="CH222">
            <v>147.90351000000001</v>
          </cell>
        </row>
        <row r="223">
          <cell r="A223" t="str">
            <v>Plano de Saúde</v>
          </cell>
          <cell r="B223">
            <v>4.1173207787634399E-3</v>
          </cell>
          <cell r="C223">
            <v>1609.3199074968029</v>
          </cell>
          <cell r="D223">
            <v>1271.04</v>
          </cell>
          <cell r="E223">
            <v>3.4986363271438566E-2</v>
          </cell>
          <cell r="F223">
            <v>1254.4555189999999</v>
          </cell>
          <cell r="G223">
            <v>5.0870053487429026E-2</v>
          </cell>
          <cell r="H223">
            <v>1271.04</v>
          </cell>
          <cell r="I223">
            <v>1254.4555189999999</v>
          </cell>
          <cell r="J223">
            <v>-16.584481000000096</v>
          </cell>
          <cell r="K223">
            <v>1271.04</v>
          </cell>
          <cell r="L223">
            <v>3.4986363271438566E-2</v>
          </cell>
          <cell r="M223">
            <v>1330.1655753571426</v>
          </cell>
          <cell r="N223">
            <v>5.3624897212543543E-2</v>
          </cell>
          <cell r="O223">
            <v>2542.08</v>
          </cell>
          <cell r="P223">
            <v>2584.6210943571423</v>
          </cell>
          <cell r="Q223">
            <v>42.541094357142356</v>
          </cell>
          <cell r="R223">
            <v>1271.04</v>
          </cell>
          <cell r="S223">
            <v>3.4986363271438566E-2</v>
          </cell>
          <cell r="T223">
            <v>1518.154901833334</v>
          </cell>
          <cell r="U223">
            <v>2.2064666984249188E-3</v>
          </cell>
          <cell r="V223">
            <v>3813.12</v>
          </cell>
          <cell r="W223">
            <v>4102.7759961904758</v>
          </cell>
          <cell r="X223">
            <v>289.65599619047589</v>
          </cell>
          <cell r="Y223">
            <v>1271.04</v>
          </cell>
          <cell r="Z223">
            <v>3.4986363271438566E-2</v>
          </cell>
          <cell r="AA223">
            <v>0</v>
          </cell>
          <cell r="AB223">
            <v>0</v>
          </cell>
          <cell r="AC223">
            <v>5084.16</v>
          </cell>
          <cell r="AD223">
            <v>4102.7759961904758</v>
          </cell>
          <cell r="AE223">
            <v>-981.38400380952407</v>
          </cell>
          <cell r="AF223">
            <v>1271.04</v>
          </cell>
          <cell r="AG223">
            <v>3.4986363271438566E-2</v>
          </cell>
          <cell r="AH223">
            <v>0</v>
          </cell>
          <cell r="AI223">
            <v>0</v>
          </cell>
          <cell r="AJ223">
            <v>6355.2</v>
          </cell>
          <cell r="AK223">
            <v>4102.7759961904758</v>
          </cell>
          <cell r="AL223">
            <v>-2252.424003809524</v>
          </cell>
          <cell r="AM223">
            <v>1271.04</v>
          </cell>
          <cell r="AN223">
            <v>3.4986363271438566E-2</v>
          </cell>
          <cell r="AO223">
            <v>0</v>
          </cell>
          <cell r="AP223" t="e">
            <v>#DIV/0!</v>
          </cell>
          <cell r="AQ223">
            <v>7626.24</v>
          </cell>
          <cell r="AR223">
            <v>4102.7759961904758</v>
          </cell>
          <cell r="AS223">
            <v>-3523.464003809524</v>
          </cell>
          <cell r="AT223">
            <v>1271.04</v>
          </cell>
          <cell r="AU223">
            <v>3.4986363271438566E-2</v>
          </cell>
          <cell r="AV223">
            <v>0</v>
          </cell>
          <cell r="AW223" t="e">
            <v>#DIV/0!</v>
          </cell>
          <cell r="AX223">
            <v>8897.2799999999988</v>
          </cell>
          <cell r="AY223">
            <v>4102.7759961904758</v>
          </cell>
          <cell r="AZ223">
            <v>-4794.5040038095231</v>
          </cell>
          <cell r="BA223">
            <v>1271.04</v>
          </cell>
          <cell r="BB223">
            <v>3.4986363271438566E-2</v>
          </cell>
          <cell r="BC223">
            <v>0</v>
          </cell>
          <cell r="BD223" t="e">
            <v>#DIV/0!</v>
          </cell>
          <cell r="BE223">
            <v>10168.32</v>
          </cell>
          <cell r="BF223">
            <v>4102.7759961904758</v>
          </cell>
          <cell r="BG223">
            <v>-6065.5440038095239</v>
          </cell>
          <cell r="BH223">
            <v>1271.04</v>
          </cell>
          <cell r="BI223">
            <v>3.4986363271438566E-2</v>
          </cell>
          <cell r="BJ223">
            <v>0</v>
          </cell>
          <cell r="BK223" t="e">
            <v>#DIV/0!</v>
          </cell>
          <cell r="BL223">
            <v>11439.36</v>
          </cell>
          <cell r="BM223">
            <v>4102.7759961904758</v>
          </cell>
          <cell r="BN223">
            <v>-7336.5840038095248</v>
          </cell>
          <cell r="BO223">
            <v>1461.6959999999999</v>
          </cell>
          <cell r="BP223">
            <v>4.0234317762154345E-2</v>
          </cell>
          <cell r="BQ223">
            <v>0</v>
          </cell>
          <cell r="BR223" t="e">
            <v>#DIV/0!</v>
          </cell>
          <cell r="BS223">
            <v>12901.056</v>
          </cell>
          <cell r="BT223">
            <v>4102.7759961904758</v>
          </cell>
          <cell r="BU223">
            <v>-8798.2800038095247</v>
          </cell>
          <cell r="BV223">
            <v>1461.6959999999999</v>
          </cell>
          <cell r="BW223">
            <v>4.0234317762154345E-2</v>
          </cell>
          <cell r="BX223">
            <v>0</v>
          </cell>
          <cell r="BY223" t="e">
            <v>#DIV/0!</v>
          </cell>
          <cell r="BZ223">
            <v>14362.752</v>
          </cell>
          <cell r="CA223">
            <v>4102.7759961904758</v>
          </cell>
          <cell r="CB223">
            <v>-10259.976003809525</v>
          </cell>
          <cell r="CC223">
            <v>1461.6959999999999</v>
          </cell>
          <cell r="CD223">
            <v>4.0234317762154345E-2</v>
          </cell>
          <cell r="CE223">
            <v>0</v>
          </cell>
          <cell r="CF223" t="e">
            <v>#DIV/0!</v>
          </cell>
          <cell r="CG223">
            <v>15824.448</v>
          </cell>
          <cell r="CH223">
            <v>4102.7759961904758</v>
          </cell>
        </row>
        <row r="224">
          <cell r="A224" t="str">
            <v>Plano Odontológico</v>
          </cell>
          <cell r="B224">
            <v>2.6706736230069437E-5</v>
          </cell>
          <cell r="C224">
            <v>10.438750000000001</v>
          </cell>
          <cell r="D224">
            <v>43.847999999999999</v>
          </cell>
          <cell r="E224">
            <v>1.2069502586276105E-3</v>
          </cell>
          <cell r="F224">
            <v>43.94</v>
          </cell>
          <cell r="G224">
            <v>1.7818329278183292E-3</v>
          </cell>
          <cell r="H224">
            <v>43.847999999999999</v>
          </cell>
          <cell r="I224">
            <v>43.94</v>
          </cell>
          <cell r="J224">
            <v>9.1999999999998749E-2</v>
          </cell>
          <cell r="K224">
            <v>43.847999999999999</v>
          </cell>
          <cell r="L224">
            <v>1.2069502586276105E-3</v>
          </cell>
          <cell r="M224">
            <v>45.772500000000001</v>
          </cell>
          <cell r="N224">
            <v>1.8452932876436203E-3</v>
          </cell>
          <cell r="O224">
            <v>87.695999999999998</v>
          </cell>
          <cell r="P224">
            <v>89.712500000000006</v>
          </cell>
          <cell r="Q224">
            <v>2.0165000000000077</v>
          </cell>
          <cell r="R224">
            <v>43.847999999999999</v>
          </cell>
          <cell r="S224">
            <v>1.2069502586276105E-3</v>
          </cell>
          <cell r="T224">
            <v>52.735999999999997</v>
          </cell>
          <cell r="U224">
            <v>7.664582030965295E-5</v>
          </cell>
          <cell r="V224">
            <v>131.54399999999998</v>
          </cell>
          <cell r="W224">
            <v>142.4485</v>
          </cell>
          <cell r="X224">
            <v>10.904500000000013</v>
          </cell>
          <cell r="Y224">
            <v>43.847999999999999</v>
          </cell>
          <cell r="Z224">
            <v>1.2069502586276105E-3</v>
          </cell>
          <cell r="AA224">
            <v>0</v>
          </cell>
          <cell r="AB224">
            <v>0</v>
          </cell>
          <cell r="AC224">
            <v>175.392</v>
          </cell>
          <cell r="AD224">
            <v>142.4485</v>
          </cell>
          <cell r="AE224">
            <v>-32.9435</v>
          </cell>
          <cell r="AF224">
            <v>43.847999999999999</v>
          </cell>
          <cell r="AG224">
            <v>1.2069502586276105E-3</v>
          </cell>
          <cell r="AH224">
            <v>0</v>
          </cell>
          <cell r="AI224">
            <v>0</v>
          </cell>
          <cell r="AJ224">
            <v>219.24</v>
          </cell>
          <cell r="AK224">
            <v>142.4485</v>
          </cell>
          <cell r="AL224">
            <v>-76.791500000000013</v>
          </cell>
          <cell r="AM224">
            <v>43.847999999999999</v>
          </cell>
          <cell r="AN224">
            <v>1.2069502586276105E-3</v>
          </cell>
          <cell r="AO224">
            <v>0</v>
          </cell>
          <cell r="AP224" t="e">
            <v>#DIV/0!</v>
          </cell>
          <cell r="AQ224">
            <v>263.08800000000002</v>
          </cell>
          <cell r="AR224">
            <v>142.4485</v>
          </cell>
          <cell r="AS224">
            <v>-120.63950000000003</v>
          </cell>
          <cell r="AT224">
            <v>43.847999999999999</v>
          </cell>
          <cell r="AU224">
            <v>1.2069502586276105E-3</v>
          </cell>
          <cell r="AV224">
            <v>0</v>
          </cell>
          <cell r="AW224" t="e">
            <v>#DIV/0!</v>
          </cell>
          <cell r="AX224">
            <v>306.93600000000004</v>
          </cell>
          <cell r="AY224">
            <v>142.4485</v>
          </cell>
          <cell r="AZ224">
            <v>-164.48750000000004</v>
          </cell>
          <cell r="BA224">
            <v>43.847999999999999</v>
          </cell>
          <cell r="BB224">
            <v>1.2069502586276105E-3</v>
          </cell>
          <cell r="BC224">
            <v>0</v>
          </cell>
          <cell r="BD224" t="e">
            <v>#DIV/0!</v>
          </cell>
          <cell r="BE224">
            <v>350.78400000000005</v>
          </cell>
          <cell r="BF224">
            <v>142.4485</v>
          </cell>
          <cell r="BG224">
            <v>-208.33550000000005</v>
          </cell>
          <cell r="BH224">
            <v>43.847999999999999</v>
          </cell>
          <cell r="BI224">
            <v>1.2069502586276105E-3</v>
          </cell>
          <cell r="BJ224">
            <v>0</v>
          </cell>
          <cell r="BK224" t="e">
            <v>#DIV/0!</v>
          </cell>
          <cell r="BL224">
            <v>394.63200000000006</v>
          </cell>
          <cell r="BM224">
            <v>142.4485</v>
          </cell>
          <cell r="BN224">
            <v>-252.18350000000007</v>
          </cell>
          <cell r="BO224">
            <v>43.847999999999999</v>
          </cell>
          <cell r="BP224">
            <v>1.2069502586276105E-3</v>
          </cell>
          <cell r="BQ224">
            <v>0</v>
          </cell>
          <cell r="BR224" t="e">
            <v>#DIV/0!</v>
          </cell>
          <cell r="BS224">
            <v>438.48000000000008</v>
          </cell>
          <cell r="BT224">
            <v>142.4485</v>
          </cell>
          <cell r="BU224">
            <v>-296.03150000000005</v>
          </cell>
          <cell r="BV224">
            <v>43.847999999999999</v>
          </cell>
          <cell r="BW224">
            <v>1.2069502586276105E-3</v>
          </cell>
          <cell r="BX224">
            <v>0</v>
          </cell>
          <cell r="BY224" t="e">
            <v>#DIV/0!</v>
          </cell>
          <cell r="BZ224">
            <v>482.32800000000009</v>
          </cell>
          <cell r="CA224">
            <v>142.4485</v>
          </cell>
          <cell r="CB224">
            <v>-339.87950000000012</v>
          </cell>
          <cell r="CC224">
            <v>43.847999999999999</v>
          </cell>
          <cell r="CD224">
            <v>1.2069502586276105E-3</v>
          </cell>
          <cell r="CE224">
            <v>0</v>
          </cell>
          <cell r="CF224" t="e">
            <v>#DIV/0!</v>
          </cell>
          <cell r="CG224">
            <v>526.17600000000004</v>
          </cell>
          <cell r="CH224">
            <v>142.4485</v>
          </cell>
        </row>
        <row r="225">
          <cell r="A225" t="str">
            <v>Saneamento Gestão</v>
          </cell>
          <cell r="B225">
            <v>3.5921012875034003E-3</v>
          </cell>
          <cell r="C225">
            <v>1404.0295673683909</v>
          </cell>
          <cell r="D225">
            <v>6266.37</v>
          </cell>
          <cell r="E225">
            <v>0.172486701609111</v>
          </cell>
          <cell r="F225">
            <v>5797.2353390049329</v>
          </cell>
          <cell r="G225">
            <v>0.23508659120052444</v>
          </cell>
          <cell r="H225">
            <v>6266.37</v>
          </cell>
          <cell r="I225">
            <v>5797.2353390049329</v>
          </cell>
          <cell r="J225">
            <v>-469.13466099506695</v>
          </cell>
          <cell r="K225">
            <v>3266.37</v>
          </cell>
          <cell r="L225">
            <v>8.9909371380073627E-2</v>
          </cell>
          <cell r="M225">
            <v>0</v>
          </cell>
          <cell r="N225">
            <v>0</v>
          </cell>
          <cell r="O225">
            <v>9532.74</v>
          </cell>
          <cell r="P225">
            <v>5797.2353390049329</v>
          </cell>
          <cell r="Q225">
            <v>-3735.5046609950668</v>
          </cell>
          <cell r="R225">
            <v>3266.37</v>
          </cell>
          <cell r="S225">
            <v>8.9909371380073627E-2</v>
          </cell>
          <cell r="T225">
            <v>-1.233167213547163E-5</v>
          </cell>
          <cell r="U225">
            <v>-1.7922692783163548E-11</v>
          </cell>
          <cell r="V225">
            <v>12799.11</v>
          </cell>
          <cell r="W225">
            <v>5797.2353266732607</v>
          </cell>
          <cell r="X225">
            <v>-7001.8746733267399</v>
          </cell>
          <cell r="Y225">
            <v>3266.37</v>
          </cell>
          <cell r="Z225">
            <v>8.9909371380073627E-2</v>
          </cell>
          <cell r="AA225">
            <v>0</v>
          </cell>
          <cell r="AB225">
            <v>0</v>
          </cell>
          <cell r="AC225">
            <v>16065.48</v>
          </cell>
          <cell r="AD225">
            <v>5797.2353266732607</v>
          </cell>
          <cell r="AE225">
            <v>-10268.244673326739</v>
          </cell>
          <cell r="AF225">
            <v>3266.37</v>
          </cell>
          <cell r="AG225">
            <v>8.9909371380073627E-2</v>
          </cell>
          <cell r="AH225">
            <v>0</v>
          </cell>
          <cell r="AI225">
            <v>0</v>
          </cell>
          <cell r="AJ225">
            <v>19331.849999999999</v>
          </cell>
          <cell r="AK225">
            <v>5797.2353266732607</v>
          </cell>
          <cell r="AL225">
            <v>-13534.614673326738</v>
          </cell>
          <cell r="AM225">
            <v>3266.37</v>
          </cell>
          <cell r="AN225">
            <v>8.9909371380073627E-2</v>
          </cell>
          <cell r="AO225">
            <v>0</v>
          </cell>
          <cell r="AP225" t="e">
            <v>#DIV/0!</v>
          </cell>
          <cell r="AQ225">
            <v>22598.219999999998</v>
          </cell>
          <cell r="AR225">
            <v>5797.2353266732607</v>
          </cell>
          <cell r="AS225">
            <v>-16800.984673326737</v>
          </cell>
          <cell r="AT225">
            <v>3266.37</v>
          </cell>
          <cell r="AU225">
            <v>8.9909371380073627E-2</v>
          </cell>
          <cell r="AV225">
            <v>0</v>
          </cell>
          <cell r="AW225" t="e">
            <v>#DIV/0!</v>
          </cell>
          <cell r="AX225">
            <v>25864.589999999997</v>
          </cell>
          <cell r="AY225">
            <v>5797.2353266732607</v>
          </cell>
          <cell r="AZ225">
            <v>-20067.354673326736</v>
          </cell>
          <cell r="BA225">
            <v>3266.37</v>
          </cell>
          <cell r="BB225">
            <v>8.9909371380073627E-2</v>
          </cell>
          <cell r="BC225">
            <v>0</v>
          </cell>
          <cell r="BD225" t="e">
            <v>#DIV/0!</v>
          </cell>
          <cell r="BE225">
            <v>29130.959999999995</v>
          </cell>
          <cell r="BF225">
            <v>5797.2353266732607</v>
          </cell>
          <cell r="BG225">
            <v>-23333.724673326735</v>
          </cell>
          <cell r="BH225">
            <v>3266.37</v>
          </cell>
          <cell r="BI225">
            <v>8.9909371380073627E-2</v>
          </cell>
          <cell r="BJ225">
            <v>0</v>
          </cell>
          <cell r="BK225" t="e">
            <v>#DIV/0!</v>
          </cell>
          <cell r="BL225">
            <v>32397.329999999994</v>
          </cell>
          <cell r="BM225">
            <v>5797.2353266732607</v>
          </cell>
          <cell r="BN225">
            <v>-26600.094673326734</v>
          </cell>
          <cell r="BO225">
            <v>3266.37</v>
          </cell>
          <cell r="BP225">
            <v>8.9909371380073627E-2</v>
          </cell>
          <cell r="BQ225">
            <v>0</v>
          </cell>
          <cell r="BR225" t="e">
            <v>#DIV/0!</v>
          </cell>
          <cell r="BS225">
            <v>35663.699999999997</v>
          </cell>
          <cell r="BT225">
            <v>5797.2353266732607</v>
          </cell>
          <cell r="BU225">
            <v>-29866.464673326736</v>
          </cell>
          <cell r="BV225">
            <v>3266.37</v>
          </cell>
          <cell r="BW225">
            <v>8.9909371380073627E-2</v>
          </cell>
          <cell r="BX225">
            <v>0</v>
          </cell>
          <cell r="BY225" t="e">
            <v>#DIV/0!</v>
          </cell>
          <cell r="BZ225">
            <v>38930.07</v>
          </cell>
          <cell r="CA225">
            <v>5797.2353266732607</v>
          </cell>
          <cell r="CB225">
            <v>-33132.834673326739</v>
          </cell>
          <cell r="CC225">
            <v>3266.37</v>
          </cell>
          <cell r="CD225">
            <v>8.9909371380073627E-2</v>
          </cell>
          <cell r="CE225">
            <v>0</v>
          </cell>
          <cell r="CF225" t="e">
            <v>#DIV/0!</v>
          </cell>
          <cell r="CG225">
            <v>42196.44</v>
          </cell>
          <cell r="CH225">
            <v>5797.2353266732607</v>
          </cell>
        </row>
        <row r="226">
          <cell r="A226" t="str">
            <v>Remuneração</v>
          </cell>
          <cell r="B226">
            <v>3.4165579873525503E-2</v>
          </cell>
          <cell r="C226">
            <v>13354.1569375</v>
          </cell>
          <cell r="D226">
            <v>9668.3505000000005</v>
          </cell>
          <cell r="E226">
            <v>0.26612885733619296</v>
          </cell>
          <cell r="F226">
            <v>17356.68971095403</v>
          </cell>
          <cell r="G226">
            <v>0.70383980985215044</v>
          </cell>
          <cell r="H226">
            <v>9668.3505000000005</v>
          </cell>
          <cell r="I226">
            <v>17356.68971095403</v>
          </cell>
          <cell r="J226">
            <v>7688.3392109540291</v>
          </cell>
          <cell r="K226">
            <v>9668.3505000000005</v>
          </cell>
          <cell r="L226">
            <v>0.26612885733619296</v>
          </cell>
          <cell r="M226">
            <v>19316.976544287361</v>
          </cell>
          <cell r="N226">
            <v>0.77875333780638423</v>
          </cell>
          <cell r="O226">
            <v>19336.701000000001</v>
          </cell>
          <cell r="P226">
            <v>36673.666255241391</v>
          </cell>
          <cell r="Q226">
            <v>17336.96525524139</v>
          </cell>
          <cell r="R226">
            <v>9668.3505000000005</v>
          </cell>
          <cell r="S226">
            <v>0.26612885733619296</v>
          </cell>
          <cell r="T226">
            <v>20229.912710954031</v>
          </cell>
          <cell r="U226">
            <v>2.9401893479288281E-2</v>
          </cell>
          <cell r="V226">
            <v>29005.051500000001</v>
          </cell>
          <cell r="W226">
            <v>56903.578966195419</v>
          </cell>
          <cell r="X226">
            <v>27898.527466195417</v>
          </cell>
          <cell r="Y226">
            <v>9668.3505000000005</v>
          </cell>
          <cell r="Z226">
            <v>0.26612885733619296</v>
          </cell>
          <cell r="AA226">
            <v>0</v>
          </cell>
          <cell r="AB226">
            <v>0</v>
          </cell>
          <cell r="AC226">
            <v>38673.402000000002</v>
          </cell>
          <cell r="AD226">
            <v>56903.578966195419</v>
          </cell>
          <cell r="AE226">
            <v>18230.176966195417</v>
          </cell>
          <cell r="AF226">
            <v>9668.3505000000005</v>
          </cell>
          <cell r="AG226">
            <v>0.26612885733619296</v>
          </cell>
          <cell r="AH226">
            <v>0</v>
          </cell>
          <cell r="AI226">
            <v>0</v>
          </cell>
          <cell r="AJ226">
            <v>48341.752500000002</v>
          </cell>
          <cell r="AK226">
            <v>56903.578966195419</v>
          </cell>
          <cell r="AL226">
            <v>8561.8264661954163</v>
          </cell>
          <cell r="AM226">
            <v>9668.3505000000005</v>
          </cell>
          <cell r="AN226">
            <v>0.26612885733619296</v>
          </cell>
          <cell r="AO226">
            <v>0</v>
          </cell>
          <cell r="AP226" t="e">
            <v>#DIV/0!</v>
          </cell>
          <cell r="AQ226">
            <v>58010.103000000003</v>
          </cell>
          <cell r="AR226">
            <v>56903.578966195419</v>
          </cell>
          <cell r="AS226">
            <v>-1106.5240338045842</v>
          </cell>
          <cell r="AT226">
            <v>9668.3505000000005</v>
          </cell>
          <cell r="AU226">
            <v>0.26612885733619296</v>
          </cell>
          <cell r="AV226">
            <v>0</v>
          </cell>
          <cell r="AW226" t="e">
            <v>#DIV/0!</v>
          </cell>
          <cell r="AX226">
            <v>67678.453500000003</v>
          </cell>
          <cell r="AY226">
            <v>56903.578966195419</v>
          </cell>
          <cell r="AZ226">
            <v>-10774.874533804585</v>
          </cell>
          <cell r="BA226">
            <v>9668.3505000000005</v>
          </cell>
          <cell r="BB226">
            <v>0.26612885733619296</v>
          </cell>
          <cell r="BC226">
            <v>0</v>
          </cell>
          <cell r="BD226" t="e">
            <v>#DIV/0!</v>
          </cell>
          <cell r="BE226">
            <v>77346.804000000004</v>
          </cell>
          <cell r="BF226">
            <v>56903.578966195419</v>
          </cell>
          <cell r="BG226">
            <v>-20443.225033804585</v>
          </cell>
          <cell r="BH226">
            <v>9668.3505000000005</v>
          </cell>
          <cell r="BI226">
            <v>0.26612885733619296</v>
          </cell>
          <cell r="BJ226">
            <v>0</v>
          </cell>
          <cell r="BK226" t="e">
            <v>#DIV/0!</v>
          </cell>
          <cell r="BL226">
            <v>87015.154500000004</v>
          </cell>
          <cell r="BM226">
            <v>56903.578966195419</v>
          </cell>
          <cell r="BN226">
            <v>-30111.575533804586</v>
          </cell>
          <cell r="BO226">
            <v>9668.3505000000005</v>
          </cell>
          <cell r="BP226">
            <v>0.26612885733619296</v>
          </cell>
          <cell r="BQ226">
            <v>0</v>
          </cell>
          <cell r="BR226" t="e">
            <v>#DIV/0!</v>
          </cell>
          <cell r="BS226">
            <v>96683.505000000005</v>
          </cell>
          <cell r="BT226">
            <v>56903.578966195419</v>
          </cell>
          <cell r="BU226">
            <v>-39779.926033804586</v>
          </cell>
          <cell r="BV226">
            <v>9668.3505000000005</v>
          </cell>
          <cell r="BW226">
            <v>0.26612885733619296</v>
          </cell>
          <cell r="BX226">
            <v>0</v>
          </cell>
          <cell r="BY226" t="e">
            <v>#DIV/0!</v>
          </cell>
          <cell r="BZ226">
            <v>106351.85550000001</v>
          </cell>
          <cell r="CA226">
            <v>56903.578966195419</v>
          </cell>
          <cell r="CB226">
            <v>-49448.276533804587</v>
          </cell>
          <cell r="CC226">
            <v>9668.3505000000005</v>
          </cell>
          <cell r="CD226">
            <v>0.26612885733619296</v>
          </cell>
          <cell r="CE226">
            <v>0</v>
          </cell>
          <cell r="CF226" t="e">
            <v>#DIV/0!</v>
          </cell>
          <cell r="CG226">
            <v>116020.20600000001</v>
          </cell>
          <cell r="CH226">
            <v>56903.578966195419</v>
          </cell>
        </row>
        <row r="227">
          <cell r="A227" t="str">
            <v>Pesquisas/Consultas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 t="e">
            <v>#DIV/0!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 t="e">
            <v>#DIV/0!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 t="e">
            <v>#DIV/0!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 t="e">
            <v>#DIV/0!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 t="e">
            <v>#DIV/0!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 t="e">
            <v>#DIV/0!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 t="e">
            <v>#DIV/0!</v>
          </cell>
          <cell r="CG227">
            <v>0</v>
          </cell>
          <cell r="CH227">
            <v>0</v>
          </cell>
        </row>
        <row r="228">
          <cell r="A228" t="str">
            <v>Sistemas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 t="e">
            <v>#DIV/0!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 t="e">
            <v>#DIV/0!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 t="e">
            <v>#DIV/0!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 t="e">
            <v>#DIV/0!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 t="e">
            <v>#DIV/0!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 t="e">
            <v>#DIV/0!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 t="e">
            <v>#DIV/0!</v>
          </cell>
          <cell r="CG228">
            <v>0</v>
          </cell>
          <cell r="CH228">
            <v>0</v>
          </cell>
        </row>
        <row r="229">
          <cell r="A229" t="str">
            <v>Indenização por Ruptura de Contrato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 t="e">
            <v>#DIV/0!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 t="e">
            <v>#DIV/0!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 t="e">
            <v>#DIV/0!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 t="e">
            <v>#DIV/0!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 t="e">
            <v>#DIV/0!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 t="e">
            <v>#DIV/0!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 t="e">
            <v>#DIV/0!</v>
          </cell>
          <cell r="CG229">
            <v>0</v>
          </cell>
          <cell r="CH229">
            <v>0</v>
          </cell>
        </row>
        <row r="230">
          <cell r="A230" t="str">
            <v>Vale Alimentação / Refeição</v>
          </cell>
          <cell r="B230">
            <v>1.3516787372771103E-4</v>
          </cell>
          <cell r="C230">
            <v>52.832500000000003</v>
          </cell>
          <cell r="D230">
            <v>416.80500000000001</v>
          </cell>
          <cell r="E230">
            <v>1.1472881375371311E-2</v>
          </cell>
          <cell r="F230">
            <v>256.61500000000001</v>
          </cell>
          <cell r="G230">
            <v>1.0406123276561234E-2</v>
          </cell>
          <cell r="H230">
            <v>416.80500000000001</v>
          </cell>
          <cell r="I230">
            <v>256.61500000000001</v>
          </cell>
          <cell r="J230">
            <v>-160.19</v>
          </cell>
          <cell r="K230">
            <v>416.80500000000001</v>
          </cell>
          <cell r="L230">
            <v>1.1472881375371311E-2</v>
          </cell>
          <cell r="M230">
            <v>359.76416666666665</v>
          </cell>
          <cell r="N230">
            <v>1.4503695491500369E-2</v>
          </cell>
          <cell r="O230">
            <v>833.61</v>
          </cell>
          <cell r="P230">
            <v>616.37916666666661</v>
          </cell>
          <cell r="Q230">
            <v>-217.23083333333341</v>
          </cell>
          <cell r="R230">
            <v>416.80500000000001</v>
          </cell>
          <cell r="S230">
            <v>1.1472881375371311E-2</v>
          </cell>
          <cell r="T230">
            <v>441.55999999999995</v>
          </cell>
          <cell r="U230">
            <v>6.4175759283848519E-4</v>
          </cell>
          <cell r="V230">
            <v>1250.415</v>
          </cell>
          <cell r="W230">
            <v>1057.9391666666666</v>
          </cell>
          <cell r="X230">
            <v>-192.47583333333341</v>
          </cell>
          <cell r="Y230">
            <v>416.80500000000001</v>
          </cell>
          <cell r="Z230">
            <v>1.1472881375371311E-2</v>
          </cell>
          <cell r="AA230">
            <v>0</v>
          </cell>
          <cell r="AB230">
            <v>0</v>
          </cell>
          <cell r="AC230">
            <v>1667.22</v>
          </cell>
          <cell r="AD230">
            <v>1057.9391666666666</v>
          </cell>
          <cell r="AE230">
            <v>-609.28083333333348</v>
          </cell>
          <cell r="AF230">
            <v>416.80500000000001</v>
          </cell>
          <cell r="AG230">
            <v>1.1472881375371311E-2</v>
          </cell>
          <cell r="AH230">
            <v>0</v>
          </cell>
          <cell r="AI230">
            <v>0</v>
          </cell>
          <cell r="AJ230">
            <v>2084.0250000000001</v>
          </cell>
          <cell r="AK230">
            <v>1057.9391666666666</v>
          </cell>
          <cell r="AL230">
            <v>-1026.0858333333335</v>
          </cell>
          <cell r="AM230">
            <v>416.80500000000001</v>
          </cell>
          <cell r="AN230">
            <v>1.1472881375371311E-2</v>
          </cell>
          <cell r="AO230">
            <v>0</v>
          </cell>
          <cell r="AP230" t="e">
            <v>#DIV/0!</v>
          </cell>
          <cell r="AQ230">
            <v>2500.83</v>
          </cell>
          <cell r="AR230">
            <v>1057.9391666666666</v>
          </cell>
          <cell r="AS230">
            <v>-1442.8908333333334</v>
          </cell>
          <cell r="AT230">
            <v>416.80500000000001</v>
          </cell>
          <cell r="AU230">
            <v>1.1472881375371311E-2</v>
          </cell>
          <cell r="AV230">
            <v>0</v>
          </cell>
          <cell r="AW230" t="e">
            <v>#DIV/0!</v>
          </cell>
          <cell r="AX230">
            <v>2917.6349999999998</v>
          </cell>
          <cell r="AY230">
            <v>1057.9391666666666</v>
          </cell>
          <cell r="AZ230">
            <v>-1859.6958333333332</v>
          </cell>
          <cell r="BA230">
            <v>416.80500000000001</v>
          </cell>
          <cell r="BB230">
            <v>1.1472881375371311E-2</v>
          </cell>
          <cell r="BC230">
            <v>0</v>
          </cell>
          <cell r="BD230" t="e">
            <v>#DIV/0!</v>
          </cell>
          <cell r="BE230">
            <v>3334.4399999999996</v>
          </cell>
          <cell r="BF230">
            <v>1057.9391666666666</v>
          </cell>
          <cell r="BG230">
            <v>-2276.500833333333</v>
          </cell>
          <cell r="BH230">
            <v>416.80500000000001</v>
          </cell>
          <cell r="BI230">
            <v>1.1472881375371311E-2</v>
          </cell>
          <cell r="BJ230">
            <v>0</v>
          </cell>
          <cell r="BK230" t="e">
            <v>#DIV/0!</v>
          </cell>
          <cell r="BL230">
            <v>3751.2449999999994</v>
          </cell>
          <cell r="BM230">
            <v>1057.9391666666666</v>
          </cell>
          <cell r="BN230">
            <v>-2693.3058333333329</v>
          </cell>
          <cell r="BO230">
            <v>416.80500000000001</v>
          </cell>
          <cell r="BP230">
            <v>1.1472881375371311E-2</v>
          </cell>
          <cell r="BQ230">
            <v>0</v>
          </cell>
          <cell r="BR230" t="e">
            <v>#DIV/0!</v>
          </cell>
          <cell r="BS230">
            <v>4168.0499999999993</v>
          </cell>
          <cell r="BT230">
            <v>1057.9391666666666</v>
          </cell>
          <cell r="BU230">
            <v>-3110.1108333333327</v>
          </cell>
          <cell r="BV230">
            <v>416.80500000000001</v>
          </cell>
          <cell r="BW230">
            <v>1.1472881375371311E-2</v>
          </cell>
          <cell r="BX230">
            <v>0</v>
          </cell>
          <cell r="BY230" t="e">
            <v>#DIV/0!</v>
          </cell>
          <cell r="BZ230">
            <v>4584.8549999999996</v>
          </cell>
          <cell r="CA230">
            <v>1057.9391666666666</v>
          </cell>
          <cell r="CB230">
            <v>-3526.915833333333</v>
          </cell>
          <cell r="CC230">
            <v>416.80500000000001</v>
          </cell>
          <cell r="CD230">
            <v>1.1472881375371311E-2</v>
          </cell>
          <cell r="CE230">
            <v>0</v>
          </cell>
          <cell r="CF230" t="e">
            <v>#DIV/0!</v>
          </cell>
          <cell r="CG230">
            <v>5001.66</v>
          </cell>
          <cell r="CH230">
            <v>1057.9391666666666</v>
          </cell>
        </row>
        <row r="231">
          <cell r="A231" t="str">
            <v>Vale Transporte</v>
          </cell>
          <cell r="B231">
            <v>1.8689279480079329E-4</v>
          </cell>
          <cell r="C231">
            <v>73.050003000000004</v>
          </cell>
          <cell r="D231">
            <v>0</v>
          </cell>
          <cell r="E231">
            <v>0</v>
          </cell>
          <cell r="F231">
            <v>20</v>
          </cell>
          <cell r="G231">
            <v>8.110300081103001E-4</v>
          </cell>
          <cell r="H231">
            <v>0</v>
          </cell>
          <cell r="I231">
            <v>20</v>
          </cell>
          <cell r="J231">
            <v>20</v>
          </cell>
          <cell r="K231">
            <v>0</v>
          </cell>
          <cell r="L231">
            <v>0</v>
          </cell>
          <cell r="M231">
            <v>43.333333333333329</v>
          </cell>
          <cell r="N231">
            <v>1.746959618356514E-3</v>
          </cell>
          <cell r="O231">
            <v>0</v>
          </cell>
          <cell r="P231">
            <v>63.333333333333329</v>
          </cell>
          <cell r="Q231">
            <v>63.333333333333329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63.333333333333329</v>
          </cell>
          <cell r="X231">
            <v>63.333333333333329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63.333333333333329</v>
          </cell>
          <cell r="AE231">
            <v>63.333333333333329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63.333333333333329</v>
          </cell>
          <cell r="AL231">
            <v>63.333333333333329</v>
          </cell>
          <cell r="AM231">
            <v>0</v>
          </cell>
          <cell r="AN231">
            <v>0</v>
          </cell>
          <cell r="AO231">
            <v>0</v>
          </cell>
          <cell r="AP231" t="e">
            <v>#DIV/0!</v>
          </cell>
          <cell r="AQ231">
            <v>0</v>
          </cell>
          <cell r="AR231">
            <v>63.333333333333329</v>
          </cell>
          <cell r="AS231">
            <v>63.333333333333329</v>
          </cell>
          <cell r="AT231">
            <v>0</v>
          </cell>
          <cell r="AU231">
            <v>0</v>
          </cell>
          <cell r="AV231">
            <v>0</v>
          </cell>
          <cell r="AW231" t="e">
            <v>#DIV/0!</v>
          </cell>
          <cell r="AX231">
            <v>0</v>
          </cell>
          <cell r="AY231">
            <v>63.333333333333329</v>
          </cell>
          <cell r="AZ231">
            <v>63.333333333333329</v>
          </cell>
          <cell r="BA231">
            <v>0</v>
          </cell>
          <cell r="BB231">
            <v>0</v>
          </cell>
          <cell r="BC231">
            <v>0</v>
          </cell>
          <cell r="BD231" t="e">
            <v>#DIV/0!</v>
          </cell>
          <cell r="BE231">
            <v>0</v>
          </cell>
          <cell r="BF231">
            <v>63.333333333333329</v>
          </cell>
          <cell r="BG231">
            <v>63.333333333333329</v>
          </cell>
          <cell r="BH231">
            <v>0</v>
          </cell>
          <cell r="BI231">
            <v>0</v>
          </cell>
          <cell r="BJ231">
            <v>0</v>
          </cell>
          <cell r="BK231" t="e">
            <v>#DIV/0!</v>
          </cell>
          <cell r="BL231">
            <v>0</v>
          </cell>
          <cell r="BM231">
            <v>63.333333333333329</v>
          </cell>
          <cell r="BN231">
            <v>63.333333333333329</v>
          </cell>
          <cell r="BO231">
            <v>0</v>
          </cell>
          <cell r="BP231">
            <v>0</v>
          </cell>
          <cell r="BQ231">
            <v>0</v>
          </cell>
          <cell r="BR231" t="e">
            <v>#DIV/0!</v>
          </cell>
          <cell r="BS231">
            <v>0</v>
          </cell>
          <cell r="BT231">
            <v>63.333333333333329</v>
          </cell>
          <cell r="BU231">
            <v>63.333333333333329</v>
          </cell>
          <cell r="BV231">
            <v>0</v>
          </cell>
          <cell r="BW231">
            <v>0</v>
          </cell>
          <cell r="BX231">
            <v>0</v>
          </cell>
          <cell r="BY231" t="e">
            <v>#DIV/0!</v>
          </cell>
          <cell r="BZ231">
            <v>0</v>
          </cell>
          <cell r="CA231">
            <v>63.333333333333329</v>
          </cell>
          <cell r="CB231">
            <v>63.333333333333329</v>
          </cell>
          <cell r="CC231">
            <v>0</v>
          </cell>
          <cell r="CD231">
            <v>0</v>
          </cell>
          <cell r="CE231">
            <v>0</v>
          </cell>
          <cell r="CF231" t="e">
            <v>#DIV/0!</v>
          </cell>
          <cell r="CG231">
            <v>0</v>
          </cell>
          <cell r="CH231">
            <v>63.333333333333329</v>
          </cell>
        </row>
        <row r="232">
          <cell r="A232" t="str">
            <v>Viagens - Alimentação / Hospedagem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 t="e">
            <v>#DIV/0!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 t="e">
            <v>#DIV/0!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 t="e">
            <v>#DIV/0!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 t="e">
            <v>#DIV/0!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 t="e">
            <v>#DIV/0!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 t="e">
            <v>#DIV/0!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 t="e">
            <v>#DIV/0!</v>
          </cell>
          <cell r="CG232">
            <v>0</v>
          </cell>
          <cell r="CH232">
            <v>0</v>
          </cell>
        </row>
        <row r="233">
          <cell r="A233" t="str">
            <v>Viagens - Passagens / Traslados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 t="e">
            <v>#DIV/0!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 t="e">
            <v>#DIV/0!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 t="e">
            <v>#DIV/0!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 t="e">
            <v>#DIV/0!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 t="e">
            <v>#DIV/0!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 t="e">
            <v>#DIV/0!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 t="e">
            <v>#DIV/0!</v>
          </cell>
          <cell r="CG233">
            <v>0</v>
          </cell>
          <cell r="CH233">
            <v>0</v>
          </cell>
        </row>
        <row r="253">
          <cell r="A253" t="str">
            <v>13º (+ Encargos)</v>
          </cell>
          <cell r="B253">
            <v>4.1894173705413673E-4</v>
          </cell>
          <cell r="C253">
            <v>163.75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 t="e">
            <v>#DIV/0!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 t="e">
            <v>#DIV/0!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 t="e">
            <v>#DIV/0!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 t="e">
            <v>#DIV/0!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 t="e">
            <v>#DIV/0!</v>
          </cell>
          <cell r="BS253">
            <v>0</v>
          </cell>
          <cell r="BT253">
            <v>0</v>
          </cell>
          <cell r="BU253">
            <v>0</v>
          </cell>
          <cell r="BV253">
            <v>1050</v>
          </cell>
          <cell r="BW253">
            <v>1.7500000000000002E-2</v>
          </cell>
          <cell r="BX253">
            <v>0</v>
          </cell>
          <cell r="BY253" t="e">
            <v>#DIV/0!</v>
          </cell>
          <cell r="BZ253">
            <v>1050</v>
          </cell>
          <cell r="CA253">
            <v>0</v>
          </cell>
          <cell r="CB253">
            <v>-1050</v>
          </cell>
          <cell r="CC253">
            <v>1050</v>
          </cell>
          <cell r="CD253">
            <v>1.7500000000000002E-2</v>
          </cell>
          <cell r="CE253">
            <v>0</v>
          </cell>
          <cell r="CF253" t="e">
            <v>#DIV/0!</v>
          </cell>
          <cell r="CG253">
            <v>2100</v>
          </cell>
          <cell r="CH253">
            <v>0</v>
          </cell>
        </row>
        <row r="254">
          <cell r="A254" t="str">
            <v>Acordo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 t="e">
            <v>#DIV/0!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 t="e">
            <v>#DIV/0!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 t="e">
            <v>#DIV/0!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 t="e">
            <v>#DIV/0!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 t="e">
            <v>#DIV/0!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 t="e">
            <v>#DIV/0!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 t="e">
            <v>#DIV/0!</v>
          </cell>
          <cell r="CG254">
            <v>0</v>
          </cell>
          <cell r="CH254">
            <v>0</v>
          </cell>
        </row>
        <row r="255">
          <cell r="A255" t="str">
            <v>Aluguel + IPTU + Condomínio + Energia Elétrica</v>
          </cell>
          <cell r="B255">
            <v>0</v>
          </cell>
          <cell r="C255">
            <v>0</v>
          </cell>
          <cell r="D255">
            <v>230.4474752853707</v>
          </cell>
          <cell r="E255">
            <v>4.6089495057074137E-3</v>
          </cell>
          <cell r="F255">
            <v>0</v>
          </cell>
          <cell r="G255">
            <v>0</v>
          </cell>
          <cell r="H255">
            <v>230.4474752853707</v>
          </cell>
          <cell r="I255">
            <v>0</v>
          </cell>
          <cell r="J255">
            <v>-230.4474752853707</v>
          </cell>
          <cell r="K255">
            <v>230.4474752853707</v>
          </cell>
          <cell r="L255">
            <v>4.6089495057074137E-3</v>
          </cell>
          <cell r="M255">
            <v>230.040426</v>
          </cell>
          <cell r="N255">
            <v>0</v>
          </cell>
          <cell r="O255">
            <v>460.8949505707414</v>
          </cell>
          <cell r="P255">
            <v>230.040426</v>
          </cell>
          <cell r="Q255">
            <v>-230.8545245707414</v>
          </cell>
          <cell r="R255">
            <v>230.4474752853707</v>
          </cell>
          <cell r="S255">
            <v>3.8407912547561785E-3</v>
          </cell>
          <cell r="T255">
            <v>225.46312800000001</v>
          </cell>
          <cell r="U255">
            <v>3.2768519408260549E-4</v>
          </cell>
          <cell r="V255">
            <v>691.34242585611207</v>
          </cell>
          <cell r="W255">
            <v>455.50355400000001</v>
          </cell>
          <cell r="X255">
            <v>-235.83887185611206</v>
          </cell>
          <cell r="Y255">
            <v>230.4474752853707</v>
          </cell>
          <cell r="Z255">
            <v>3.8407912547561785E-3</v>
          </cell>
          <cell r="AA255">
            <v>0</v>
          </cell>
          <cell r="AB255">
            <v>0</v>
          </cell>
          <cell r="AC255">
            <v>921.7899011414828</v>
          </cell>
          <cell r="AD255">
            <v>455.50355400000001</v>
          </cell>
          <cell r="AE255">
            <v>-466.28634714148279</v>
          </cell>
          <cell r="AF255">
            <v>230.4474752853707</v>
          </cell>
          <cell r="AG255">
            <v>3.8407912547561785E-3</v>
          </cell>
          <cell r="AH255">
            <v>0</v>
          </cell>
          <cell r="AI255">
            <v>0</v>
          </cell>
          <cell r="AJ255">
            <v>1152.2373764268534</v>
          </cell>
          <cell r="AK255">
            <v>455.50355400000001</v>
          </cell>
          <cell r="AL255">
            <v>-696.73382242685341</v>
          </cell>
          <cell r="AM255">
            <v>230.4474752853707</v>
          </cell>
          <cell r="AN255">
            <v>3.8407912547561785E-3</v>
          </cell>
          <cell r="AO255">
            <v>0</v>
          </cell>
          <cell r="AP255" t="e">
            <v>#DIV/0!</v>
          </cell>
          <cell r="AQ255">
            <v>1382.6848517122241</v>
          </cell>
          <cell r="AR255">
            <v>455.50355400000001</v>
          </cell>
          <cell r="AS255">
            <v>-927.18129771222414</v>
          </cell>
          <cell r="AT255">
            <v>230.4474752853707</v>
          </cell>
          <cell r="AU255">
            <v>3.8407912547561785E-3</v>
          </cell>
          <cell r="AV255">
            <v>0</v>
          </cell>
          <cell r="AW255" t="e">
            <v>#DIV/0!</v>
          </cell>
          <cell r="AX255">
            <v>1613.1323269975949</v>
          </cell>
          <cell r="AY255">
            <v>455.50355400000001</v>
          </cell>
          <cell r="AZ255">
            <v>-1157.6287729975948</v>
          </cell>
          <cell r="BA255">
            <v>230.4474752853707</v>
          </cell>
          <cell r="BB255">
            <v>3.8407912547561785E-3</v>
          </cell>
          <cell r="BC255">
            <v>0</v>
          </cell>
          <cell r="BD255" t="e">
            <v>#DIV/0!</v>
          </cell>
          <cell r="BE255">
            <v>1843.5798022829656</v>
          </cell>
          <cell r="BF255">
            <v>455.50355400000001</v>
          </cell>
          <cell r="BG255">
            <v>-1388.0762482829655</v>
          </cell>
          <cell r="BH255">
            <v>230.4474752853707</v>
          </cell>
          <cell r="BI255">
            <v>3.8407912547561785E-3</v>
          </cell>
          <cell r="BJ255">
            <v>0</v>
          </cell>
          <cell r="BK255" t="e">
            <v>#DIV/0!</v>
          </cell>
          <cell r="BL255">
            <v>2074.0272775683361</v>
          </cell>
          <cell r="BM255">
            <v>455.50355400000001</v>
          </cell>
          <cell r="BN255">
            <v>-1618.5237235683362</v>
          </cell>
          <cell r="BO255">
            <v>239.37772291959956</v>
          </cell>
          <cell r="BP255">
            <v>3.9896287153266593E-3</v>
          </cell>
          <cell r="BQ255">
            <v>0</v>
          </cell>
          <cell r="BR255" t="e">
            <v>#DIV/0!</v>
          </cell>
          <cell r="BS255">
            <v>2313.4050004879355</v>
          </cell>
          <cell r="BT255">
            <v>455.50355400000001</v>
          </cell>
          <cell r="BU255">
            <v>-1857.9014464879356</v>
          </cell>
          <cell r="BV255">
            <v>239.37772291959956</v>
          </cell>
          <cell r="BW255">
            <v>3.9896287153266593E-3</v>
          </cell>
          <cell r="BX255">
            <v>0</v>
          </cell>
          <cell r="BY255" t="e">
            <v>#DIV/0!</v>
          </cell>
          <cell r="BZ255">
            <v>2552.7827234075348</v>
          </cell>
          <cell r="CA255">
            <v>455.50355400000001</v>
          </cell>
          <cell r="CB255">
            <v>-2097.2791694075349</v>
          </cell>
          <cell r="CC255">
            <v>239.37772291959956</v>
          </cell>
          <cell r="CD255">
            <v>3.9896287153266593E-3</v>
          </cell>
          <cell r="CE255">
            <v>0</v>
          </cell>
          <cell r="CF255" t="e">
            <v>#DIV/0!</v>
          </cell>
          <cell r="CG255">
            <v>2792.1604463271342</v>
          </cell>
          <cell r="CH255">
            <v>455.50355400000001</v>
          </cell>
        </row>
        <row r="256">
          <cell r="A256" t="str">
            <v>Aperfeiçoamento - Treinamentos / Livros / Revistas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 t="e">
            <v>#DIV/0!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 t="e">
            <v>#DIV/0!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 t="e">
            <v>#DIV/0!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 t="e">
            <v>#DIV/0!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 t="e">
            <v>#DIV/0!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 t="e">
            <v>#DIV/0!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 t="e">
            <v>#DIV/0!</v>
          </cell>
          <cell r="CG256">
            <v>0</v>
          </cell>
          <cell r="CH256">
            <v>0</v>
          </cell>
        </row>
        <row r="257">
          <cell r="A257" t="str">
            <v>OAB / Associações</v>
          </cell>
          <cell r="B257">
            <v>1.7599721053454104E-3</v>
          </cell>
          <cell r="C257">
            <v>687.91291666666666</v>
          </cell>
          <cell r="D257">
            <v>546.34</v>
          </cell>
          <cell r="E257">
            <v>1.09268E-2</v>
          </cell>
          <cell r="F257">
            <v>0</v>
          </cell>
          <cell r="G257">
            <v>0</v>
          </cell>
          <cell r="H257">
            <v>546.34</v>
          </cell>
          <cell r="I257">
            <v>0</v>
          </cell>
          <cell r="J257">
            <v>-546.34</v>
          </cell>
          <cell r="K257">
            <v>546.34</v>
          </cell>
          <cell r="L257">
            <v>1.09268E-2</v>
          </cell>
          <cell r="M257">
            <v>0</v>
          </cell>
          <cell r="N257">
            <v>0</v>
          </cell>
          <cell r="O257">
            <v>1092.68</v>
          </cell>
          <cell r="P257">
            <v>0</v>
          </cell>
          <cell r="Q257">
            <v>-1092.68</v>
          </cell>
          <cell r="R257">
            <v>546.34</v>
          </cell>
          <cell r="S257">
            <v>9.1056666666666664E-3</v>
          </cell>
          <cell r="T257">
            <v>1197.77</v>
          </cell>
          <cell r="U257">
            <v>1.74082342597643E-3</v>
          </cell>
          <cell r="V257">
            <v>1639.02</v>
          </cell>
          <cell r="W257">
            <v>1197.77</v>
          </cell>
          <cell r="X257">
            <v>-441.25</v>
          </cell>
          <cell r="Y257">
            <v>546.34</v>
          </cell>
          <cell r="Z257">
            <v>9.1056666666666664E-3</v>
          </cell>
          <cell r="AA257">
            <v>0</v>
          </cell>
          <cell r="AB257">
            <v>0</v>
          </cell>
          <cell r="AC257">
            <v>2185.36</v>
          </cell>
          <cell r="AD257">
            <v>1197.77</v>
          </cell>
          <cell r="AE257">
            <v>-987.59000000000015</v>
          </cell>
          <cell r="AF257">
            <v>546.34</v>
          </cell>
          <cell r="AG257">
            <v>9.1056666666666664E-3</v>
          </cell>
          <cell r="AH257">
            <v>0</v>
          </cell>
          <cell r="AI257">
            <v>0</v>
          </cell>
          <cell r="AJ257">
            <v>2731.7000000000003</v>
          </cell>
          <cell r="AK257">
            <v>1197.77</v>
          </cell>
          <cell r="AL257">
            <v>-1533.9300000000003</v>
          </cell>
          <cell r="AM257">
            <v>546.34</v>
          </cell>
          <cell r="AN257">
            <v>9.1056666666666664E-3</v>
          </cell>
          <cell r="AO257">
            <v>0</v>
          </cell>
          <cell r="AP257" t="e">
            <v>#DIV/0!</v>
          </cell>
          <cell r="AQ257">
            <v>3278.0400000000004</v>
          </cell>
          <cell r="AR257">
            <v>1197.77</v>
          </cell>
          <cell r="AS257">
            <v>-2080.2700000000004</v>
          </cell>
          <cell r="AT257">
            <v>546.34</v>
          </cell>
          <cell r="AU257">
            <v>9.1056666666666664E-3</v>
          </cell>
          <cell r="AV257">
            <v>0</v>
          </cell>
          <cell r="AW257" t="e">
            <v>#DIV/0!</v>
          </cell>
          <cell r="AX257">
            <v>3824.3800000000006</v>
          </cell>
          <cell r="AY257">
            <v>1197.77</v>
          </cell>
          <cell r="AZ257">
            <v>-2626.6100000000006</v>
          </cell>
          <cell r="BA257">
            <v>546.34</v>
          </cell>
          <cell r="BB257">
            <v>9.1056666666666664E-3</v>
          </cell>
          <cell r="BC257">
            <v>0</v>
          </cell>
          <cell r="BD257" t="e">
            <v>#DIV/0!</v>
          </cell>
          <cell r="BE257">
            <v>4370.72</v>
          </cell>
          <cell r="BF257">
            <v>1197.77</v>
          </cell>
          <cell r="BG257">
            <v>-3172.9500000000003</v>
          </cell>
          <cell r="BH257">
            <v>546.34</v>
          </cell>
          <cell r="BI257">
            <v>9.1056666666666664E-3</v>
          </cell>
          <cell r="BJ257">
            <v>0</v>
          </cell>
          <cell r="BK257" t="e">
            <v>#DIV/0!</v>
          </cell>
          <cell r="BL257">
            <v>4917.0600000000004</v>
          </cell>
          <cell r="BM257">
            <v>1197.77</v>
          </cell>
          <cell r="BN257">
            <v>-3719.2900000000004</v>
          </cell>
          <cell r="BO257">
            <v>546.34</v>
          </cell>
          <cell r="BP257">
            <v>9.1056666666666664E-3</v>
          </cell>
          <cell r="BQ257">
            <v>0</v>
          </cell>
          <cell r="BR257" t="e">
            <v>#DIV/0!</v>
          </cell>
          <cell r="BS257">
            <v>5463.4000000000005</v>
          </cell>
          <cell r="BT257">
            <v>1197.77</v>
          </cell>
          <cell r="BU257">
            <v>-4265.630000000001</v>
          </cell>
          <cell r="BV257">
            <v>546.34</v>
          </cell>
          <cell r="BW257">
            <v>9.1056666666666664E-3</v>
          </cell>
          <cell r="BX257">
            <v>0</v>
          </cell>
          <cell r="BY257" t="e">
            <v>#DIV/0!</v>
          </cell>
          <cell r="BZ257">
            <v>6009.7400000000007</v>
          </cell>
          <cell r="CA257">
            <v>1197.77</v>
          </cell>
          <cell r="CB257">
            <v>-4811.9700000000012</v>
          </cell>
          <cell r="CC257">
            <v>546.34</v>
          </cell>
          <cell r="CD257">
            <v>9.1056666666666664E-3</v>
          </cell>
          <cell r="CE257">
            <v>0</v>
          </cell>
          <cell r="CF257" t="e">
            <v>#DIV/0!</v>
          </cell>
          <cell r="CG257">
            <v>6556.0800000000008</v>
          </cell>
          <cell r="CH257">
            <v>1197.77</v>
          </cell>
        </row>
        <row r="258">
          <cell r="A258" t="str">
            <v>Back Office / Encerramento</v>
          </cell>
          <cell r="B258">
            <v>6.3740314780844748E-4</v>
          </cell>
          <cell r="C258">
            <v>249.13909554002183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 t="e">
            <v>#DIV/0!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 t="e">
            <v>#DIV/0!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 t="e">
            <v>#DIV/0!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 t="e">
            <v>#DIV/0!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 t="e">
            <v>#DIV/0!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 t="e">
            <v>#DIV/0!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 t="e">
            <v>#DIV/0!</v>
          </cell>
          <cell r="CG258">
            <v>0</v>
          </cell>
          <cell r="CH258">
            <v>0</v>
          </cell>
        </row>
        <row r="259">
          <cell r="A259" t="str">
            <v>Bonificações/Premiações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 t="e">
            <v>#DIV/0!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 t="e">
            <v>#DIV/0!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 t="e">
            <v>#DIV/0!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 t="e">
            <v>#DIV/0!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 t="e">
            <v>#DIV/0!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 t="e">
            <v>#DIV/0!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 t="e">
            <v>#DIV/0!</v>
          </cell>
          <cell r="CG259">
            <v>0</v>
          </cell>
          <cell r="CH259">
            <v>0</v>
          </cell>
        </row>
        <row r="260">
          <cell r="A260" t="str">
            <v>Cadastro</v>
          </cell>
          <cell r="B260">
            <v>7.5348794558125387E-4</v>
          </cell>
          <cell r="C260">
            <v>294.51267366322674</v>
          </cell>
          <cell r="D260">
            <v>183.86217323926181</v>
          </cell>
          <cell r="E260">
            <v>3.6772434647852361E-3</v>
          </cell>
          <cell r="F260">
            <v>504.68166923798691</v>
          </cell>
          <cell r="G260">
            <v>0</v>
          </cell>
          <cell r="H260">
            <v>183.86217323926181</v>
          </cell>
          <cell r="I260">
            <v>504.68166923798691</v>
          </cell>
          <cell r="J260">
            <v>320.81949599872507</v>
          </cell>
          <cell r="K260">
            <v>183.86217323926181</v>
          </cell>
          <cell r="L260">
            <v>3.6772434647852361E-3</v>
          </cell>
          <cell r="M260">
            <v>355.0827609204369</v>
          </cell>
          <cell r="N260">
            <v>0</v>
          </cell>
          <cell r="O260">
            <v>367.72434647852361</v>
          </cell>
          <cell r="P260">
            <v>859.76443015842381</v>
          </cell>
          <cell r="Q260">
            <v>492.04008367990019</v>
          </cell>
          <cell r="R260">
            <v>183.86217323926181</v>
          </cell>
          <cell r="S260">
            <v>3.0643695539876968E-3</v>
          </cell>
          <cell r="T260">
            <v>570.92293889249697</v>
          </cell>
          <cell r="U260">
            <v>8.2977201503741836E-4</v>
          </cell>
          <cell r="V260">
            <v>551.58651971778545</v>
          </cell>
          <cell r="W260">
            <v>1430.6873690509208</v>
          </cell>
          <cell r="X260">
            <v>879.10084933313533</v>
          </cell>
          <cell r="Y260">
            <v>183.86217323926181</v>
          </cell>
          <cell r="Z260">
            <v>3.0643695539876968E-3</v>
          </cell>
          <cell r="AA260">
            <v>0</v>
          </cell>
          <cell r="AB260">
            <v>0</v>
          </cell>
          <cell r="AC260">
            <v>735.44869295704723</v>
          </cell>
          <cell r="AD260">
            <v>1430.6873690509208</v>
          </cell>
          <cell r="AE260">
            <v>695.23867609387355</v>
          </cell>
          <cell r="AF260">
            <v>183.86217323926181</v>
          </cell>
          <cell r="AG260">
            <v>3.0643695539876968E-3</v>
          </cell>
          <cell r="AH260">
            <v>0</v>
          </cell>
          <cell r="AI260">
            <v>0</v>
          </cell>
          <cell r="AJ260">
            <v>919.31086619630901</v>
          </cell>
          <cell r="AK260">
            <v>1430.6873690509208</v>
          </cell>
          <cell r="AL260">
            <v>511.37650285461177</v>
          </cell>
          <cell r="AM260">
            <v>183.86217323926181</v>
          </cell>
          <cell r="AN260">
            <v>3.0643695539876968E-3</v>
          </cell>
          <cell r="AO260">
            <v>0</v>
          </cell>
          <cell r="AP260" t="e">
            <v>#DIV/0!</v>
          </cell>
          <cell r="AQ260">
            <v>1103.1730394355709</v>
          </cell>
          <cell r="AR260">
            <v>1430.6873690509208</v>
          </cell>
          <cell r="AS260">
            <v>327.51432961534988</v>
          </cell>
          <cell r="AT260">
            <v>183.86217323926181</v>
          </cell>
          <cell r="AU260">
            <v>3.0643695539876968E-3</v>
          </cell>
          <cell r="AV260">
            <v>0</v>
          </cell>
          <cell r="AW260" t="e">
            <v>#DIV/0!</v>
          </cell>
          <cell r="AX260">
            <v>1287.0352126748328</v>
          </cell>
          <cell r="AY260">
            <v>1430.6873690509208</v>
          </cell>
          <cell r="AZ260">
            <v>143.65215637608799</v>
          </cell>
          <cell r="BA260">
            <v>183.86217323926181</v>
          </cell>
          <cell r="BB260">
            <v>3.0643695539876968E-3</v>
          </cell>
          <cell r="BC260">
            <v>0</v>
          </cell>
          <cell r="BD260" t="e">
            <v>#DIV/0!</v>
          </cell>
          <cell r="BE260">
            <v>1470.8973859140947</v>
          </cell>
          <cell r="BF260">
            <v>1430.6873690509208</v>
          </cell>
          <cell r="BG260">
            <v>-40.210016863173905</v>
          </cell>
          <cell r="BH260">
            <v>183.86217323926181</v>
          </cell>
          <cell r="BI260">
            <v>3.0643695539876968E-3</v>
          </cell>
          <cell r="BJ260">
            <v>0</v>
          </cell>
          <cell r="BK260" t="e">
            <v>#DIV/0!</v>
          </cell>
          <cell r="BL260">
            <v>1654.7595591533566</v>
          </cell>
          <cell r="BM260">
            <v>1430.6873690509208</v>
          </cell>
          <cell r="BN260">
            <v>-224.0721901024358</v>
          </cell>
          <cell r="BO260">
            <v>183.86217323926181</v>
          </cell>
          <cell r="BP260">
            <v>3.0643695539876968E-3</v>
          </cell>
          <cell r="BQ260">
            <v>0</v>
          </cell>
          <cell r="BR260" t="e">
            <v>#DIV/0!</v>
          </cell>
          <cell r="BS260">
            <v>1838.6217323926185</v>
          </cell>
          <cell r="BT260">
            <v>1430.6873690509208</v>
          </cell>
          <cell r="BU260">
            <v>-407.93436334169769</v>
          </cell>
          <cell r="BV260">
            <v>183.86217323926181</v>
          </cell>
          <cell r="BW260">
            <v>3.0643695539876968E-3</v>
          </cell>
          <cell r="BX260">
            <v>0</v>
          </cell>
          <cell r="BY260" t="e">
            <v>#DIV/0!</v>
          </cell>
          <cell r="BZ260">
            <v>2022.4839056318804</v>
          </cell>
          <cell r="CA260">
            <v>1430.6873690509208</v>
          </cell>
          <cell r="CB260">
            <v>-591.79653658095958</v>
          </cell>
          <cell r="CC260">
            <v>183.86217323926181</v>
          </cell>
          <cell r="CD260">
            <v>3.0643695539876968E-3</v>
          </cell>
          <cell r="CE260">
            <v>0</v>
          </cell>
          <cell r="CF260" t="e">
            <v>#DIV/0!</v>
          </cell>
          <cell r="CG260">
            <v>2206.3460788711423</v>
          </cell>
          <cell r="CH260">
            <v>1430.6873690509208</v>
          </cell>
        </row>
        <row r="261">
          <cell r="A261" t="str">
            <v>Cartório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 t="e">
            <v>#DIV/0!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 t="e">
            <v>#DIV/0!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 t="e">
            <v>#DIV/0!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 t="e">
            <v>#DIV/0!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 t="e">
            <v>#DIV/0!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 t="e">
            <v>#DIV/0!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 t="e">
            <v>#DIV/0!</v>
          </cell>
          <cell r="CG261">
            <v>0</v>
          </cell>
          <cell r="CH261">
            <v>0</v>
          </cell>
        </row>
        <row r="262">
          <cell r="A262" t="str">
            <v>Condenação</v>
          </cell>
          <cell r="B262">
            <v>0</v>
          </cell>
          <cell r="C262">
            <v>0</v>
          </cell>
          <cell r="D262">
            <v>50</v>
          </cell>
          <cell r="E262">
            <v>1E-3</v>
          </cell>
          <cell r="F262">
            <v>0</v>
          </cell>
          <cell r="G262">
            <v>0</v>
          </cell>
          <cell r="H262">
            <v>50</v>
          </cell>
          <cell r="I262">
            <v>0</v>
          </cell>
          <cell r="J262">
            <v>-50</v>
          </cell>
          <cell r="K262">
            <v>50</v>
          </cell>
          <cell r="L262">
            <v>1E-3</v>
          </cell>
          <cell r="M262">
            <v>0</v>
          </cell>
          <cell r="N262">
            <v>0</v>
          </cell>
          <cell r="O262">
            <v>100</v>
          </cell>
          <cell r="P262">
            <v>0</v>
          </cell>
          <cell r="Q262">
            <v>-100</v>
          </cell>
          <cell r="R262">
            <v>50</v>
          </cell>
          <cell r="S262">
            <v>8.3333333333333339E-4</v>
          </cell>
          <cell r="T262">
            <v>0</v>
          </cell>
          <cell r="U262">
            <v>0</v>
          </cell>
          <cell r="V262">
            <v>150</v>
          </cell>
          <cell r="W262">
            <v>0</v>
          </cell>
          <cell r="X262">
            <v>-150</v>
          </cell>
          <cell r="Y262">
            <v>50</v>
          </cell>
          <cell r="Z262">
            <v>8.3333333333333339E-4</v>
          </cell>
          <cell r="AA262">
            <v>0</v>
          </cell>
          <cell r="AB262">
            <v>0</v>
          </cell>
          <cell r="AC262">
            <v>200</v>
          </cell>
          <cell r="AD262">
            <v>0</v>
          </cell>
          <cell r="AE262">
            <v>-200</v>
          </cell>
          <cell r="AF262">
            <v>50</v>
          </cell>
          <cell r="AG262">
            <v>8.3333333333333339E-4</v>
          </cell>
          <cell r="AH262">
            <v>0</v>
          </cell>
          <cell r="AI262">
            <v>0</v>
          </cell>
          <cell r="AJ262">
            <v>250</v>
          </cell>
          <cell r="AK262">
            <v>0</v>
          </cell>
          <cell r="AL262">
            <v>-250</v>
          </cell>
          <cell r="AM262">
            <v>50</v>
          </cell>
          <cell r="AN262">
            <v>8.3333333333333339E-4</v>
          </cell>
          <cell r="AO262">
            <v>0</v>
          </cell>
          <cell r="AP262" t="e">
            <v>#DIV/0!</v>
          </cell>
          <cell r="AQ262">
            <v>300</v>
          </cell>
          <cell r="AR262">
            <v>0</v>
          </cell>
          <cell r="AS262">
            <v>-300</v>
          </cell>
          <cell r="AT262">
            <v>50</v>
          </cell>
          <cell r="AU262">
            <v>8.3333333333333339E-4</v>
          </cell>
          <cell r="AV262">
            <v>0</v>
          </cell>
          <cell r="AW262" t="e">
            <v>#DIV/0!</v>
          </cell>
          <cell r="AX262">
            <v>350</v>
          </cell>
          <cell r="AY262">
            <v>0</v>
          </cell>
          <cell r="AZ262">
            <v>-350</v>
          </cell>
          <cell r="BA262">
            <v>50</v>
          </cell>
          <cell r="BB262">
            <v>8.3333333333333339E-4</v>
          </cell>
          <cell r="BC262">
            <v>0</v>
          </cell>
          <cell r="BD262" t="e">
            <v>#DIV/0!</v>
          </cell>
          <cell r="BE262">
            <v>400</v>
          </cell>
          <cell r="BF262">
            <v>0</v>
          </cell>
          <cell r="BG262">
            <v>-400</v>
          </cell>
          <cell r="BH262">
            <v>50</v>
          </cell>
          <cell r="BI262">
            <v>8.3333333333333339E-4</v>
          </cell>
          <cell r="BJ262">
            <v>0</v>
          </cell>
          <cell r="BK262" t="e">
            <v>#DIV/0!</v>
          </cell>
          <cell r="BL262">
            <v>450</v>
          </cell>
          <cell r="BM262">
            <v>0</v>
          </cell>
          <cell r="BN262">
            <v>-450</v>
          </cell>
          <cell r="BO262">
            <v>50</v>
          </cell>
          <cell r="BP262">
            <v>8.3333333333333339E-4</v>
          </cell>
          <cell r="BQ262">
            <v>0</v>
          </cell>
          <cell r="BR262" t="e">
            <v>#DIV/0!</v>
          </cell>
          <cell r="BS262">
            <v>500</v>
          </cell>
          <cell r="BT262">
            <v>0</v>
          </cell>
          <cell r="BU262">
            <v>-500</v>
          </cell>
          <cell r="BV262">
            <v>50</v>
          </cell>
          <cell r="BW262">
            <v>8.3333333333333339E-4</v>
          </cell>
          <cell r="BX262">
            <v>0</v>
          </cell>
          <cell r="BY262" t="e">
            <v>#DIV/0!</v>
          </cell>
          <cell r="BZ262">
            <v>550</v>
          </cell>
          <cell r="CA262">
            <v>0</v>
          </cell>
          <cell r="CB262">
            <v>-550</v>
          </cell>
          <cell r="CC262">
            <v>50</v>
          </cell>
          <cell r="CD262">
            <v>8.3333333333333339E-4</v>
          </cell>
          <cell r="CE262">
            <v>0</v>
          </cell>
          <cell r="CF262" t="e">
            <v>#DIV/0!</v>
          </cell>
          <cell r="CG262">
            <v>600</v>
          </cell>
          <cell r="CH262">
            <v>0</v>
          </cell>
        </row>
        <row r="263">
          <cell r="A263" t="str">
            <v>Penalidades/Irregularidades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 t="e">
            <v>#DIV/0!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 t="e">
            <v>#DIV/0!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 t="e">
            <v>#DIV/0!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 t="e">
            <v>#DIV/0!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 t="e">
            <v>#DIV/0!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 t="e">
            <v>#DIV/0!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 t="e">
            <v>#DIV/0!</v>
          </cell>
          <cell r="CG263">
            <v>0</v>
          </cell>
          <cell r="CH263">
            <v>0</v>
          </cell>
        </row>
        <row r="264">
          <cell r="A264" t="str">
            <v>Controladoria Jurídica - Custas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 t="e">
            <v>#DIV/0!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 t="e">
            <v>#DIV/0!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 t="e">
            <v>#DIV/0!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 t="e">
            <v>#DIV/0!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 t="e">
            <v>#DIV/0!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 t="e">
            <v>#DIV/0!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 t="e">
            <v>#DIV/0!</v>
          </cell>
          <cell r="CG264">
            <v>0</v>
          </cell>
          <cell r="CH264">
            <v>0</v>
          </cell>
        </row>
        <row r="265">
          <cell r="A265" t="str">
            <v>GNA</v>
          </cell>
          <cell r="B265">
            <v>9.6388943460321442E-4</v>
          </cell>
          <cell r="C265">
            <v>376.75142139366329</v>
          </cell>
          <cell r="D265">
            <v>500</v>
          </cell>
          <cell r="E265">
            <v>0.01</v>
          </cell>
          <cell r="F265">
            <v>0</v>
          </cell>
          <cell r="G265">
            <v>0</v>
          </cell>
          <cell r="H265">
            <v>500</v>
          </cell>
          <cell r="I265">
            <v>0</v>
          </cell>
          <cell r="J265">
            <v>-500</v>
          </cell>
          <cell r="K265">
            <v>500</v>
          </cell>
          <cell r="L265">
            <v>0.01</v>
          </cell>
          <cell r="M265">
            <v>0</v>
          </cell>
          <cell r="N265">
            <v>0</v>
          </cell>
          <cell r="O265">
            <v>1000</v>
          </cell>
          <cell r="P265">
            <v>0</v>
          </cell>
          <cell r="Q265">
            <v>-1000</v>
          </cell>
          <cell r="R265">
            <v>600</v>
          </cell>
          <cell r="S265">
            <v>0.01</v>
          </cell>
          <cell r="T265">
            <v>1515.762596817839</v>
          </cell>
          <cell r="U265">
            <v>2.2029897532576045E-3</v>
          </cell>
          <cell r="V265">
            <v>1600</v>
          </cell>
          <cell r="W265">
            <v>1515.762596817839</v>
          </cell>
          <cell r="X265">
            <v>-84.237403182160961</v>
          </cell>
          <cell r="Y265">
            <v>600</v>
          </cell>
          <cell r="Z265">
            <v>0.01</v>
          </cell>
          <cell r="AA265">
            <v>0</v>
          </cell>
          <cell r="AB265">
            <v>0</v>
          </cell>
          <cell r="AC265">
            <v>2200</v>
          </cell>
          <cell r="AD265">
            <v>1515.762596817839</v>
          </cell>
          <cell r="AE265">
            <v>-684.23740318216096</v>
          </cell>
          <cell r="AF265">
            <v>600</v>
          </cell>
          <cell r="AG265">
            <v>0.01</v>
          </cell>
          <cell r="AH265">
            <v>0</v>
          </cell>
          <cell r="AI265">
            <v>0</v>
          </cell>
          <cell r="AJ265">
            <v>2800</v>
          </cell>
          <cell r="AK265">
            <v>1515.762596817839</v>
          </cell>
          <cell r="AL265">
            <v>-1284.237403182161</v>
          </cell>
          <cell r="AM265">
            <v>600</v>
          </cell>
          <cell r="AN265">
            <v>0.01</v>
          </cell>
          <cell r="AO265">
            <v>0</v>
          </cell>
          <cell r="AP265" t="e">
            <v>#DIV/0!</v>
          </cell>
          <cell r="AQ265">
            <v>3400</v>
          </cell>
          <cell r="AR265">
            <v>1515.762596817839</v>
          </cell>
          <cell r="AS265">
            <v>-1884.237403182161</v>
          </cell>
          <cell r="AT265">
            <v>600</v>
          </cell>
          <cell r="AU265">
            <v>0.01</v>
          </cell>
          <cell r="AV265">
            <v>0</v>
          </cell>
          <cell r="AW265" t="e">
            <v>#DIV/0!</v>
          </cell>
          <cell r="AX265">
            <v>4000</v>
          </cell>
          <cell r="AY265">
            <v>1515.762596817839</v>
          </cell>
          <cell r="AZ265">
            <v>-2484.237403182161</v>
          </cell>
          <cell r="BA265">
            <v>600</v>
          </cell>
          <cell r="BB265">
            <v>0.01</v>
          </cell>
          <cell r="BC265">
            <v>0</v>
          </cell>
          <cell r="BD265" t="e">
            <v>#DIV/0!</v>
          </cell>
          <cell r="BE265">
            <v>4600</v>
          </cell>
          <cell r="BF265">
            <v>1515.762596817839</v>
          </cell>
          <cell r="BG265">
            <v>-3084.237403182161</v>
          </cell>
          <cell r="BH265">
            <v>600</v>
          </cell>
          <cell r="BI265">
            <v>0.01</v>
          </cell>
          <cell r="BJ265">
            <v>0</v>
          </cell>
          <cell r="BK265" t="e">
            <v>#DIV/0!</v>
          </cell>
          <cell r="BL265">
            <v>5200</v>
          </cell>
          <cell r="BM265">
            <v>1515.762596817839</v>
          </cell>
          <cell r="BN265">
            <v>-3684.237403182161</v>
          </cell>
          <cell r="BO265">
            <v>600</v>
          </cell>
          <cell r="BP265">
            <v>0.01</v>
          </cell>
          <cell r="BQ265">
            <v>0</v>
          </cell>
          <cell r="BR265" t="e">
            <v>#DIV/0!</v>
          </cell>
          <cell r="BS265">
            <v>5800</v>
          </cell>
          <cell r="BT265">
            <v>1515.762596817839</v>
          </cell>
          <cell r="BU265">
            <v>-4284.237403182161</v>
          </cell>
          <cell r="BV265">
            <v>600</v>
          </cell>
          <cell r="BW265">
            <v>0.01</v>
          </cell>
          <cell r="BX265">
            <v>0</v>
          </cell>
          <cell r="BY265" t="e">
            <v>#DIV/0!</v>
          </cell>
          <cell r="BZ265">
            <v>6400</v>
          </cell>
          <cell r="CA265">
            <v>1515.762596817839</v>
          </cell>
          <cell r="CB265">
            <v>-4884.237403182161</v>
          </cell>
          <cell r="CC265">
            <v>600</v>
          </cell>
          <cell r="CD265">
            <v>0.01</v>
          </cell>
          <cell r="CE265">
            <v>0</v>
          </cell>
          <cell r="CF265" t="e">
            <v>#DIV/0!</v>
          </cell>
          <cell r="CG265">
            <v>7000</v>
          </cell>
          <cell r="CH265">
            <v>1515.762596817839</v>
          </cell>
        </row>
        <row r="266">
          <cell r="A266" t="str">
            <v>Correios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 t="e">
            <v>#DIV/0!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 t="e">
            <v>#DIV/0!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 t="e">
            <v>#DIV/0!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 t="e">
            <v>#DIV/0!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 t="e">
            <v>#DIV/0!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 t="e">
            <v>#DIV/0!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 t="e">
            <v>#DIV/0!</v>
          </cell>
          <cell r="CG266">
            <v>0</v>
          </cell>
          <cell r="CH266">
            <v>0</v>
          </cell>
        </row>
        <row r="267">
          <cell r="A267" t="str">
            <v xml:space="preserve">Correspondentes </v>
          </cell>
          <cell r="B267">
            <v>1.7375455996227558E-3</v>
          </cell>
          <cell r="C267">
            <v>679.14716241666667</v>
          </cell>
          <cell r="D267">
            <v>600.12707699999999</v>
          </cell>
          <cell r="E267">
            <v>1.200254154E-2</v>
          </cell>
          <cell r="F267">
            <v>477.89937300000003</v>
          </cell>
          <cell r="G267">
            <v>0</v>
          </cell>
          <cell r="H267">
            <v>600.12707699999999</v>
          </cell>
          <cell r="I267">
            <v>477.89937300000003</v>
          </cell>
          <cell r="J267">
            <v>-122.22770399999996</v>
          </cell>
          <cell r="K267">
            <v>600.12707699999999</v>
          </cell>
          <cell r="L267">
            <v>1.200254154E-2</v>
          </cell>
          <cell r="M267">
            <v>465.24691999999999</v>
          </cell>
          <cell r="N267">
            <v>0</v>
          </cell>
          <cell r="O267">
            <v>1200.254154</v>
          </cell>
          <cell r="P267">
            <v>943.14629300000001</v>
          </cell>
          <cell r="Q267">
            <v>-257.10786099999996</v>
          </cell>
          <cell r="R267">
            <v>600.12707699999999</v>
          </cell>
          <cell r="S267">
            <v>1.000211795E-2</v>
          </cell>
          <cell r="T267">
            <v>589.22681</v>
          </cell>
          <cell r="U267">
            <v>8.5637462456177981E-4</v>
          </cell>
          <cell r="V267">
            <v>1800.3812309999998</v>
          </cell>
          <cell r="W267">
            <v>1532.3731029999999</v>
          </cell>
          <cell r="X267">
            <v>-268.00812799999994</v>
          </cell>
          <cell r="Y267">
            <v>600.12707699999999</v>
          </cell>
          <cell r="Z267">
            <v>1.000211795E-2</v>
          </cell>
          <cell r="AA267">
            <v>0</v>
          </cell>
          <cell r="AB267">
            <v>0</v>
          </cell>
          <cell r="AC267">
            <v>2400.5083079999999</v>
          </cell>
          <cell r="AD267">
            <v>1532.3731029999999</v>
          </cell>
          <cell r="AE267">
            <v>-868.13520500000004</v>
          </cell>
          <cell r="AF267">
            <v>600.12707699999999</v>
          </cell>
          <cell r="AG267">
            <v>1.000211795E-2</v>
          </cell>
          <cell r="AH267">
            <v>0</v>
          </cell>
          <cell r="AI267">
            <v>0</v>
          </cell>
          <cell r="AJ267">
            <v>3000.635385</v>
          </cell>
          <cell r="AK267">
            <v>1532.3731029999999</v>
          </cell>
          <cell r="AL267">
            <v>-1468.2622820000001</v>
          </cell>
          <cell r="AM267">
            <v>600.12707699999999</v>
          </cell>
          <cell r="AN267">
            <v>1.000211795E-2</v>
          </cell>
          <cell r="AO267">
            <v>0</v>
          </cell>
          <cell r="AP267" t="e">
            <v>#DIV/0!</v>
          </cell>
          <cell r="AQ267">
            <v>3600.7624620000001</v>
          </cell>
          <cell r="AR267">
            <v>1532.3731029999999</v>
          </cell>
          <cell r="AS267">
            <v>-2068.3893590000002</v>
          </cell>
          <cell r="AT267">
            <v>600.12707699999999</v>
          </cell>
          <cell r="AU267">
            <v>1.000211795E-2</v>
          </cell>
          <cell r="AV267">
            <v>0</v>
          </cell>
          <cell r="AW267" t="e">
            <v>#DIV/0!</v>
          </cell>
          <cell r="AX267">
            <v>4200.8895389999998</v>
          </cell>
          <cell r="AY267">
            <v>1532.3731029999999</v>
          </cell>
          <cell r="AZ267">
            <v>-2668.5164359999999</v>
          </cell>
          <cell r="BA267">
            <v>600.12707699999999</v>
          </cell>
          <cell r="BB267">
            <v>1.000211795E-2</v>
          </cell>
          <cell r="BC267">
            <v>0</v>
          </cell>
          <cell r="BD267" t="e">
            <v>#DIV/0!</v>
          </cell>
          <cell r="BE267">
            <v>4801.0166159999999</v>
          </cell>
          <cell r="BF267">
            <v>1532.3731029999999</v>
          </cell>
          <cell r="BG267">
            <v>-3268.643513</v>
          </cell>
          <cell r="BH267">
            <v>600.12707699999999</v>
          </cell>
          <cell r="BI267">
            <v>1.000211795E-2</v>
          </cell>
          <cell r="BJ267">
            <v>0</v>
          </cell>
          <cell r="BK267" t="e">
            <v>#DIV/0!</v>
          </cell>
          <cell r="BL267">
            <v>5401.143693</v>
          </cell>
          <cell r="BM267">
            <v>1532.3731029999999</v>
          </cell>
          <cell r="BN267">
            <v>-3868.7705900000001</v>
          </cell>
          <cell r="BO267">
            <v>600.12707699999999</v>
          </cell>
          <cell r="BP267">
            <v>1.000211795E-2</v>
          </cell>
          <cell r="BQ267">
            <v>0</v>
          </cell>
          <cell r="BR267" t="e">
            <v>#DIV/0!</v>
          </cell>
          <cell r="BS267">
            <v>6001.2707700000001</v>
          </cell>
          <cell r="BT267">
            <v>1532.3731029999999</v>
          </cell>
          <cell r="BU267">
            <v>-4468.8976670000002</v>
          </cell>
          <cell r="BV267">
            <v>600.12707699999999</v>
          </cell>
          <cell r="BW267">
            <v>1.000211795E-2</v>
          </cell>
          <cell r="BX267">
            <v>0</v>
          </cell>
          <cell r="BY267" t="e">
            <v>#DIV/0!</v>
          </cell>
          <cell r="BZ267">
            <v>6601.3978470000002</v>
          </cell>
          <cell r="CA267">
            <v>1532.3731029999999</v>
          </cell>
          <cell r="CB267">
            <v>-5069.0247440000003</v>
          </cell>
          <cell r="CC267">
            <v>600.12707699999999</v>
          </cell>
          <cell r="CD267">
            <v>1.000211795E-2</v>
          </cell>
          <cell r="CE267">
            <v>0</v>
          </cell>
          <cell r="CF267" t="e">
            <v>#DIV/0!</v>
          </cell>
          <cell r="CG267">
            <v>7201.5249240000003</v>
          </cell>
          <cell r="CH267">
            <v>1532.3731029999999</v>
          </cell>
        </row>
        <row r="268">
          <cell r="A268" t="str">
            <v>Custas/Guias/Despesas</v>
          </cell>
          <cell r="B268">
            <v>0</v>
          </cell>
          <cell r="C268">
            <v>0</v>
          </cell>
          <cell r="D268">
            <v>49.999999999999943</v>
          </cell>
          <cell r="E268">
            <v>9.9999999999999894E-4</v>
          </cell>
          <cell r="F268">
            <v>0</v>
          </cell>
          <cell r="G268">
            <v>0</v>
          </cell>
          <cell r="H268">
            <v>49.999999999999943</v>
          </cell>
          <cell r="I268">
            <v>0</v>
          </cell>
          <cell r="J268">
            <v>-49.999999999999943</v>
          </cell>
          <cell r="K268">
            <v>49.999999999999943</v>
          </cell>
          <cell r="L268">
            <v>9.9999999999999894E-4</v>
          </cell>
          <cell r="M268">
            <v>0</v>
          </cell>
          <cell r="N268">
            <v>0</v>
          </cell>
          <cell r="O268">
            <v>99.999999999999886</v>
          </cell>
          <cell r="P268">
            <v>0</v>
          </cell>
          <cell r="Q268">
            <v>-99.999999999999886</v>
          </cell>
          <cell r="R268">
            <v>49.999999999999943</v>
          </cell>
          <cell r="S268">
            <v>8.3333333333333241E-4</v>
          </cell>
          <cell r="T268">
            <v>0</v>
          </cell>
          <cell r="U268">
            <v>0</v>
          </cell>
          <cell r="V268">
            <v>149.99999999999983</v>
          </cell>
          <cell r="W268">
            <v>0</v>
          </cell>
          <cell r="X268">
            <v>-149.99999999999983</v>
          </cell>
          <cell r="Y268">
            <v>49.999999999999943</v>
          </cell>
          <cell r="Z268">
            <v>8.3333333333333241E-4</v>
          </cell>
          <cell r="AA268">
            <v>0</v>
          </cell>
          <cell r="AB268">
            <v>0</v>
          </cell>
          <cell r="AC268">
            <v>199.99999999999977</v>
          </cell>
          <cell r="AD268">
            <v>0</v>
          </cell>
          <cell r="AE268">
            <v>-199.99999999999977</v>
          </cell>
          <cell r="AF268">
            <v>49.999999999999943</v>
          </cell>
          <cell r="AG268">
            <v>8.3333333333333241E-4</v>
          </cell>
          <cell r="AH268">
            <v>0</v>
          </cell>
          <cell r="AI268">
            <v>0</v>
          </cell>
          <cell r="AJ268">
            <v>249.99999999999972</v>
          </cell>
          <cell r="AK268">
            <v>0</v>
          </cell>
          <cell r="AL268">
            <v>-249.99999999999972</v>
          </cell>
          <cell r="AM268">
            <v>49.999999999999943</v>
          </cell>
          <cell r="AN268">
            <v>8.3333333333333241E-4</v>
          </cell>
          <cell r="AO268">
            <v>0</v>
          </cell>
          <cell r="AP268" t="e">
            <v>#DIV/0!</v>
          </cell>
          <cell r="AQ268">
            <v>299.99999999999966</v>
          </cell>
          <cell r="AR268">
            <v>0</v>
          </cell>
          <cell r="AS268">
            <v>-299.99999999999966</v>
          </cell>
          <cell r="AT268">
            <v>49.999999999999943</v>
          </cell>
          <cell r="AU268">
            <v>8.3333333333333241E-4</v>
          </cell>
          <cell r="AV268">
            <v>0</v>
          </cell>
          <cell r="AW268" t="e">
            <v>#DIV/0!</v>
          </cell>
          <cell r="AX268">
            <v>349.9999999999996</v>
          </cell>
          <cell r="AY268">
            <v>0</v>
          </cell>
          <cell r="AZ268">
            <v>-349.9999999999996</v>
          </cell>
          <cell r="BA268">
            <v>49.999999999999943</v>
          </cell>
          <cell r="BB268">
            <v>8.3333333333333241E-4</v>
          </cell>
          <cell r="BC268">
            <v>0</v>
          </cell>
          <cell r="BD268" t="e">
            <v>#DIV/0!</v>
          </cell>
          <cell r="BE268">
            <v>399.99999999999955</v>
          </cell>
          <cell r="BF268">
            <v>0</v>
          </cell>
          <cell r="BG268">
            <v>-399.99999999999955</v>
          </cell>
          <cell r="BH268">
            <v>49.999999999999943</v>
          </cell>
          <cell r="BI268">
            <v>8.3333333333333241E-4</v>
          </cell>
          <cell r="BJ268">
            <v>0</v>
          </cell>
          <cell r="BK268" t="e">
            <v>#DIV/0!</v>
          </cell>
          <cell r="BL268">
            <v>449.99999999999949</v>
          </cell>
          <cell r="BM268">
            <v>0</v>
          </cell>
          <cell r="BN268">
            <v>-449.99999999999949</v>
          </cell>
          <cell r="BO268">
            <v>49.999999999999943</v>
          </cell>
          <cell r="BP268">
            <v>8.3333333333333241E-4</v>
          </cell>
          <cell r="BQ268">
            <v>0</v>
          </cell>
          <cell r="BR268" t="e">
            <v>#DIV/0!</v>
          </cell>
          <cell r="BS268">
            <v>499.99999999999943</v>
          </cell>
          <cell r="BT268">
            <v>0</v>
          </cell>
          <cell r="BU268">
            <v>-499.99999999999943</v>
          </cell>
          <cell r="BV268">
            <v>49.999999999999943</v>
          </cell>
          <cell r="BW268">
            <v>8.3333333333333241E-4</v>
          </cell>
          <cell r="BX268">
            <v>0</v>
          </cell>
          <cell r="BY268" t="e">
            <v>#DIV/0!</v>
          </cell>
          <cell r="BZ268">
            <v>549.99999999999932</v>
          </cell>
          <cell r="CA268">
            <v>0</v>
          </cell>
          <cell r="CB268">
            <v>-549.99999999999932</v>
          </cell>
          <cell r="CC268">
            <v>49.999999999999943</v>
          </cell>
          <cell r="CD268">
            <v>8.3333333333333241E-4</v>
          </cell>
          <cell r="CE268">
            <v>0</v>
          </cell>
          <cell r="CF268" t="e">
            <v>#DIV/0!</v>
          </cell>
          <cell r="CG268">
            <v>599.99999999999932</v>
          </cell>
          <cell r="CH268">
            <v>0</v>
          </cell>
        </row>
        <row r="269">
          <cell r="A269" t="str">
            <v>Deslocamento</v>
          </cell>
          <cell r="B269">
            <v>6.8693652762769899E-4</v>
          </cell>
          <cell r="C269">
            <v>268.5</v>
          </cell>
          <cell r="D269">
            <v>40</v>
          </cell>
          <cell r="E269">
            <v>8.0000000000000004E-4</v>
          </cell>
          <cell r="F269">
            <v>0</v>
          </cell>
          <cell r="G269">
            <v>0</v>
          </cell>
          <cell r="H269">
            <v>40</v>
          </cell>
          <cell r="I269">
            <v>0</v>
          </cell>
          <cell r="J269">
            <v>-40</v>
          </cell>
          <cell r="K269">
            <v>40</v>
          </cell>
          <cell r="L269">
            <v>8.0000000000000004E-4</v>
          </cell>
          <cell r="M269">
            <v>0</v>
          </cell>
          <cell r="N269">
            <v>0</v>
          </cell>
          <cell r="O269">
            <v>80</v>
          </cell>
          <cell r="P269">
            <v>0</v>
          </cell>
          <cell r="Q269">
            <v>-80</v>
          </cell>
          <cell r="R269">
            <v>40</v>
          </cell>
          <cell r="S269">
            <v>6.6666666666666664E-4</v>
          </cell>
          <cell r="T269">
            <v>0</v>
          </cell>
          <cell r="U269">
            <v>0</v>
          </cell>
          <cell r="V269">
            <v>120</v>
          </cell>
          <cell r="W269">
            <v>0</v>
          </cell>
          <cell r="X269">
            <v>-120</v>
          </cell>
          <cell r="Y269">
            <v>40</v>
          </cell>
          <cell r="Z269">
            <v>6.6666666666666664E-4</v>
          </cell>
          <cell r="AA269">
            <v>0</v>
          </cell>
          <cell r="AB269">
            <v>0</v>
          </cell>
          <cell r="AC269">
            <v>160</v>
          </cell>
          <cell r="AD269">
            <v>0</v>
          </cell>
          <cell r="AE269">
            <v>-160</v>
          </cell>
          <cell r="AF269">
            <v>40</v>
          </cell>
          <cell r="AG269">
            <v>6.6666666666666664E-4</v>
          </cell>
          <cell r="AH269">
            <v>0</v>
          </cell>
          <cell r="AI269">
            <v>0</v>
          </cell>
          <cell r="AJ269">
            <v>200</v>
          </cell>
          <cell r="AK269">
            <v>0</v>
          </cell>
          <cell r="AL269">
            <v>-200</v>
          </cell>
          <cell r="AM269">
            <v>40</v>
          </cell>
          <cell r="AN269">
            <v>6.6666666666666664E-4</v>
          </cell>
          <cell r="AO269">
            <v>0</v>
          </cell>
          <cell r="AP269" t="e">
            <v>#DIV/0!</v>
          </cell>
          <cell r="AQ269">
            <v>240</v>
          </cell>
          <cell r="AR269">
            <v>0</v>
          </cell>
          <cell r="AS269">
            <v>-240</v>
          </cell>
          <cell r="AT269">
            <v>40</v>
          </cell>
          <cell r="AU269">
            <v>6.6666666666666664E-4</v>
          </cell>
          <cell r="AV269">
            <v>0</v>
          </cell>
          <cell r="AW269" t="e">
            <v>#DIV/0!</v>
          </cell>
          <cell r="AX269">
            <v>280</v>
          </cell>
          <cell r="AY269">
            <v>0</v>
          </cell>
          <cell r="AZ269">
            <v>-280</v>
          </cell>
          <cell r="BA269">
            <v>40</v>
          </cell>
          <cell r="BB269">
            <v>6.6666666666666664E-4</v>
          </cell>
          <cell r="BC269">
            <v>0</v>
          </cell>
          <cell r="BD269" t="e">
            <v>#DIV/0!</v>
          </cell>
          <cell r="BE269">
            <v>320</v>
          </cell>
          <cell r="BF269">
            <v>0</v>
          </cell>
          <cell r="BG269">
            <v>-320</v>
          </cell>
          <cell r="BH269">
            <v>40</v>
          </cell>
          <cell r="BI269">
            <v>6.6666666666666664E-4</v>
          </cell>
          <cell r="BJ269">
            <v>0</v>
          </cell>
          <cell r="BK269" t="e">
            <v>#DIV/0!</v>
          </cell>
          <cell r="BL269">
            <v>360</v>
          </cell>
          <cell r="BM269">
            <v>0</v>
          </cell>
          <cell r="BN269">
            <v>-360</v>
          </cell>
          <cell r="BO269">
            <v>40</v>
          </cell>
          <cell r="BP269">
            <v>6.6666666666666664E-4</v>
          </cell>
          <cell r="BQ269">
            <v>0</v>
          </cell>
          <cell r="BR269" t="e">
            <v>#DIV/0!</v>
          </cell>
          <cell r="BS269">
            <v>400</v>
          </cell>
          <cell r="BT269">
            <v>0</v>
          </cell>
          <cell r="BU269">
            <v>-400</v>
          </cell>
          <cell r="BV269">
            <v>40</v>
          </cell>
          <cell r="BW269">
            <v>6.6666666666666664E-4</v>
          </cell>
          <cell r="BX269">
            <v>0</v>
          </cell>
          <cell r="BY269" t="e">
            <v>#DIV/0!</v>
          </cell>
          <cell r="BZ269">
            <v>440</v>
          </cell>
          <cell r="CA269">
            <v>0</v>
          </cell>
          <cell r="CB269">
            <v>-440</v>
          </cell>
          <cell r="CC269">
            <v>40</v>
          </cell>
          <cell r="CD269">
            <v>6.6666666666666664E-4</v>
          </cell>
          <cell r="CE269">
            <v>0</v>
          </cell>
          <cell r="CF269" t="e">
            <v>#DIV/0!</v>
          </cell>
          <cell r="CG269">
            <v>480</v>
          </cell>
          <cell r="CH269">
            <v>0</v>
          </cell>
        </row>
        <row r="270">
          <cell r="A270" t="str">
            <v>Digitação / Atual. Sistemas / Lanç. Planilhas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 t="e">
            <v>#DIV/0!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 t="e">
            <v>#DIV/0!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 t="e">
            <v>#DIV/0!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 t="e">
            <v>#DIV/0!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 t="e">
            <v>#DIV/0!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 t="e">
            <v>#DIV/0!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 t="e">
            <v>#DIV/0!</v>
          </cell>
          <cell r="CG270">
            <v>0</v>
          </cell>
          <cell r="CH270">
            <v>0</v>
          </cell>
        </row>
        <row r="271">
          <cell r="A271" t="str">
            <v>Diligências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 t="e">
            <v>#DIV/0!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 t="e">
            <v>#DIV/0!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 t="e">
            <v>#DIV/0!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 t="e">
            <v>#DIV/0!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 t="e">
            <v>#DIV/0!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 t="e">
            <v>#DIV/0!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 t="e">
            <v>#DIV/0!</v>
          </cell>
          <cell r="CG271">
            <v>0</v>
          </cell>
          <cell r="CH271">
            <v>0</v>
          </cell>
        </row>
        <row r="272">
          <cell r="A272" t="str">
            <v>Encargos</v>
          </cell>
          <cell r="B272">
            <v>9.3284818764843846E-4</v>
          </cell>
          <cell r="C272">
            <v>364.61845936274557</v>
          </cell>
          <cell r="D272">
            <v>57.756404095777562</v>
          </cell>
          <cell r="E272">
            <v>1.1551280819155512E-3</v>
          </cell>
          <cell r="F272">
            <v>485.77193446204387</v>
          </cell>
          <cell r="G272">
            <v>0</v>
          </cell>
          <cell r="H272">
            <v>57.756404095777562</v>
          </cell>
          <cell r="I272">
            <v>485.77193446204387</v>
          </cell>
          <cell r="J272">
            <v>428.01553036626632</v>
          </cell>
          <cell r="K272">
            <v>57.756404095777562</v>
          </cell>
          <cell r="L272">
            <v>1.1551280819155512E-3</v>
          </cell>
          <cell r="M272">
            <v>57.756404095777562</v>
          </cell>
          <cell r="N272">
            <v>0</v>
          </cell>
          <cell r="O272">
            <v>115.51280819155512</v>
          </cell>
          <cell r="P272">
            <v>543.52833855782148</v>
          </cell>
          <cell r="Q272">
            <v>428.01553036626638</v>
          </cell>
          <cell r="R272">
            <v>57.756404095777562</v>
          </cell>
          <cell r="S272">
            <v>9.6260673492962602E-4</v>
          </cell>
          <cell r="T272">
            <v>660.35139607531198</v>
          </cell>
          <cell r="U272">
            <v>9.5974617803429969E-4</v>
          </cell>
          <cell r="V272">
            <v>173.26921228733269</v>
          </cell>
          <cell r="W272">
            <v>1203.8797346331335</v>
          </cell>
          <cell r="X272">
            <v>1030.6105223458007</v>
          </cell>
          <cell r="Y272">
            <v>57.756404095777562</v>
          </cell>
          <cell r="Z272">
            <v>9.6260673492962602E-4</v>
          </cell>
          <cell r="AA272">
            <v>0</v>
          </cell>
          <cell r="AB272">
            <v>0</v>
          </cell>
          <cell r="AC272">
            <v>231.02561638311025</v>
          </cell>
          <cell r="AD272">
            <v>1203.8797346331335</v>
          </cell>
          <cell r="AE272">
            <v>972.85411825002325</v>
          </cell>
          <cell r="AF272">
            <v>57.756404095777562</v>
          </cell>
          <cell r="AG272">
            <v>9.6260673492962602E-4</v>
          </cell>
          <cell r="AH272">
            <v>0</v>
          </cell>
          <cell r="AI272">
            <v>0</v>
          </cell>
          <cell r="AJ272">
            <v>288.78202047888783</v>
          </cell>
          <cell r="AK272">
            <v>1203.8797346331335</v>
          </cell>
          <cell r="AL272">
            <v>915.09771415424564</v>
          </cell>
          <cell r="AM272">
            <v>57.756404095777562</v>
          </cell>
          <cell r="AN272">
            <v>9.6260673492962602E-4</v>
          </cell>
          <cell r="AO272">
            <v>0</v>
          </cell>
          <cell r="AP272" t="e">
            <v>#DIV/0!</v>
          </cell>
          <cell r="AQ272">
            <v>346.53842457466538</v>
          </cell>
          <cell r="AR272">
            <v>1203.8797346331335</v>
          </cell>
          <cell r="AS272">
            <v>857.34131005846803</v>
          </cell>
          <cell r="AT272">
            <v>57.756404095777562</v>
          </cell>
          <cell r="AU272">
            <v>9.6260673492962602E-4</v>
          </cell>
          <cell r="AV272">
            <v>0</v>
          </cell>
          <cell r="AW272" t="e">
            <v>#DIV/0!</v>
          </cell>
          <cell r="AX272">
            <v>404.29482867044294</v>
          </cell>
          <cell r="AY272">
            <v>1203.8797346331335</v>
          </cell>
          <cell r="AZ272">
            <v>799.58490596269053</v>
          </cell>
          <cell r="BA272">
            <v>57.756404095777562</v>
          </cell>
          <cell r="BB272">
            <v>9.6260673492962602E-4</v>
          </cell>
          <cell r="BC272">
            <v>0</v>
          </cell>
          <cell r="BD272" t="e">
            <v>#DIV/0!</v>
          </cell>
          <cell r="BE272">
            <v>462.05123276622049</v>
          </cell>
          <cell r="BF272">
            <v>1203.8797346331335</v>
          </cell>
          <cell r="BG272">
            <v>741.82850186691303</v>
          </cell>
          <cell r="BH272">
            <v>57.756404095777562</v>
          </cell>
          <cell r="BI272">
            <v>9.6260673492962602E-4</v>
          </cell>
          <cell r="BJ272">
            <v>0</v>
          </cell>
          <cell r="BK272" t="e">
            <v>#DIV/0!</v>
          </cell>
          <cell r="BL272">
            <v>519.80763686199805</v>
          </cell>
          <cell r="BM272">
            <v>1203.8797346331335</v>
          </cell>
          <cell r="BN272">
            <v>684.07209777113542</v>
          </cell>
          <cell r="BO272">
            <v>57.756404095777562</v>
          </cell>
          <cell r="BP272">
            <v>9.6260673492962602E-4</v>
          </cell>
          <cell r="BQ272">
            <v>0</v>
          </cell>
          <cell r="BR272" t="e">
            <v>#DIV/0!</v>
          </cell>
          <cell r="BS272">
            <v>577.56404095777566</v>
          </cell>
          <cell r="BT272">
            <v>1203.8797346331335</v>
          </cell>
          <cell r="BU272">
            <v>626.31569367535781</v>
          </cell>
          <cell r="BV272">
            <v>57.756404095777562</v>
          </cell>
          <cell r="BW272">
            <v>9.6260673492962602E-4</v>
          </cell>
          <cell r="BX272">
            <v>0</v>
          </cell>
          <cell r="BY272" t="e">
            <v>#DIV/0!</v>
          </cell>
          <cell r="BZ272">
            <v>635.32044505355327</v>
          </cell>
          <cell r="CA272">
            <v>1203.8797346331335</v>
          </cell>
          <cell r="CB272">
            <v>568.5592895795802</v>
          </cell>
          <cell r="CC272">
            <v>57.756404095777562</v>
          </cell>
          <cell r="CD272">
            <v>9.6260673492962602E-4</v>
          </cell>
          <cell r="CE272">
            <v>0</v>
          </cell>
          <cell r="CF272" t="e">
            <v>#DIV/0!</v>
          </cell>
          <cell r="CG272">
            <v>693.07684914933088</v>
          </cell>
          <cell r="CH272">
            <v>1203.8797346331335</v>
          </cell>
        </row>
        <row r="273">
          <cell r="A273" t="str">
            <v>Encargos Rescisórios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 t="e">
            <v>#DIV/0!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 t="e">
            <v>#DIV/0!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 t="e">
            <v>#DIV/0!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 t="e">
            <v>#DIV/0!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 t="e">
            <v>#DIV/0!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 t="e">
            <v>#DIV/0!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 t="e">
            <v>#DIV/0!</v>
          </cell>
          <cell r="CG273">
            <v>0</v>
          </cell>
          <cell r="CH273">
            <v>0</v>
          </cell>
        </row>
        <row r="274">
          <cell r="A274" t="str">
            <v>Encerramento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 t="e">
            <v>#DIV/0!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 t="e">
            <v>#DIV/0!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 t="e">
            <v>#DIV/0!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 t="e">
            <v>#DIV/0!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 t="e">
            <v>#DIV/0!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 t="e">
            <v>#DIV/0!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 t="e">
            <v>#DIV/0!</v>
          </cell>
          <cell r="CG274">
            <v>0</v>
          </cell>
          <cell r="CH274">
            <v>0</v>
          </cell>
        </row>
        <row r="275">
          <cell r="A275" t="str">
            <v>Eventos / Representações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 t="e">
            <v>#DIV/0!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 t="e">
            <v>#DIV/0!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 t="e">
            <v>#DIV/0!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 t="e">
            <v>#DIV/0!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 t="e">
            <v>#DIV/0!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 t="e">
            <v>#DIV/0!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 t="e">
            <v>#DIV/0!</v>
          </cell>
          <cell r="CG275">
            <v>0</v>
          </cell>
          <cell r="CH275">
            <v>0</v>
          </cell>
        </row>
        <row r="276">
          <cell r="A276" t="str">
            <v>Férias</v>
          </cell>
          <cell r="B276">
            <v>2.2616244541967312E-4</v>
          </cell>
          <cell r="C276">
            <v>88.399166666666659</v>
          </cell>
          <cell r="D276">
            <v>29.791666666666668</v>
          </cell>
          <cell r="E276">
            <v>5.9583333333333331E-4</v>
          </cell>
          <cell r="F276">
            <v>0</v>
          </cell>
          <cell r="G276">
            <v>0</v>
          </cell>
          <cell r="H276">
            <v>29.791666666666668</v>
          </cell>
          <cell r="I276">
            <v>0</v>
          </cell>
          <cell r="J276">
            <v>-29.791666666666668</v>
          </cell>
          <cell r="K276">
            <v>29.791666666666668</v>
          </cell>
          <cell r="L276">
            <v>5.9583333333333331E-4</v>
          </cell>
          <cell r="M276">
            <v>0</v>
          </cell>
          <cell r="N276">
            <v>0</v>
          </cell>
          <cell r="O276">
            <v>59.583333333333336</v>
          </cell>
          <cell r="P276">
            <v>0</v>
          </cell>
          <cell r="Q276">
            <v>-59.583333333333336</v>
          </cell>
          <cell r="R276">
            <v>29.791666666666668</v>
          </cell>
          <cell r="S276">
            <v>4.9652777777777781E-4</v>
          </cell>
          <cell r="T276">
            <v>0</v>
          </cell>
          <cell r="U276">
            <v>0</v>
          </cell>
          <cell r="V276">
            <v>89.375</v>
          </cell>
          <cell r="W276">
            <v>0</v>
          </cell>
          <cell r="X276">
            <v>-89.375</v>
          </cell>
          <cell r="Y276">
            <v>29.791666666666668</v>
          </cell>
          <cell r="Z276">
            <v>4.9652777777777781E-4</v>
          </cell>
          <cell r="AA276">
            <v>0</v>
          </cell>
          <cell r="AB276">
            <v>0</v>
          </cell>
          <cell r="AC276">
            <v>119.16666666666667</v>
          </cell>
          <cell r="AD276">
            <v>0</v>
          </cell>
          <cell r="AE276">
            <v>-119.16666666666667</v>
          </cell>
          <cell r="AF276">
            <v>29.791666666666668</v>
          </cell>
          <cell r="AG276">
            <v>4.9652777777777781E-4</v>
          </cell>
          <cell r="AH276">
            <v>0</v>
          </cell>
          <cell r="AI276">
            <v>0</v>
          </cell>
          <cell r="AJ276">
            <v>148.95833333333334</v>
          </cell>
          <cell r="AK276">
            <v>0</v>
          </cell>
          <cell r="AL276">
            <v>-148.95833333333334</v>
          </cell>
          <cell r="AM276">
            <v>29.791666666666668</v>
          </cell>
          <cell r="AN276">
            <v>4.9652777777777781E-4</v>
          </cell>
          <cell r="AO276">
            <v>0</v>
          </cell>
          <cell r="AP276" t="e">
            <v>#DIV/0!</v>
          </cell>
          <cell r="AQ276">
            <v>178.75</v>
          </cell>
          <cell r="AR276">
            <v>0</v>
          </cell>
          <cell r="AS276">
            <v>-178.75</v>
          </cell>
          <cell r="AT276">
            <v>29.791666666666668</v>
          </cell>
          <cell r="AU276">
            <v>4.9652777777777781E-4</v>
          </cell>
          <cell r="AV276">
            <v>0</v>
          </cell>
          <cell r="AW276" t="e">
            <v>#DIV/0!</v>
          </cell>
          <cell r="AX276">
            <v>208.54166666666666</v>
          </cell>
          <cell r="AY276">
            <v>0</v>
          </cell>
          <cell r="AZ276">
            <v>-208.54166666666666</v>
          </cell>
          <cell r="BA276">
            <v>29.791666666666668</v>
          </cell>
          <cell r="BB276">
            <v>4.9652777777777781E-4</v>
          </cell>
          <cell r="BC276">
            <v>0</v>
          </cell>
          <cell r="BD276" t="e">
            <v>#DIV/0!</v>
          </cell>
          <cell r="BE276">
            <v>238.33333333333331</v>
          </cell>
          <cell r="BF276">
            <v>0</v>
          </cell>
          <cell r="BG276">
            <v>-238.33333333333331</v>
          </cell>
          <cell r="BH276">
            <v>29.791666666666668</v>
          </cell>
          <cell r="BI276">
            <v>4.9652777777777781E-4</v>
          </cell>
          <cell r="BJ276">
            <v>0</v>
          </cell>
          <cell r="BK276" t="e">
            <v>#DIV/0!</v>
          </cell>
          <cell r="BL276">
            <v>268.125</v>
          </cell>
          <cell r="BM276">
            <v>0</v>
          </cell>
          <cell r="BN276">
            <v>-268.125</v>
          </cell>
          <cell r="BO276">
            <v>29.791666666666668</v>
          </cell>
          <cell r="BP276">
            <v>4.9652777777777781E-4</v>
          </cell>
          <cell r="BQ276">
            <v>0</v>
          </cell>
          <cell r="BR276" t="e">
            <v>#DIV/0!</v>
          </cell>
          <cell r="BS276">
            <v>297.91666666666669</v>
          </cell>
          <cell r="BT276">
            <v>0</v>
          </cell>
          <cell r="BU276">
            <v>-297.91666666666669</v>
          </cell>
          <cell r="BV276">
            <v>29.791666666666668</v>
          </cell>
          <cell r="BW276">
            <v>4.9652777777777781E-4</v>
          </cell>
          <cell r="BX276">
            <v>0</v>
          </cell>
          <cell r="BY276" t="e">
            <v>#DIV/0!</v>
          </cell>
          <cell r="BZ276">
            <v>327.70833333333337</v>
          </cell>
          <cell r="CA276">
            <v>0</v>
          </cell>
          <cell r="CB276">
            <v>-327.70833333333337</v>
          </cell>
          <cell r="CC276">
            <v>29.791666666666668</v>
          </cell>
          <cell r="CD276">
            <v>4.9652777777777781E-4</v>
          </cell>
          <cell r="CE276">
            <v>0</v>
          </cell>
          <cell r="CF276" t="e">
            <v>#DIV/0!</v>
          </cell>
          <cell r="CG276">
            <v>357.50000000000006</v>
          </cell>
          <cell r="CH276">
            <v>0</v>
          </cell>
        </row>
        <row r="277">
          <cell r="A277" t="str">
            <v>Exames Médicos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 t="e">
            <v>#DIV/0!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 t="e">
            <v>#DIV/0!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 t="e">
            <v>#DIV/0!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 t="e">
            <v>#DIV/0!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 t="e">
            <v>#DIV/0!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 t="e">
            <v>#DIV/0!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 t="e">
            <v>#DIV/0!</v>
          </cell>
          <cell r="CG277">
            <v>0</v>
          </cell>
          <cell r="CH277">
            <v>0</v>
          </cell>
        </row>
        <row r="278">
          <cell r="A278" t="str">
            <v>Parcerias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 t="e">
            <v>#DIV/0!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 t="e">
            <v>#DIV/0!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 t="e">
            <v>#DIV/0!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 t="e">
            <v>#DIV/0!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 t="e">
            <v>#DIV/0!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 t="e">
            <v>#DIV/0!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 t="e">
            <v>#DIV/0!</v>
          </cell>
          <cell r="CG278">
            <v>0</v>
          </cell>
          <cell r="CH278">
            <v>0</v>
          </cell>
        </row>
        <row r="279">
          <cell r="A279" t="str">
            <v>Fotocópia/Xerox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 t="e">
            <v>#DIV/0!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 t="e">
            <v>#DIV/0!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 t="e">
            <v>#DIV/0!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 t="e">
            <v>#DIV/0!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 t="e">
            <v>#DIV/0!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 t="e">
            <v>#DIV/0!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 t="e">
            <v>#DIV/0!</v>
          </cell>
          <cell r="CG279">
            <v>0</v>
          </cell>
          <cell r="CH279">
            <v>0</v>
          </cell>
        </row>
        <row r="280">
          <cell r="A280" t="str">
            <v>IR s/ Salário</v>
          </cell>
          <cell r="B280">
            <v>3.4127228422521966E-5</v>
          </cell>
          <cell r="C280">
            <v>13.339166666666666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 t="e">
            <v>#DIV/0!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 t="e">
            <v>#DIV/0!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 t="e">
            <v>#DIV/0!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 t="e">
            <v>#DIV/0!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 t="e">
            <v>#DIV/0!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 t="e">
            <v>#DIV/0!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 t="e">
            <v>#DIV/0!</v>
          </cell>
          <cell r="CG280">
            <v>0</v>
          </cell>
          <cell r="CH280">
            <v>0</v>
          </cell>
        </row>
        <row r="281">
          <cell r="A281" t="str">
            <v>Consultoria de Projetos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 t="e">
            <v>#DIV/0!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 t="e">
            <v>#DIV/0!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 t="e">
            <v>#DIV/0!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 t="e">
            <v>#DIV/0!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 t="e">
            <v>#DIV/0!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 t="e">
            <v>#DIV/0!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 t="e">
            <v>#DIV/0!</v>
          </cell>
          <cell r="CG281">
            <v>0</v>
          </cell>
          <cell r="CH281">
            <v>0</v>
          </cell>
        </row>
        <row r="282">
          <cell r="A282" t="str">
            <v>Pauta</v>
          </cell>
          <cell r="B282">
            <v>1.6073899560174057E-3</v>
          </cell>
          <cell r="C282">
            <v>628.27377178664221</v>
          </cell>
          <cell r="D282">
            <v>681.68946706306303</v>
          </cell>
          <cell r="E282">
            <v>1.3633789341261261E-2</v>
          </cell>
          <cell r="F282">
            <v>1238.9083620803951</v>
          </cell>
          <cell r="G282">
            <v>0</v>
          </cell>
          <cell r="H282">
            <v>681.68946706306303</v>
          </cell>
          <cell r="I282">
            <v>1238.9083620803951</v>
          </cell>
          <cell r="J282">
            <v>557.2188950173321</v>
          </cell>
          <cell r="K282">
            <v>681.68946706306303</v>
          </cell>
          <cell r="L282">
            <v>1.3633789341261261E-2</v>
          </cell>
          <cell r="M282">
            <v>1008.5958480066446</v>
          </cell>
          <cell r="N282">
            <v>0</v>
          </cell>
          <cell r="O282">
            <v>1363.3789341261261</v>
          </cell>
          <cell r="P282">
            <v>2247.5042100870396</v>
          </cell>
          <cell r="Q282">
            <v>884.12527596091354</v>
          </cell>
          <cell r="R282">
            <v>681.68946706306303</v>
          </cell>
          <cell r="S282">
            <v>1.1361491117717717E-2</v>
          </cell>
          <cell r="T282">
            <v>616.62626791586388</v>
          </cell>
          <cell r="U282">
            <v>8.9619664231058898E-4</v>
          </cell>
          <cell r="V282">
            <v>2045.068401189189</v>
          </cell>
          <cell r="W282">
            <v>2864.1304780029036</v>
          </cell>
          <cell r="X282">
            <v>819.06207681371461</v>
          </cell>
          <cell r="Y282">
            <v>681.68946706306303</v>
          </cell>
          <cell r="Z282">
            <v>1.1361491117717717E-2</v>
          </cell>
          <cell r="AA282">
            <v>0</v>
          </cell>
          <cell r="AB282">
            <v>0</v>
          </cell>
          <cell r="AC282">
            <v>2726.7578682522521</v>
          </cell>
          <cell r="AD282">
            <v>2864.1304780029036</v>
          </cell>
          <cell r="AE282">
            <v>137.37260975065146</v>
          </cell>
          <cell r="AF282">
            <v>681.68946706306303</v>
          </cell>
          <cell r="AG282">
            <v>1.1361491117717717E-2</v>
          </cell>
          <cell r="AH282">
            <v>0</v>
          </cell>
          <cell r="AI282">
            <v>0</v>
          </cell>
          <cell r="AJ282">
            <v>3408.4473353153153</v>
          </cell>
          <cell r="AK282">
            <v>2864.1304780029036</v>
          </cell>
          <cell r="AL282">
            <v>-544.31685731241168</v>
          </cell>
          <cell r="AM282">
            <v>681.68946706306303</v>
          </cell>
          <cell r="AN282">
            <v>1.1361491117717717E-2</v>
          </cell>
          <cell r="AO282">
            <v>0</v>
          </cell>
          <cell r="AP282" t="e">
            <v>#DIV/0!</v>
          </cell>
          <cell r="AQ282">
            <v>4090.1368023783784</v>
          </cell>
          <cell r="AR282">
            <v>2864.1304780029036</v>
          </cell>
          <cell r="AS282">
            <v>-1226.0063243754748</v>
          </cell>
          <cell r="AT282">
            <v>681.68946706306303</v>
          </cell>
          <cell r="AU282">
            <v>1.1361491117717717E-2</v>
          </cell>
          <cell r="AV282">
            <v>0</v>
          </cell>
          <cell r="AW282" t="e">
            <v>#DIV/0!</v>
          </cell>
          <cell r="AX282">
            <v>4771.8262694414416</v>
          </cell>
          <cell r="AY282">
            <v>2864.1304780029036</v>
          </cell>
          <cell r="AZ282">
            <v>-1907.695791438538</v>
          </cell>
          <cell r="BA282">
            <v>681.68946706306303</v>
          </cell>
          <cell r="BB282">
            <v>1.1361491117717717E-2</v>
          </cell>
          <cell r="BC282">
            <v>0</v>
          </cell>
          <cell r="BD282" t="e">
            <v>#DIV/0!</v>
          </cell>
          <cell r="BE282">
            <v>5453.5157365045043</v>
          </cell>
          <cell r="BF282">
            <v>2864.1304780029036</v>
          </cell>
          <cell r="BG282">
            <v>-2589.3852585016007</v>
          </cell>
          <cell r="BH282">
            <v>681.68946706306303</v>
          </cell>
          <cell r="BI282">
            <v>1.1361491117717717E-2</v>
          </cell>
          <cell r="BJ282">
            <v>0</v>
          </cell>
          <cell r="BK282" t="e">
            <v>#DIV/0!</v>
          </cell>
          <cell r="BL282">
            <v>6135.205203567567</v>
          </cell>
          <cell r="BM282">
            <v>2864.1304780029036</v>
          </cell>
          <cell r="BN282">
            <v>-3271.0747255646634</v>
          </cell>
          <cell r="BO282">
            <v>681.68946706306303</v>
          </cell>
          <cell r="BP282">
            <v>1.1361491117717717E-2</v>
          </cell>
          <cell r="BQ282">
            <v>0</v>
          </cell>
          <cell r="BR282" t="e">
            <v>#DIV/0!</v>
          </cell>
          <cell r="BS282">
            <v>6816.8946706306297</v>
          </cell>
          <cell r="BT282">
            <v>2864.1304780029036</v>
          </cell>
          <cell r="BU282">
            <v>-3952.7641926277261</v>
          </cell>
          <cell r="BV282">
            <v>681.68946706306303</v>
          </cell>
          <cell r="BW282">
            <v>1.1361491117717717E-2</v>
          </cell>
          <cell r="BX282">
            <v>0</v>
          </cell>
          <cell r="BY282" t="e">
            <v>#DIV/0!</v>
          </cell>
          <cell r="BZ282">
            <v>7498.5841376936924</v>
          </cell>
          <cell r="CA282">
            <v>2864.1304780029036</v>
          </cell>
          <cell r="CB282">
            <v>-4634.4536596907892</v>
          </cell>
          <cell r="CC282">
            <v>681.68946706306303</v>
          </cell>
          <cell r="CD282">
            <v>1.1361491117717717E-2</v>
          </cell>
          <cell r="CE282">
            <v>0</v>
          </cell>
          <cell r="CF282" t="e">
            <v>#DIV/0!</v>
          </cell>
          <cell r="CG282">
            <v>8180.273604756755</v>
          </cell>
          <cell r="CH282">
            <v>2864.1304780029036</v>
          </cell>
        </row>
        <row r="283">
          <cell r="A283" t="str">
            <v>Pauta - Gestão de Pauta</v>
          </cell>
          <cell r="B283">
            <v>6.2908499634128999E-4</v>
          </cell>
          <cell r="C283">
            <v>245.88781455683576</v>
          </cell>
          <cell r="D283">
            <v>234.26515756213999</v>
          </cell>
          <cell r="E283">
            <v>4.6853031512427996E-3</v>
          </cell>
          <cell r="F283">
            <v>551.0351749915161</v>
          </cell>
          <cell r="G283">
            <v>0</v>
          </cell>
          <cell r="H283">
            <v>234.26515756213999</v>
          </cell>
          <cell r="I283">
            <v>551.0351749915161</v>
          </cell>
          <cell r="J283">
            <v>316.77001742937614</v>
          </cell>
          <cell r="K283">
            <v>234.26515756213999</v>
          </cell>
          <cell r="L283">
            <v>4.6853031512427996E-3</v>
          </cell>
          <cell r="M283">
            <v>320.29089552511084</v>
          </cell>
          <cell r="N283">
            <v>0</v>
          </cell>
          <cell r="O283">
            <v>468.53031512427998</v>
          </cell>
          <cell r="P283">
            <v>871.32607051662694</v>
          </cell>
          <cell r="Q283">
            <v>402.79575539234696</v>
          </cell>
          <cell r="R283">
            <v>234.26515756213999</v>
          </cell>
          <cell r="S283">
            <v>3.904419292702333E-3</v>
          </cell>
          <cell r="T283">
            <v>283.01566614531089</v>
          </cell>
          <cell r="U283">
            <v>4.1133130863528196E-4</v>
          </cell>
          <cell r="V283">
            <v>702.79547268642</v>
          </cell>
          <cell r="W283">
            <v>1154.3417366619378</v>
          </cell>
          <cell r="X283">
            <v>451.54626397551783</v>
          </cell>
          <cell r="Y283">
            <v>234.26515756213999</v>
          </cell>
          <cell r="Z283">
            <v>3.904419292702333E-3</v>
          </cell>
          <cell r="AA283">
            <v>0</v>
          </cell>
          <cell r="AB283">
            <v>0</v>
          </cell>
          <cell r="AC283">
            <v>937.06063024855996</v>
          </cell>
          <cell r="AD283">
            <v>1154.3417366619378</v>
          </cell>
          <cell r="AE283">
            <v>217.28110641337787</v>
          </cell>
          <cell r="AF283">
            <v>234.26515756213999</v>
          </cell>
          <cell r="AG283">
            <v>3.904419292702333E-3</v>
          </cell>
          <cell r="AH283">
            <v>0</v>
          </cell>
          <cell r="AI283">
            <v>0</v>
          </cell>
          <cell r="AJ283">
            <v>1171.3257878106999</v>
          </cell>
          <cell r="AK283">
            <v>1154.3417366619378</v>
          </cell>
          <cell r="AL283">
            <v>-16.984051148762092</v>
          </cell>
          <cell r="AM283">
            <v>234.26515756213999</v>
          </cell>
          <cell r="AN283">
            <v>3.904419292702333E-3</v>
          </cell>
          <cell r="AO283">
            <v>0</v>
          </cell>
          <cell r="AP283" t="e">
            <v>#DIV/0!</v>
          </cell>
          <cell r="AQ283">
            <v>1405.59094537284</v>
          </cell>
          <cell r="AR283">
            <v>1154.3417366619378</v>
          </cell>
          <cell r="AS283">
            <v>-251.24920871090217</v>
          </cell>
          <cell r="AT283">
            <v>234.26515756213999</v>
          </cell>
          <cell r="AU283">
            <v>3.904419292702333E-3</v>
          </cell>
          <cell r="AV283">
            <v>0</v>
          </cell>
          <cell r="AW283" t="e">
            <v>#DIV/0!</v>
          </cell>
          <cell r="AX283">
            <v>1639.8561029349801</v>
          </cell>
          <cell r="AY283">
            <v>1154.3417366619378</v>
          </cell>
          <cell r="AZ283">
            <v>-485.51436627304224</v>
          </cell>
          <cell r="BA283">
            <v>234.26515756213999</v>
          </cell>
          <cell r="BB283">
            <v>3.904419292702333E-3</v>
          </cell>
          <cell r="BC283">
            <v>0</v>
          </cell>
          <cell r="BD283" t="e">
            <v>#DIV/0!</v>
          </cell>
          <cell r="BE283">
            <v>1874.1212604971201</v>
          </cell>
          <cell r="BF283">
            <v>1154.3417366619378</v>
          </cell>
          <cell r="BG283">
            <v>-719.77952383518232</v>
          </cell>
          <cell r="BH283">
            <v>234.26515756213999</v>
          </cell>
          <cell r="BI283">
            <v>3.904419292702333E-3</v>
          </cell>
          <cell r="BJ283">
            <v>0</v>
          </cell>
          <cell r="BK283" t="e">
            <v>#DIV/0!</v>
          </cell>
          <cell r="BL283">
            <v>2108.38641805926</v>
          </cell>
          <cell r="BM283">
            <v>1154.3417366619378</v>
          </cell>
          <cell r="BN283">
            <v>-954.04468139732217</v>
          </cell>
          <cell r="BO283">
            <v>234.26515756213999</v>
          </cell>
          <cell r="BP283">
            <v>3.904419292702333E-3</v>
          </cell>
          <cell r="BQ283">
            <v>0</v>
          </cell>
          <cell r="BR283" t="e">
            <v>#DIV/0!</v>
          </cell>
          <cell r="BS283">
            <v>2342.6515756213998</v>
          </cell>
          <cell r="BT283">
            <v>1154.3417366619378</v>
          </cell>
          <cell r="BU283">
            <v>-1188.309838959462</v>
          </cell>
          <cell r="BV283">
            <v>234.26515756213999</v>
          </cell>
          <cell r="BW283">
            <v>3.904419292702333E-3</v>
          </cell>
          <cell r="BX283">
            <v>0</v>
          </cell>
          <cell r="BY283" t="e">
            <v>#DIV/0!</v>
          </cell>
          <cell r="BZ283">
            <v>2576.9167331835397</v>
          </cell>
          <cell r="CA283">
            <v>1154.3417366619378</v>
          </cell>
          <cell r="CB283">
            <v>-1422.5749965216019</v>
          </cell>
          <cell r="CC283">
            <v>234.26515756213999</v>
          </cell>
          <cell r="CD283">
            <v>3.904419292702333E-3</v>
          </cell>
          <cell r="CE283">
            <v>0</v>
          </cell>
          <cell r="CF283" t="e">
            <v>#DIV/0!</v>
          </cell>
          <cell r="CG283">
            <v>2811.1818907456795</v>
          </cell>
          <cell r="CH283">
            <v>1154.3417366619378</v>
          </cell>
        </row>
        <row r="284">
          <cell r="A284" t="str">
            <v>Seguro de Vida</v>
          </cell>
          <cell r="B284">
            <v>2.3772885006859352E-4</v>
          </cell>
          <cell r="C284">
            <v>92.920078750000016</v>
          </cell>
          <cell r="D284">
            <v>0</v>
          </cell>
          <cell r="E284">
            <v>0</v>
          </cell>
          <cell r="F284">
            <v>78.268000000000001</v>
          </cell>
          <cell r="G284">
            <v>0</v>
          </cell>
          <cell r="H284">
            <v>0</v>
          </cell>
          <cell r="I284">
            <v>78.268000000000001</v>
          </cell>
          <cell r="J284">
            <v>78.268000000000001</v>
          </cell>
          <cell r="K284">
            <v>0</v>
          </cell>
          <cell r="L284">
            <v>0</v>
          </cell>
          <cell r="M284">
            <v>72.513000000000005</v>
          </cell>
          <cell r="N284">
            <v>0</v>
          </cell>
          <cell r="O284">
            <v>0</v>
          </cell>
          <cell r="P284">
            <v>150.78100000000001</v>
          </cell>
          <cell r="Q284">
            <v>150.78100000000001</v>
          </cell>
          <cell r="R284">
            <v>0</v>
          </cell>
          <cell r="S284">
            <v>0</v>
          </cell>
          <cell r="T284">
            <v>56.974475999999996</v>
          </cell>
          <cell r="U284">
            <v>8.2805966507369435E-5</v>
          </cell>
          <cell r="V284">
            <v>0</v>
          </cell>
          <cell r="W284">
            <v>207.75547599999999</v>
          </cell>
          <cell r="X284">
            <v>207.75547599999999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207.75547599999999</v>
          </cell>
          <cell r="AE284">
            <v>207.75547599999999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207.75547599999999</v>
          </cell>
          <cell r="AL284">
            <v>207.75547599999999</v>
          </cell>
          <cell r="AM284">
            <v>0</v>
          </cell>
          <cell r="AN284">
            <v>0</v>
          </cell>
          <cell r="AO284">
            <v>0</v>
          </cell>
          <cell r="AP284" t="e">
            <v>#DIV/0!</v>
          </cell>
          <cell r="AQ284">
            <v>0</v>
          </cell>
          <cell r="AR284">
            <v>207.75547599999999</v>
          </cell>
          <cell r="AS284">
            <v>207.75547599999999</v>
          </cell>
          <cell r="AT284">
            <v>0</v>
          </cell>
          <cell r="AU284">
            <v>0</v>
          </cell>
          <cell r="AV284">
            <v>0</v>
          </cell>
          <cell r="AW284" t="e">
            <v>#DIV/0!</v>
          </cell>
          <cell r="AX284">
            <v>0</v>
          </cell>
          <cell r="AY284">
            <v>207.75547599999999</v>
          </cell>
          <cell r="AZ284">
            <v>207.75547599999999</v>
          </cell>
          <cell r="BA284">
            <v>0</v>
          </cell>
          <cell r="BB284">
            <v>0</v>
          </cell>
          <cell r="BC284">
            <v>0</v>
          </cell>
          <cell r="BD284" t="e">
            <v>#DIV/0!</v>
          </cell>
          <cell r="BE284">
            <v>0</v>
          </cell>
          <cell r="BF284">
            <v>207.75547599999999</v>
          </cell>
          <cell r="BG284">
            <v>207.75547599999999</v>
          </cell>
          <cell r="BH284">
            <v>0</v>
          </cell>
          <cell r="BI284">
            <v>0</v>
          </cell>
          <cell r="BJ284">
            <v>0</v>
          </cell>
          <cell r="BK284" t="e">
            <v>#DIV/0!</v>
          </cell>
          <cell r="BL284">
            <v>0</v>
          </cell>
          <cell r="BM284">
            <v>207.75547599999999</v>
          </cell>
          <cell r="BN284">
            <v>207.75547599999999</v>
          </cell>
          <cell r="BO284">
            <v>0</v>
          </cell>
          <cell r="BP284">
            <v>0</v>
          </cell>
          <cell r="BQ284">
            <v>0</v>
          </cell>
          <cell r="BR284" t="e">
            <v>#DIV/0!</v>
          </cell>
          <cell r="BS284">
            <v>0</v>
          </cell>
          <cell r="BT284">
            <v>207.75547599999999</v>
          </cell>
          <cell r="BU284">
            <v>207.75547599999999</v>
          </cell>
          <cell r="BV284">
            <v>0</v>
          </cell>
          <cell r="BW284">
            <v>0</v>
          </cell>
          <cell r="BX284">
            <v>0</v>
          </cell>
          <cell r="BY284" t="e">
            <v>#DIV/0!</v>
          </cell>
          <cell r="BZ284">
            <v>0</v>
          </cell>
          <cell r="CA284">
            <v>207.75547599999999</v>
          </cell>
          <cell r="CB284">
            <v>207.75547599999999</v>
          </cell>
          <cell r="CC284">
            <v>0</v>
          </cell>
          <cell r="CD284">
            <v>0</v>
          </cell>
          <cell r="CE284">
            <v>0</v>
          </cell>
          <cell r="CF284" t="e">
            <v>#DIV/0!</v>
          </cell>
          <cell r="CG284">
            <v>0</v>
          </cell>
          <cell r="CH284">
            <v>207.75547599999999</v>
          </cell>
        </row>
        <row r="285">
          <cell r="A285" t="str">
            <v>Plano de Saúde</v>
          </cell>
          <cell r="B285">
            <v>5.6823267006222752E-3</v>
          </cell>
          <cell r="C285">
            <v>2221.0272095822679</v>
          </cell>
          <cell r="D285">
            <v>1271.039314909091</v>
          </cell>
          <cell r="E285">
            <v>2.542078629818182E-2</v>
          </cell>
          <cell r="F285">
            <v>1254.4541850000001</v>
          </cell>
          <cell r="G285">
            <v>0</v>
          </cell>
          <cell r="H285">
            <v>1271.039314909091</v>
          </cell>
          <cell r="I285">
            <v>1254.4541850000001</v>
          </cell>
          <cell r="J285">
            <v>-16.585129909090938</v>
          </cell>
          <cell r="K285">
            <v>1271.039314909091</v>
          </cell>
          <cell r="L285">
            <v>2.542078629818182E-2</v>
          </cell>
          <cell r="M285">
            <v>1562.2327554642861</v>
          </cell>
          <cell r="N285">
            <v>0</v>
          </cell>
          <cell r="O285">
            <v>2542.078629818182</v>
          </cell>
          <cell r="P285">
            <v>2816.6869404642862</v>
          </cell>
          <cell r="Q285">
            <v>274.6083106461042</v>
          </cell>
          <cell r="R285">
            <v>1271.039314909091</v>
          </cell>
          <cell r="S285">
            <v>2.1183988581818185E-2</v>
          </cell>
          <cell r="T285">
            <v>1573.425581833334</v>
          </cell>
          <cell r="U285">
            <v>2.2867963898628805E-3</v>
          </cell>
          <cell r="V285">
            <v>3813.117944727273</v>
          </cell>
          <cell r="W285">
            <v>4390.1125222976207</v>
          </cell>
          <cell r="X285">
            <v>576.9945775703477</v>
          </cell>
          <cell r="Y285">
            <v>1271.039314909091</v>
          </cell>
          <cell r="Z285">
            <v>2.1183988581818185E-2</v>
          </cell>
          <cell r="AA285">
            <v>0</v>
          </cell>
          <cell r="AB285">
            <v>0</v>
          </cell>
          <cell r="AC285">
            <v>5084.157259636364</v>
          </cell>
          <cell r="AD285">
            <v>4390.1125222976207</v>
          </cell>
          <cell r="AE285">
            <v>-694.04473733874329</v>
          </cell>
          <cell r="AF285">
            <v>1271.039314909091</v>
          </cell>
          <cell r="AG285">
            <v>2.1183988581818185E-2</v>
          </cell>
          <cell r="AH285">
            <v>0</v>
          </cell>
          <cell r="AI285">
            <v>0</v>
          </cell>
          <cell r="AJ285">
            <v>6355.1965745454545</v>
          </cell>
          <cell r="AK285">
            <v>4390.1125222976207</v>
          </cell>
          <cell r="AL285">
            <v>-1965.0840522478338</v>
          </cell>
          <cell r="AM285">
            <v>1271.039314909091</v>
          </cell>
          <cell r="AN285">
            <v>2.1183988581818185E-2</v>
          </cell>
          <cell r="AO285">
            <v>0</v>
          </cell>
          <cell r="AP285" t="e">
            <v>#DIV/0!</v>
          </cell>
          <cell r="AQ285">
            <v>7626.235889454545</v>
          </cell>
          <cell r="AR285">
            <v>4390.1125222976207</v>
          </cell>
          <cell r="AS285">
            <v>-3236.1233671569244</v>
          </cell>
          <cell r="AT285">
            <v>1271.039314909091</v>
          </cell>
          <cell r="AU285">
            <v>2.1183988581818185E-2</v>
          </cell>
          <cell r="AV285">
            <v>0</v>
          </cell>
          <cell r="AW285" t="e">
            <v>#DIV/0!</v>
          </cell>
          <cell r="AX285">
            <v>8897.2752043636356</v>
          </cell>
          <cell r="AY285">
            <v>4390.1125222976207</v>
          </cell>
          <cell r="AZ285">
            <v>-4507.1626820660149</v>
          </cell>
          <cell r="BA285">
            <v>1271.039314909091</v>
          </cell>
          <cell r="BB285">
            <v>2.1183988581818185E-2</v>
          </cell>
          <cell r="BC285">
            <v>0</v>
          </cell>
          <cell r="BD285" t="e">
            <v>#DIV/0!</v>
          </cell>
          <cell r="BE285">
            <v>10168.314519272726</v>
          </cell>
          <cell r="BF285">
            <v>4390.1125222976207</v>
          </cell>
          <cell r="BG285">
            <v>-5778.2019969751054</v>
          </cell>
          <cell r="BH285">
            <v>1271.039314909091</v>
          </cell>
          <cell r="BI285">
            <v>2.1183988581818185E-2</v>
          </cell>
          <cell r="BJ285">
            <v>0</v>
          </cell>
          <cell r="BK285" t="e">
            <v>#DIV/0!</v>
          </cell>
          <cell r="BL285">
            <v>11439.353834181817</v>
          </cell>
          <cell r="BM285">
            <v>4390.1125222976207</v>
          </cell>
          <cell r="BN285">
            <v>-7049.241311884196</v>
          </cell>
          <cell r="BO285">
            <v>1461.69531490909</v>
          </cell>
          <cell r="BP285">
            <v>2.4361588581818167E-2</v>
          </cell>
          <cell r="BQ285">
            <v>0</v>
          </cell>
          <cell r="BR285" t="e">
            <v>#DIV/0!</v>
          </cell>
          <cell r="BS285">
            <v>12901.049149090906</v>
          </cell>
          <cell r="BT285">
            <v>4390.1125222976207</v>
          </cell>
          <cell r="BU285">
            <v>-8510.9366267932855</v>
          </cell>
          <cell r="BV285">
            <v>1461.69531490909</v>
          </cell>
          <cell r="BW285">
            <v>2.4361588581818167E-2</v>
          </cell>
          <cell r="BX285">
            <v>0</v>
          </cell>
          <cell r="BY285" t="e">
            <v>#DIV/0!</v>
          </cell>
          <cell r="BZ285">
            <v>14362.744463999996</v>
          </cell>
          <cell r="CA285">
            <v>4390.1125222976207</v>
          </cell>
          <cell r="CB285">
            <v>-9972.6319417023751</v>
          </cell>
          <cell r="CC285">
            <v>1461.69531490909</v>
          </cell>
          <cell r="CD285">
            <v>2.4361588581818167E-2</v>
          </cell>
          <cell r="CE285">
            <v>0</v>
          </cell>
          <cell r="CF285" t="e">
            <v>#DIV/0!</v>
          </cell>
          <cell r="CG285">
            <v>15824.439778909085</v>
          </cell>
          <cell r="CH285">
            <v>4390.1125222976207</v>
          </cell>
        </row>
        <row r="286">
          <cell r="A286" t="str">
            <v>Plano Odontológico</v>
          </cell>
          <cell r="B286">
            <v>4.1438667628997442E-4</v>
          </cell>
          <cell r="C286">
            <v>161.9695825</v>
          </cell>
          <cell r="D286">
            <v>55.685008000000003</v>
          </cell>
          <cell r="E286">
            <v>1.11370016E-3</v>
          </cell>
          <cell r="F286">
            <v>58.599999999999994</v>
          </cell>
          <cell r="G286">
            <v>0</v>
          </cell>
          <cell r="H286">
            <v>55.685008000000003</v>
          </cell>
          <cell r="I286">
            <v>58.599999999999994</v>
          </cell>
          <cell r="J286">
            <v>2.9149919999999909</v>
          </cell>
          <cell r="K286">
            <v>55.685008000000003</v>
          </cell>
          <cell r="L286">
            <v>1.11370016E-3</v>
          </cell>
          <cell r="M286">
            <v>61.348750000000003</v>
          </cell>
          <cell r="N286">
            <v>0</v>
          </cell>
          <cell r="O286">
            <v>111.37001600000001</v>
          </cell>
          <cell r="P286">
            <v>119.94874999999999</v>
          </cell>
          <cell r="Q286">
            <v>8.578733999999983</v>
          </cell>
          <cell r="R286">
            <v>55.685008000000003</v>
          </cell>
          <cell r="S286">
            <v>9.2808346666666669E-4</v>
          </cell>
          <cell r="T286">
            <v>67.395999999999987</v>
          </cell>
          <cell r="U286">
            <v>9.7952474696400352E-5</v>
          </cell>
          <cell r="V286">
            <v>167.055024</v>
          </cell>
          <cell r="W286">
            <v>187.34474999999998</v>
          </cell>
          <cell r="X286">
            <v>20.289725999999973</v>
          </cell>
          <cell r="Y286">
            <v>55.685008000000003</v>
          </cell>
          <cell r="Z286">
            <v>9.2808346666666669E-4</v>
          </cell>
          <cell r="AA286">
            <v>0</v>
          </cell>
          <cell r="AB286">
            <v>0</v>
          </cell>
          <cell r="AC286">
            <v>222.74003200000001</v>
          </cell>
          <cell r="AD286">
            <v>187.34474999999998</v>
          </cell>
          <cell r="AE286">
            <v>-35.395282000000037</v>
          </cell>
          <cell r="AF286">
            <v>55.685008000000003</v>
          </cell>
          <cell r="AG286">
            <v>9.2808346666666669E-4</v>
          </cell>
          <cell r="AH286">
            <v>0</v>
          </cell>
          <cell r="AI286">
            <v>0</v>
          </cell>
          <cell r="AJ286">
            <v>278.42504000000002</v>
          </cell>
          <cell r="AK286">
            <v>187.34474999999998</v>
          </cell>
          <cell r="AL286">
            <v>-91.080290000000048</v>
          </cell>
          <cell r="AM286">
            <v>55.685008000000003</v>
          </cell>
          <cell r="AN286">
            <v>9.2808346666666669E-4</v>
          </cell>
          <cell r="AO286">
            <v>0</v>
          </cell>
          <cell r="AP286" t="e">
            <v>#DIV/0!</v>
          </cell>
          <cell r="AQ286">
            <v>334.11004800000001</v>
          </cell>
          <cell r="AR286">
            <v>187.34474999999998</v>
          </cell>
          <cell r="AS286">
            <v>-146.76529800000003</v>
          </cell>
          <cell r="AT286">
            <v>55.685008000000003</v>
          </cell>
          <cell r="AU286">
            <v>9.2808346666666669E-4</v>
          </cell>
          <cell r="AV286">
            <v>0</v>
          </cell>
          <cell r="AW286" t="e">
            <v>#DIV/0!</v>
          </cell>
          <cell r="AX286">
            <v>389.79505599999999</v>
          </cell>
          <cell r="AY286">
            <v>187.34474999999998</v>
          </cell>
          <cell r="AZ286">
            <v>-202.45030600000001</v>
          </cell>
          <cell r="BA286">
            <v>55.685008000000003</v>
          </cell>
          <cell r="BB286">
            <v>9.2808346666666669E-4</v>
          </cell>
          <cell r="BC286">
            <v>0</v>
          </cell>
          <cell r="BD286" t="e">
            <v>#DIV/0!</v>
          </cell>
          <cell r="BE286">
            <v>445.48006399999997</v>
          </cell>
          <cell r="BF286">
            <v>187.34474999999998</v>
          </cell>
          <cell r="BG286">
            <v>-258.13531399999999</v>
          </cell>
          <cell r="BH286">
            <v>55.685008000000003</v>
          </cell>
          <cell r="BI286">
            <v>9.2808346666666669E-4</v>
          </cell>
          <cell r="BJ286">
            <v>0</v>
          </cell>
          <cell r="BK286" t="e">
            <v>#DIV/0!</v>
          </cell>
          <cell r="BL286">
            <v>501.16507199999995</v>
          </cell>
          <cell r="BM286">
            <v>187.34474999999998</v>
          </cell>
          <cell r="BN286">
            <v>-313.82032199999998</v>
          </cell>
          <cell r="BO286">
            <v>55.685008000000003</v>
          </cell>
          <cell r="BP286">
            <v>9.2808346666666669E-4</v>
          </cell>
          <cell r="BQ286">
            <v>0</v>
          </cell>
          <cell r="BR286" t="e">
            <v>#DIV/0!</v>
          </cell>
          <cell r="BS286">
            <v>556.85007999999993</v>
          </cell>
          <cell r="BT286">
            <v>187.34474999999998</v>
          </cell>
          <cell r="BU286">
            <v>-369.50532999999996</v>
          </cell>
          <cell r="BV286">
            <v>55.685008000000003</v>
          </cell>
          <cell r="BW286">
            <v>9.2808346666666669E-4</v>
          </cell>
          <cell r="BX286">
            <v>0</v>
          </cell>
          <cell r="BY286" t="e">
            <v>#DIV/0!</v>
          </cell>
          <cell r="BZ286">
            <v>612.53508799999997</v>
          </cell>
          <cell r="CA286">
            <v>187.34474999999998</v>
          </cell>
          <cell r="CB286">
            <v>-425.190338</v>
          </cell>
          <cell r="CC286">
            <v>55.685008000000003</v>
          </cell>
          <cell r="CD286">
            <v>9.2808346666666669E-4</v>
          </cell>
          <cell r="CE286">
            <v>0</v>
          </cell>
          <cell r="CF286" t="e">
            <v>#DIV/0!</v>
          </cell>
          <cell r="CG286">
            <v>668.22009600000001</v>
          </cell>
          <cell r="CH286">
            <v>187.34474999999998</v>
          </cell>
        </row>
        <row r="287">
          <cell r="A287" t="str">
            <v>Saneamento Gestão</v>
          </cell>
          <cell r="B287">
            <v>1.1973670958344668E-3</v>
          </cell>
          <cell r="C287">
            <v>468.00985578946364</v>
          </cell>
          <cell r="D287">
            <v>6666.7</v>
          </cell>
          <cell r="E287">
            <v>0.13333400000000001</v>
          </cell>
          <cell r="F287">
            <v>5797.2353390049329</v>
          </cell>
          <cell r="G287">
            <v>0</v>
          </cell>
          <cell r="H287">
            <v>6666.7</v>
          </cell>
          <cell r="I287">
            <v>5797.2353390049329</v>
          </cell>
          <cell r="J287">
            <v>-869.46466099506688</v>
          </cell>
          <cell r="K287">
            <v>3666.7</v>
          </cell>
          <cell r="L287">
            <v>7.3333999999999996E-2</v>
          </cell>
          <cell r="M287">
            <v>0</v>
          </cell>
          <cell r="N287">
            <v>0</v>
          </cell>
          <cell r="O287">
            <v>10333.4</v>
          </cell>
          <cell r="P287">
            <v>5797.2353390049329</v>
          </cell>
          <cell r="Q287">
            <v>-4536.1646609950667</v>
          </cell>
          <cell r="R287">
            <v>3666.7</v>
          </cell>
          <cell r="S287">
            <v>6.1111666666666661E-2</v>
          </cell>
          <cell r="T287">
            <v>-1.233167213547163E-5</v>
          </cell>
          <cell r="U287">
            <v>-1.7922692783163548E-11</v>
          </cell>
          <cell r="V287">
            <v>14000.099999999999</v>
          </cell>
          <cell r="W287">
            <v>5797.2353266732607</v>
          </cell>
          <cell r="X287">
            <v>-8202.8646733267378</v>
          </cell>
          <cell r="Y287">
            <v>3666.7</v>
          </cell>
          <cell r="Z287">
            <v>6.1111666666666661E-2</v>
          </cell>
          <cell r="AA287">
            <v>0</v>
          </cell>
          <cell r="AB287">
            <v>0</v>
          </cell>
          <cell r="AC287">
            <v>17666.8</v>
          </cell>
          <cell r="AD287">
            <v>5797.2353266732607</v>
          </cell>
          <cell r="AE287">
            <v>-11869.564673326739</v>
          </cell>
          <cell r="AF287">
            <v>3666.7</v>
          </cell>
          <cell r="AG287">
            <v>6.1111666666666661E-2</v>
          </cell>
          <cell r="AH287">
            <v>0</v>
          </cell>
          <cell r="AI287">
            <v>0</v>
          </cell>
          <cell r="AJ287">
            <v>21333.5</v>
          </cell>
          <cell r="AK287">
            <v>5797.2353266732607</v>
          </cell>
          <cell r="AL287">
            <v>-15536.264673326739</v>
          </cell>
          <cell r="AM287">
            <v>3666.7</v>
          </cell>
          <cell r="AN287">
            <v>6.1111666666666661E-2</v>
          </cell>
          <cell r="AO287">
            <v>0</v>
          </cell>
          <cell r="AP287" t="e">
            <v>#DIV/0!</v>
          </cell>
          <cell r="AQ287">
            <v>25000.2</v>
          </cell>
          <cell r="AR287">
            <v>5797.2353266732607</v>
          </cell>
          <cell r="AS287">
            <v>-19202.96467332674</v>
          </cell>
          <cell r="AT287">
            <v>3666.7</v>
          </cell>
          <cell r="AU287">
            <v>6.1111666666666661E-2</v>
          </cell>
          <cell r="AV287">
            <v>0</v>
          </cell>
          <cell r="AW287" t="e">
            <v>#DIV/0!</v>
          </cell>
          <cell r="AX287">
            <v>28666.9</v>
          </cell>
          <cell r="AY287">
            <v>5797.2353266732607</v>
          </cell>
          <cell r="AZ287">
            <v>-22869.664673326741</v>
          </cell>
          <cell r="BA287">
            <v>3666.7</v>
          </cell>
          <cell r="BB287">
            <v>6.1111666666666661E-2</v>
          </cell>
          <cell r="BC287">
            <v>0</v>
          </cell>
          <cell r="BD287" t="e">
            <v>#DIV/0!</v>
          </cell>
          <cell r="BE287">
            <v>32333.600000000002</v>
          </cell>
          <cell r="BF287">
            <v>5797.2353266732607</v>
          </cell>
          <cell r="BG287">
            <v>-26536.364673326741</v>
          </cell>
          <cell r="BH287">
            <v>3666.7</v>
          </cell>
          <cell r="BI287">
            <v>6.1111666666666661E-2</v>
          </cell>
          <cell r="BJ287">
            <v>0</v>
          </cell>
          <cell r="BK287" t="e">
            <v>#DIV/0!</v>
          </cell>
          <cell r="BL287">
            <v>36000.300000000003</v>
          </cell>
          <cell r="BM287">
            <v>5797.2353266732607</v>
          </cell>
          <cell r="BN287">
            <v>-30203.064673326742</v>
          </cell>
          <cell r="BO287">
            <v>3666.7</v>
          </cell>
          <cell r="BP287">
            <v>6.1111666666666661E-2</v>
          </cell>
          <cell r="BQ287">
            <v>0</v>
          </cell>
          <cell r="BR287" t="e">
            <v>#DIV/0!</v>
          </cell>
          <cell r="BS287">
            <v>39667</v>
          </cell>
          <cell r="BT287">
            <v>5797.2353266732607</v>
          </cell>
          <cell r="BU287">
            <v>-33869.764673326739</v>
          </cell>
          <cell r="BV287">
            <v>3666.7</v>
          </cell>
          <cell r="BW287">
            <v>6.1111666666666661E-2</v>
          </cell>
          <cell r="BX287">
            <v>0</v>
          </cell>
          <cell r="BY287" t="e">
            <v>#DIV/0!</v>
          </cell>
          <cell r="BZ287">
            <v>43333.7</v>
          </cell>
          <cell r="CA287">
            <v>5797.2353266732607</v>
          </cell>
          <cell r="CB287">
            <v>-37536.464673326736</v>
          </cell>
          <cell r="CC287">
            <v>3666.7</v>
          </cell>
          <cell r="CD287">
            <v>6.1111666666666661E-2</v>
          </cell>
          <cell r="CE287">
            <v>0</v>
          </cell>
          <cell r="CF287" t="e">
            <v>#DIV/0!</v>
          </cell>
          <cell r="CG287">
            <v>47000.399999999994</v>
          </cell>
          <cell r="CH287">
            <v>5797.2353266732607</v>
          </cell>
        </row>
        <row r="288">
          <cell r="A288" t="str">
            <v>Remuneração</v>
          </cell>
          <cell r="B288">
            <v>5.9000079658626463E-2</v>
          </cell>
          <cell r="C288">
            <v>23061.113729166664</v>
          </cell>
          <cell r="D288">
            <v>18301.7785</v>
          </cell>
          <cell r="E288">
            <v>0.36603557000000003</v>
          </cell>
          <cell r="F288">
            <v>21916.059999999998</v>
          </cell>
          <cell r="G288">
            <v>0</v>
          </cell>
          <cell r="H288">
            <v>18301.7785</v>
          </cell>
          <cell r="I288">
            <v>21916.059999999998</v>
          </cell>
          <cell r="J288">
            <v>3614.2814999999973</v>
          </cell>
          <cell r="K288">
            <v>18301.7785</v>
          </cell>
          <cell r="L288">
            <v>0.36603557000000003</v>
          </cell>
          <cell r="M288">
            <v>23453.280374999995</v>
          </cell>
          <cell r="N288">
            <v>0</v>
          </cell>
          <cell r="O288">
            <v>36603.557000000001</v>
          </cell>
          <cell r="P288">
            <v>45369.340374999992</v>
          </cell>
          <cell r="Q288">
            <v>8765.7833749999918</v>
          </cell>
          <cell r="R288">
            <v>18301.7785</v>
          </cell>
          <cell r="S288">
            <v>0.30502964166666668</v>
          </cell>
          <cell r="T288">
            <v>23835.778000000002</v>
          </cell>
          <cell r="U288">
            <v>3.4642611451926181E-2</v>
          </cell>
          <cell r="V288">
            <v>54905.335500000001</v>
          </cell>
          <cell r="W288">
            <v>69205.118374999991</v>
          </cell>
          <cell r="X288">
            <v>14299.78287499999</v>
          </cell>
          <cell r="Y288">
            <v>18301.7785</v>
          </cell>
          <cell r="Z288">
            <v>0.30502964166666668</v>
          </cell>
          <cell r="AA288">
            <v>0</v>
          </cell>
          <cell r="AB288">
            <v>0</v>
          </cell>
          <cell r="AC288">
            <v>73207.114000000001</v>
          </cell>
          <cell r="AD288">
            <v>69205.118374999991</v>
          </cell>
          <cell r="AE288">
            <v>-4001.9956250000105</v>
          </cell>
          <cell r="AF288">
            <v>18301.7785</v>
          </cell>
          <cell r="AG288">
            <v>0.30502964166666668</v>
          </cell>
          <cell r="AH288">
            <v>0</v>
          </cell>
          <cell r="AI288">
            <v>0</v>
          </cell>
          <cell r="AJ288">
            <v>91508.892500000002</v>
          </cell>
          <cell r="AK288">
            <v>69205.118374999991</v>
          </cell>
          <cell r="AL288">
            <v>-22303.774125000011</v>
          </cell>
          <cell r="AM288">
            <v>18301.7785</v>
          </cell>
          <cell r="AN288">
            <v>0.30502964166666668</v>
          </cell>
          <cell r="AO288">
            <v>0</v>
          </cell>
          <cell r="AP288" t="e">
            <v>#DIV/0!</v>
          </cell>
          <cell r="AQ288">
            <v>109810.671</v>
          </cell>
          <cell r="AR288">
            <v>69205.118374999991</v>
          </cell>
          <cell r="AS288">
            <v>-40605.552625000011</v>
          </cell>
          <cell r="AT288">
            <v>18301.7785</v>
          </cell>
          <cell r="AU288">
            <v>0.30502964166666668</v>
          </cell>
          <cell r="AV288">
            <v>0</v>
          </cell>
          <cell r="AW288" t="e">
            <v>#DIV/0!</v>
          </cell>
          <cell r="AX288">
            <v>128112.4495</v>
          </cell>
          <cell r="AY288">
            <v>69205.118374999991</v>
          </cell>
          <cell r="AZ288">
            <v>-58907.331125000012</v>
          </cell>
          <cell r="BA288">
            <v>18301.7785</v>
          </cell>
          <cell r="BB288">
            <v>0.30502964166666668</v>
          </cell>
          <cell r="BC288">
            <v>0</v>
          </cell>
          <cell r="BD288" t="e">
            <v>#DIV/0!</v>
          </cell>
          <cell r="BE288">
            <v>146414.228</v>
          </cell>
          <cell r="BF288">
            <v>69205.118374999991</v>
          </cell>
          <cell r="BG288">
            <v>-77209.109625000012</v>
          </cell>
          <cell r="BH288">
            <v>18301.7785</v>
          </cell>
          <cell r="BI288">
            <v>0.30502964166666668</v>
          </cell>
          <cell r="BJ288">
            <v>0</v>
          </cell>
          <cell r="BK288" t="e">
            <v>#DIV/0!</v>
          </cell>
          <cell r="BL288">
            <v>164716.00650000002</v>
          </cell>
          <cell r="BM288">
            <v>69205.118374999991</v>
          </cell>
          <cell r="BN288">
            <v>-95510.888125000027</v>
          </cell>
          <cell r="BO288">
            <v>18301.7785</v>
          </cell>
          <cell r="BP288">
            <v>0.30502964166666668</v>
          </cell>
          <cell r="BQ288">
            <v>0</v>
          </cell>
          <cell r="BR288" t="e">
            <v>#DIV/0!</v>
          </cell>
          <cell r="BS288">
            <v>183017.78500000003</v>
          </cell>
          <cell r="BT288">
            <v>69205.118374999991</v>
          </cell>
          <cell r="BU288">
            <v>-113812.66662500004</v>
          </cell>
          <cell r="BV288">
            <v>18301.7785</v>
          </cell>
          <cell r="BW288">
            <v>0.30502964166666668</v>
          </cell>
          <cell r="BX288">
            <v>0</v>
          </cell>
          <cell r="BY288" t="e">
            <v>#DIV/0!</v>
          </cell>
          <cell r="BZ288">
            <v>201319.56350000005</v>
          </cell>
          <cell r="CA288">
            <v>69205.118374999991</v>
          </cell>
          <cell r="CB288">
            <v>-132114.44512500006</v>
          </cell>
          <cell r="CC288">
            <v>18301.7785</v>
          </cell>
          <cell r="CD288">
            <v>0.30502964166666668</v>
          </cell>
          <cell r="CE288">
            <v>0</v>
          </cell>
          <cell r="CF288" t="e">
            <v>#DIV/0!</v>
          </cell>
          <cell r="CG288">
            <v>219621.34200000006</v>
          </cell>
          <cell r="CH288">
            <v>69205.118374999991</v>
          </cell>
        </row>
        <row r="289">
          <cell r="A289" t="str">
            <v>Pesquisas/Consultas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 t="e">
            <v>#DIV/0!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 t="e">
            <v>#DIV/0!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 t="e">
            <v>#DIV/0!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 t="e">
            <v>#DIV/0!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 t="e">
            <v>#DIV/0!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 t="e">
            <v>#DIV/0!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 t="e">
            <v>#DIV/0!</v>
          </cell>
          <cell r="CG289">
            <v>0</v>
          </cell>
          <cell r="CH289">
            <v>0</v>
          </cell>
        </row>
        <row r="290">
          <cell r="A290" t="str">
            <v>Sistemas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 t="e">
            <v>#DIV/0!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 t="e">
            <v>#DIV/0!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 t="e">
            <v>#DIV/0!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 t="e">
            <v>#DIV/0!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 t="e">
            <v>#DIV/0!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 t="e">
            <v>#DIV/0!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 t="e">
            <v>#DIV/0!</v>
          </cell>
          <cell r="CG290">
            <v>0</v>
          </cell>
          <cell r="CH290">
            <v>0</v>
          </cell>
        </row>
        <row r="291">
          <cell r="A291" t="str">
            <v>Indenização por Ruptura de Contrato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 t="e">
            <v>#DIV/0!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 t="e">
            <v>#DIV/0!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 t="e">
            <v>#DIV/0!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 t="e">
            <v>#DIV/0!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 t="e">
            <v>#DIV/0!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 t="e">
            <v>#DIV/0!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 t="e">
            <v>#DIV/0!</v>
          </cell>
          <cell r="CG291">
            <v>0</v>
          </cell>
          <cell r="CH291">
            <v>0</v>
          </cell>
        </row>
        <row r="292">
          <cell r="A292" t="str">
            <v>Vale Alimentação / Refeição</v>
          </cell>
          <cell r="B292">
            <v>1.4970057035858029E-3</v>
          </cell>
          <cell r="C292">
            <v>585.12834191666673</v>
          </cell>
          <cell r="D292">
            <v>416.80500699999999</v>
          </cell>
          <cell r="E292">
            <v>8.3361001400000002E-3</v>
          </cell>
          <cell r="F292">
            <v>256.61500000000001</v>
          </cell>
          <cell r="G292">
            <v>0</v>
          </cell>
          <cell r="H292">
            <v>416.80500699999999</v>
          </cell>
          <cell r="I292">
            <v>256.61500000000001</v>
          </cell>
          <cell r="J292">
            <v>-160.19000699999998</v>
          </cell>
          <cell r="K292">
            <v>416.80500699999999</v>
          </cell>
          <cell r="L292">
            <v>8.3361001400000002E-3</v>
          </cell>
          <cell r="M292">
            <v>373.60124999999999</v>
          </cell>
          <cell r="N292">
            <v>0</v>
          </cell>
          <cell r="O292">
            <v>833.61001399999998</v>
          </cell>
          <cell r="P292">
            <v>630.21624999999995</v>
          </cell>
          <cell r="Q292">
            <v>-203.39376400000003</v>
          </cell>
          <cell r="R292">
            <v>416.80500699999999</v>
          </cell>
          <cell r="S292">
            <v>6.9467501166666666E-3</v>
          </cell>
          <cell r="T292">
            <v>441.55989499999998</v>
          </cell>
          <cell r="U292">
            <v>6.417574402328433E-4</v>
          </cell>
          <cell r="V292">
            <v>1250.415021</v>
          </cell>
          <cell r="W292">
            <v>1071.7761449999998</v>
          </cell>
          <cell r="X292">
            <v>-178.63887600000021</v>
          </cell>
          <cell r="Y292">
            <v>416.80500699999999</v>
          </cell>
          <cell r="Z292">
            <v>6.9467501166666666E-3</v>
          </cell>
          <cell r="AA292">
            <v>0</v>
          </cell>
          <cell r="AB292">
            <v>0</v>
          </cell>
          <cell r="AC292">
            <v>1667.220028</v>
          </cell>
          <cell r="AD292">
            <v>1071.7761449999998</v>
          </cell>
          <cell r="AE292">
            <v>-595.44388300000014</v>
          </cell>
          <cell r="AF292">
            <v>416.80500699999999</v>
          </cell>
          <cell r="AG292">
            <v>6.9467501166666666E-3</v>
          </cell>
          <cell r="AH292">
            <v>0</v>
          </cell>
          <cell r="AI292">
            <v>0</v>
          </cell>
          <cell r="AJ292">
            <v>2084.0250350000001</v>
          </cell>
          <cell r="AK292">
            <v>1071.7761449999998</v>
          </cell>
          <cell r="AL292">
            <v>-1012.2488900000003</v>
          </cell>
          <cell r="AM292">
            <v>416.80500699999999</v>
          </cell>
          <cell r="AN292">
            <v>6.9467501166666666E-3</v>
          </cell>
          <cell r="AO292">
            <v>0</v>
          </cell>
          <cell r="AP292" t="e">
            <v>#DIV/0!</v>
          </cell>
          <cell r="AQ292">
            <v>2500.830042</v>
          </cell>
          <cell r="AR292">
            <v>1071.7761449999998</v>
          </cell>
          <cell r="AS292">
            <v>-1429.0538970000002</v>
          </cell>
          <cell r="AT292">
            <v>416.80500699999999</v>
          </cell>
          <cell r="AU292">
            <v>6.9467501166666666E-3</v>
          </cell>
          <cell r="AV292">
            <v>0</v>
          </cell>
          <cell r="AW292" t="e">
            <v>#DIV/0!</v>
          </cell>
          <cell r="AX292">
            <v>2917.635049</v>
          </cell>
          <cell r="AY292">
            <v>1071.7761449999998</v>
          </cell>
          <cell r="AZ292">
            <v>-1845.8589040000002</v>
          </cell>
          <cell r="BA292">
            <v>416.80500699999999</v>
          </cell>
          <cell r="BB292">
            <v>6.9467501166666666E-3</v>
          </cell>
          <cell r="BC292">
            <v>0</v>
          </cell>
          <cell r="BD292" t="e">
            <v>#DIV/0!</v>
          </cell>
          <cell r="BE292">
            <v>3334.4400559999999</v>
          </cell>
          <cell r="BF292">
            <v>1071.7761449999998</v>
          </cell>
          <cell r="BG292">
            <v>-2262.6639110000001</v>
          </cell>
          <cell r="BH292">
            <v>416.80500699999999</v>
          </cell>
          <cell r="BI292">
            <v>6.9467501166666666E-3</v>
          </cell>
          <cell r="BJ292">
            <v>0</v>
          </cell>
          <cell r="BK292" t="e">
            <v>#DIV/0!</v>
          </cell>
          <cell r="BL292">
            <v>3751.2450629999998</v>
          </cell>
          <cell r="BM292">
            <v>1071.7761449999998</v>
          </cell>
          <cell r="BN292">
            <v>-2679.468918</v>
          </cell>
          <cell r="BO292">
            <v>416.80500699999999</v>
          </cell>
          <cell r="BP292">
            <v>6.9467501166666666E-3</v>
          </cell>
          <cell r="BQ292">
            <v>0</v>
          </cell>
          <cell r="BR292" t="e">
            <v>#DIV/0!</v>
          </cell>
          <cell r="BS292">
            <v>4168.0500700000002</v>
          </cell>
          <cell r="BT292">
            <v>1071.7761449999998</v>
          </cell>
          <cell r="BU292">
            <v>-3096.2739250000004</v>
          </cell>
          <cell r="BV292">
            <v>416.80500699999999</v>
          </cell>
          <cell r="BW292">
            <v>6.9467501166666666E-3</v>
          </cell>
          <cell r="BX292">
            <v>0</v>
          </cell>
          <cell r="BY292" t="e">
            <v>#DIV/0!</v>
          </cell>
          <cell r="BZ292">
            <v>4584.8550770000002</v>
          </cell>
          <cell r="CA292">
            <v>1071.7761449999998</v>
          </cell>
          <cell r="CB292">
            <v>-3513.0789320000003</v>
          </cell>
          <cell r="CC292">
            <v>416.80500699999999</v>
          </cell>
          <cell r="CD292">
            <v>6.9467501166666666E-3</v>
          </cell>
          <cell r="CE292">
            <v>0</v>
          </cell>
          <cell r="CF292" t="e">
            <v>#DIV/0!</v>
          </cell>
          <cell r="CG292">
            <v>5001.6600840000001</v>
          </cell>
          <cell r="CH292">
            <v>1071.7761449999998</v>
          </cell>
        </row>
        <row r="293">
          <cell r="A293" t="str">
            <v>Vale Transporte</v>
          </cell>
          <cell r="B293">
            <v>2.5535121593564444E-4</v>
          </cell>
          <cell r="C293">
            <v>99.808059000000014</v>
          </cell>
          <cell r="D293">
            <v>20.000001000000001</v>
          </cell>
          <cell r="E293">
            <v>4.0000001999999999E-4</v>
          </cell>
          <cell r="F293">
            <v>20</v>
          </cell>
          <cell r="G293">
            <v>0</v>
          </cell>
          <cell r="H293">
            <v>20.000001000000001</v>
          </cell>
          <cell r="I293">
            <v>20</v>
          </cell>
          <cell r="J293">
            <v>-1.0000000010279564E-6</v>
          </cell>
          <cell r="K293">
            <v>20.000001000000001</v>
          </cell>
          <cell r="L293">
            <v>4.0000001999999999E-4</v>
          </cell>
          <cell r="M293">
            <v>45</v>
          </cell>
          <cell r="N293">
            <v>0</v>
          </cell>
          <cell r="O293">
            <v>40.000002000000002</v>
          </cell>
          <cell r="P293">
            <v>65</v>
          </cell>
          <cell r="Q293">
            <v>24.999997999999998</v>
          </cell>
          <cell r="R293">
            <v>20.000001000000001</v>
          </cell>
          <cell r="S293">
            <v>3.3333335000000001E-4</v>
          </cell>
          <cell r="T293">
            <v>0</v>
          </cell>
          <cell r="U293">
            <v>0</v>
          </cell>
          <cell r="V293">
            <v>60.000003000000007</v>
          </cell>
          <cell r="W293">
            <v>65</v>
          </cell>
          <cell r="X293">
            <v>4.9999969999999934</v>
          </cell>
          <cell r="Y293">
            <v>20.000001000000001</v>
          </cell>
          <cell r="Z293">
            <v>3.3333335000000001E-4</v>
          </cell>
          <cell r="AA293">
            <v>0</v>
          </cell>
          <cell r="AB293">
            <v>0</v>
          </cell>
          <cell r="AC293">
            <v>80.000004000000004</v>
          </cell>
          <cell r="AD293">
            <v>65</v>
          </cell>
          <cell r="AE293">
            <v>-15.000004000000004</v>
          </cell>
          <cell r="AF293">
            <v>20.000001000000001</v>
          </cell>
          <cell r="AG293">
            <v>3.3333335000000001E-4</v>
          </cell>
          <cell r="AH293">
            <v>0</v>
          </cell>
          <cell r="AI293">
            <v>0</v>
          </cell>
          <cell r="AJ293">
            <v>100.000005</v>
          </cell>
          <cell r="AK293">
            <v>65</v>
          </cell>
          <cell r="AL293">
            <v>-35.000005000000002</v>
          </cell>
          <cell r="AM293">
            <v>20.000001000000001</v>
          </cell>
          <cell r="AN293">
            <v>3.3333335000000001E-4</v>
          </cell>
          <cell r="AO293">
            <v>0</v>
          </cell>
          <cell r="AP293" t="e">
            <v>#DIV/0!</v>
          </cell>
          <cell r="AQ293">
            <v>120.000006</v>
          </cell>
          <cell r="AR293">
            <v>65</v>
          </cell>
          <cell r="AS293">
            <v>-55.000005999999999</v>
          </cell>
          <cell r="AT293">
            <v>20.000001000000001</v>
          </cell>
          <cell r="AU293">
            <v>3.3333335000000001E-4</v>
          </cell>
          <cell r="AV293">
            <v>0</v>
          </cell>
          <cell r="AW293" t="e">
            <v>#DIV/0!</v>
          </cell>
          <cell r="AX293">
            <v>140.00000700000001</v>
          </cell>
          <cell r="AY293">
            <v>65</v>
          </cell>
          <cell r="AZ293">
            <v>-75.000007000000011</v>
          </cell>
          <cell r="BA293">
            <v>20.000001000000001</v>
          </cell>
          <cell r="BB293">
            <v>3.3333335000000001E-4</v>
          </cell>
          <cell r="BC293">
            <v>0</v>
          </cell>
          <cell r="BD293" t="e">
            <v>#DIV/0!</v>
          </cell>
          <cell r="BE293">
            <v>160.00000800000001</v>
          </cell>
          <cell r="BF293">
            <v>65</v>
          </cell>
          <cell r="BG293">
            <v>-95.000008000000008</v>
          </cell>
          <cell r="BH293">
            <v>20.000001000000001</v>
          </cell>
          <cell r="BI293">
            <v>3.3333335000000001E-4</v>
          </cell>
          <cell r="BJ293">
            <v>0</v>
          </cell>
          <cell r="BK293" t="e">
            <v>#DIV/0!</v>
          </cell>
          <cell r="BL293">
            <v>180.00000900000001</v>
          </cell>
          <cell r="BM293">
            <v>65</v>
          </cell>
          <cell r="BN293">
            <v>-115.00000900000001</v>
          </cell>
          <cell r="BO293">
            <v>20.000001000000001</v>
          </cell>
          <cell r="BP293">
            <v>3.3333335000000001E-4</v>
          </cell>
          <cell r="BQ293">
            <v>0</v>
          </cell>
          <cell r="BR293" t="e">
            <v>#DIV/0!</v>
          </cell>
          <cell r="BS293">
            <v>200.00001</v>
          </cell>
          <cell r="BT293">
            <v>65</v>
          </cell>
          <cell r="BU293">
            <v>-135.00001</v>
          </cell>
          <cell r="BV293">
            <v>20.000001000000001</v>
          </cell>
          <cell r="BW293">
            <v>3.3333335000000001E-4</v>
          </cell>
          <cell r="BX293">
            <v>0</v>
          </cell>
          <cell r="BY293" t="e">
            <v>#DIV/0!</v>
          </cell>
          <cell r="BZ293">
            <v>220.000011</v>
          </cell>
          <cell r="CA293">
            <v>65</v>
          </cell>
          <cell r="CB293">
            <v>-155.000011</v>
          </cell>
          <cell r="CC293">
            <v>20.000001000000001</v>
          </cell>
          <cell r="CD293">
            <v>3.3333335000000001E-4</v>
          </cell>
          <cell r="CE293">
            <v>0</v>
          </cell>
          <cell r="CF293" t="e">
            <v>#DIV/0!</v>
          </cell>
          <cell r="CG293">
            <v>240.000012</v>
          </cell>
          <cell r="CH293">
            <v>65</v>
          </cell>
        </row>
        <row r="294">
          <cell r="A294" t="str">
            <v>Viagens - Alimentação / Hospedagem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 t="e">
            <v>#DIV/0!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 t="e">
            <v>#DIV/0!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 t="e">
            <v>#DIV/0!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 t="e">
            <v>#DIV/0!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 t="e">
            <v>#DIV/0!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 t="e">
            <v>#DIV/0!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 t="e">
            <v>#DIV/0!</v>
          </cell>
          <cell r="CG294">
            <v>0</v>
          </cell>
          <cell r="CH294">
            <v>0</v>
          </cell>
        </row>
        <row r="295">
          <cell r="A295" t="str">
            <v>Viagens - Passagens / Traslados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 t="e">
            <v>#DIV/0!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 t="e">
            <v>#DIV/0!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 t="e">
            <v>#DIV/0!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 t="e">
            <v>#DIV/0!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 t="e">
            <v>#DIV/0!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 t="e">
            <v>#DIV/0!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 t="e">
            <v>#DIV/0!</v>
          </cell>
          <cell r="CG295">
            <v>0</v>
          </cell>
          <cell r="CH295">
            <v>0</v>
          </cell>
        </row>
        <row r="315">
          <cell r="A315" t="str">
            <v>13º (+ Encargos)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 t="e">
            <v>#DIV/0!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 t="e">
            <v>#DIV/0!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 t="e">
            <v>#DIV/0!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 t="e">
            <v>#DIV/0!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 t="e">
            <v>#DIV/0!</v>
          </cell>
          <cell r="BS315">
            <v>0</v>
          </cell>
          <cell r="BT315">
            <v>0</v>
          </cell>
          <cell r="BU315">
            <v>0</v>
          </cell>
          <cell r="BV315">
            <v>500</v>
          </cell>
          <cell r="BW315">
            <v>1.5648220084078408E-2</v>
          </cell>
          <cell r="BX315">
            <v>0</v>
          </cell>
          <cell r="BY315" t="e">
            <v>#DIV/0!</v>
          </cell>
          <cell r="BZ315">
            <v>500</v>
          </cell>
          <cell r="CA315">
            <v>0</v>
          </cell>
          <cell r="CB315">
            <v>-500</v>
          </cell>
          <cell r="CC315">
            <v>500</v>
          </cell>
          <cell r="CD315">
            <v>1.5648220084078408E-2</v>
          </cell>
          <cell r="CE315">
            <v>0</v>
          </cell>
          <cell r="CF315" t="e">
            <v>#DIV/0!</v>
          </cell>
          <cell r="CG315">
            <v>1000</v>
          </cell>
          <cell r="CH315">
            <v>0</v>
          </cell>
        </row>
        <row r="316">
          <cell r="A316" t="str">
            <v>Acordo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 t="e">
            <v>#DIV/0!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 t="e">
            <v>#DIV/0!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 t="e">
            <v>#DIV/0!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 t="e">
            <v>#DIV/0!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 t="e">
            <v>#DIV/0!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 t="e">
            <v>#DIV/0!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 t="e">
            <v>#DIV/0!</v>
          </cell>
          <cell r="CG316">
            <v>0</v>
          </cell>
          <cell r="CH316">
            <v>0</v>
          </cell>
        </row>
        <row r="317">
          <cell r="A317" t="str">
            <v>Aluguel + IPTU + Condomínio + Energia Elétrica</v>
          </cell>
          <cell r="B317">
            <v>3.5507860509246798E-4</v>
          </cell>
          <cell r="C317">
            <v>138.7880854095425</v>
          </cell>
          <cell r="D317">
            <v>900</v>
          </cell>
          <cell r="E317">
            <v>2.8166796151341135E-2</v>
          </cell>
          <cell r="F317">
            <v>899.99749999999995</v>
          </cell>
          <cell r="G317">
            <v>0</v>
          </cell>
          <cell r="H317">
            <v>900</v>
          </cell>
          <cell r="I317">
            <v>899.99749999999995</v>
          </cell>
          <cell r="J317">
            <v>-2.5000000000545697E-3</v>
          </cell>
          <cell r="K317">
            <v>900</v>
          </cell>
          <cell r="L317">
            <v>2.8166796151341135E-2</v>
          </cell>
          <cell r="M317">
            <v>899.99749999999995</v>
          </cell>
          <cell r="N317">
            <v>2.1921751309219337E-2</v>
          </cell>
          <cell r="O317">
            <v>1800</v>
          </cell>
          <cell r="P317">
            <v>1799.9949999999999</v>
          </cell>
          <cell r="Q317">
            <v>-5.0000000001091394E-3</v>
          </cell>
          <cell r="R317">
            <v>900</v>
          </cell>
          <cell r="S317">
            <v>2.8166796151341135E-2</v>
          </cell>
          <cell r="T317">
            <v>899.99749999999995</v>
          </cell>
          <cell r="U317">
            <v>1.3080447258824498E-3</v>
          </cell>
          <cell r="V317">
            <v>2700</v>
          </cell>
          <cell r="W317">
            <v>2699.9924999999998</v>
          </cell>
          <cell r="X317">
            <v>-7.500000000163709E-3</v>
          </cell>
          <cell r="Y317">
            <v>900</v>
          </cell>
          <cell r="Z317">
            <v>2.8166796151341135E-2</v>
          </cell>
          <cell r="AA317">
            <v>0</v>
          </cell>
          <cell r="AB317">
            <v>0</v>
          </cell>
          <cell r="AC317">
            <v>3600</v>
          </cell>
          <cell r="AD317">
            <v>2699.9924999999998</v>
          </cell>
          <cell r="AE317">
            <v>-900.00750000000016</v>
          </cell>
          <cell r="AF317">
            <v>900</v>
          </cell>
          <cell r="AG317">
            <v>2.8166796151341135E-2</v>
          </cell>
          <cell r="AH317">
            <v>0</v>
          </cell>
          <cell r="AI317">
            <v>0</v>
          </cell>
          <cell r="AJ317">
            <v>4500</v>
          </cell>
          <cell r="AK317">
            <v>2699.9924999999998</v>
          </cell>
          <cell r="AL317">
            <v>-1800.0075000000002</v>
          </cell>
          <cell r="AM317">
            <v>900</v>
          </cell>
          <cell r="AN317">
            <v>2.8166796151341135E-2</v>
          </cell>
          <cell r="AO317">
            <v>0</v>
          </cell>
          <cell r="AP317" t="e">
            <v>#DIV/0!</v>
          </cell>
          <cell r="AQ317">
            <v>5400</v>
          </cell>
          <cell r="AR317">
            <v>2699.9924999999998</v>
          </cell>
          <cell r="AS317">
            <v>-2700.0075000000002</v>
          </cell>
          <cell r="AT317">
            <v>900</v>
          </cell>
          <cell r="AU317">
            <v>2.8166796151341135E-2</v>
          </cell>
          <cell r="AV317">
            <v>0</v>
          </cell>
          <cell r="AW317" t="e">
            <v>#DIV/0!</v>
          </cell>
          <cell r="AX317">
            <v>6300</v>
          </cell>
          <cell r="AY317">
            <v>2699.9924999999998</v>
          </cell>
          <cell r="AZ317">
            <v>-3600.0075000000002</v>
          </cell>
          <cell r="BA317">
            <v>900</v>
          </cell>
          <cell r="BB317">
            <v>2.8166796151341135E-2</v>
          </cell>
          <cell r="BC317">
            <v>0</v>
          </cell>
          <cell r="BD317" t="e">
            <v>#DIV/0!</v>
          </cell>
          <cell r="BE317">
            <v>7200</v>
          </cell>
          <cell r="BF317">
            <v>2699.9924999999998</v>
          </cell>
          <cell r="BG317">
            <v>-4500.0074999999997</v>
          </cell>
          <cell r="BH317">
            <v>900</v>
          </cell>
          <cell r="BI317">
            <v>2.8166796151341135E-2</v>
          </cell>
          <cell r="BJ317">
            <v>0</v>
          </cell>
          <cell r="BK317" t="e">
            <v>#DIV/0!</v>
          </cell>
          <cell r="BL317">
            <v>8100</v>
          </cell>
          <cell r="BM317">
            <v>2699.9924999999998</v>
          </cell>
          <cell r="BN317">
            <v>-5400.0074999999997</v>
          </cell>
          <cell r="BO317">
            <v>900</v>
          </cell>
          <cell r="BP317">
            <v>2.8166796151341135E-2</v>
          </cell>
          <cell r="BQ317">
            <v>0</v>
          </cell>
          <cell r="BR317" t="e">
            <v>#DIV/0!</v>
          </cell>
          <cell r="BS317">
            <v>9000</v>
          </cell>
          <cell r="BT317">
            <v>2699.9924999999998</v>
          </cell>
          <cell r="BU317">
            <v>-6300.0074999999997</v>
          </cell>
          <cell r="BV317">
            <v>900</v>
          </cell>
          <cell r="BW317">
            <v>2.8166796151341135E-2</v>
          </cell>
          <cell r="BX317">
            <v>0</v>
          </cell>
          <cell r="BY317" t="e">
            <v>#DIV/0!</v>
          </cell>
          <cell r="BZ317">
            <v>9900</v>
          </cell>
          <cell r="CA317">
            <v>2699.9924999999998</v>
          </cell>
          <cell r="CB317">
            <v>-7200.0074999999997</v>
          </cell>
          <cell r="CC317">
            <v>900</v>
          </cell>
          <cell r="CD317">
            <v>2.8166796151341135E-2</v>
          </cell>
          <cell r="CE317">
            <v>0</v>
          </cell>
          <cell r="CF317" t="e">
            <v>#DIV/0!</v>
          </cell>
          <cell r="CG317">
            <v>10800</v>
          </cell>
          <cell r="CH317">
            <v>2699.9924999999998</v>
          </cell>
        </row>
        <row r="318">
          <cell r="A318" t="str">
            <v>Aperfeiçoamento - Treinamentos / Livros / Revistas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 t="e">
            <v>#DIV/0!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 t="e">
            <v>#DIV/0!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 t="e">
            <v>#DIV/0!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 t="e">
            <v>#DIV/0!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 t="e">
            <v>#DIV/0!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 t="e">
            <v>#DIV/0!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 t="e">
            <v>#DIV/0!</v>
          </cell>
          <cell r="CG318">
            <v>0</v>
          </cell>
          <cell r="CH318">
            <v>0</v>
          </cell>
        </row>
        <row r="319">
          <cell r="A319" t="str">
            <v>OAB / Associações</v>
          </cell>
          <cell r="B319">
            <v>6.9705722190655916E-4</v>
          </cell>
          <cell r="C319">
            <v>272.45583333333337</v>
          </cell>
          <cell r="D319">
            <v>202</v>
          </cell>
          <cell r="E319">
            <v>6.3218809139676769E-3</v>
          </cell>
          <cell r="F319">
            <v>53.945</v>
          </cell>
          <cell r="G319">
            <v>0</v>
          </cell>
          <cell r="H319">
            <v>202</v>
          </cell>
          <cell r="I319">
            <v>53.945</v>
          </cell>
          <cell r="J319">
            <v>-148.05500000000001</v>
          </cell>
          <cell r="K319">
            <v>202</v>
          </cell>
          <cell r="L319">
            <v>6.3218809139676769E-3</v>
          </cell>
          <cell r="M319">
            <v>0</v>
          </cell>
          <cell r="N319">
            <v>0</v>
          </cell>
          <cell r="O319">
            <v>404</v>
          </cell>
          <cell r="P319">
            <v>53.945</v>
          </cell>
          <cell r="Q319">
            <v>-350.05500000000001</v>
          </cell>
          <cell r="R319">
            <v>202</v>
          </cell>
          <cell r="S319">
            <v>6.3218809139676769E-3</v>
          </cell>
          <cell r="T319">
            <v>275.32499999999999</v>
          </cell>
          <cell r="U319">
            <v>4.0015379393118928E-4</v>
          </cell>
          <cell r="V319">
            <v>606</v>
          </cell>
          <cell r="W319">
            <v>329.27</v>
          </cell>
          <cell r="X319">
            <v>-276.73</v>
          </cell>
          <cell r="Y319">
            <v>202</v>
          </cell>
          <cell r="Z319">
            <v>6.3218809139676769E-3</v>
          </cell>
          <cell r="AA319">
            <v>0</v>
          </cell>
          <cell r="AB319">
            <v>0</v>
          </cell>
          <cell r="AC319">
            <v>808</v>
          </cell>
          <cell r="AD319">
            <v>329.27</v>
          </cell>
          <cell r="AE319">
            <v>-478.73</v>
          </cell>
          <cell r="AF319">
            <v>202</v>
          </cell>
          <cell r="AG319">
            <v>6.3218809139676769E-3</v>
          </cell>
          <cell r="AH319">
            <v>0</v>
          </cell>
          <cell r="AI319">
            <v>0</v>
          </cell>
          <cell r="AJ319">
            <v>1010</v>
          </cell>
          <cell r="AK319">
            <v>329.27</v>
          </cell>
          <cell r="AL319">
            <v>-680.73</v>
          </cell>
          <cell r="AM319">
            <v>202</v>
          </cell>
          <cell r="AN319">
            <v>6.3218809139676769E-3</v>
          </cell>
          <cell r="AO319">
            <v>0</v>
          </cell>
          <cell r="AP319" t="e">
            <v>#DIV/0!</v>
          </cell>
          <cell r="AQ319">
            <v>1212</v>
          </cell>
          <cell r="AR319">
            <v>329.27</v>
          </cell>
          <cell r="AS319">
            <v>-882.73</v>
          </cell>
          <cell r="AT319">
            <v>202</v>
          </cell>
          <cell r="AU319">
            <v>6.3218809139676769E-3</v>
          </cell>
          <cell r="AV319">
            <v>0</v>
          </cell>
          <cell r="AW319" t="e">
            <v>#DIV/0!</v>
          </cell>
          <cell r="AX319">
            <v>1414</v>
          </cell>
          <cell r="AY319">
            <v>329.27</v>
          </cell>
          <cell r="AZ319">
            <v>-1084.73</v>
          </cell>
          <cell r="BA319">
            <v>202</v>
          </cell>
          <cell r="BB319">
            <v>6.3218809139676769E-3</v>
          </cell>
          <cell r="BC319">
            <v>0</v>
          </cell>
          <cell r="BD319" t="e">
            <v>#DIV/0!</v>
          </cell>
          <cell r="BE319">
            <v>1616</v>
          </cell>
          <cell r="BF319">
            <v>329.27</v>
          </cell>
          <cell r="BG319">
            <v>-1286.73</v>
          </cell>
          <cell r="BH319">
            <v>202</v>
          </cell>
          <cell r="BI319">
            <v>6.3218809139676769E-3</v>
          </cell>
          <cell r="BJ319">
            <v>0</v>
          </cell>
          <cell r="BK319" t="e">
            <v>#DIV/0!</v>
          </cell>
          <cell r="BL319">
            <v>1818</v>
          </cell>
          <cell r="BM319">
            <v>329.27</v>
          </cell>
          <cell r="BN319">
            <v>-1488.73</v>
          </cell>
          <cell r="BO319">
            <v>202</v>
          </cell>
          <cell r="BP319">
            <v>6.3218809139676769E-3</v>
          </cell>
          <cell r="BQ319">
            <v>0</v>
          </cell>
          <cell r="BR319" t="e">
            <v>#DIV/0!</v>
          </cell>
          <cell r="BS319">
            <v>2020</v>
          </cell>
          <cell r="BT319">
            <v>329.27</v>
          </cell>
          <cell r="BU319">
            <v>-1690.73</v>
          </cell>
          <cell r="BV319">
            <v>0</v>
          </cell>
          <cell r="BW319">
            <v>0</v>
          </cell>
          <cell r="BX319">
            <v>0</v>
          </cell>
          <cell r="BY319" t="e">
            <v>#DIV/0!</v>
          </cell>
          <cell r="BZ319">
            <v>2020</v>
          </cell>
          <cell r="CA319">
            <v>329.27</v>
          </cell>
          <cell r="CB319">
            <v>-1690.73</v>
          </cell>
          <cell r="CC319">
            <v>0</v>
          </cell>
          <cell r="CD319">
            <v>0</v>
          </cell>
          <cell r="CE319">
            <v>0</v>
          </cell>
          <cell r="CF319" t="e">
            <v>#DIV/0!</v>
          </cell>
          <cell r="CG319">
            <v>2020</v>
          </cell>
          <cell r="CH319">
            <v>329.27</v>
          </cell>
        </row>
        <row r="320">
          <cell r="A320" t="str">
            <v>Back Office / Encerramento</v>
          </cell>
          <cell r="B320">
            <v>3.7690800718419439E-4</v>
          </cell>
          <cell r="C320">
            <v>147.32045226717619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 t="e">
            <v>#DIV/0!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 t="e">
            <v>#DIV/0!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 t="e">
            <v>#DIV/0!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 t="e">
            <v>#DIV/0!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 t="e">
            <v>#DIV/0!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 t="e">
            <v>#DIV/0!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 t="e">
            <v>#DIV/0!</v>
          </cell>
          <cell r="CG320">
            <v>0</v>
          </cell>
          <cell r="CH320">
            <v>0</v>
          </cell>
        </row>
        <row r="321">
          <cell r="A321" t="str">
            <v>Bonificações/Premiações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 t="e">
            <v>#DIV/0!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 t="e">
            <v>#DIV/0!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 t="e">
            <v>#DIV/0!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 t="e">
            <v>#DIV/0!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 t="e">
            <v>#DIV/0!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 t="e">
            <v>#DIV/0!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 t="e">
            <v>#DIV/0!</v>
          </cell>
          <cell r="CG321">
            <v>0</v>
          </cell>
          <cell r="CH321">
            <v>0</v>
          </cell>
        </row>
        <row r="322">
          <cell r="A322" t="str">
            <v>Cadastro</v>
          </cell>
          <cell r="B322">
            <v>4.1003199142397503E-4</v>
          </cell>
          <cell r="C322">
            <v>160.26748508707203</v>
          </cell>
          <cell r="D322">
            <v>84.859464571966996</v>
          </cell>
          <cell r="E322">
            <v>2.6557991556783881E-3</v>
          </cell>
          <cell r="F322">
            <v>69.061702106250848</v>
          </cell>
          <cell r="G322">
            <v>0</v>
          </cell>
          <cell r="H322">
            <v>84.859464571966996</v>
          </cell>
          <cell r="I322">
            <v>69.061702106250848</v>
          </cell>
          <cell r="J322">
            <v>-15.797762465716147</v>
          </cell>
          <cell r="K322">
            <v>84.859464571966996</v>
          </cell>
          <cell r="L322">
            <v>2.6557991556783881E-3</v>
          </cell>
          <cell r="M322">
            <v>71.016552184087374</v>
          </cell>
          <cell r="N322">
            <v>1.7297905781046737E-3</v>
          </cell>
          <cell r="O322">
            <v>169.71892914393399</v>
          </cell>
          <cell r="P322">
            <v>140.07825429033824</v>
          </cell>
          <cell r="Q322">
            <v>-29.640674853595755</v>
          </cell>
          <cell r="R322">
            <v>84.859464571966996</v>
          </cell>
          <cell r="S322">
            <v>2.6557991556783881E-3</v>
          </cell>
          <cell r="T322">
            <v>104.36225764701558</v>
          </cell>
          <cell r="U322">
            <v>1.5167875543694746E-4</v>
          </cell>
          <cell r="V322">
            <v>254.57839371590097</v>
          </cell>
          <cell r="W322">
            <v>244.44051193735382</v>
          </cell>
          <cell r="X322">
            <v>-10.137881778547154</v>
          </cell>
          <cell r="Y322">
            <v>84.859464571966996</v>
          </cell>
          <cell r="Z322">
            <v>2.6557991556783881E-3</v>
          </cell>
          <cell r="AA322">
            <v>0</v>
          </cell>
          <cell r="AB322">
            <v>0</v>
          </cell>
          <cell r="AC322">
            <v>339.43785828786798</v>
          </cell>
          <cell r="AD322">
            <v>244.44051193735382</v>
          </cell>
          <cell r="AE322">
            <v>-94.997346350514164</v>
          </cell>
          <cell r="AF322">
            <v>84.859464571966996</v>
          </cell>
          <cell r="AG322">
            <v>2.6557991556783881E-3</v>
          </cell>
          <cell r="AH322">
            <v>0</v>
          </cell>
          <cell r="AI322">
            <v>0</v>
          </cell>
          <cell r="AJ322">
            <v>424.29732285983499</v>
          </cell>
          <cell r="AK322">
            <v>244.44051193735382</v>
          </cell>
          <cell r="AL322">
            <v>-179.85681092248117</v>
          </cell>
          <cell r="AM322">
            <v>84.859464571966996</v>
          </cell>
          <cell r="AN322">
            <v>2.6557991556783881E-3</v>
          </cell>
          <cell r="AO322">
            <v>0</v>
          </cell>
          <cell r="AP322" t="e">
            <v>#DIV/0!</v>
          </cell>
          <cell r="AQ322">
            <v>509.156787431802</v>
          </cell>
          <cell r="AR322">
            <v>244.44051193735382</v>
          </cell>
          <cell r="AS322">
            <v>-264.71627549444815</v>
          </cell>
          <cell r="AT322">
            <v>84.859464571966996</v>
          </cell>
          <cell r="AU322">
            <v>2.6557991556783881E-3</v>
          </cell>
          <cell r="AV322">
            <v>0</v>
          </cell>
          <cell r="AW322" t="e">
            <v>#DIV/0!</v>
          </cell>
          <cell r="AX322">
            <v>594.01625200376895</v>
          </cell>
          <cell r="AY322">
            <v>244.44051193735382</v>
          </cell>
          <cell r="AZ322">
            <v>-349.57574006641516</v>
          </cell>
          <cell r="BA322">
            <v>84.859464571966996</v>
          </cell>
          <cell r="BB322">
            <v>2.6557991556783881E-3</v>
          </cell>
          <cell r="BC322">
            <v>0</v>
          </cell>
          <cell r="BD322" t="e">
            <v>#DIV/0!</v>
          </cell>
          <cell r="BE322">
            <v>678.87571657573596</v>
          </cell>
          <cell r="BF322">
            <v>244.44051193735382</v>
          </cell>
          <cell r="BG322">
            <v>-434.43520463838217</v>
          </cell>
          <cell r="BH322">
            <v>84.859464571966996</v>
          </cell>
          <cell r="BI322">
            <v>2.6557991556783881E-3</v>
          </cell>
          <cell r="BJ322">
            <v>0</v>
          </cell>
          <cell r="BK322" t="e">
            <v>#DIV/0!</v>
          </cell>
          <cell r="BL322">
            <v>763.73518114770297</v>
          </cell>
          <cell r="BM322">
            <v>244.44051193735382</v>
          </cell>
          <cell r="BN322">
            <v>-519.29466921034918</v>
          </cell>
          <cell r="BO322">
            <v>84.859464571966996</v>
          </cell>
          <cell r="BP322">
            <v>2.6557991556783881E-3</v>
          </cell>
          <cell r="BQ322">
            <v>0</v>
          </cell>
          <cell r="BR322" t="e">
            <v>#DIV/0!</v>
          </cell>
          <cell r="BS322">
            <v>848.59464571966998</v>
          </cell>
          <cell r="BT322">
            <v>244.44051193735382</v>
          </cell>
          <cell r="BU322">
            <v>-604.15413378231619</v>
          </cell>
          <cell r="BV322">
            <v>0</v>
          </cell>
          <cell r="BW322">
            <v>0</v>
          </cell>
          <cell r="BX322">
            <v>0</v>
          </cell>
          <cell r="BY322" t="e">
            <v>#DIV/0!</v>
          </cell>
          <cell r="BZ322">
            <v>848.59464571966998</v>
          </cell>
          <cell r="CA322">
            <v>244.44051193735382</v>
          </cell>
          <cell r="CB322">
            <v>-604.15413378231619</v>
          </cell>
          <cell r="CC322">
            <v>0</v>
          </cell>
          <cell r="CD322">
            <v>0</v>
          </cell>
          <cell r="CE322">
            <v>0</v>
          </cell>
          <cell r="CF322" t="e">
            <v>#DIV/0!</v>
          </cell>
          <cell r="CG322">
            <v>848.59464571966998</v>
          </cell>
          <cell r="CH322">
            <v>244.44051193735382</v>
          </cell>
        </row>
        <row r="323">
          <cell r="A323" t="str">
            <v>Cartório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 t="e">
            <v>#DIV/0!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 t="e">
            <v>#DIV/0!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 t="e">
            <v>#DIV/0!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 t="e">
            <v>#DIV/0!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 t="e">
            <v>#DIV/0!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 t="e">
            <v>#DIV/0!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 t="e">
            <v>#DIV/0!</v>
          </cell>
          <cell r="CG323">
            <v>0</v>
          </cell>
          <cell r="CH323">
            <v>0</v>
          </cell>
        </row>
        <row r="324">
          <cell r="A324" t="str">
            <v>Condenação</v>
          </cell>
          <cell r="B324">
            <v>6.3960570542616303E-5</v>
          </cell>
          <cell r="C324">
            <v>25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 t="e">
            <v>#DIV/0!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 t="e">
            <v>#DIV/0!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 t="e">
            <v>#DIV/0!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 t="e">
            <v>#DIV/0!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 t="e">
            <v>#DIV/0!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 t="e">
            <v>#DIV/0!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 t="e">
            <v>#DIV/0!</v>
          </cell>
          <cell r="CG324">
            <v>0</v>
          </cell>
          <cell r="CH324">
            <v>0</v>
          </cell>
        </row>
        <row r="325">
          <cell r="A325" t="str">
            <v>Penalidades/Irregularidades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 t="e">
            <v>#DIV/0!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 t="e">
            <v>#DIV/0!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 t="e">
            <v>#DIV/0!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 t="e">
            <v>#DIV/0!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 t="e">
            <v>#DIV/0!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 t="e">
            <v>#DIV/0!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 t="e">
            <v>#DIV/0!</v>
          </cell>
          <cell r="CG325">
            <v>0</v>
          </cell>
          <cell r="CH325">
            <v>0</v>
          </cell>
        </row>
        <row r="326">
          <cell r="A326" t="str">
            <v>Controladoria Jurídica - Custas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 t="e">
            <v>#DIV/0!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 t="e">
            <v>#DIV/0!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 t="e">
            <v>#DIV/0!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 t="e">
            <v>#DIV/0!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 t="e">
            <v>#DIV/0!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 t="e">
            <v>#DIV/0!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 t="e">
            <v>#DIV/0!</v>
          </cell>
          <cell r="CG326">
            <v>0</v>
          </cell>
          <cell r="CH326">
            <v>0</v>
          </cell>
        </row>
        <row r="327">
          <cell r="A327" t="str">
            <v>GNA</v>
          </cell>
          <cell r="B327">
            <v>4.280700129849482E-4</v>
          </cell>
          <cell r="C327">
            <v>167.31793093517254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540.64360675898286</v>
          </cell>
          <cell r="N327">
            <v>1.3168764017999827E-2</v>
          </cell>
          <cell r="O327">
            <v>0</v>
          </cell>
          <cell r="P327">
            <v>540.64360675898286</v>
          </cell>
          <cell r="Q327">
            <v>540.64360675898286</v>
          </cell>
          <cell r="R327">
            <v>0</v>
          </cell>
          <cell r="S327">
            <v>0</v>
          </cell>
          <cell r="T327">
            <v>170.54140722808083</v>
          </cell>
          <cell r="U327">
            <v>2.4786267547327883E-4</v>
          </cell>
          <cell r="V327">
            <v>0</v>
          </cell>
          <cell r="W327">
            <v>711.18501398706371</v>
          </cell>
          <cell r="X327">
            <v>711.18501398706371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711.18501398706371</v>
          </cell>
          <cell r="AE327">
            <v>711.18501398706371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711.18501398706371</v>
          </cell>
          <cell r="AL327">
            <v>711.18501398706371</v>
          </cell>
          <cell r="AM327">
            <v>0</v>
          </cell>
          <cell r="AN327">
            <v>0</v>
          </cell>
          <cell r="AO327">
            <v>0</v>
          </cell>
          <cell r="AP327" t="e">
            <v>#DIV/0!</v>
          </cell>
          <cell r="AQ327">
            <v>0</v>
          </cell>
          <cell r="AR327">
            <v>711.18501398706371</v>
          </cell>
          <cell r="AS327">
            <v>711.18501398706371</v>
          </cell>
          <cell r="AT327">
            <v>0</v>
          </cell>
          <cell r="AU327">
            <v>0</v>
          </cell>
          <cell r="AV327">
            <v>0</v>
          </cell>
          <cell r="AW327" t="e">
            <v>#DIV/0!</v>
          </cell>
          <cell r="AX327">
            <v>0</v>
          </cell>
          <cell r="AY327">
            <v>711.18501398706371</v>
          </cell>
          <cell r="AZ327">
            <v>711.18501398706371</v>
          </cell>
          <cell r="BA327">
            <v>0</v>
          </cell>
          <cell r="BB327">
            <v>0</v>
          </cell>
          <cell r="BC327">
            <v>0</v>
          </cell>
          <cell r="BD327" t="e">
            <v>#DIV/0!</v>
          </cell>
          <cell r="BE327">
            <v>0</v>
          </cell>
          <cell r="BF327">
            <v>711.18501398706371</v>
          </cell>
          <cell r="BG327">
            <v>711.18501398706371</v>
          </cell>
          <cell r="BH327">
            <v>0</v>
          </cell>
          <cell r="BI327">
            <v>0</v>
          </cell>
          <cell r="BJ327">
            <v>0</v>
          </cell>
          <cell r="BK327" t="e">
            <v>#DIV/0!</v>
          </cell>
          <cell r="BL327">
            <v>0</v>
          </cell>
          <cell r="BM327">
            <v>711.18501398706371</v>
          </cell>
          <cell r="BN327">
            <v>711.18501398706371</v>
          </cell>
          <cell r="BO327">
            <v>0</v>
          </cell>
          <cell r="BP327">
            <v>0</v>
          </cell>
          <cell r="BQ327">
            <v>0</v>
          </cell>
          <cell r="BR327" t="e">
            <v>#DIV/0!</v>
          </cell>
          <cell r="BS327">
            <v>0</v>
          </cell>
          <cell r="BT327">
            <v>711.18501398706371</v>
          </cell>
          <cell r="BU327">
            <v>711.18501398706371</v>
          </cell>
          <cell r="BV327">
            <v>0</v>
          </cell>
          <cell r="BW327">
            <v>0</v>
          </cell>
          <cell r="BX327">
            <v>0</v>
          </cell>
          <cell r="BY327" t="e">
            <v>#DIV/0!</v>
          </cell>
          <cell r="BZ327">
            <v>0</v>
          </cell>
          <cell r="CA327">
            <v>711.18501398706371</v>
          </cell>
          <cell r="CB327">
            <v>711.18501398706371</v>
          </cell>
          <cell r="CC327">
            <v>0</v>
          </cell>
          <cell r="CD327">
            <v>0</v>
          </cell>
          <cell r="CE327">
            <v>0</v>
          </cell>
          <cell r="CF327" t="e">
            <v>#DIV/0!</v>
          </cell>
          <cell r="CG327">
            <v>0</v>
          </cell>
          <cell r="CH327">
            <v>711.18501398706371</v>
          </cell>
        </row>
        <row r="328">
          <cell r="A328" t="str">
            <v>Correios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 t="e">
            <v>#DIV/0!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 t="e">
            <v>#DIV/0!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 t="e">
            <v>#DIV/0!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 t="e">
            <v>#DIV/0!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 t="e">
            <v>#DIV/0!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 t="e">
            <v>#DIV/0!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 t="e">
            <v>#DIV/0!</v>
          </cell>
          <cell r="CG328">
            <v>0</v>
          </cell>
          <cell r="CH328">
            <v>0</v>
          </cell>
        </row>
        <row r="329">
          <cell r="A329" t="str">
            <v xml:space="preserve">Correspondentes </v>
          </cell>
          <cell r="B329">
            <v>6.3448877695381481E-3</v>
          </cell>
          <cell r="C329">
            <v>2479.99967625</v>
          </cell>
          <cell r="D329">
            <v>2359.999988</v>
          </cell>
          <cell r="E329">
            <v>7.3859598421292805E-2</v>
          </cell>
          <cell r="F329">
            <v>3050.0000460000001</v>
          </cell>
          <cell r="G329">
            <v>0</v>
          </cell>
          <cell r="H329">
            <v>2359.999988</v>
          </cell>
          <cell r="I329">
            <v>3050.0000460000001</v>
          </cell>
          <cell r="J329">
            <v>690.00005800000008</v>
          </cell>
          <cell r="K329">
            <v>2359.999988</v>
          </cell>
          <cell r="L329">
            <v>7.3859598421292805E-2</v>
          </cell>
          <cell r="M329">
            <v>1399.9999580000001</v>
          </cell>
          <cell r="N329">
            <v>3.410059573742541E-2</v>
          </cell>
          <cell r="O329">
            <v>4719.9999760000001</v>
          </cell>
          <cell r="P329">
            <v>4450.0000040000004</v>
          </cell>
          <cell r="Q329">
            <v>-269.99997199999962</v>
          </cell>
          <cell r="R329">
            <v>2359.999988</v>
          </cell>
          <cell r="S329">
            <v>7.3859598421292805E-2</v>
          </cell>
          <cell r="T329">
            <v>0</v>
          </cell>
          <cell r="U329">
            <v>0</v>
          </cell>
          <cell r="V329">
            <v>7079.9999640000005</v>
          </cell>
          <cell r="W329">
            <v>4450.0000040000004</v>
          </cell>
          <cell r="X329">
            <v>-2629.9999600000001</v>
          </cell>
          <cell r="Y329">
            <v>2359.999988</v>
          </cell>
          <cell r="Z329">
            <v>7.3859598421292805E-2</v>
          </cell>
          <cell r="AA329">
            <v>0</v>
          </cell>
          <cell r="AB329">
            <v>0</v>
          </cell>
          <cell r="AC329">
            <v>9439.9999520000001</v>
          </cell>
          <cell r="AD329">
            <v>4450.0000040000004</v>
          </cell>
          <cell r="AE329">
            <v>-4989.9999479999997</v>
          </cell>
          <cell r="AF329">
            <v>2359.999988</v>
          </cell>
          <cell r="AG329">
            <v>7.3859598421292805E-2</v>
          </cell>
          <cell r="AH329">
            <v>0</v>
          </cell>
          <cell r="AI329">
            <v>0</v>
          </cell>
          <cell r="AJ329">
            <v>11799.99994</v>
          </cell>
          <cell r="AK329">
            <v>4450.0000040000004</v>
          </cell>
          <cell r="AL329">
            <v>-7349.9999359999993</v>
          </cell>
          <cell r="AM329">
            <v>2359.999988</v>
          </cell>
          <cell r="AN329">
            <v>7.3859598421292805E-2</v>
          </cell>
          <cell r="AO329">
            <v>0</v>
          </cell>
          <cell r="AP329" t="e">
            <v>#DIV/0!</v>
          </cell>
          <cell r="AQ329">
            <v>14159.999927999999</v>
          </cell>
          <cell r="AR329">
            <v>4450.0000040000004</v>
          </cell>
          <cell r="AS329">
            <v>-9709.9999239999997</v>
          </cell>
          <cell r="AT329">
            <v>2359.999988</v>
          </cell>
          <cell r="AU329">
            <v>7.3859598421292805E-2</v>
          </cell>
          <cell r="AV329">
            <v>0</v>
          </cell>
          <cell r="AW329" t="e">
            <v>#DIV/0!</v>
          </cell>
          <cell r="AX329">
            <v>16519.999916000001</v>
          </cell>
          <cell r="AY329">
            <v>4450.0000040000004</v>
          </cell>
          <cell r="AZ329">
            <v>-12069.999911999999</v>
          </cell>
          <cell r="BA329">
            <v>2359.999988</v>
          </cell>
          <cell r="BB329">
            <v>7.3859598421292805E-2</v>
          </cell>
          <cell r="BC329">
            <v>0</v>
          </cell>
          <cell r="BD329" t="e">
            <v>#DIV/0!</v>
          </cell>
          <cell r="BE329">
            <v>18879.999904</v>
          </cell>
          <cell r="BF329">
            <v>4450.0000040000004</v>
          </cell>
          <cell r="BG329">
            <v>-14429.999899999999</v>
          </cell>
          <cell r="BH329">
            <v>2359.999988</v>
          </cell>
          <cell r="BI329">
            <v>7.3859598421292805E-2</v>
          </cell>
          <cell r="BJ329">
            <v>0</v>
          </cell>
          <cell r="BK329" t="e">
            <v>#DIV/0!</v>
          </cell>
          <cell r="BL329">
            <v>21239.999892</v>
          </cell>
          <cell r="BM329">
            <v>4450.0000040000004</v>
          </cell>
          <cell r="BN329">
            <v>-16789.999887999998</v>
          </cell>
          <cell r="BO329">
            <v>2359.999988</v>
          </cell>
          <cell r="BP329">
            <v>7.3859598421292805E-2</v>
          </cell>
          <cell r="BQ329">
            <v>0</v>
          </cell>
          <cell r="BR329" t="e">
            <v>#DIV/0!</v>
          </cell>
          <cell r="BS329">
            <v>23599.999879999999</v>
          </cell>
          <cell r="BT329">
            <v>4450.0000040000004</v>
          </cell>
          <cell r="BU329">
            <v>-19149.999875999998</v>
          </cell>
          <cell r="BV329">
            <v>0</v>
          </cell>
          <cell r="BW329">
            <v>0</v>
          </cell>
          <cell r="BX329">
            <v>0</v>
          </cell>
          <cell r="BY329" t="e">
            <v>#DIV/0!</v>
          </cell>
          <cell r="BZ329">
            <v>23599.999879999999</v>
          </cell>
          <cell r="CA329">
            <v>4450.0000040000004</v>
          </cell>
          <cell r="CB329">
            <v>-19149.999875999998</v>
          </cell>
          <cell r="CC329">
            <v>0</v>
          </cell>
          <cell r="CD329">
            <v>0</v>
          </cell>
          <cell r="CE329">
            <v>0</v>
          </cell>
          <cell r="CF329" t="e">
            <v>#DIV/0!</v>
          </cell>
          <cell r="CG329">
            <v>23599.999879999999</v>
          </cell>
          <cell r="CH329">
            <v>4450.0000040000004</v>
          </cell>
        </row>
        <row r="330">
          <cell r="A330" t="str">
            <v>Custas/Guias/Despesas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 t="e">
            <v>#DIV/0!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 t="e">
            <v>#DIV/0!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 t="e">
            <v>#DIV/0!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 t="e">
            <v>#DIV/0!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 t="e">
            <v>#DIV/0!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 t="e">
            <v>#DIV/0!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 t="e">
            <v>#DIV/0!</v>
          </cell>
          <cell r="CG330">
            <v>0</v>
          </cell>
          <cell r="CH330">
            <v>0</v>
          </cell>
        </row>
        <row r="331">
          <cell r="A331" t="str">
            <v>Deslocamento</v>
          </cell>
          <cell r="B331">
            <v>6.2802884215794943E-5</v>
          </cell>
          <cell r="C331">
            <v>24.547499999999999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 t="e">
            <v>#DIV/0!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 t="e">
            <v>#DIV/0!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 t="e">
            <v>#DIV/0!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 t="e">
            <v>#DIV/0!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 t="e">
            <v>#DIV/0!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 t="e">
            <v>#DIV/0!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 t="e">
            <v>#DIV/0!</v>
          </cell>
          <cell r="CG331">
            <v>0</v>
          </cell>
          <cell r="CH331">
            <v>0</v>
          </cell>
        </row>
        <row r="332">
          <cell r="A332" t="str">
            <v>Consultoria</v>
          </cell>
          <cell r="B332">
            <v>3.198028527130815E-3</v>
          </cell>
          <cell r="C332">
            <v>1250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 t="e">
            <v>#DIV/0!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 t="e">
            <v>#DIV/0!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 t="e">
            <v>#DIV/0!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 t="e">
            <v>#DIV/0!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 t="e">
            <v>#DIV/0!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 t="e">
            <v>#DIV/0!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 t="e">
            <v>#DIV/0!</v>
          </cell>
          <cell r="CG332">
            <v>0</v>
          </cell>
          <cell r="CH332">
            <v>0</v>
          </cell>
        </row>
        <row r="333">
          <cell r="A333" t="str">
            <v>Diligências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 t="e">
            <v>#DIV/0!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 t="e">
            <v>#DIV/0!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 t="e">
            <v>#DIV/0!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  <cell r="BK333" t="e">
            <v>#DIV/0!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 t="e">
            <v>#DIV/0!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 t="e">
            <v>#DIV/0!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 t="e">
            <v>#DIV/0!</v>
          </cell>
          <cell r="CG333">
            <v>0</v>
          </cell>
          <cell r="CH333">
            <v>0</v>
          </cell>
        </row>
        <row r="334">
          <cell r="A334" t="str">
            <v>Encargos</v>
          </cell>
          <cell r="B334">
            <v>9.9275477960382387E-5</v>
          </cell>
          <cell r="C334">
            <v>38.803389775203819</v>
          </cell>
          <cell r="D334">
            <v>991.48493697751508</v>
          </cell>
          <cell r="E334">
            <v>3.1029949007745531E-2</v>
          </cell>
          <cell r="F334">
            <v>485.77193446204387</v>
          </cell>
          <cell r="G334">
            <v>0</v>
          </cell>
          <cell r="H334">
            <v>991.48493697751508</v>
          </cell>
          <cell r="I334">
            <v>485.77193446204387</v>
          </cell>
          <cell r="J334">
            <v>-505.7130025154712</v>
          </cell>
          <cell r="K334">
            <v>991.48493697751508</v>
          </cell>
          <cell r="L334">
            <v>3.1029949007745531E-2</v>
          </cell>
          <cell r="M334">
            <v>991.48493697751496</v>
          </cell>
          <cell r="N334">
            <v>2.4150162878516988E-2</v>
          </cell>
          <cell r="O334">
            <v>1982.9698739550302</v>
          </cell>
          <cell r="P334">
            <v>1477.2568714395588</v>
          </cell>
          <cell r="Q334">
            <v>-505.71300251547132</v>
          </cell>
          <cell r="R334">
            <v>991.48493697751508</v>
          </cell>
          <cell r="S334">
            <v>3.1029949007745531E-2</v>
          </cell>
          <cell r="T334">
            <v>660.35139607531198</v>
          </cell>
          <cell r="U334">
            <v>9.5974617803429969E-4</v>
          </cell>
          <cell r="V334">
            <v>2974.4548109325451</v>
          </cell>
          <cell r="W334">
            <v>2137.6082675148709</v>
          </cell>
          <cell r="X334">
            <v>-836.84654341767418</v>
          </cell>
          <cell r="Y334">
            <v>991.48493697751508</v>
          </cell>
          <cell r="Z334">
            <v>3.1029949007745531E-2</v>
          </cell>
          <cell r="AA334">
            <v>0</v>
          </cell>
          <cell r="AB334">
            <v>0</v>
          </cell>
          <cell r="AC334">
            <v>3965.9397479100603</v>
          </cell>
          <cell r="AD334">
            <v>2137.6082675148709</v>
          </cell>
          <cell r="AE334">
            <v>-1828.3314803951894</v>
          </cell>
          <cell r="AF334">
            <v>991.48493697751508</v>
          </cell>
          <cell r="AG334">
            <v>3.1029949007745531E-2</v>
          </cell>
          <cell r="AH334">
            <v>0</v>
          </cell>
          <cell r="AI334">
            <v>0</v>
          </cell>
          <cell r="AJ334">
            <v>4957.4246848875755</v>
          </cell>
          <cell r="AK334">
            <v>2137.6082675148709</v>
          </cell>
          <cell r="AL334">
            <v>-2819.8164173727046</v>
          </cell>
          <cell r="AM334">
            <v>991.48493697751508</v>
          </cell>
          <cell r="AN334">
            <v>3.1029949007745531E-2</v>
          </cell>
          <cell r="AO334">
            <v>0</v>
          </cell>
          <cell r="AP334" t="e">
            <v>#DIV/0!</v>
          </cell>
          <cell r="AQ334">
            <v>5948.9096218650902</v>
          </cell>
          <cell r="AR334">
            <v>2137.6082675148709</v>
          </cell>
          <cell r="AS334">
            <v>-3811.3013543502193</v>
          </cell>
          <cell r="AT334">
            <v>991.48493697751508</v>
          </cell>
          <cell r="AU334">
            <v>3.1029949007745531E-2</v>
          </cell>
          <cell r="AV334">
            <v>0</v>
          </cell>
          <cell r="AW334" t="e">
            <v>#DIV/0!</v>
          </cell>
          <cell r="AX334">
            <v>6940.394558842605</v>
          </cell>
          <cell r="AY334">
            <v>2137.6082675148709</v>
          </cell>
          <cell r="AZ334">
            <v>-4802.786291327734</v>
          </cell>
          <cell r="BA334">
            <v>991.48493697751508</v>
          </cell>
          <cell r="BB334">
            <v>3.1029949007745531E-2</v>
          </cell>
          <cell r="BC334">
            <v>0</v>
          </cell>
          <cell r="BD334" t="e">
            <v>#DIV/0!</v>
          </cell>
          <cell r="BE334">
            <v>7931.8794958201197</v>
          </cell>
          <cell r="BF334">
            <v>2137.6082675148709</v>
          </cell>
          <cell r="BG334">
            <v>-5794.2712283052488</v>
          </cell>
          <cell r="BH334">
            <v>991.48493697751508</v>
          </cell>
          <cell r="BI334">
            <v>3.1029949007745531E-2</v>
          </cell>
          <cell r="BJ334">
            <v>0</v>
          </cell>
          <cell r="BK334" t="e">
            <v>#DIV/0!</v>
          </cell>
          <cell r="BL334">
            <v>8923.3644327976344</v>
          </cell>
          <cell r="BM334">
            <v>2137.6082675148709</v>
          </cell>
          <cell r="BN334">
            <v>-6785.7561652827635</v>
          </cell>
          <cell r="BO334">
            <v>991.48493697751508</v>
          </cell>
          <cell r="BP334">
            <v>3.1029949007745531E-2</v>
          </cell>
          <cell r="BQ334">
            <v>0</v>
          </cell>
          <cell r="BR334" t="e">
            <v>#DIV/0!</v>
          </cell>
          <cell r="BS334">
            <v>9914.8493697751492</v>
          </cell>
          <cell r="BT334">
            <v>2137.6082675148709</v>
          </cell>
          <cell r="BU334">
            <v>-7777.2411022602782</v>
          </cell>
          <cell r="BV334">
            <v>991.48493697751508</v>
          </cell>
          <cell r="BW334">
            <v>3.1029949007745531E-2</v>
          </cell>
          <cell r="BX334">
            <v>0</v>
          </cell>
          <cell r="BY334" t="e">
            <v>#DIV/0!</v>
          </cell>
          <cell r="BZ334">
            <v>10906.334306752664</v>
          </cell>
          <cell r="CA334">
            <v>2137.6082675148709</v>
          </cell>
          <cell r="CB334">
            <v>-8768.7260392377939</v>
          </cell>
          <cell r="CC334">
            <v>991.48493697751508</v>
          </cell>
          <cell r="CD334">
            <v>3.1029949007745531E-2</v>
          </cell>
          <cell r="CE334">
            <v>0</v>
          </cell>
          <cell r="CF334" t="e">
            <v>#DIV/0!</v>
          </cell>
          <cell r="CG334">
            <v>11897.819243730179</v>
          </cell>
          <cell r="CH334">
            <v>2137.6082675148709</v>
          </cell>
        </row>
        <row r="335">
          <cell r="A335" t="str">
            <v>Encargos Rescisórios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 t="e">
            <v>#DIV/0!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 t="e">
            <v>#DIV/0!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 t="e">
            <v>#DIV/0!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 t="e">
            <v>#DIV/0!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 t="e">
            <v>#DIV/0!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 t="e">
            <v>#DIV/0!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 t="e">
            <v>#DIV/0!</v>
          </cell>
          <cell r="CG335">
            <v>0</v>
          </cell>
          <cell r="CH335">
            <v>0</v>
          </cell>
        </row>
        <row r="336">
          <cell r="A336" t="str">
            <v>Encerramento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 t="e">
            <v>#DIV/0!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 t="e">
            <v>#DIV/0!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 t="e">
            <v>#DIV/0!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 t="e">
            <v>#DIV/0!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 t="e">
            <v>#DIV/0!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 t="e">
            <v>#DIV/0!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 t="e">
            <v>#DIV/0!</v>
          </cell>
          <cell r="CG336">
            <v>0</v>
          </cell>
          <cell r="CH336">
            <v>0</v>
          </cell>
        </row>
        <row r="337">
          <cell r="A337" t="str">
            <v>Eventos / Representações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 t="e">
            <v>#DIV/0!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 t="e">
            <v>#DIV/0!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 t="e">
            <v>#DIV/0!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 t="e">
            <v>#DIV/0!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 t="e">
            <v>#DIV/0!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 t="e">
            <v>#DIV/0!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 t="e">
            <v>#DIV/0!</v>
          </cell>
          <cell r="CG337">
            <v>0</v>
          </cell>
          <cell r="CH337">
            <v>0</v>
          </cell>
        </row>
        <row r="338">
          <cell r="A338" t="str">
            <v>Férias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 t="e">
            <v>#DIV/0!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 t="e">
            <v>#DIV/0!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 t="e">
            <v>#DIV/0!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 t="e">
            <v>#DIV/0!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 t="e">
            <v>#DIV/0!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 t="e">
            <v>#DIV/0!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 t="e">
            <v>#DIV/0!</v>
          </cell>
          <cell r="CG338">
            <v>0</v>
          </cell>
          <cell r="CH338">
            <v>0</v>
          </cell>
        </row>
        <row r="339">
          <cell r="A339" t="str">
            <v>Exames Médicos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 t="e">
            <v>#DIV/0!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 t="e">
            <v>#DIV/0!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 t="e">
            <v>#DIV/0!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 t="e">
            <v>#DIV/0!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 t="e">
            <v>#DIV/0!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 t="e">
            <v>#DIV/0!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 t="e">
            <v>#DIV/0!</v>
          </cell>
          <cell r="CG339">
            <v>0</v>
          </cell>
          <cell r="CH339">
            <v>0</v>
          </cell>
        </row>
        <row r="340">
          <cell r="A340" t="str">
            <v>Parcerias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 t="e">
            <v>#DIV/0!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 t="e">
            <v>#DIV/0!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 t="e">
            <v>#DIV/0!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 t="e">
            <v>#DIV/0!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 t="e">
            <v>#DIV/0!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 t="e">
            <v>#DIV/0!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 t="e">
            <v>#DIV/0!</v>
          </cell>
          <cell r="CG340">
            <v>0</v>
          </cell>
          <cell r="CH340">
            <v>0</v>
          </cell>
        </row>
        <row r="341">
          <cell r="A341" t="str">
            <v>Fotocópia/Xerox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 t="e">
            <v>#DIV/0!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 t="e">
            <v>#DIV/0!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 t="e">
            <v>#DIV/0!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 t="e">
            <v>#DIV/0!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 t="e">
            <v>#DIV/0!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 t="e">
            <v>#DIV/0!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 t="e">
            <v>#DIV/0!</v>
          </cell>
          <cell r="CG341">
            <v>0</v>
          </cell>
          <cell r="CH341">
            <v>0</v>
          </cell>
        </row>
        <row r="342">
          <cell r="A342" t="str">
            <v>IR s/ Salário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 t="e">
            <v>#DIV/0!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 t="e">
            <v>#DIV/0!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 t="e">
            <v>#DIV/0!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 t="e">
            <v>#DIV/0!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 t="e">
            <v>#DIV/0!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 t="e">
            <v>#DIV/0!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 t="e">
            <v>#DIV/0!</v>
          </cell>
          <cell r="CG342">
            <v>0</v>
          </cell>
          <cell r="CH342">
            <v>0</v>
          </cell>
        </row>
        <row r="343">
          <cell r="A343" t="str">
            <v>Consultoria de Projetos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 t="e">
            <v>#DIV/0!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 t="e">
            <v>#DIV/0!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 t="e">
            <v>#DIV/0!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 t="e">
            <v>#DIV/0!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 t="e">
            <v>#DIV/0!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 t="e">
            <v>#DIV/0!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 t="e">
            <v>#DIV/0!</v>
          </cell>
          <cell r="CG343">
            <v>0</v>
          </cell>
          <cell r="CH343">
            <v>0</v>
          </cell>
        </row>
        <row r="344">
          <cell r="A344" t="str">
            <v>Pauta</v>
          </cell>
          <cell r="B344">
            <v>7.3029073477070909E-6</v>
          </cell>
          <cell r="C344">
            <v>2.8544567714734641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 t="e">
            <v>#DIV/0!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 t="e">
            <v>#DIV/0!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 t="e">
            <v>#DIV/0!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 t="e">
            <v>#DIV/0!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 t="e">
            <v>#DIV/0!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 t="e">
            <v>#DIV/0!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 t="e">
            <v>#DIV/0!</v>
          </cell>
          <cell r="CG344">
            <v>0</v>
          </cell>
          <cell r="CH344">
            <v>0</v>
          </cell>
        </row>
        <row r="345">
          <cell r="A345" t="str">
            <v>Pauta - Gestão de Pauta</v>
          </cell>
          <cell r="B345">
            <v>4.0791940092404041E-4</v>
          </cell>
          <cell r="C345">
            <v>159.44174569715875</v>
          </cell>
          <cell r="D345">
            <v>312.35354341618665</v>
          </cell>
          <cell r="E345">
            <v>9.7755539828364574E-3</v>
          </cell>
          <cell r="F345">
            <v>107.14572847057256</v>
          </cell>
          <cell r="G345">
            <v>0</v>
          </cell>
          <cell r="H345">
            <v>312.35354341618665</v>
          </cell>
          <cell r="I345">
            <v>107.14572847057256</v>
          </cell>
          <cell r="J345">
            <v>-205.20781494561407</v>
          </cell>
          <cell r="K345">
            <v>312.35354341618665</v>
          </cell>
          <cell r="L345">
            <v>9.7755539828364574E-3</v>
          </cell>
          <cell r="M345">
            <v>151.71673998557884</v>
          </cell>
          <cell r="N345">
            <v>3.6954509800408925E-3</v>
          </cell>
          <cell r="O345">
            <v>624.70708683237331</v>
          </cell>
          <cell r="P345">
            <v>258.86246845615142</v>
          </cell>
          <cell r="Q345">
            <v>-365.84461837622189</v>
          </cell>
          <cell r="R345">
            <v>312.35354341618665</v>
          </cell>
          <cell r="S345">
            <v>9.7755539828364574E-3</v>
          </cell>
          <cell r="T345">
            <v>126.86909172031176</v>
          </cell>
          <cell r="U345">
            <v>1.843898969744367E-4</v>
          </cell>
          <cell r="V345">
            <v>937.06063024855996</v>
          </cell>
          <cell r="W345">
            <v>385.73156017646318</v>
          </cell>
          <cell r="X345">
            <v>-551.32907007209678</v>
          </cell>
          <cell r="Y345">
            <v>312.35354341618665</v>
          </cell>
          <cell r="Z345">
            <v>9.7755539828364574E-3</v>
          </cell>
          <cell r="AA345">
            <v>0</v>
          </cell>
          <cell r="AB345">
            <v>0</v>
          </cell>
          <cell r="AC345">
            <v>1249.4141736647466</v>
          </cell>
          <cell r="AD345">
            <v>385.73156017646318</v>
          </cell>
          <cell r="AE345">
            <v>-863.68261348828344</v>
          </cell>
          <cell r="AF345">
            <v>312.35354341618665</v>
          </cell>
          <cell r="AG345">
            <v>9.7755539828364574E-3</v>
          </cell>
          <cell r="AH345">
            <v>0</v>
          </cell>
          <cell r="AI345">
            <v>0</v>
          </cell>
          <cell r="AJ345">
            <v>1561.7677170809334</v>
          </cell>
          <cell r="AK345">
            <v>385.73156017646318</v>
          </cell>
          <cell r="AL345">
            <v>-1176.0361569044703</v>
          </cell>
          <cell r="AM345">
            <v>312.35354341618665</v>
          </cell>
          <cell r="AN345">
            <v>9.7755539828364574E-3</v>
          </cell>
          <cell r="AO345">
            <v>0</v>
          </cell>
          <cell r="AP345" t="e">
            <v>#DIV/0!</v>
          </cell>
          <cell r="AQ345">
            <v>1874.1212604971201</v>
          </cell>
          <cell r="AR345">
            <v>385.73156017646318</v>
          </cell>
          <cell r="AS345">
            <v>-1488.3897003206571</v>
          </cell>
          <cell r="AT345">
            <v>312.35354341618665</v>
          </cell>
          <cell r="AU345">
            <v>9.7755539828364574E-3</v>
          </cell>
          <cell r="AV345">
            <v>0</v>
          </cell>
          <cell r="AW345" t="e">
            <v>#DIV/0!</v>
          </cell>
          <cell r="AX345">
            <v>2186.4748039133069</v>
          </cell>
          <cell r="AY345">
            <v>385.73156017646318</v>
          </cell>
          <cell r="AZ345">
            <v>-1800.7432437368439</v>
          </cell>
          <cell r="BA345">
            <v>312.35354341618665</v>
          </cell>
          <cell r="BB345">
            <v>9.7755539828364574E-3</v>
          </cell>
          <cell r="BC345">
            <v>0</v>
          </cell>
          <cell r="BD345" t="e">
            <v>#DIV/0!</v>
          </cell>
          <cell r="BE345">
            <v>2498.8283473294937</v>
          </cell>
          <cell r="BF345">
            <v>385.73156017646318</v>
          </cell>
          <cell r="BG345">
            <v>-2113.0967871530306</v>
          </cell>
          <cell r="BH345">
            <v>312.35354341618665</v>
          </cell>
          <cell r="BI345">
            <v>9.7755539828364574E-3</v>
          </cell>
          <cell r="BJ345">
            <v>0</v>
          </cell>
          <cell r="BK345" t="e">
            <v>#DIV/0!</v>
          </cell>
          <cell r="BL345">
            <v>2811.1818907456804</v>
          </cell>
          <cell r="BM345">
            <v>385.73156017646318</v>
          </cell>
          <cell r="BN345">
            <v>-2425.4503305692174</v>
          </cell>
          <cell r="BO345">
            <v>312.35354341618665</v>
          </cell>
          <cell r="BP345">
            <v>9.7755539828364574E-3</v>
          </cell>
          <cell r="BQ345">
            <v>0</v>
          </cell>
          <cell r="BR345" t="e">
            <v>#DIV/0!</v>
          </cell>
          <cell r="BS345">
            <v>3123.5354341618672</v>
          </cell>
          <cell r="BT345">
            <v>385.73156017646318</v>
          </cell>
          <cell r="BU345">
            <v>-2737.8038739854042</v>
          </cell>
          <cell r="BV345">
            <v>0</v>
          </cell>
          <cell r="BW345">
            <v>0</v>
          </cell>
          <cell r="BX345">
            <v>0</v>
          </cell>
          <cell r="BY345" t="e">
            <v>#DIV/0!</v>
          </cell>
          <cell r="BZ345">
            <v>3123.5354341618672</v>
          </cell>
          <cell r="CA345">
            <v>385.73156017646318</v>
          </cell>
          <cell r="CB345">
            <v>-2737.8038739854042</v>
          </cell>
          <cell r="CC345">
            <v>0</v>
          </cell>
          <cell r="CD345">
            <v>0</v>
          </cell>
          <cell r="CE345">
            <v>0</v>
          </cell>
          <cell r="CF345" t="e">
            <v>#DIV/0!</v>
          </cell>
          <cell r="CG345">
            <v>3123.5354341618672</v>
          </cell>
          <cell r="CH345">
            <v>385.73156017646318</v>
          </cell>
        </row>
        <row r="346">
          <cell r="A346" t="str">
            <v>Seguro de Vida</v>
          </cell>
          <cell r="B346">
            <v>1.1776646988529087E-4</v>
          </cell>
          <cell r="C346">
            <v>46.030886250000002</v>
          </cell>
          <cell r="D346">
            <v>54.63</v>
          </cell>
          <cell r="E346">
            <v>1.7097245263864068E-3</v>
          </cell>
          <cell r="F346">
            <v>23.02</v>
          </cell>
          <cell r="G346">
            <v>0</v>
          </cell>
          <cell r="H346">
            <v>54.63</v>
          </cell>
          <cell r="I346">
            <v>23.02</v>
          </cell>
          <cell r="J346">
            <v>-31.610000000000003</v>
          </cell>
          <cell r="K346">
            <v>0</v>
          </cell>
          <cell r="L346">
            <v>0</v>
          </cell>
          <cell r="M346">
            <v>24.170999999999999</v>
          </cell>
          <cell r="N346">
            <v>5.8874680306905366E-4</v>
          </cell>
          <cell r="O346">
            <v>54.63</v>
          </cell>
          <cell r="P346">
            <v>47.191000000000003</v>
          </cell>
          <cell r="Q346">
            <v>-7.4390000000000001</v>
          </cell>
          <cell r="R346">
            <v>0</v>
          </cell>
          <cell r="S346">
            <v>0</v>
          </cell>
          <cell r="T346">
            <v>23.02</v>
          </cell>
          <cell r="U346">
            <v>3.3456970258044047E-5</v>
          </cell>
          <cell r="V346">
            <v>54.63</v>
          </cell>
          <cell r="W346">
            <v>70.210999999999999</v>
          </cell>
          <cell r="X346">
            <v>15.580999999999996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54.63</v>
          </cell>
          <cell r="AD346">
            <v>70.210999999999999</v>
          </cell>
          <cell r="AE346">
            <v>15.580999999999996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54.63</v>
          </cell>
          <cell r="AK346">
            <v>70.210999999999999</v>
          </cell>
          <cell r="AL346">
            <v>15.580999999999996</v>
          </cell>
          <cell r="AM346">
            <v>0</v>
          </cell>
          <cell r="AN346">
            <v>0</v>
          </cell>
          <cell r="AO346">
            <v>0</v>
          </cell>
          <cell r="AP346" t="e">
            <v>#DIV/0!</v>
          </cell>
          <cell r="AQ346">
            <v>54.63</v>
          </cell>
          <cell r="AR346">
            <v>70.210999999999999</v>
          </cell>
          <cell r="AS346">
            <v>15.580999999999996</v>
          </cell>
          <cell r="AT346">
            <v>0</v>
          </cell>
          <cell r="AU346">
            <v>0</v>
          </cell>
          <cell r="AV346">
            <v>0</v>
          </cell>
          <cell r="AW346" t="e">
            <v>#DIV/0!</v>
          </cell>
          <cell r="AX346">
            <v>54.63</v>
          </cell>
          <cell r="AY346">
            <v>70.210999999999999</v>
          </cell>
          <cell r="AZ346">
            <v>15.580999999999996</v>
          </cell>
          <cell r="BA346">
            <v>0</v>
          </cell>
          <cell r="BB346">
            <v>0</v>
          </cell>
          <cell r="BC346">
            <v>0</v>
          </cell>
          <cell r="BD346" t="e">
            <v>#DIV/0!</v>
          </cell>
          <cell r="BE346">
            <v>54.63</v>
          </cell>
          <cell r="BF346">
            <v>70.210999999999999</v>
          </cell>
          <cell r="BG346">
            <v>15.580999999999996</v>
          </cell>
          <cell r="BH346">
            <v>0</v>
          </cell>
          <cell r="BI346">
            <v>0</v>
          </cell>
          <cell r="BJ346">
            <v>0</v>
          </cell>
          <cell r="BK346" t="e">
            <v>#DIV/0!</v>
          </cell>
          <cell r="BL346">
            <v>54.63</v>
          </cell>
          <cell r="BM346">
            <v>70.210999999999999</v>
          </cell>
          <cell r="BN346">
            <v>15.580999999999996</v>
          </cell>
          <cell r="BO346">
            <v>0</v>
          </cell>
          <cell r="BP346">
            <v>0</v>
          </cell>
          <cell r="BQ346">
            <v>0</v>
          </cell>
          <cell r="BR346" t="e">
            <v>#DIV/0!</v>
          </cell>
          <cell r="BS346">
            <v>54.63</v>
          </cell>
          <cell r="BT346">
            <v>70.210999999999999</v>
          </cell>
          <cell r="BU346">
            <v>15.580999999999996</v>
          </cell>
          <cell r="BV346">
            <v>0</v>
          </cell>
          <cell r="BW346">
            <v>0</v>
          </cell>
          <cell r="BX346">
            <v>0</v>
          </cell>
          <cell r="BY346" t="e">
            <v>#DIV/0!</v>
          </cell>
          <cell r="BZ346">
            <v>54.63</v>
          </cell>
          <cell r="CA346">
            <v>70.210999999999999</v>
          </cell>
          <cell r="CB346">
            <v>15.580999999999996</v>
          </cell>
          <cell r="CC346">
            <v>0</v>
          </cell>
          <cell r="CD346">
            <v>0</v>
          </cell>
          <cell r="CE346">
            <v>0</v>
          </cell>
          <cell r="CF346" t="e">
            <v>#DIV/0!</v>
          </cell>
          <cell r="CG346">
            <v>54.63</v>
          </cell>
          <cell r="CH346">
            <v>70.210999999999999</v>
          </cell>
        </row>
        <row r="347">
          <cell r="A347" t="str">
            <v>Plano de Saúde</v>
          </cell>
          <cell r="B347">
            <v>1.6494786317790536E-3</v>
          </cell>
          <cell r="C347">
            <v>644.72479598975053</v>
          </cell>
          <cell r="D347">
            <v>1421.8954971764701</v>
          </cell>
          <cell r="E347">
            <v>4.4500267352754988E-2</v>
          </cell>
          <cell r="F347">
            <v>1464.8399979999999</v>
          </cell>
          <cell r="G347">
            <v>0</v>
          </cell>
          <cell r="H347">
            <v>1421.8954971764701</v>
          </cell>
          <cell r="I347">
            <v>1464.8399979999999</v>
          </cell>
          <cell r="J347">
            <v>42.944500823529779</v>
          </cell>
          <cell r="K347">
            <v>1421.8954971764701</v>
          </cell>
          <cell r="L347">
            <v>4.4500267352754988E-2</v>
          </cell>
          <cell r="M347">
            <v>1589.6050186607117</v>
          </cell>
          <cell r="N347">
            <v>3.8718914106947062E-2</v>
          </cell>
          <cell r="O347">
            <v>2843.7909943529403</v>
          </cell>
          <cell r="P347">
            <v>3054.4450166607116</v>
          </cell>
          <cell r="Q347">
            <v>210.65402230777136</v>
          </cell>
          <cell r="R347">
            <v>1421.8954971764701</v>
          </cell>
          <cell r="S347">
            <v>4.4500267352754988E-2</v>
          </cell>
          <cell r="T347">
            <v>1756.176083333334</v>
          </cell>
          <cell r="U347">
            <v>2.5524036050378644E-3</v>
          </cell>
          <cell r="V347">
            <v>4265.68649152941</v>
          </cell>
          <cell r="W347">
            <v>4810.6210999940458</v>
          </cell>
          <cell r="X347">
            <v>544.93460846463586</v>
          </cell>
          <cell r="Y347">
            <v>1421.8954971764701</v>
          </cell>
          <cell r="Z347">
            <v>4.4500267352754988E-2</v>
          </cell>
          <cell r="AA347">
            <v>0</v>
          </cell>
          <cell r="AB347">
            <v>0</v>
          </cell>
          <cell r="AC347">
            <v>5687.5819887058806</v>
          </cell>
          <cell r="AD347">
            <v>4810.6210999940458</v>
          </cell>
          <cell r="AE347">
            <v>-876.96088871183474</v>
          </cell>
          <cell r="AF347">
            <v>1421.8954971764701</v>
          </cell>
          <cell r="AG347">
            <v>4.4500267352754988E-2</v>
          </cell>
          <cell r="AH347">
            <v>0</v>
          </cell>
          <cell r="AI347">
            <v>0</v>
          </cell>
          <cell r="AJ347">
            <v>7109.4774858823512</v>
          </cell>
          <cell r="AK347">
            <v>4810.6210999940458</v>
          </cell>
          <cell r="AL347">
            <v>-2298.8563858883053</v>
          </cell>
          <cell r="AM347">
            <v>1421.8954971764701</v>
          </cell>
          <cell r="AN347">
            <v>4.4500267352754988E-2</v>
          </cell>
          <cell r="AO347">
            <v>0</v>
          </cell>
          <cell r="AP347" t="e">
            <v>#DIV/0!</v>
          </cell>
          <cell r="AQ347">
            <v>8531.3729830588218</v>
          </cell>
          <cell r="AR347">
            <v>4810.6210999940458</v>
          </cell>
          <cell r="AS347">
            <v>-3720.7518830647759</v>
          </cell>
          <cell r="AT347">
            <v>1421.8954971764701</v>
          </cell>
          <cell r="AU347">
            <v>4.4500267352754988E-2</v>
          </cell>
          <cell r="AV347">
            <v>0</v>
          </cell>
          <cell r="AW347" t="e">
            <v>#DIV/0!</v>
          </cell>
          <cell r="AX347">
            <v>9953.2684802352924</v>
          </cell>
          <cell r="AY347">
            <v>4810.6210999940458</v>
          </cell>
          <cell r="AZ347">
            <v>-5142.6473802412465</v>
          </cell>
          <cell r="BA347">
            <v>1421.8954971764701</v>
          </cell>
          <cell r="BB347">
            <v>4.4500267352754988E-2</v>
          </cell>
          <cell r="BC347">
            <v>0</v>
          </cell>
          <cell r="BD347" t="e">
            <v>#DIV/0!</v>
          </cell>
          <cell r="BE347">
            <v>11375.163977411763</v>
          </cell>
          <cell r="BF347">
            <v>4810.6210999940458</v>
          </cell>
          <cell r="BG347">
            <v>-6564.5428774177171</v>
          </cell>
          <cell r="BH347">
            <v>1421.8954971764701</v>
          </cell>
          <cell r="BI347">
            <v>4.4500267352754988E-2</v>
          </cell>
          <cell r="BJ347">
            <v>0</v>
          </cell>
          <cell r="BK347" t="e">
            <v>#DIV/0!</v>
          </cell>
          <cell r="BL347">
            <v>12797.059474588234</v>
          </cell>
          <cell r="BM347">
            <v>4810.6210999940458</v>
          </cell>
          <cell r="BN347">
            <v>-7986.4383745941877</v>
          </cell>
          <cell r="BO347">
            <v>1635.1842565735296</v>
          </cell>
          <cell r="BP347">
            <v>5.1175446249765451E-2</v>
          </cell>
          <cell r="BQ347">
            <v>0</v>
          </cell>
          <cell r="BR347" t="e">
            <v>#DIV/0!</v>
          </cell>
          <cell r="BS347">
            <v>14432.243731161763</v>
          </cell>
          <cell r="BT347">
            <v>4810.6210999940458</v>
          </cell>
          <cell r="BU347">
            <v>-9621.6226311677165</v>
          </cell>
          <cell r="BV347">
            <v>0</v>
          </cell>
          <cell r="BW347">
            <v>0</v>
          </cell>
          <cell r="BX347">
            <v>0</v>
          </cell>
          <cell r="BY347" t="e">
            <v>#DIV/0!</v>
          </cell>
          <cell r="BZ347">
            <v>14432.243731161763</v>
          </cell>
          <cell r="CA347">
            <v>4810.6210999940458</v>
          </cell>
          <cell r="CB347">
            <v>-9621.6226311677165</v>
          </cell>
          <cell r="CC347">
            <v>0</v>
          </cell>
          <cell r="CD347">
            <v>0</v>
          </cell>
          <cell r="CE347">
            <v>0</v>
          </cell>
          <cell r="CF347" t="e">
            <v>#DIV/0!</v>
          </cell>
          <cell r="CG347">
            <v>14432.243731161763</v>
          </cell>
          <cell r="CH347">
            <v>4810.6210999940458</v>
          </cell>
        </row>
        <row r="348">
          <cell r="A348" t="str">
            <v>Plano Odontológico</v>
          </cell>
          <cell r="B348">
            <v>0</v>
          </cell>
          <cell r="C348">
            <v>0</v>
          </cell>
          <cell r="D348">
            <v>14.629999999999999</v>
          </cell>
          <cell r="E348">
            <v>4.5786691966013415E-4</v>
          </cell>
          <cell r="F348">
            <v>0</v>
          </cell>
          <cell r="G348">
            <v>0</v>
          </cell>
          <cell r="H348">
            <v>14.629999999999999</v>
          </cell>
          <cell r="I348">
            <v>0</v>
          </cell>
          <cell r="J348">
            <v>-14.629999999999999</v>
          </cell>
          <cell r="K348">
            <v>14.629999999999999</v>
          </cell>
          <cell r="L348">
            <v>4.5786691966013415E-4</v>
          </cell>
          <cell r="M348">
            <v>3.2068750000000001</v>
          </cell>
          <cell r="N348">
            <v>7.8111679454390454E-5</v>
          </cell>
          <cell r="O348">
            <v>29.259999999999998</v>
          </cell>
          <cell r="P348">
            <v>3.2068750000000001</v>
          </cell>
          <cell r="Q348">
            <v>-26.053124999999998</v>
          </cell>
          <cell r="R348">
            <v>14.629999999999999</v>
          </cell>
          <cell r="S348">
            <v>4.5786691966013415E-4</v>
          </cell>
          <cell r="T348">
            <v>23.456</v>
          </cell>
          <cell r="U348">
            <v>3.4090647018795882E-5</v>
          </cell>
          <cell r="V348">
            <v>43.89</v>
          </cell>
          <cell r="W348">
            <v>26.662875</v>
          </cell>
          <cell r="X348">
            <v>-17.227125000000001</v>
          </cell>
          <cell r="Y348">
            <v>14.629999999999999</v>
          </cell>
          <cell r="Z348">
            <v>4.5786691966013415E-4</v>
          </cell>
          <cell r="AA348">
            <v>0</v>
          </cell>
          <cell r="AB348">
            <v>0</v>
          </cell>
          <cell r="AC348">
            <v>58.519999999999996</v>
          </cell>
          <cell r="AD348">
            <v>26.662875</v>
          </cell>
          <cell r="AE348">
            <v>-31.857124999999996</v>
          </cell>
          <cell r="AF348">
            <v>14.629999999999999</v>
          </cell>
          <cell r="AG348">
            <v>4.5786691966013415E-4</v>
          </cell>
          <cell r="AH348">
            <v>0</v>
          </cell>
          <cell r="AI348">
            <v>0</v>
          </cell>
          <cell r="AJ348">
            <v>73.149999999999991</v>
          </cell>
          <cell r="AK348">
            <v>26.662875</v>
          </cell>
          <cell r="AL348">
            <v>-46.487124999999992</v>
          </cell>
          <cell r="AM348">
            <v>14.629999999999999</v>
          </cell>
          <cell r="AN348">
            <v>4.5786691966013415E-4</v>
          </cell>
          <cell r="AO348">
            <v>0</v>
          </cell>
          <cell r="AP348" t="e">
            <v>#DIV/0!</v>
          </cell>
          <cell r="AQ348">
            <v>87.779999999999987</v>
          </cell>
          <cell r="AR348">
            <v>26.662875</v>
          </cell>
          <cell r="AS348">
            <v>-61.117124999999987</v>
          </cell>
          <cell r="AT348">
            <v>14.629999999999999</v>
          </cell>
          <cell r="AU348">
            <v>4.5786691966013415E-4</v>
          </cell>
          <cell r="AV348">
            <v>0</v>
          </cell>
          <cell r="AW348" t="e">
            <v>#DIV/0!</v>
          </cell>
          <cell r="AX348">
            <v>102.40999999999998</v>
          </cell>
          <cell r="AY348">
            <v>26.662875</v>
          </cell>
          <cell r="AZ348">
            <v>-75.747124999999983</v>
          </cell>
          <cell r="BA348">
            <v>14.629999999999999</v>
          </cell>
          <cell r="BB348">
            <v>4.5786691966013415E-4</v>
          </cell>
          <cell r="BC348">
            <v>0</v>
          </cell>
          <cell r="BD348" t="e">
            <v>#DIV/0!</v>
          </cell>
          <cell r="BE348">
            <v>117.03999999999998</v>
          </cell>
          <cell r="BF348">
            <v>26.662875</v>
          </cell>
          <cell r="BG348">
            <v>-90.377124999999978</v>
          </cell>
          <cell r="BH348">
            <v>14.629999999999999</v>
          </cell>
          <cell r="BI348">
            <v>4.5786691966013415E-4</v>
          </cell>
          <cell r="BJ348">
            <v>0</v>
          </cell>
          <cell r="BK348" t="e">
            <v>#DIV/0!</v>
          </cell>
          <cell r="BL348">
            <v>131.66999999999999</v>
          </cell>
          <cell r="BM348">
            <v>26.662875</v>
          </cell>
          <cell r="BN348">
            <v>-105.00712499999999</v>
          </cell>
          <cell r="BO348">
            <v>14.629999999999999</v>
          </cell>
          <cell r="BP348">
            <v>4.5786691966013415E-4</v>
          </cell>
          <cell r="BQ348">
            <v>0</v>
          </cell>
          <cell r="BR348" t="e">
            <v>#DIV/0!</v>
          </cell>
          <cell r="BS348">
            <v>146.29999999999998</v>
          </cell>
          <cell r="BT348">
            <v>26.662875</v>
          </cell>
          <cell r="BU348">
            <v>-119.63712499999998</v>
          </cell>
          <cell r="BV348">
            <v>14.629999999999999</v>
          </cell>
          <cell r="BW348">
            <v>4.5786691966013415E-4</v>
          </cell>
          <cell r="BX348">
            <v>0</v>
          </cell>
          <cell r="BY348" t="e">
            <v>#DIV/0!</v>
          </cell>
          <cell r="BZ348">
            <v>160.92999999999998</v>
          </cell>
          <cell r="CA348">
            <v>26.662875</v>
          </cell>
          <cell r="CB348">
            <v>-134.26712499999996</v>
          </cell>
          <cell r="CC348">
            <v>14.629999999999999</v>
          </cell>
          <cell r="CD348">
            <v>4.5786691966013415E-4</v>
          </cell>
          <cell r="CE348">
            <v>0</v>
          </cell>
          <cell r="CF348" t="e">
            <v>#DIV/0!</v>
          </cell>
          <cell r="CG348">
            <v>175.55999999999997</v>
          </cell>
          <cell r="CH348">
            <v>26.662875</v>
          </cell>
        </row>
        <row r="349">
          <cell r="A349" t="str">
            <v>Saneamento Gestão</v>
          </cell>
          <cell r="B349">
            <v>1.1973670958344668E-3</v>
          </cell>
          <cell r="C349">
            <v>468.00985578946364</v>
          </cell>
          <cell r="D349">
            <v>6044.0599999999995</v>
          </cell>
          <cell r="E349">
            <v>0.18915756216274987</v>
          </cell>
          <cell r="F349">
            <v>5797.2353390049329</v>
          </cell>
          <cell r="G349">
            <v>0</v>
          </cell>
          <cell r="H349">
            <v>6044.0599999999995</v>
          </cell>
          <cell r="I349">
            <v>5797.2353390049329</v>
          </cell>
          <cell r="J349">
            <v>-246.82466099506655</v>
          </cell>
          <cell r="K349">
            <v>3044.06</v>
          </cell>
          <cell r="L349">
            <v>9.5268241658279434E-2</v>
          </cell>
          <cell r="M349">
            <v>0</v>
          </cell>
          <cell r="N349">
            <v>0</v>
          </cell>
          <cell r="O349">
            <v>9088.119999999999</v>
          </cell>
          <cell r="P349">
            <v>5797.2353390049329</v>
          </cell>
          <cell r="Q349">
            <v>-3290.884660995066</v>
          </cell>
          <cell r="R349">
            <v>3044.06</v>
          </cell>
          <cell r="S349">
            <v>9.5268241658279434E-2</v>
          </cell>
          <cell r="T349">
            <v>-1.233167213547163E-5</v>
          </cell>
          <cell r="U349">
            <v>-1.7922692783163548E-11</v>
          </cell>
          <cell r="V349">
            <v>12132.179999999998</v>
          </cell>
          <cell r="W349">
            <v>5797.2353266732607</v>
          </cell>
          <cell r="X349">
            <v>-6334.9446733267378</v>
          </cell>
          <cell r="Y349">
            <v>3044.06</v>
          </cell>
          <cell r="Z349">
            <v>9.5268241658279434E-2</v>
          </cell>
          <cell r="AA349">
            <v>0</v>
          </cell>
          <cell r="AB349">
            <v>0</v>
          </cell>
          <cell r="AC349">
            <v>15176.239999999998</v>
          </cell>
          <cell r="AD349">
            <v>5797.2353266732607</v>
          </cell>
          <cell r="AE349">
            <v>-9379.0046733267372</v>
          </cell>
          <cell r="AF349">
            <v>3044.06</v>
          </cell>
          <cell r="AG349">
            <v>9.5268241658279434E-2</v>
          </cell>
          <cell r="AH349">
            <v>0</v>
          </cell>
          <cell r="AI349">
            <v>0</v>
          </cell>
          <cell r="AJ349">
            <v>18220.3</v>
          </cell>
          <cell r="AK349">
            <v>5797.2353266732607</v>
          </cell>
          <cell r="AL349">
            <v>-12423.064673326739</v>
          </cell>
          <cell r="AM349">
            <v>3044.06</v>
          </cell>
          <cell r="AN349">
            <v>9.5268241658279434E-2</v>
          </cell>
          <cell r="AO349">
            <v>0</v>
          </cell>
          <cell r="AP349" t="e">
            <v>#DIV/0!</v>
          </cell>
          <cell r="AQ349">
            <v>21264.36</v>
          </cell>
          <cell r="AR349">
            <v>5797.2353266732607</v>
          </cell>
          <cell r="AS349">
            <v>-15467.12467332674</v>
          </cell>
          <cell r="AT349">
            <v>3044.06</v>
          </cell>
          <cell r="AU349">
            <v>9.5268241658279434E-2</v>
          </cell>
          <cell r="AV349">
            <v>0</v>
          </cell>
          <cell r="AW349" t="e">
            <v>#DIV/0!</v>
          </cell>
          <cell r="AX349">
            <v>24308.420000000002</v>
          </cell>
          <cell r="AY349">
            <v>5797.2353266732607</v>
          </cell>
          <cell r="AZ349">
            <v>-18511.184673326741</v>
          </cell>
          <cell r="BA349">
            <v>3044.06</v>
          </cell>
          <cell r="BB349">
            <v>9.5268241658279434E-2</v>
          </cell>
          <cell r="BC349">
            <v>0</v>
          </cell>
          <cell r="BD349" t="e">
            <v>#DIV/0!</v>
          </cell>
          <cell r="BE349">
            <v>27352.480000000003</v>
          </cell>
          <cell r="BF349">
            <v>5797.2353266732607</v>
          </cell>
          <cell r="BG349">
            <v>-21555.244673326742</v>
          </cell>
          <cell r="BH349">
            <v>3044.06</v>
          </cell>
          <cell r="BI349">
            <v>9.5268241658279434E-2</v>
          </cell>
          <cell r="BJ349">
            <v>0</v>
          </cell>
          <cell r="BK349" t="e">
            <v>#DIV/0!</v>
          </cell>
          <cell r="BL349">
            <v>30396.540000000005</v>
          </cell>
          <cell r="BM349">
            <v>5797.2353266732607</v>
          </cell>
          <cell r="BN349">
            <v>-24599.304673326744</v>
          </cell>
          <cell r="BO349">
            <v>3044.06</v>
          </cell>
          <cell r="BP349">
            <v>9.5268241658279434E-2</v>
          </cell>
          <cell r="BQ349">
            <v>0</v>
          </cell>
          <cell r="BR349" t="e">
            <v>#DIV/0!</v>
          </cell>
          <cell r="BS349">
            <v>33440.600000000006</v>
          </cell>
          <cell r="BT349">
            <v>5797.2353266732607</v>
          </cell>
          <cell r="BU349">
            <v>-27643.364673326745</v>
          </cell>
          <cell r="BV349">
            <v>3044.06</v>
          </cell>
          <cell r="BW349">
            <v>9.5268241658279434E-2</v>
          </cell>
          <cell r="BX349">
            <v>0</v>
          </cell>
          <cell r="BY349" t="e">
            <v>#DIV/0!</v>
          </cell>
          <cell r="BZ349">
            <v>36484.660000000003</v>
          </cell>
          <cell r="CA349">
            <v>5797.2353266732607</v>
          </cell>
          <cell r="CB349">
            <v>-30687.424673326743</v>
          </cell>
          <cell r="CC349">
            <v>3044.06</v>
          </cell>
          <cell r="CD349">
            <v>9.5268241658279434E-2</v>
          </cell>
          <cell r="CE349">
            <v>0</v>
          </cell>
          <cell r="CF349" t="e">
            <v>#DIV/0!</v>
          </cell>
          <cell r="CG349">
            <v>39528.720000000001</v>
          </cell>
          <cell r="CH349">
            <v>5797.2353266732607</v>
          </cell>
        </row>
        <row r="350">
          <cell r="A350" t="str">
            <v>Remuneração</v>
          </cell>
          <cell r="B350">
            <v>3.2975827846940857E-2</v>
          </cell>
          <cell r="C350">
            <v>12889.123551895691</v>
          </cell>
          <cell r="D350">
            <v>7311.9036768956994</v>
          </cell>
          <cell r="E350">
            <v>0.22883655593929209</v>
          </cell>
          <cell r="F350">
            <v>8671.6440341418183</v>
          </cell>
          <cell r="G350">
            <v>0</v>
          </cell>
          <cell r="H350">
            <v>7311.9036768956994</v>
          </cell>
          <cell r="I350">
            <v>8671.6440341418183</v>
          </cell>
          <cell r="J350">
            <v>1359.7403572461189</v>
          </cell>
          <cell r="K350">
            <v>7311.9036768956994</v>
          </cell>
          <cell r="L350">
            <v>0.22883655593929209</v>
          </cell>
          <cell r="M350">
            <v>10716.288679975152</v>
          </cell>
          <cell r="N350">
            <v>0.2610227421745257</v>
          </cell>
          <cell r="O350">
            <v>14623.807353791399</v>
          </cell>
          <cell r="P350">
            <v>19387.932714116971</v>
          </cell>
          <cell r="Q350">
            <v>4764.1253603255718</v>
          </cell>
          <cell r="R350">
            <v>7311.9036768956994</v>
          </cell>
          <cell r="S350">
            <v>0.22883655593929209</v>
          </cell>
          <cell r="T350">
            <v>10611.34003414182</v>
          </cell>
          <cell r="U350">
            <v>1.5422384357961555E-2</v>
          </cell>
          <cell r="V350">
            <v>21935.711030687096</v>
          </cell>
          <cell r="W350">
            <v>29999.272748258791</v>
          </cell>
          <cell r="X350">
            <v>8063.5617175716943</v>
          </cell>
          <cell r="Y350">
            <v>7311.9036768956994</v>
          </cell>
          <cell r="Z350">
            <v>0.22883655593929209</v>
          </cell>
          <cell r="AA350">
            <v>0</v>
          </cell>
          <cell r="AB350">
            <v>0</v>
          </cell>
          <cell r="AC350">
            <v>29247.614707582798</v>
          </cell>
          <cell r="AD350">
            <v>29999.272748258791</v>
          </cell>
          <cell r="AE350">
            <v>751.65804067599311</v>
          </cell>
          <cell r="AF350">
            <v>7311.9036768956994</v>
          </cell>
          <cell r="AG350">
            <v>0.22883655593929209</v>
          </cell>
          <cell r="AH350">
            <v>0</v>
          </cell>
          <cell r="AI350">
            <v>0</v>
          </cell>
          <cell r="AJ350">
            <v>36559.518384478499</v>
          </cell>
          <cell r="AK350">
            <v>29999.272748258791</v>
          </cell>
          <cell r="AL350">
            <v>-6560.2456362197081</v>
          </cell>
          <cell r="AM350">
            <v>7311.9036768956994</v>
          </cell>
          <cell r="AN350">
            <v>0.22883655593929209</v>
          </cell>
          <cell r="AO350">
            <v>0</v>
          </cell>
          <cell r="AP350" t="e">
            <v>#DIV/0!</v>
          </cell>
          <cell r="AQ350">
            <v>43871.4220613742</v>
          </cell>
          <cell r="AR350">
            <v>29999.272748258791</v>
          </cell>
          <cell r="AS350">
            <v>-13872.149313115409</v>
          </cell>
          <cell r="AT350">
            <v>7311.9036768956994</v>
          </cell>
          <cell r="AU350">
            <v>0.22883655593929209</v>
          </cell>
          <cell r="AV350">
            <v>0</v>
          </cell>
          <cell r="AW350" t="e">
            <v>#DIV/0!</v>
          </cell>
          <cell r="AX350">
            <v>51183.325738269901</v>
          </cell>
          <cell r="AY350">
            <v>29999.272748258791</v>
          </cell>
          <cell r="AZ350">
            <v>-21184.052990011111</v>
          </cell>
          <cell r="BA350">
            <v>7311.9036768956994</v>
          </cell>
          <cell r="BB350">
            <v>0.22883655593929209</v>
          </cell>
          <cell r="BC350">
            <v>0</v>
          </cell>
          <cell r="BD350" t="e">
            <v>#DIV/0!</v>
          </cell>
          <cell r="BE350">
            <v>58495.229415165602</v>
          </cell>
          <cell r="BF350">
            <v>29999.272748258791</v>
          </cell>
          <cell r="BG350">
            <v>-28495.956666906812</v>
          </cell>
          <cell r="BH350">
            <v>7311.9036768956994</v>
          </cell>
          <cell r="BI350">
            <v>0.22883655593929209</v>
          </cell>
          <cell r="BJ350">
            <v>0</v>
          </cell>
          <cell r="BK350" t="e">
            <v>#DIV/0!</v>
          </cell>
          <cell r="BL350">
            <v>65807.133092061296</v>
          </cell>
          <cell r="BM350">
            <v>29999.272748258791</v>
          </cell>
          <cell r="BN350">
            <v>-35807.860343802502</v>
          </cell>
          <cell r="BO350">
            <v>7311.9036768956994</v>
          </cell>
          <cell r="BP350">
            <v>0.22883655593929209</v>
          </cell>
          <cell r="BQ350">
            <v>0</v>
          </cell>
          <cell r="BR350" t="e">
            <v>#DIV/0!</v>
          </cell>
          <cell r="BS350">
            <v>73119.036768956998</v>
          </cell>
          <cell r="BT350">
            <v>29999.272748258791</v>
          </cell>
          <cell r="BU350">
            <v>-43119.764020698203</v>
          </cell>
          <cell r="BV350">
            <v>7311.9036768956994</v>
          </cell>
          <cell r="BW350">
            <v>0.22883655593929209</v>
          </cell>
          <cell r="BX350">
            <v>0</v>
          </cell>
          <cell r="BY350" t="e">
            <v>#DIV/0!</v>
          </cell>
          <cell r="BZ350">
            <v>80430.940445852699</v>
          </cell>
          <cell r="CA350">
            <v>29999.272748258791</v>
          </cell>
          <cell r="CB350">
            <v>-50431.667697593904</v>
          </cell>
          <cell r="CC350">
            <v>7311.9036768956994</v>
          </cell>
          <cell r="CD350">
            <v>0.22883655593929209</v>
          </cell>
          <cell r="CE350">
            <v>0</v>
          </cell>
          <cell r="CF350" t="e">
            <v>#DIV/0!</v>
          </cell>
          <cell r="CG350">
            <v>87742.8441227484</v>
          </cell>
          <cell r="CH350">
            <v>29999.272748258791</v>
          </cell>
        </row>
        <row r="351">
          <cell r="A351" t="str">
            <v>Pesquisas/Consultas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 t="e">
            <v>#DIV/0!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 t="e">
            <v>#DIV/0!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 t="e">
            <v>#DIV/0!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 t="e">
            <v>#DIV/0!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 t="e">
            <v>#DIV/0!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 t="e">
            <v>#DIV/0!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 t="e">
            <v>#DIV/0!</v>
          </cell>
          <cell r="CG351">
            <v>0</v>
          </cell>
          <cell r="CH351">
            <v>0</v>
          </cell>
        </row>
        <row r="352">
          <cell r="A352" t="str">
            <v>Sistemas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 t="e">
            <v>#DIV/0!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 t="e">
            <v>#DIV/0!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 t="e">
            <v>#DIV/0!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 t="e">
            <v>#DIV/0!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 t="e">
            <v>#DIV/0!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 t="e">
            <v>#DIV/0!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 t="e">
            <v>#DIV/0!</v>
          </cell>
          <cell r="CG352">
            <v>0</v>
          </cell>
          <cell r="CH352">
            <v>0</v>
          </cell>
        </row>
        <row r="353">
          <cell r="A353" t="str">
            <v>Indenização por Ruptura de Contrato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 t="e">
            <v>#DIV/0!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 t="e">
            <v>#DIV/0!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 t="e">
            <v>#DIV/0!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 t="e">
            <v>#DIV/0!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 t="e">
            <v>#DIV/0!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 t="e">
            <v>#DIV/0!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 t="e">
            <v>#DIV/0!</v>
          </cell>
          <cell r="CG353">
            <v>0</v>
          </cell>
          <cell r="CH353">
            <v>0</v>
          </cell>
        </row>
        <row r="354">
          <cell r="A354" t="str">
            <v>Vale Alimentação / Refeição</v>
          </cell>
          <cell r="B354">
            <v>1.4160444191494104E-4</v>
          </cell>
          <cell r="C354">
            <v>55.348334416666667</v>
          </cell>
          <cell r="D354">
            <v>351.74506200000002</v>
          </cell>
          <cell r="E354">
            <v>1.1008368287327611E-2</v>
          </cell>
          <cell r="F354">
            <v>256.61500000000001</v>
          </cell>
          <cell r="G354">
            <v>0</v>
          </cell>
          <cell r="H354">
            <v>351.74506200000002</v>
          </cell>
          <cell r="I354">
            <v>256.61500000000001</v>
          </cell>
          <cell r="J354">
            <v>-95.130062000000009</v>
          </cell>
          <cell r="K354">
            <v>351.74506200000002</v>
          </cell>
          <cell r="L354">
            <v>1.1008368287327611E-2</v>
          </cell>
          <cell r="M354">
            <v>380.51989566666674</v>
          </cell>
          <cell r="N354">
            <v>9.2685396581821157E-3</v>
          </cell>
          <cell r="O354">
            <v>703.49012400000004</v>
          </cell>
          <cell r="P354">
            <v>637.13489566666681</v>
          </cell>
          <cell r="Q354">
            <v>-66.35522833333323</v>
          </cell>
          <cell r="R354">
            <v>351.74506200000002</v>
          </cell>
          <cell r="S354">
            <v>1.1008368287327611E-2</v>
          </cell>
          <cell r="T354">
            <v>425.79006099999992</v>
          </cell>
          <cell r="U354">
            <v>6.1883776746515025E-4</v>
          </cell>
          <cell r="V354">
            <v>1055.2351860000001</v>
          </cell>
          <cell r="W354">
            <v>1062.9249566666667</v>
          </cell>
          <cell r="X354">
            <v>7.6897706666666181</v>
          </cell>
          <cell r="Y354">
            <v>351.74506200000002</v>
          </cell>
          <cell r="Z354">
            <v>1.1008368287327611E-2</v>
          </cell>
          <cell r="AA354">
            <v>0</v>
          </cell>
          <cell r="AB354">
            <v>0</v>
          </cell>
          <cell r="AC354">
            <v>1406.9802480000001</v>
          </cell>
          <cell r="AD354">
            <v>1062.9249566666667</v>
          </cell>
          <cell r="AE354">
            <v>-344.05529133333334</v>
          </cell>
          <cell r="AF354">
            <v>351.74506200000002</v>
          </cell>
          <cell r="AG354">
            <v>1.1008368287327611E-2</v>
          </cell>
          <cell r="AH354">
            <v>0</v>
          </cell>
          <cell r="AI354">
            <v>0</v>
          </cell>
          <cell r="AJ354">
            <v>1758.72531</v>
          </cell>
          <cell r="AK354">
            <v>1062.9249566666667</v>
          </cell>
          <cell r="AL354">
            <v>-695.80035333333331</v>
          </cell>
          <cell r="AM354">
            <v>351.74506200000002</v>
          </cell>
          <cell r="AN354">
            <v>1.1008368287327611E-2</v>
          </cell>
          <cell r="AO354">
            <v>0</v>
          </cell>
          <cell r="AP354" t="e">
            <v>#DIV/0!</v>
          </cell>
          <cell r="AQ354">
            <v>2110.4703720000002</v>
          </cell>
          <cell r="AR354">
            <v>1062.9249566666667</v>
          </cell>
          <cell r="AS354">
            <v>-1047.5454153333335</v>
          </cell>
          <cell r="AT354">
            <v>351.74506200000002</v>
          </cell>
          <cell r="AU354">
            <v>1.1008368287327611E-2</v>
          </cell>
          <cell r="AV354">
            <v>0</v>
          </cell>
          <cell r="AW354" t="e">
            <v>#DIV/0!</v>
          </cell>
          <cell r="AX354">
            <v>2462.2154340000002</v>
          </cell>
          <cell r="AY354">
            <v>1062.9249566666667</v>
          </cell>
          <cell r="AZ354">
            <v>-1399.2904773333335</v>
          </cell>
          <cell r="BA354">
            <v>351.74506200000002</v>
          </cell>
          <cell r="BB354">
            <v>1.1008368287327611E-2</v>
          </cell>
          <cell r="BC354">
            <v>0</v>
          </cell>
          <cell r="BD354" t="e">
            <v>#DIV/0!</v>
          </cell>
          <cell r="BE354">
            <v>2813.9604960000001</v>
          </cell>
          <cell r="BF354">
            <v>1062.9249566666667</v>
          </cell>
          <cell r="BG354">
            <v>-1751.0355393333334</v>
          </cell>
          <cell r="BH354">
            <v>351.74506200000002</v>
          </cell>
          <cell r="BI354">
            <v>1.1008368287327611E-2</v>
          </cell>
          <cell r="BJ354">
            <v>0</v>
          </cell>
          <cell r="BK354" t="e">
            <v>#DIV/0!</v>
          </cell>
          <cell r="BL354">
            <v>3165.7055580000001</v>
          </cell>
          <cell r="BM354">
            <v>1062.9249566666667</v>
          </cell>
          <cell r="BN354">
            <v>-2102.7806013333334</v>
          </cell>
          <cell r="BO354">
            <v>351.74506200000002</v>
          </cell>
          <cell r="BP354">
            <v>1.1008368287327611E-2</v>
          </cell>
          <cell r="BQ354">
            <v>0</v>
          </cell>
          <cell r="BR354" t="e">
            <v>#DIV/0!</v>
          </cell>
          <cell r="BS354">
            <v>3517.4506200000001</v>
          </cell>
          <cell r="BT354">
            <v>1062.9249566666667</v>
          </cell>
          <cell r="BU354">
            <v>-2454.5256633333333</v>
          </cell>
          <cell r="BV354">
            <v>351.74506200000002</v>
          </cell>
          <cell r="BW354">
            <v>1.1008368287327611E-2</v>
          </cell>
          <cell r="BX354">
            <v>0</v>
          </cell>
          <cell r="BY354" t="e">
            <v>#DIV/0!</v>
          </cell>
          <cell r="BZ354">
            <v>3869.195682</v>
          </cell>
          <cell r="CA354">
            <v>1062.9249566666667</v>
          </cell>
          <cell r="CB354">
            <v>-2806.2707253333333</v>
          </cell>
          <cell r="CC354">
            <v>351.74506200000002</v>
          </cell>
          <cell r="CD354">
            <v>1.1008368287327611E-2</v>
          </cell>
          <cell r="CE354">
            <v>0</v>
          </cell>
          <cell r="CF354" t="e">
            <v>#DIV/0!</v>
          </cell>
          <cell r="CG354">
            <v>4220.9407440000004</v>
          </cell>
          <cell r="CH354">
            <v>1062.9249566666667</v>
          </cell>
        </row>
        <row r="355">
          <cell r="A355" t="str">
            <v>Vale Transporte</v>
          </cell>
          <cell r="B355">
            <v>0</v>
          </cell>
          <cell r="C355">
            <v>0</v>
          </cell>
          <cell r="D355">
            <v>34.200007999999997</v>
          </cell>
          <cell r="E355">
            <v>1.0703385041224843E-3</v>
          </cell>
          <cell r="F355">
            <v>37.600001499999998</v>
          </cell>
          <cell r="G355">
            <v>0</v>
          </cell>
          <cell r="H355">
            <v>34.200007999999997</v>
          </cell>
          <cell r="I355">
            <v>37.600001499999998</v>
          </cell>
          <cell r="J355">
            <v>3.3999935000000008</v>
          </cell>
          <cell r="K355">
            <v>34.200007999999997</v>
          </cell>
          <cell r="L355">
            <v>1.0703385041224843E-3</v>
          </cell>
          <cell r="M355">
            <v>43.433329833333332</v>
          </cell>
          <cell r="N355">
            <v>1.0579303332927373E-3</v>
          </cell>
          <cell r="O355">
            <v>68.400015999999994</v>
          </cell>
          <cell r="P355">
            <v>81.033331333333336</v>
          </cell>
          <cell r="Q355">
            <v>12.633315333333343</v>
          </cell>
          <cell r="R355">
            <v>34.200007999999997</v>
          </cell>
          <cell r="S355">
            <v>1.0703385041224843E-3</v>
          </cell>
          <cell r="T355">
            <v>0</v>
          </cell>
          <cell r="U355">
            <v>0</v>
          </cell>
          <cell r="V355">
            <v>102.60002399999999</v>
          </cell>
          <cell r="W355">
            <v>81.033331333333336</v>
          </cell>
          <cell r="X355">
            <v>-21.566692666666654</v>
          </cell>
          <cell r="Y355">
            <v>34.200007999999997</v>
          </cell>
          <cell r="Z355">
            <v>1.0703385041224843E-3</v>
          </cell>
          <cell r="AA355">
            <v>0</v>
          </cell>
          <cell r="AB355">
            <v>0</v>
          </cell>
          <cell r="AC355">
            <v>136.80003199999999</v>
          </cell>
          <cell r="AD355">
            <v>81.033331333333336</v>
          </cell>
          <cell r="AE355">
            <v>-55.766700666666651</v>
          </cell>
          <cell r="AF355">
            <v>34.200007999999997</v>
          </cell>
          <cell r="AG355">
            <v>1.0703385041224843E-3</v>
          </cell>
          <cell r="AH355">
            <v>0</v>
          </cell>
          <cell r="AI355">
            <v>0</v>
          </cell>
          <cell r="AJ355">
            <v>171.00003999999998</v>
          </cell>
          <cell r="AK355">
            <v>81.033331333333336</v>
          </cell>
          <cell r="AL355">
            <v>-89.966708666666648</v>
          </cell>
          <cell r="AM355">
            <v>34.200007999999997</v>
          </cell>
          <cell r="AN355">
            <v>1.0703385041224843E-3</v>
          </cell>
          <cell r="AO355">
            <v>0</v>
          </cell>
          <cell r="AP355" t="e">
            <v>#DIV/0!</v>
          </cell>
          <cell r="AQ355">
            <v>205.20004799999998</v>
          </cell>
          <cell r="AR355">
            <v>81.033331333333336</v>
          </cell>
          <cell r="AS355">
            <v>-124.16671666666664</v>
          </cell>
          <cell r="AT355">
            <v>34.200007999999997</v>
          </cell>
          <cell r="AU355">
            <v>1.0703385041224843E-3</v>
          </cell>
          <cell r="AV355">
            <v>0</v>
          </cell>
          <cell r="AW355" t="e">
            <v>#DIV/0!</v>
          </cell>
          <cell r="AX355">
            <v>239.40005599999998</v>
          </cell>
          <cell r="AY355">
            <v>81.033331333333336</v>
          </cell>
          <cell r="AZ355">
            <v>-158.36672466666664</v>
          </cell>
          <cell r="BA355">
            <v>34.200007999999997</v>
          </cell>
          <cell r="BB355">
            <v>1.0703385041224843E-3</v>
          </cell>
          <cell r="BC355">
            <v>0</v>
          </cell>
          <cell r="BD355" t="e">
            <v>#DIV/0!</v>
          </cell>
          <cell r="BE355">
            <v>273.60006399999997</v>
          </cell>
          <cell r="BF355">
            <v>81.033331333333336</v>
          </cell>
          <cell r="BG355">
            <v>-192.56673266666664</v>
          </cell>
          <cell r="BH355">
            <v>34.200007999999997</v>
          </cell>
          <cell r="BI355">
            <v>1.0703385041224843E-3</v>
          </cell>
          <cell r="BJ355">
            <v>0</v>
          </cell>
          <cell r="BK355" t="e">
            <v>#DIV/0!</v>
          </cell>
          <cell r="BL355">
            <v>307.800072</v>
          </cell>
          <cell r="BM355">
            <v>81.033331333333336</v>
          </cell>
          <cell r="BN355">
            <v>-226.76674066666666</v>
          </cell>
          <cell r="BO355">
            <v>34.200007999999997</v>
          </cell>
          <cell r="BP355">
            <v>1.0703385041224843E-3</v>
          </cell>
          <cell r="BQ355">
            <v>0</v>
          </cell>
          <cell r="BR355" t="e">
            <v>#DIV/0!</v>
          </cell>
          <cell r="BS355">
            <v>342.00008000000003</v>
          </cell>
          <cell r="BT355">
            <v>81.033331333333336</v>
          </cell>
          <cell r="BU355">
            <v>-260.96674866666672</v>
          </cell>
          <cell r="BV355">
            <v>34.200007999999997</v>
          </cell>
          <cell r="BW355">
            <v>1.0703385041224843E-3</v>
          </cell>
          <cell r="BX355">
            <v>0</v>
          </cell>
          <cell r="BY355" t="e">
            <v>#DIV/0!</v>
          </cell>
          <cell r="BZ355">
            <v>376.20008800000005</v>
          </cell>
          <cell r="CA355">
            <v>81.033331333333336</v>
          </cell>
          <cell r="CB355">
            <v>-295.16675666666674</v>
          </cell>
          <cell r="CC355">
            <v>34.200007999999997</v>
          </cell>
          <cell r="CD355">
            <v>1.0703385041224843E-3</v>
          </cell>
          <cell r="CE355">
            <v>0</v>
          </cell>
          <cell r="CF355" t="e">
            <v>#DIV/0!</v>
          </cell>
          <cell r="CG355">
            <v>410.40009600000008</v>
          </cell>
          <cell r="CH355">
            <v>81.033331333333336</v>
          </cell>
        </row>
        <row r="356">
          <cell r="A356" t="str">
            <v>Viagens - Alimentação / Hospedagem</v>
          </cell>
          <cell r="B356">
            <v>6.1188945819102926E-5</v>
          </cell>
          <cell r="C356">
            <v>23.916666666666668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 t="e">
            <v>#DIV/0!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 t="e">
            <v>#DIV/0!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 t="e">
            <v>#DIV/0!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 t="e">
            <v>#DIV/0!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 t="e">
            <v>#DIV/0!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 t="e">
            <v>#DIV/0!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 t="e">
            <v>#DIV/0!</v>
          </cell>
          <cell r="CG356">
            <v>0</v>
          </cell>
          <cell r="CH356">
            <v>0</v>
          </cell>
        </row>
        <row r="357">
          <cell r="A357" t="str">
            <v>Viagens - Passagens / Traslados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 t="e">
            <v>#DIV/0!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 t="e">
            <v>#DIV/0!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 t="e">
            <v>#DIV/0!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 t="e">
            <v>#DIV/0!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 t="e">
            <v>#DIV/0!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 t="e">
            <v>#DIV/0!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 t="e">
            <v>#DIV/0!</v>
          </cell>
          <cell r="CG357">
            <v>0</v>
          </cell>
          <cell r="CH357">
            <v>0</v>
          </cell>
        </row>
        <row r="377">
          <cell r="A377" t="str">
            <v>13º (+ Encargos)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 t="e">
            <v>#DIV/0!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 t="e">
            <v>#DIV/0!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 t="e">
            <v>#DIV/0!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 t="e">
            <v>#DIV/0!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 t="e">
            <v>#DIV/0!</v>
          </cell>
          <cell r="BS377">
            <v>0</v>
          </cell>
          <cell r="BT377">
            <v>0</v>
          </cell>
          <cell r="BU377">
            <v>0</v>
          </cell>
          <cell r="BV377">
            <v>500</v>
          </cell>
          <cell r="BW377">
            <v>2.1413276231263382E-2</v>
          </cell>
          <cell r="BX377">
            <v>0</v>
          </cell>
          <cell r="BY377" t="e">
            <v>#DIV/0!</v>
          </cell>
          <cell r="BZ377">
            <v>500</v>
          </cell>
          <cell r="CA377">
            <v>0</v>
          </cell>
          <cell r="CB377">
            <v>-500</v>
          </cell>
          <cell r="CC377">
            <v>500</v>
          </cell>
          <cell r="CD377">
            <v>2.1413276231263382E-2</v>
          </cell>
          <cell r="CE377">
            <v>0</v>
          </cell>
          <cell r="CF377" t="e">
            <v>#DIV/0!</v>
          </cell>
          <cell r="CG377">
            <v>1000</v>
          </cell>
          <cell r="CH377">
            <v>0</v>
          </cell>
        </row>
        <row r="378">
          <cell r="A378" t="str">
            <v>Acordo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 t="e">
            <v>#DIV/0!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 t="e">
            <v>#DIV/0!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 t="e">
            <v>#DIV/0!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 t="e">
            <v>#DIV/0!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 t="e">
            <v>#DIV/0!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 t="e">
            <v>#DIV/0!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 t="e">
            <v>#DIV/0!</v>
          </cell>
          <cell r="CG378">
            <v>0</v>
          </cell>
          <cell r="CH378">
            <v>0</v>
          </cell>
        </row>
        <row r="379">
          <cell r="A379" t="str">
            <v>Aluguel + IPTU + Condomínio + Energia Elétrica</v>
          </cell>
          <cell r="B379">
            <v>0</v>
          </cell>
          <cell r="C379">
            <v>0</v>
          </cell>
          <cell r="D379">
            <v>900</v>
          </cell>
          <cell r="E379">
            <v>3.8543897216274089E-2</v>
          </cell>
          <cell r="F379">
            <v>899.99749999999995</v>
          </cell>
          <cell r="G379">
            <v>1.1328587732792111E-2</v>
          </cell>
          <cell r="H379">
            <v>900</v>
          </cell>
          <cell r="I379">
            <v>899.99749999999995</v>
          </cell>
          <cell r="J379">
            <v>-2.5000000000545697E-3</v>
          </cell>
          <cell r="K379">
            <v>900</v>
          </cell>
          <cell r="L379">
            <v>3.8543897216274089E-2</v>
          </cell>
          <cell r="M379">
            <v>899.99749999999995</v>
          </cell>
          <cell r="N379">
            <v>0.13636325757575757</v>
          </cell>
          <cell r="O379">
            <v>1800</v>
          </cell>
          <cell r="P379">
            <v>1799.9949999999999</v>
          </cell>
          <cell r="Q379">
            <v>-5.0000000001091394E-3</v>
          </cell>
          <cell r="R379">
            <v>900</v>
          </cell>
          <cell r="S379">
            <v>3.8543897216274089E-2</v>
          </cell>
          <cell r="T379">
            <v>899.99749999999995</v>
          </cell>
          <cell r="U379">
            <v>1.3080447258824498E-3</v>
          </cell>
          <cell r="V379">
            <v>2700</v>
          </cell>
          <cell r="W379">
            <v>2699.9924999999998</v>
          </cell>
          <cell r="X379">
            <v>-7.500000000163709E-3</v>
          </cell>
          <cell r="Y379">
            <v>900</v>
          </cell>
          <cell r="Z379">
            <v>3.8543897216274089E-2</v>
          </cell>
          <cell r="AA379">
            <v>0</v>
          </cell>
          <cell r="AB379">
            <v>0</v>
          </cell>
          <cell r="AC379">
            <v>3600</v>
          </cell>
          <cell r="AD379">
            <v>2699.9924999999998</v>
          </cell>
          <cell r="AE379">
            <v>-900.00750000000016</v>
          </cell>
          <cell r="AF379">
            <v>900</v>
          </cell>
          <cell r="AG379">
            <v>3.8543897216274089E-2</v>
          </cell>
          <cell r="AH379">
            <v>0</v>
          </cell>
          <cell r="AI379">
            <v>0</v>
          </cell>
          <cell r="AJ379">
            <v>4500</v>
          </cell>
          <cell r="AK379">
            <v>2699.9924999999998</v>
          </cell>
          <cell r="AL379">
            <v>-1800.0075000000002</v>
          </cell>
          <cell r="AM379">
            <v>900</v>
          </cell>
          <cell r="AN379">
            <v>3.8543897216274089E-2</v>
          </cell>
          <cell r="AO379">
            <v>0</v>
          </cell>
          <cell r="AP379" t="e">
            <v>#DIV/0!</v>
          </cell>
          <cell r="AQ379">
            <v>5400</v>
          </cell>
          <cell r="AR379">
            <v>2699.9924999999998</v>
          </cell>
          <cell r="AS379">
            <v>-2700.0075000000002</v>
          </cell>
          <cell r="AT379">
            <v>900</v>
          </cell>
          <cell r="AU379">
            <v>3.8543897216274089E-2</v>
          </cell>
          <cell r="AV379">
            <v>0</v>
          </cell>
          <cell r="AW379" t="e">
            <v>#DIV/0!</v>
          </cell>
          <cell r="AX379">
            <v>6300</v>
          </cell>
          <cell r="AY379">
            <v>2699.9924999999998</v>
          </cell>
          <cell r="AZ379">
            <v>-3600.0075000000002</v>
          </cell>
          <cell r="BA379">
            <v>900</v>
          </cell>
          <cell r="BB379">
            <v>3.8543897216274089E-2</v>
          </cell>
          <cell r="BC379">
            <v>0</v>
          </cell>
          <cell r="BD379" t="e">
            <v>#DIV/0!</v>
          </cell>
          <cell r="BE379">
            <v>7200</v>
          </cell>
          <cell r="BF379">
            <v>2699.9924999999998</v>
          </cell>
          <cell r="BG379">
            <v>-4500.0074999999997</v>
          </cell>
          <cell r="BH379">
            <v>900</v>
          </cell>
          <cell r="BI379">
            <v>3.8543897216274089E-2</v>
          </cell>
          <cell r="BJ379">
            <v>0</v>
          </cell>
          <cell r="BK379" t="e">
            <v>#DIV/0!</v>
          </cell>
          <cell r="BL379">
            <v>8100</v>
          </cell>
          <cell r="BM379">
            <v>2699.9924999999998</v>
          </cell>
          <cell r="BN379">
            <v>-5400.0074999999997</v>
          </cell>
          <cell r="BO379">
            <v>900</v>
          </cell>
          <cell r="BP379">
            <v>3.8543897216274089E-2</v>
          </cell>
          <cell r="BQ379">
            <v>0</v>
          </cell>
          <cell r="BR379" t="e">
            <v>#DIV/0!</v>
          </cell>
          <cell r="BS379">
            <v>9000</v>
          </cell>
          <cell r="BT379">
            <v>2699.9924999999998</v>
          </cell>
          <cell r="BU379">
            <v>-6300.0074999999997</v>
          </cell>
          <cell r="BV379">
            <v>900</v>
          </cell>
          <cell r="BW379">
            <v>3.8543897216274089E-2</v>
          </cell>
          <cell r="BX379">
            <v>0</v>
          </cell>
          <cell r="BY379" t="e">
            <v>#DIV/0!</v>
          </cell>
          <cell r="BZ379">
            <v>9900</v>
          </cell>
          <cell r="CA379">
            <v>2699.9924999999998</v>
          </cell>
          <cell r="CB379">
            <v>-7200.0074999999997</v>
          </cell>
          <cell r="CC379">
            <v>900</v>
          </cell>
          <cell r="CD379">
            <v>3.8543897216274089E-2</v>
          </cell>
          <cell r="CE379">
            <v>0</v>
          </cell>
          <cell r="CF379" t="e">
            <v>#DIV/0!</v>
          </cell>
          <cell r="CG379">
            <v>10800</v>
          </cell>
          <cell r="CH379">
            <v>2699.9924999999998</v>
          </cell>
        </row>
        <row r="380">
          <cell r="A380" t="str">
            <v>Aperfeiçoamento - Treinamentos / Livros / Revistas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 t="e">
            <v>#DIV/0!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 t="e">
            <v>#DIV/0!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 t="e">
            <v>#DIV/0!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 t="e">
            <v>#DIV/0!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 t="e">
            <v>#DIV/0!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 t="e">
            <v>#DIV/0!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 t="e">
            <v>#DIV/0!</v>
          </cell>
          <cell r="CG380">
            <v>0</v>
          </cell>
          <cell r="CH380">
            <v>0</v>
          </cell>
        </row>
        <row r="381">
          <cell r="A381" t="str">
            <v>OAB / Associações</v>
          </cell>
          <cell r="B381">
            <v>7.1074478400267888E-4</v>
          </cell>
          <cell r="C381">
            <v>277.80583333333334</v>
          </cell>
          <cell r="D381">
            <v>202</v>
          </cell>
          <cell r="E381">
            <v>8.6509635974304066E-3</v>
          </cell>
          <cell r="F381">
            <v>53.945</v>
          </cell>
          <cell r="G381">
            <v>6.7902484756398815E-4</v>
          </cell>
          <cell r="H381">
            <v>202</v>
          </cell>
          <cell r="I381">
            <v>53.945</v>
          </cell>
          <cell r="J381">
            <v>-148.05500000000001</v>
          </cell>
          <cell r="K381">
            <v>202</v>
          </cell>
          <cell r="L381">
            <v>8.6509635974304066E-3</v>
          </cell>
          <cell r="M381">
            <v>0</v>
          </cell>
          <cell r="N381">
            <v>0</v>
          </cell>
          <cell r="O381">
            <v>404</v>
          </cell>
          <cell r="P381">
            <v>53.945</v>
          </cell>
          <cell r="Q381">
            <v>-350.05500000000001</v>
          </cell>
          <cell r="R381">
            <v>202</v>
          </cell>
          <cell r="S381">
            <v>8.6509635974304066E-3</v>
          </cell>
          <cell r="T381">
            <v>275.32499999999999</v>
          </cell>
          <cell r="U381">
            <v>4.0015379393118928E-4</v>
          </cell>
          <cell r="V381">
            <v>606</v>
          </cell>
          <cell r="W381">
            <v>329.27</v>
          </cell>
          <cell r="X381">
            <v>-276.73</v>
          </cell>
          <cell r="Y381">
            <v>202</v>
          </cell>
          <cell r="Z381">
            <v>8.6509635974304066E-3</v>
          </cell>
          <cell r="AA381">
            <v>0</v>
          </cell>
          <cell r="AB381">
            <v>0</v>
          </cell>
          <cell r="AC381">
            <v>808</v>
          </cell>
          <cell r="AD381">
            <v>329.27</v>
          </cell>
          <cell r="AE381">
            <v>-478.73</v>
          </cell>
          <cell r="AF381">
            <v>202</v>
          </cell>
          <cell r="AG381">
            <v>8.6509635974304066E-3</v>
          </cell>
          <cell r="AH381">
            <v>0</v>
          </cell>
          <cell r="AI381">
            <v>0</v>
          </cell>
          <cell r="AJ381">
            <v>1010</v>
          </cell>
          <cell r="AK381">
            <v>329.27</v>
          </cell>
          <cell r="AL381">
            <v>-680.73</v>
          </cell>
          <cell r="AM381">
            <v>202</v>
          </cell>
          <cell r="AN381">
            <v>8.6509635974304066E-3</v>
          </cell>
          <cell r="AO381">
            <v>0</v>
          </cell>
          <cell r="AP381" t="e">
            <v>#DIV/0!</v>
          </cell>
          <cell r="AQ381">
            <v>1212</v>
          </cell>
          <cell r="AR381">
            <v>329.27</v>
          </cell>
          <cell r="AS381">
            <v>-882.73</v>
          </cell>
          <cell r="AT381">
            <v>202</v>
          </cell>
          <cell r="AU381">
            <v>8.6509635974304066E-3</v>
          </cell>
          <cell r="AV381">
            <v>0</v>
          </cell>
          <cell r="AW381" t="e">
            <v>#DIV/0!</v>
          </cell>
          <cell r="AX381">
            <v>1414</v>
          </cell>
          <cell r="AY381">
            <v>329.27</v>
          </cell>
          <cell r="AZ381">
            <v>-1084.73</v>
          </cell>
          <cell r="BA381">
            <v>202</v>
          </cell>
          <cell r="BB381">
            <v>8.6509635974304066E-3</v>
          </cell>
          <cell r="BC381">
            <v>0</v>
          </cell>
          <cell r="BD381" t="e">
            <v>#DIV/0!</v>
          </cell>
          <cell r="BE381">
            <v>1616</v>
          </cell>
          <cell r="BF381">
            <v>329.27</v>
          </cell>
          <cell r="BG381">
            <v>-1286.73</v>
          </cell>
          <cell r="BH381">
            <v>202</v>
          </cell>
          <cell r="BI381">
            <v>8.6509635974304066E-3</v>
          </cell>
          <cell r="BJ381">
            <v>0</v>
          </cell>
          <cell r="BK381" t="e">
            <v>#DIV/0!</v>
          </cell>
          <cell r="BL381">
            <v>1818</v>
          </cell>
          <cell r="BM381">
            <v>329.27</v>
          </cell>
          <cell r="BN381">
            <v>-1488.73</v>
          </cell>
          <cell r="BO381">
            <v>202</v>
          </cell>
          <cell r="BP381">
            <v>8.6509635974304066E-3</v>
          </cell>
          <cell r="BQ381">
            <v>0</v>
          </cell>
          <cell r="BR381" t="e">
            <v>#DIV/0!</v>
          </cell>
          <cell r="BS381">
            <v>2020</v>
          </cell>
          <cell r="BT381">
            <v>329.27</v>
          </cell>
          <cell r="BU381">
            <v>-1690.73</v>
          </cell>
          <cell r="BV381">
            <v>0</v>
          </cell>
          <cell r="BW381">
            <v>0</v>
          </cell>
          <cell r="BX381">
            <v>0</v>
          </cell>
          <cell r="BY381" t="e">
            <v>#DIV/0!</v>
          </cell>
          <cell r="BZ381">
            <v>2020</v>
          </cell>
          <cell r="CA381">
            <v>329.27</v>
          </cell>
          <cell r="CB381">
            <v>-1690.73</v>
          </cell>
          <cell r="CC381">
            <v>0</v>
          </cell>
          <cell r="CD381">
            <v>0</v>
          </cell>
          <cell r="CE381">
            <v>0</v>
          </cell>
          <cell r="CF381" t="e">
            <v>#DIV/0!</v>
          </cell>
          <cell r="CG381">
            <v>2020</v>
          </cell>
          <cell r="CH381">
            <v>329.27</v>
          </cell>
        </row>
        <row r="382">
          <cell r="A382" t="str">
            <v>Back Office / Encerramento</v>
          </cell>
          <cell r="B382">
            <v>2.7048369427635637E-4</v>
          </cell>
          <cell r="C382">
            <v>105.72282735350826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 t="e">
            <v>#DIV/0!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 t="e">
            <v>#DIV/0!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 t="e">
            <v>#DIV/0!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 t="e">
            <v>#DIV/0!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 t="e">
            <v>#DIV/0!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 t="e">
            <v>#DIV/0!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 t="e">
            <v>#DIV/0!</v>
          </cell>
          <cell r="CG382">
            <v>0</v>
          </cell>
          <cell r="CH382">
            <v>0</v>
          </cell>
        </row>
        <row r="383">
          <cell r="A383" t="str">
            <v>Bonificações/Premiações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 t="e">
            <v>#DIV/0!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 t="e">
            <v>#DIV/0!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 t="e">
            <v>#DIV/0!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 t="e">
            <v>#DIV/0!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 t="e">
            <v>#DIV/0!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 t="e">
            <v>#DIV/0!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 t="e">
            <v>#DIV/0!</v>
          </cell>
          <cell r="CG383">
            <v>0</v>
          </cell>
          <cell r="CH383">
            <v>0</v>
          </cell>
        </row>
        <row r="384">
          <cell r="A384" t="str">
            <v>Cadastro</v>
          </cell>
          <cell r="B384">
            <v>3.1540059520724538E-4</v>
          </cell>
          <cell r="C384">
            <v>123.27930806882698</v>
          </cell>
          <cell r="D384">
            <v>124.4450498735244</v>
          </cell>
          <cell r="E384">
            <v>5.3295524571102528E-3</v>
          </cell>
          <cell r="F384">
            <v>148.7482814596172</v>
          </cell>
          <cell r="G384">
            <v>1.8723473749841834E-3</v>
          </cell>
          <cell r="H384">
            <v>124.4450498735244</v>
          </cell>
          <cell r="I384">
            <v>148.7482814596172</v>
          </cell>
          <cell r="J384">
            <v>24.303231586092807</v>
          </cell>
          <cell r="K384">
            <v>124.4450498735244</v>
          </cell>
          <cell r="L384">
            <v>5.3295524571102528E-3</v>
          </cell>
          <cell r="M384">
            <v>106.52482827613106</v>
          </cell>
          <cell r="N384">
            <v>1.6140125496383495E-2</v>
          </cell>
          <cell r="O384">
            <v>248.89009974704879</v>
          </cell>
          <cell r="P384">
            <v>255.27310973574828</v>
          </cell>
          <cell r="Q384">
            <v>6.3830099886994844</v>
          </cell>
          <cell r="R384">
            <v>124.4450498735244</v>
          </cell>
          <cell r="S384">
            <v>5.3295524571102528E-3</v>
          </cell>
          <cell r="T384">
            <v>147.3349519722573</v>
          </cell>
          <cell r="U384">
            <v>2.1413471355804348E-4</v>
          </cell>
          <cell r="V384">
            <v>373.33514962057319</v>
          </cell>
          <cell r="W384">
            <v>402.60806170800561</v>
          </cell>
          <cell r="X384">
            <v>29.272912087432417</v>
          </cell>
          <cell r="Y384">
            <v>124.4450498735244</v>
          </cell>
          <cell r="Z384">
            <v>5.3295524571102528E-3</v>
          </cell>
          <cell r="AA384">
            <v>0</v>
          </cell>
          <cell r="AB384">
            <v>0</v>
          </cell>
          <cell r="AC384">
            <v>497.78019949409759</v>
          </cell>
          <cell r="AD384">
            <v>402.60806170800561</v>
          </cell>
          <cell r="AE384">
            <v>-95.17213778609198</v>
          </cell>
          <cell r="AF384">
            <v>124.4450498735244</v>
          </cell>
          <cell r="AG384">
            <v>5.3295524571102528E-3</v>
          </cell>
          <cell r="AH384">
            <v>0</v>
          </cell>
          <cell r="AI384">
            <v>0</v>
          </cell>
          <cell r="AJ384">
            <v>622.22524936762193</v>
          </cell>
          <cell r="AK384">
            <v>402.60806170800561</v>
          </cell>
          <cell r="AL384">
            <v>-219.61718765961632</v>
          </cell>
          <cell r="AM384">
            <v>124.4450498735244</v>
          </cell>
          <cell r="AN384">
            <v>5.3295524571102528E-3</v>
          </cell>
          <cell r="AO384">
            <v>0</v>
          </cell>
          <cell r="AP384" t="e">
            <v>#DIV/0!</v>
          </cell>
          <cell r="AQ384">
            <v>746.67029924114627</v>
          </cell>
          <cell r="AR384">
            <v>402.60806170800561</v>
          </cell>
          <cell r="AS384">
            <v>-344.06223753314066</v>
          </cell>
          <cell r="AT384">
            <v>124.4450498735244</v>
          </cell>
          <cell r="AU384">
            <v>5.3295524571102528E-3</v>
          </cell>
          <cell r="AV384">
            <v>0</v>
          </cell>
          <cell r="AW384" t="e">
            <v>#DIV/0!</v>
          </cell>
          <cell r="AX384">
            <v>871.11534911467061</v>
          </cell>
          <cell r="AY384">
            <v>402.60806170800561</v>
          </cell>
          <cell r="AZ384">
            <v>-468.507287406665</v>
          </cell>
          <cell r="BA384">
            <v>124.4450498735244</v>
          </cell>
          <cell r="BB384">
            <v>5.3295524571102528E-3</v>
          </cell>
          <cell r="BC384">
            <v>0</v>
          </cell>
          <cell r="BD384" t="e">
            <v>#DIV/0!</v>
          </cell>
          <cell r="BE384">
            <v>995.56039898819495</v>
          </cell>
          <cell r="BF384">
            <v>402.60806170800561</v>
          </cell>
          <cell r="BG384">
            <v>-592.95233728018934</v>
          </cell>
          <cell r="BH384">
            <v>124.4450498735244</v>
          </cell>
          <cell r="BI384">
            <v>5.3295524571102528E-3</v>
          </cell>
          <cell r="BJ384">
            <v>0</v>
          </cell>
          <cell r="BK384" t="e">
            <v>#DIV/0!</v>
          </cell>
          <cell r="BL384">
            <v>1120.0054488617193</v>
          </cell>
          <cell r="BM384">
            <v>402.60806170800561</v>
          </cell>
          <cell r="BN384">
            <v>-717.39738715371368</v>
          </cell>
          <cell r="BO384">
            <v>124.4450498735244</v>
          </cell>
          <cell r="BP384">
            <v>5.3295524571102528E-3</v>
          </cell>
          <cell r="BQ384">
            <v>0</v>
          </cell>
          <cell r="BR384" t="e">
            <v>#DIV/0!</v>
          </cell>
          <cell r="BS384">
            <v>1244.4504987352436</v>
          </cell>
          <cell r="BT384">
            <v>402.60806170800561</v>
          </cell>
          <cell r="BU384">
            <v>-841.84243702723802</v>
          </cell>
          <cell r="BV384">
            <v>0</v>
          </cell>
          <cell r="BW384">
            <v>0</v>
          </cell>
          <cell r="BX384">
            <v>0</v>
          </cell>
          <cell r="BY384" t="e">
            <v>#DIV/0!</v>
          </cell>
          <cell r="BZ384">
            <v>1244.4504987352436</v>
          </cell>
          <cell r="CA384">
            <v>402.60806170800561</v>
          </cell>
          <cell r="CB384">
            <v>-841.84243702723802</v>
          </cell>
          <cell r="CC384">
            <v>0</v>
          </cell>
          <cell r="CD384">
            <v>0</v>
          </cell>
          <cell r="CE384">
            <v>0</v>
          </cell>
          <cell r="CF384" t="e">
            <v>#DIV/0!</v>
          </cell>
          <cell r="CG384">
            <v>1244.4504987352436</v>
          </cell>
          <cell r="CH384">
            <v>402.60806170800561</v>
          </cell>
        </row>
        <row r="385">
          <cell r="A385" t="str">
            <v>Cartório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 t="e">
            <v>#DIV/0!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 t="e">
            <v>#DIV/0!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 t="e">
            <v>#DIV/0!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 t="e">
            <v>#DIV/0!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 t="e">
            <v>#DIV/0!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 t="e">
            <v>#DIV/0!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 t="e">
            <v>#DIV/0!</v>
          </cell>
          <cell r="CG385">
            <v>0</v>
          </cell>
          <cell r="CH385">
            <v>0</v>
          </cell>
        </row>
        <row r="386">
          <cell r="A386" t="str">
            <v>Condenação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 t="e">
            <v>#DIV/0!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 t="e">
            <v>#DIV/0!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 t="e">
            <v>#DIV/0!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 t="e">
            <v>#DIV/0!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 t="e">
            <v>#DIV/0!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 t="e">
            <v>#DIV/0!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 t="e">
            <v>#DIV/0!</v>
          </cell>
          <cell r="CG386">
            <v>0</v>
          </cell>
          <cell r="CH386">
            <v>0</v>
          </cell>
        </row>
        <row r="387">
          <cell r="A387" t="str">
            <v>Penalidades/Irregularidades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 t="e">
            <v>#DIV/0!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 t="e">
            <v>#DIV/0!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 t="e">
            <v>#DIV/0!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 t="e">
            <v>#DIV/0!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 t="e">
            <v>#DIV/0!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 t="e">
            <v>#DIV/0!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 t="e">
            <v>#DIV/0!</v>
          </cell>
          <cell r="CG387">
            <v>0</v>
          </cell>
          <cell r="CH387">
            <v>0</v>
          </cell>
        </row>
        <row r="388">
          <cell r="A388" t="str">
            <v>Controladoria Jurídica - Custas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 t="e">
            <v>#DIV/0!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 t="e">
            <v>#DIV/0!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 t="e">
            <v>#DIV/0!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 t="e">
            <v>#DIV/0!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 t="e">
            <v>#DIV/0!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 t="e">
            <v>#DIV/0!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 t="e">
            <v>#DIV/0!</v>
          </cell>
          <cell r="CG388">
            <v>0</v>
          </cell>
          <cell r="CH388">
            <v>0</v>
          </cell>
        </row>
        <row r="389">
          <cell r="A389" t="str">
            <v>GNA</v>
          </cell>
          <cell r="B389">
            <v>1.6870786244766624E-4</v>
          </cell>
          <cell r="C389">
            <v>65.942134746616219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86.913842518798859</v>
          </cell>
          <cell r="N389">
            <v>1.3168764017999827E-2</v>
          </cell>
          <cell r="O389">
            <v>0</v>
          </cell>
          <cell r="P389">
            <v>86.913842518798859</v>
          </cell>
          <cell r="Q389">
            <v>86.913842518798859</v>
          </cell>
          <cell r="R389">
            <v>0</v>
          </cell>
          <cell r="S389">
            <v>0</v>
          </cell>
          <cell r="T389">
            <v>-149.15885750837236</v>
          </cell>
          <cell r="U389">
            <v>-2.1678555427373782E-4</v>
          </cell>
          <cell r="V389">
            <v>0</v>
          </cell>
          <cell r="W389">
            <v>-62.245014989573505</v>
          </cell>
          <cell r="X389">
            <v>-62.245014989573505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-62.245014989573505</v>
          </cell>
          <cell r="AE389">
            <v>-62.245014989573505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-62.245014989573505</v>
          </cell>
          <cell r="AL389">
            <v>-62.245014989573505</v>
          </cell>
          <cell r="AM389">
            <v>0</v>
          </cell>
          <cell r="AN389">
            <v>0</v>
          </cell>
          <cell r="AO389">
            <v>0</v>
          </cell>
          <cell r="AP389" t="e">
            <v>#DIV/0!</v>
          </cell>
          <cell r="AQ389">
            <v>0</v>
          </cell>
          <cell r="AR389">
            <v>-62.245014989573505</v>
          </cell>
          <cell r="AS389">
            <v>-62.245014989573505</v>
          </cell>
          <cell r="AT389">
            <v>0</v>
          </cell>
          <cell r="AU389">
            <v>0</v>
          </cell>
          <cell r="AV389">
            <v>0</v>
          </cell>
          <cell r="AW389" t="e">
            <v>#DIV/0!</v>
          </cell>
          <cell r="AX389">
            <v>0</v>
          </cell>
          <cell r="AY389">
            <v>-62.245014989573505</v>
          </cell>
          <cell r="AZ389">
            <v>-62.245014989573505</v>
          </cell>
          <cell r="BA389">
            <v>0</v>
          </cell>
          <cell r="BB389">
            <v>0</v>
          </cell>
          <cell r="BC389">
            <v>0</v>
          </cell>
          <cell r="BD389" t="e">
            <v>#DIV/0!</v>
          </cell>
          <cell r="BE389">
            <v>0</v>
          </cell>
          <cell r="BF389">
            <v>-62.245014989573505</v>
          </cell>
          <cell r="BG389">
            <v>-62.245014989573505</v>
          </cell>
          <cell r="BH389">
            <v>0</v>
          </cell>
          <cell r="BI389">
            <v>0</v>
          </cell>
          <cell r="BJ389">
            <v>0</v>
          </cell>
          <cell r="BK389" t="e">
            <v>#DIV/0!</v>
          </cell>
          <cell r="BL389">
            <v>0</v>
          </cell>
          <cell r="BM389">
            <v>-62.245014989573505</v>
          </cell>
          <cell r="BN389">
            <v>-62.245014989573505</v>
          </cell>
          <cell r="BO389">
            <v>0</v>
          </cell>
          <cell r="BP389">
            <v>0</v>
          </cell>
          <cell r="BQ389">
            <v>0</v>
          </cell>
          <cell r="BR389" t="e">
            <v>#DIV/0!</v>
          </cell>
          <cell r="BS389">
            <v>0</v>
          </cell>
          <cell r="BT389">
            <v>-62.245014989573505</v>
          </cell>
          <cell r="BU389">
            <v>-62.245014989573505</v>
          </cell>
          <cell r="BV389">
            <v>0</v>
          </cell>
          <cell r="BW389">
            <v>0</v>
          </cell>
          <cell r="BX389">
            <v>0</v>
          </cell>
          <cell r="BY389" t="e">
            <v>#DIV/0!</v>
          </cell>
          <cell r="BZ389">
            <v>0</v>
          </cell>
          <cell r="CA389">
            <v>-62.245014989573505</v>
          </cell>
          <cell r="CB389">
            <v>-62.245014989573505</v>
          </cell>
          <cell r="CC389">
            <v>0</v>
          </cell>
          <cell r="CD389">
            <v>0</v>
          </cell>
          <cell r="CE389">
            <v>0</v>
          </cell>
          <cell r="CF389" t="e">
            <v>#DIV/0!</v>
          </cell>
          <cell r="CG389">
            <v>0</v>
          </cell>
          <cell r="CH389">
            <v>-62.245014989573505</v>
          </cell>
        </row>
        <row r="390">
          <cell r="A390" t="str">
            <v>Correios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 t="e">
            <v>#DIV/0!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 t="e">
            <v>#DIV/0!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 t="e">
            <v>#DIV/0!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 t="e">
            <v>#DIV/0!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 t="e">
            <v>#DIV/0!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 t="e">
            <v>#DIV/0!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 t="e">
            <v>#DIV/0!</v>
          </cell>
          <cell r="CG390">
            <v>0</v>
          </cell>
          <cell r="CH390">
            <v>0</v>
          </cell>
        </row>
        <row r="391">
          <cell r="A391" t="str">
            <v xml:space="preserve">Correspondentes </v>
          </cell>
          <cell r="B391">
            <v>6.3165335043121502E-3</v>
          </cell>
          <cell r="C391">
            <v>2468.9169634999998</v>
          </cell>
          <cell r="D391">
            <v>2499.999953</v>
          </cell>
          <cell r="E391">
            <v>0.10706637914346895</v>
          </cell>
          <cell r="F391">
            <v>2599.9999010000001</v>
          </cell>
          <cell r="G391">
            <v>3.2727120890590593E-2</v>
          </cell>
          <cell r="H391">
            <v>2499.999953</v>
          </cell>
          <cell r="I391">
            <v>2599.9999010000001</v>
          </cell>
          <cell r="J391">
            <v>99.999948000000131</v>
          </cell>
          <cell r="K391">
            <v>2499.999953</v>
          </cell>
          <cell r="L391">
            <v>0.10706637914346895</v>
          </cell>
          <cell r="M391">
            <v>2700.0034249999999</v>
          </cell>
          <cell r="N391">
            <v>0.40909142803030302</v>
          </cell>
          <cell r="O391">
            <v>4999.999906</v>
          </cell>
          <cell r="P391">
            <v>5300.003326</v>
          </cell>
          <cell r="Q391">
            <v>300.00342000000001</v>
          </cell>
          <cell r="R391">
            <v>2499.999953</v>
          </cell>
          <cell r="S391">
            <v>0.10706637914346895</v>
          </cell>
          <cell r="T391">
            <v>0</v>
          </cell>
          <cell r="U391">
            <v>0</v>
          </cell>
          <cell r="V391">
            <v>7499.9998589999996</v>
          </cell>
          <cell r="W391">
            <v>5300.003326</v>
          </cell>
          <cell r="X391">
            <v>-2199.9965329999995</v>
          </cell>
          <cell r="Y391">
            <v>2499.999953</v>
          </cell>
          <cell r="Z391">
            <v>0.10706637914346895</v>
          </cell>
          <cell r="AA391">
            <v>0</v>
          </cell>
          <cell r="AB391">
            <v>0</v>
          </cell>
          <cell r="AC391">
            <v>9999.999812</v>
          </cell>
          <cell r="AD391">
            <v>5300.003326</v>
          </cell>
          <cell r="AE391">
            <v>-4699.996486</v>
          </cell>
          <cell r="AF391">
            <v>2499.999953</v>
          </cell>
          <cell r="AG391">
            <v>0.10706637914346895</v>
          </cell>
          <cell r="AH391">
            <v>0</v>
          </cell>
          <cell r="AI391">
            <v>0</v>
          </cell>
          <cell r="AJ391">
            <v>12499.999765</v>
          </cell>
          <cell r="AK391">
            <v>5300.003326</v>
          </cell>
          <cell r="AL391">
            <v>-7199.9964390000005</v>
          </cell>
          <cell r="AM391">
            <v>2499.999953</v>
          </cell>
          <cell r="AN391">
            <v>0.10706637914346895</v>
          </cell>
          <cell r="AO391">
            <v>0</v>
          </cell>
          <cell r="AP391" t="e">
            <v>#DIV/0!</v>
          </cell>
          <cell r="AQ391">
            <v>14999.999718000001</v>
          </cell>
          <cell r="AR391">
            <v>5300.003326</v>
          </cell>
          <cell r="AS391">
            <v>-9699.9963920000009</v>
          </cell>
          <cell r="AT391">
            <v>2499.999953</v>
          </cell>
          <cell r="AU391">
            <v>0.10706637914346895</v>
          </cell>
          <cell r="AV391">
            <v>0</v>
          </cell>
          <cell r="AW391" t="e">
            <v>#DIV/0!</v>
          </cell>
          <cell r="AX391">
            <v>17499.999671000001</v>
          </cell>
          <cell r="AY391">
            <v>5300.003326</v>
          </cell>
          <cell r="AZ391">
            <v>-12199.996345000001</v>
          </cell>
          <cell r="BA391">
            <v>2499.999953</v>
          </cell>
          <cell r="BB391">
            <v>0.10706637914346895</v>
          </cell>
          <cell r="BC391">
            <v>0</v>
          </cell>
          <cell r="BD391" t="e">
            <v>#DIV/0!</v>
          </cell>
          <cell r="BE391">
            <v>19999.999624</v>
          </cell>
          <cell r="BF391">
            <v>5300.003326</v>
          </cell>
          <cell r="BG391">
            <v>-14699.996298</v>
          </cell>
          <cell r="BH391">
            <v>2499.999953</v>
          </cell>
          <cell r="BI391">
            <v>0.10706637914346895</v>
          </cell>
          <cell r="BJ391">
            <v>0</v>
          </cell>
          <cell r="BK391" t="e">
            <v>#DIV/0!</v>
          </cell>
          <cell r="BL391">
            <v>22499.999576999999</v>
          </cell>
          <cell r="BM391">
            <v>5300.003326</v>
          </cell>
          <cell r="BN391">
            <v>-17199.996250999997</v>
          </cell>
          <cell r="BO391">
            <v>2499.999953</v>
          </cell>
          <cell r="BP391">
            <v>0.10706637914346895</v>
          </cell>
          <cell r="BQ391">
            <v>0</v>
          </cell>
          <cell r="BR391" t="e">
            <v>#DIV/0!</v>
          </cell>
          <cell r="BS391">
            <v>24999.999529999997</v>
          </cell>
          <cell r="BT391">
            <v>5300.003326</v>
          </cell>
          <cell r="BU391">
            <v>-19699.996203999995</v>
          </cell>
          <cell r="BV391">
            <v>2500</v>
          </cell>
          <cell r="BW391">
            <v>0.10706638115631692</v>
          </cell>
          <cell r="BX391">
            <v>0</v>
          </cell>
          <cell r="BY391" t="e">
            <v>#DIV/0!</v>
          </cell>
          <cell r="BZ391">
            <v>27499.999529999997</v>
          </cell>
          <cell r="CA391">
            <v>5300.003326</v>
          </cell>
          <cell r="CB391">
            <v>-22199.996203999995</v>
          </cell>
          <cell r="CC391">
            <v>2500</v>
          </cell>
          <cell r="CD391">
            <v>0.10706638115631692</v>
          </cell>
          <cell r="CE391">
            <v>0</v>
          </cell>
          <cell r="CF391" t="e">
            <v>#DIV/0!</v>
          </cell>
          <cell r="CG391">
            <v>29999.999529999997</v>
          </cell>
          <cell r="CH391">
            <v>5300.003326</v>
          </cell>
        </row>
        <row r="392">
          <cell r="A392" t="str">
            <v>Custas/Guias/Despesas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 t="e">
            <v>#DIV/0!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 t="e">
            <v>#DIV/0!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 t="e">
            <v>#DIV/0!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 t="e">
            <v>#DIV/0!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 t="e">
            <v>#DIV/0!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 t="e">
            <v>#DIV/0!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 t="e">
            <v>#DIV/0!</v>
          </cell>
          <cell r="CG392">
            <v>0</v>
          </cell>
          <cell r="CH392">
            <v>0</v>
          </cell>
        </row>
        <row r="393">
          <cell r="A393" t="str">
            <v>Deslocamento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 t="e">
            <v>#DIV/0!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 t="e">
            <v>#DIV/0!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 t="e">
            <v>#DIV/0!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 t="e">
            <v>#DIV/0!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 t="e">
            <v>#DIV/0!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 t="e">
            <v>#DIV/0!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 t="e">
            <v>#DIV/0!</v>
          </cell>
          <cell r="CG393">
            <v>0</v>
          </cell>
          <cell r="CH393">
            <v>0</v>
          </cell>
        </row>
        <row r="394">
          <cell r="A394" t="str">
            <v>Digitação / Atual. Sistemas / Lanç. Planilhas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 t="e">
            <v>#DIV/0!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 t="e">
            <v>#DIV/0!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 t="e">
            <v>#DIV/0!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 t="e">
            <v>#DIV/0!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 t="e">
            <v>#DIV/0!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 t="e">
            <v>#DIV/0!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 t="e">
            <v>#DIV/0!</v>
          </cell>
          <cell r="CG394">
            <v>0</v>
          </cell>
          <cell r="CH394">
            <v>0</v>
          </cell>
        </row>
        <row r="395">
          <cell r="A395" t="str">
            <v>Diligências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 t="e">
            <v>#DIV/0!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 t="e">
            <v>#DIV/0!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 t="e">
            <v>#DIV/0!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 t="e">
            <v>#DIV/0!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 t="e">
            <v>#DIV/0!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 t="e">
            <v>#DIV/0!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 t="e">
            <v>#DIV/0!</v>
          </cell>
          <cell r="CG395">
            <v>0</v>
          </cell>
          <cell r="CH395">
            <v>0</v>
          </cell>
        </row>
        <row r="396">
          <cell r="A396" t="str">
            <v>Encargos</v>
          </cell>
          <cell r="B396">
            <v>0</v>
          </cell>
          <cell r="C396">
            <v>0</v>
          </cell>
          <cell r="D396">
            <v>182.89527963662894</v>
          </cell>
          <cell r="E396">
            <v>7.8327742885065926E-3</v>
          </cell>
          <cell r="F396">
            <v>485.77193446204387</v>
          </cell>
          <cell r="G396">
            <v>6.1145836268227454E-3</v>
          </cell>
          <cell r="H396">
            <v>182.89527963662894</v>
          </cell>
          <cell r="I396">
            <v>485.77193446204387</v>
          </cell>
          <cell r="J396">
            <v>302.8766548254149</v>
          </cell>
          <cell r="K396">
            <v>182.89527963662894</v>
          </cell>
          <cell r="L396">
            <v>7.8327742885065926E-3</v>
          </cell>
          <cell r="M396">
            <v>182.89527963662894</v>
          </cell>
          <cell r="N396">
            <v>2.7711406005549839E-2</v>
          </cell>
          <cell r="O396">
            <v>365.79055927325788</v>
          </cell>
          <cell r="P396">
            <v>668.66721409867284</v>
          </cell>
          <cell r="Q396">
            <v>302.87665482541496</v>
          </cell>
          <cell r="R396">
            <v>182.89527963662894</v>
          </cell>
          <cell r="S396">
            <v>7.8327742885065926E-3</v>
          </cell>
          <cell r="T396">
            <v>660.35139607531198</v>
          </cell>
          <cell r="U396">
            <v>9.5974617803429969E-4</v>
          </cell>
          <cell r="V396">
            <v>548.6858389098868</v>
          </cell>
          <cell r="W396">
            <v>1329.0186101739848</v>
          </cell>
          <cell r="X396">
            <v>780.33277126409803</v>
          </cell>
          <cell r="Y396">
            <v>182.89527963662894</v>
          </cell>
          <cell r="Z396">
            <v>7.8327742885065926E-3</v>
          </cell>
          <cell r="AA396">
            <v>0</v>
          </cell>
          <cell r="AB396">
            <v>0</v>
          </cell>
          <cell r="AC396">
            <v>731.58111854651577</v>
          </cell>
          <cell r="AD396">
            <v>1329.0186101739848</v>
          </cell>
          <cell r="AE396">
            <v>597.43749162746906</v>
          </cell>
          <cell r="AF396">
            <v>182.89527963662894</v>
          </cell>
          <cell r="AG396">
            <v>7.8327742885065926E-3</v>
          </cell>
          <cell r="AH396">
            <v>0</v>
          </cell>
          <cell r="AI396">
            <v>0</v>
          </cell>
          <cell r="AJ396">
            <v>914.47639818314474</v>
          </cell>
          <cell r="AK396">
            <v>1329.0186101739848</v>
          </cell>
          <cell r="AL396">
            <v>414.54221199084009</v>
          </cell>
          <cell r="AM396">
            <v>182.89527963662894</v>
          </cell>
          <cell r="AN396">
            <v>7.8327742885065926E-3</v>
          </cell>
          <cell r="AO396">
            <v>0</v>
          </cell>
          <cell r="AP396" t="e">
            <v>#DIV/0!</v>
          </cell>
          <cell r="AQ396">
            <v>1097.3716778197736</v>
          </cell>
          <cell r="AR396">
            <v>1329.0186101739848</v>
          </cell>
          <cell r="AS396">
            <v>231.64693235421123</v>
          </cell>
          <cell r="AT396">
            <v>182.89527963662894</v>
          </cell>
          <cell r="AU396">
            <v>7.8327742885065926E-3</v>
          </cell>
          <cell r="AV396">
            <v>0</v>
          </cell>
          <cell r="AW396" t="e">
            <v>#DIV/0!</v>
          </cell>
          <cell r="AX396">
            <v>1280.2669574564025</v>
          </cell>
          <cell r="AY396">
            <v>1329.0186101739848</v>
          </cell>
          <cell r="AZ396">
            <v>48.751652717582374</v>
          </cell>
          <cell r="BA396">
            <v>182.89527963662894</v>
          </cell>
          <cell r="BB396">
            <v>7.8327742885065926E-3</v>
          </cell>
          <cell r="BC396">
            <v>0</v>
          </cell>
          <cell r="BD396" t="e">
            <v>#DIV/0!</v>
          </cell>
          <cell r="BE396">
            <v>1463.1622370930313</v>
          </cell>
          <cell r="BF396">
            <v>1329.0186101739848</v>
          </cell>
          <cell r="BG396">
            <v>-134.14362691904648</v>
          </cell>
          <cell r="BH396">
            <v>182.89527963662894</v>
          </cell>
          <cell r="BI396">
            <v>7.8327742885065926E-3</v>
          </cell>
          <cell r="BJ396">
            <v>0</v>
          </cell>
          <cell r="BK396" t="e">
            <v>#DIV/0!</v>
          </cell>
          <cell r="BL396">
            <v>1646.0575167296602</v>
          </cell>
          <cell r="BM396">
            <v>1329.0186101739848</v>
          </cell>
          <cell r="BN396">
            <v>-317.03890655567534</v>
          </cell>
          <cell r="BO396">
            <v>182.89527963662894</v>
          </cell>
          <cell r="BP396">
            <v>7.8327742885065926E-3</v>
          </cell>
          <cell r="BQ396">
            <v>0</v>
          </cell>
          <cell r="BR396" t="e">
            <v>#DIV/0!</v>
          </cell>
          <cell r="BS396">
            <v>1828.952796366289</v>
          </cell>
          <cell r="BT396">
            <v>1329.0186101739848</v>
          </cell>
          <cell r="BU396">
            <v>-499.9341861923042</v>
          </cell>
          <cell r="BV396">
            <v>182.89527963662894</v>
          </cell>
          <cell r="BW396">
            <v>7.8327742885065926E-3</v>
          </cell>
          <cell r="BX396">
            <v>0</v>
          </cell>
          <cell r="BY396" t="e">
            <v>#DIV/0!</v>
          </cell>
          <cell r="BZ396">
            <v>2011.8480760029179</v>
          </cell>
          <cell r="CA396">
            <v>1329.0186101739848</v>
          </cell>
          <cell r="CB396">
            <v>-682.82946582893305</v>
          </cell>
          <cell r="CC396">
            <v>182.89527963662894</v>
          </cell>
          <cell r="CD396">
            <v>7.8327742885065926E-3</v>
          </cell>
          <cell r="CE396">
            <v>0</v>
          </cell>
          <cell r="CF396" t="e">
            <v>#DIV/0!</v>
          </cell>
          <cell r="CG396">
            <v>2194.7433556395467</v>
          </cell>
          <cell r="CH396">
            <v>1329.0186101739848</v>
          </cell>
        </row>
        <row r="397">
          <cell r="A397" t="str">
            <v>Encargos Rescisórios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 t="e">
            <v>#DIV/0!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 t="e">
            <v>#DIV/0!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 t="e">
            <v>#DIV/0!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 t="e">
            <v>#DIV/0!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 t="e">
            <v>#DIV/0!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 t="e">
            <v>#DIV/0!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 t="e">
            <v>#DIV/0!</v>
          </cell>
          <cell r="CG397">
            <v>0</v>
          </cell>
          <cell r="CH397">
            <v>0</v>
          </cell>
        </row>
        <row r="398">
          <cell r="A398" t="str">
            <v>Encerramento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 t="e">
            <v>#DIV/0!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 t="e">
            <v>#DIV/0!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 t="e">
            <v>#DIV/0!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 t="e">
            <v>#DIV/0!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 t="e">
            <v>#DIV/0!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 t="e">
            <v>#DIV/0!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 t="e">
            <v>#DIV/0!</v>
          </cell>
          <cell r="CG398">
            <v>0</v>
          </cell>
          <cell r="CH398">
            <v>0</v>
          </cell>
        </row>
        <row r="399">
          <cell r="A399" t="str">
            <v>Eventos / Representações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 t="e">
            <v>#DIV/0!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 t="e">
            <v>#DIV/0!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 t="e">
            <v>#DIV/0!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 t="e">
            <v>#DIV/0!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 t="e">
            <v>#DIV/0!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 t="e">
            <v>#DIV/0!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 t="e">
            <v>#DIV/0!</v>
          </cell>
          <cell r="CG399">
            <v>0</v>
          </cell>
          <cell r="CH399">
            <v>0</v>
          </cell>
        </row>
        <row r="400">
          <cell r="A400" t="str">
            <v>Férias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 t="e">
            <v>#DIV/0!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 t="e">
            <v>#DIV/0!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 t="e">
            <v>#DIV/0!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 t="e">
            <v>#DIV/0!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 t="e">
            <v>#DIV/0!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 t="e">
            <v>#DIV/0!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 t="e">
            <v>#DIV/0!</v>
          </cell>
          <cell r="CG400">
            <v>0</v>
          </cell>
          <cell r="CH400">
            <v>0</v>
          </cell>
        </row>
        <row r="401">
          <cell r="A401" t="str">
            <v>Exames Médicos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 t="e">
            <v>#DIV/0!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 t="e">
            <v>#DIV/0!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 t="e">
            <v>#DIV/0!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 t="e">
            <v>#DIV/0!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 t="e">
            <v>#DIV/0!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 t="e">
            <v>#DIV/0!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 t="e">
            <v>#DIV/0!</v>
          </cell>
          <cell r="CG401">
            <v>0</v>
          </cell>
          <cell r="CH401">
            <v>0</v>
          </cell>
        </row>
        <row r="402">
          <cell r="A402" t="str">
            <v>Parcerias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 t="e">
            <v>#DIV/0!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 t="e">
            <v>#DIV/0!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 t="e">
            <v>#DIV/0!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  <cell r="BK402" t="e">
            <v>#DIV/0!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 t="e">
            <v>#DIV/0!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 t="e">
            <v>#DIV/0!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 t="e">
            <v>#DIV/0!</v>
          </cell>
          <cell r="CG402">
            <v>0</v>
          </cell>
          <cell r="CH402">
            <v>0</v>
          </cell>
        </row>
        <row r="403">
          <cell r="A403" t="str">
            <v>Fotocópia/Xerox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 t="e">
            <v>#DIV/0!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 t="e">
            <v>#DIV/0!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 t="e">
            <v>#DIV/0!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 t="e">
            <v>#DIV/0!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 t="e">
            <v>#DIV/0!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 t="e">
            <v>#DIV/0!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 t="e">
            <v>#DIV/0!</v>
          </cell>
          <cell r="CG403">
            <v>0</v>
          </cell>
          <cell r="CH403">
            <v>0</v>
          </cell>
        </row>
        <row r="404">
          <cell r="A404" t="str">
            <v>IR s/ Salário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 t="e">
            <v>#DIV/0!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 t="e">
            <v>#DIV/0!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 t="e">
            <v>#DIV/0!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 t="e">
            <v>#DIV/0!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 t="e">
            <v>#DIV/0!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 t="e">
            <v>#DIV/0!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 t="e">
            <v>#DIV/0!</v>
          </cell>
          <cell r="CG404">
            <v>0</v>
          </cell>
          <cell r="CH404">
            <v>0</v>
          </cell>
        </row>
        <row r="405">
          <cell r="A405" t="str">
            <v>Consultoria de Projetos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 t="e">
            <v>#DIV/0!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 t="e">
            <v>#DIV/0!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 t="e">
            <v>#DIV/0!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 t="e">
            <v>#DIV/0!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 t="e">
            <v>#DIV/0!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 t="e">
            <v>#DIV/0!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 t="e">
            <v>#DIV/0!</v>
          </cell>
          <cell r="CG405">
            <v>0</v>
          </cell>
          <cell r="CH405">
            <v>0</v>
          </cell>
        </row>
        <row r="406">
          <cell r="A406" t="str">
            <v>Pauta</v>
          </cell>
          <cell r="B406">
            <v>7.5634876195452264E-6</v>
          </cell>
          <cell r="C406">
            <v>2.9563086896268964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 t="e">
            <v>#DIV/0!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 t="e">
            <v>#DIV/0!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 t="e">
            <v>#DIV/0!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 t="e">
            <v>#DIV/0!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 t="e">
            <v>#DIV/0!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 t="e">
            <v>#DIV/0!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 t="e">
            <v>#DIV/0!</v>
          </cell>
          <cell r="CG406">
            <v>0</v>
          </cell>
          <cell r="CH406">
            <v>0</v>
          </cell>
        </row>
        <row r="407">
          <cell r="A407" t="str">
            <v>Pauta - Gestão de Pauta</v>
          </cell>
          <cell r="B407">
            <v>3.5154907521773936E-4</v>
          </cell>
          <cell r="C407">
            <v>137.4085128679026</v>
          </cell>
          <cell r="D407">
            <v>123.63994426890723</v>
          </cell>
          <cell r="E407">
            <v>5.2950725596962412E-3</v>
          </cell>
          <cell r="F407">
            <v>153.06532638653223</v>
          </cell>
          <cell r="G407">
            <v>1.9266875505968514E-3</v>
          </cell>
          <cell r="H407">
            <v>123.63994426890723</v>
          </cell>
          <cell r="I407">
            <v>153.06532638653223</v>
          </cell>
          <cell r="J407">
            <v>29.425382117625006</v>
          </cell>
          <cell r="K407">
            <v>123.63994426890723</v>
          </cell>
          <cell r="L407">
            <v>5.2950725596962412E-3</v>
          </cell>
          <cell r="M407">
            <v>129.2401859136412</v>
          </cell>
          <cell r="N407">
            <v>1.9581846350551695E-2</v>
          </cell>
          <cell r="O407">
            <v>247.27988853781446</v>
          </cell>
          <cell r="P407">
            <v>282.3055123001734</v>
          </cell>
          <cell r="Q407">
            <v>35.025623762358947</v>
          </cell>
          <cell r="R407">
            <v>123.63994426890723</v>
          </cell>
          <cell r="S407">
            <v>5.2950725596962412E-3</v>
          </cell>
          <cell r="T407">
            <v>102.47118946640565</v>
          </cell>
          <cell r="U407">
            <v>1.4893030140242965E-4</v>
          </cell>
          <cell r="V407">
            <v>370.91983280672167</v>
          </cell>
          <cell r="W407">
            <v>384.77670176657904</v>
          </cell>
          <cell r="X407">
            <v>13.856868959857366</v>
          </cell>
          <cell r="Y407">
            <v>123.63994426890723</v>
          </cell>
          <cell r="Z407">
            <v>5.2950725596962412E-3</v>
          </cell>
          <cell r="AA407">
            <v>0</v>
          </cell>
          <cell r="AB407">
            <v>0</v>
          </cell>
          <cell r="AC407">
            <v>494.55977707562892</v>
          </cell>
          <cell r="AD407">
            <v>384.77670176657904</v>
          </cell>
          <cell r="AE407">
            <v>-109.78307530904988</v>
          </cell>
          <cell r="AF407">
            <v>123.63994426890723</v>
          </cell>
          <cell r="AG407">
            <v>5.2950725596962412E-3</v>
          </cell>
          <cell r="AH407">
            <v>0</v>
          </cell>
          <cell r="AI407">
            <v>0</v>
          </cell>
          <cell r="AJ407">
            <v>618.1997213445361</v>
          </cell>
          <cell r="AK407">
            <v>384.77670176657904</v>
          </cell>
          <cell r="AL407">
            <v>-233.42301957795706</v>
          </cell>
          <cell r="AM407">
            <v>123.63994426890723</v>
          </cell>
          <cell r="AN407">
            <v>5.2950725596962412E-3</v>
          </cell>
          <cell r="AO407">
            <v>0</v>
          </cell>
          <cell r="AP407" t="e">
            <v>#DIV/0!</v>
          </cell>
          <cell r="AQ407">
            <v>741.83966561344334</v>
          </cell>
          <cell r="AR407">
            <v>384.77670176657904</v>
          </cell>
          <cell r="AS407">
            <v>-357.06296384686431</v>
          </cell>
          <cell r="AT407">
            <v>123.63994426890723</v>
          </cell>
          <cell r="AU407">
            <v>5.2950725596962412E-3</v>
          </cell>
          <cell r="AV407">
            <v>0</v>
          </cell>
          <cell r="AW407" t="e">
            <v>#DIV/0!</v>
          </cell>
          <cell r="AX407">
            <v>865.47960988235059</v>
          </cell>
          <cell r="AY407">
            <v>384.77670176657904</v>
          </cell>
          <cell r="AZ407">
            <v>-480.70290811577155</v>
          </cell>
          <cell r="BA407">
            <v>123.63994426890723</v>
          </cell>
          <cell r="BB407">
            <v>5.2950725596962412E-3</v>
          </cell>
          <cell r="BC407">
            <v>0</v>
          </cell>
          <cell r="BD407" t="e">
            <v>#DIV/0!</v>
          </cell>
          <cell r="BE407">
            <v>989.11955415125783</v>
          </cell>
          <cell r="BF407">
            <v>384.77670176657904</v>
          </cell>
          <cell r="BG407">
            <v>-604.34285238467874</v>
          </cell>
          <cell r="BH407">
            <v>123.63994426890723</v>
          </cell>
          <cell r="BI407">
            <v>5.2950725596962412E-3</v>
          </cell>
          <cell r="BJ407">
            <v>0</v>
          </cell>
          <cell r="BK407" t="e">
            <v>#DIV/0!</v>
          </cell>
          <cell r="BL407">
            <v>1112.7594984201651</v>
          </cell>
          <cell r="BM407">
            <v>384.77670176657904</v>
          </cell>
          <cell r="BN407">
            <v>-727.98279665358609</v>
          </cell>
          <cell r="BO407">
            <v>123.63994426890723</v>
          </cell>
          <cell r="BP407">
            <v>5.2950725596962412E-3</v>
          </cell>
          <cell r="BQ407">
            <v>0</v>
          </cell>
          <cell r="BR407" t="e">
            <v>#DIV/0!</v>
          </cell>
          <cell r="BS407">
            <v>1236.3994426890722</v>
          </cell>
          <cell r="BT407">
            <v>384.77670176657904</v>
          </cell>
          <cell r="BU407">
            <v>-851.62274092249322</v>
          </cell>
          <cell r="BV407">
            <v>0</v>
          </cell>
          <cell r="BW407">
            <v>0</v>
          </cell>
          <cell r="BX407">
            <v>0</v>
          </cell>
          <cell r="BY407" t="e">
            <v>#DIV/0!</v>
          </cell>
          <cell r="BZ407">
            <v>1236.3994426890722</v>
          </cell>
          <cell r="CA407">
            <v>384.77670176657904</v>
          </cell>
          <cell r="CB407">
            <v>-851.62274092249322</v>
          </cell>
          <cell r="CC407">
            <v>0</v>
          </cell>
          <cell r="CD407">
            <v>0</v>
          </cell>
          <cell r="CE407">
            <v>0</v>
          </cell>
          <cell r="CF407" t="e">
            <v>#DIV/0!</v>
          </cell>
          <cell r="CG407">
            <v>1236.3994426890722</v>
          </cell>
          <cell r="CH407">
            <v>384.77670176657904</v>
          </cell>
        </row>
        <row r="408">
          <cell r="A408" t="str">
            <v>Seguro de Vida</v>
          </cell>
          <cell r="B408">
            <v>9.7060257048834213E-5</v>
          </cell>
          <cell r="C408">
            <v>37.937535666666669</v>
          </cell>
          <cell r="D408">
            <v>54.63</v>
          </cell>
          <cell r="E408">
            <v>2.3396145610278373E-3</v>
          </cell>
          <cell r="F408">
            <v>23.02</v>
          </cell>
          <cell r="G408">
            <v>2.8976090445681724E-4</v>
          </cell>
          <cell r="H408">
            <v>54.63</v>
          </cell>
          <cell r="I408">
            <v>23.02</v>
          </cell>
          <cell r="J408">
            <v>-31.610000000000003</v>
          </cell>
          <cell r="K408">
            <v>0</v>
          </cell>
          <cell r="L408">
            <v>0</v>
          </cell>
          <cell r="M408">
            <v>24.170999999999999</v>
          </cell>
          <cell r="N408">
            <v>3.6622727272727271E-3</v>
          </cell>
          <cell r="O408">
            <v>54.63</v>
          </cell>
          <cell r="P408">
            <v>47.191000000000003</v>
          </cell>
          <cell r="Q408">
            <v>-7.4390000000000001</v>
          </cell>
          <cell r="R408">
            <v>0</v>
          </cell>
          <cell r="S408">
            <v>0</v>
          </cell>
          <cell r="T408">
            <v>23.02</v>
          </cell>
          <cell r="U408">
            <v>3.3456970258044047E-5</v>
          </cell>
          <cell r="V408">
            <v>54.63</v>
          </cell>
          <cell r="W408">
            <v>70.210999999999999</v>
          </cell>
          <cell r="X408">
            <v>15.580999999999996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54.63</v>
          </cell>
          <cell r="AD408">
            <v>70.210999999999999</v>
          </cell>
          <cell r="AE408">
            <v>15.580999999999996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54.63</v>
          </cell>
          <cell r="AK408">
            <v>70.210999999999999</v>
          </cell>
          <cell r="AL408">
            <v>15.580999999999996</v>
          </cell>
          <cell r="AM408">
            <v>0</v>
          </cell>
          <cell r="AN408">
            <v>0</v>
          </cell>
          <cell r="AO408">
            <v>0</v>
          </cell>
          <cell r="AP408" t="e">
            <v>#DIV/0!</v>
          </cell>
          <cell r="AQ408">
            <v>54.63</v>
          </cell>
          <cell r="AR408">
            <v>70.210999999999999</v>
          </cell>
          <cell r="AS408">
            <v>15.580999999999996</v>
          </cell>
          <cell r="AT408">
            <v>0</v>
          </cell>
          <cell r="AU408">
            <v>0</v>
          </cell>
          <cell r="AV408">
            <v>0</v>
          </cell>
          <cell r="AW408" t="e">
            <v>#DIV/0!</v>
          </cell>
          <cell r="AX408">
            <v>54.63</v>
          </cell>
          <cell r="AY408">
            <v>70.210999999999999</v>
          </cell>
          <cell r="AZ408">
            <v>15.580999999999996</v>
          </cell>
          <cell r="BA408">
            <v>0</v>
          </cell>
          <cell r="BB408">
            <v>0</v>
          </cell>
          <cell r="BC408">
            <v>0</v>
          </cell>
          <cell r="BD408" t="e">
            <v>#DIV/0!</v>
          </cell>
          <cell r="BE408">
            <v>54.63</v>
          </cell>
          <cell r="BF408">
            <v>70.210999999999999</v>
          </cell>
          <cell r="BG408">
            <v>15.580999999999996</v>
          </cell>
          <cell r="BH408">
            <v>0</v>
          </cell>
          <cell r="BI408">
            <v>0</v>
          </cell>
          <cell r="BJ408">
            <v>0</v>
          </cell>
          <cell r="BK408" t="e">
            <v>#DIV/0!</v>
          </cell>
          <cell r="BL408">
            <v>54.63</v>
          </cell>
          <cell r="BM408">
            <v>70.210999999999999</v>
          </cell>
          <cell r="BN408">
            <v>15.580999999999996</v>
          </cell>
          <cell r="BO408">
            <v>0</v>
          </cell>
          <cell r="BP408">
            <v>0</v>
          </cell>
          <cell r="BQ408">
            <v>0</v>
          </cell>
          <cell r="BR408" t="e">
            <v>#DIV/0!</v>
          </cell>
          <cell r="BS408">
            <v>54.63</v>
          </cell>
          <cell r="BT408">
            <v>70.210999999999999</v>
          </cell>
          <cell r="BU408">
            <v>15.580999999999996</v>
          </cell>
          <cell r="BV408">
            <v>0</v>
          </cell>
          <cell r="BW408">
            <v>0</v>
          </cell>
          <cell r="BX408">
            <v>0</v>
          </cell>
          <cell r="BY408" t="e">
            <v>#DIV/0!</v>
          </cell>
          <cell r="BZ408">
            <v>54.63</v>
          </cell>
          <cell r="CA408">
            <v>70.210999999999999</v>
          </cell>
          <cell r="CB408">
            <v>15.580999999999996</v>
          </cell>
          <cell r="CC408">
            <v>0</v>
          </cell>
          <cell r="CD408">
            <v>0</v>
          </cell>
          <cell r="CE408">
            <v>0</v>
          </cell>
          <cell r="CF408" t="e">
            <v>#DIV/0!</v>
          </cell>
          <cell r="CG408">
            <v>54.63</v>
          </cell>
          <cell r="CH408">
            <v>70.210999999999999</v>
          </cell>
        </row>
        <row r="409">
          <cell r="A409" t="str">
            <v>Plano de Saúde</v>
          </cell>
          <cell r="B409">
            <v>3.9306667385207474E-3</v>
          </cell>
          <cell r="C409">
            <v>1536.3632254897504</v>
          </cell>
          <cell r="D409">
            <v>1421.8950438235299</v>
          </cell>
          <cell r="E409">
            <v>6.0894862690515202E-2</v>
          </cell>
          <cell r="F409">
            <v>1464.8399979999999</v>
          </cell>
          <cell r="G409">
            <v>1.8438460586663874E-2</v>
          </cell>
          <cell r="H409">
            <v>1421.8950438235299</v>
          </cell>
          <cell r="I409">
            <v>1464.8399979999999</v>
          </cell>
          <cell r="J409">
            <v>42.944954176469992</v>
          </cell>
          <cell r="K409">
            <v>1421.8950438235299</v>
          </cell>
          <cell r="L409">
            <v>6.0894862690515202E-2</v>
          </cell>
          <cell r="M409">
            <v>1674.5123975892827</v>
          </cell>
          <cell r="N409">
            <v>0.25371399963473978</v>
          </cell>
          <cell r="O409">
            <v>2843.7900876470599</v>
          </cell>
          <cell r="P409">
            <v>3139.3523955892824</v>
          </cell>
          <cell r="Q409">
            <v>295.56230794222256</v>
          </cell>
          <cell r="R409">
            <v>1421.8950438235299</v>
          </cell>
          <cell r="S409">
            <v>6.0894862690515202E-2</v>
          </cell>
          <cell r="T409">
            <v>1756.176083333334</v>
          </cell>
          <cell r="U409">
            <v>2.5524036050378644E-3</v>
          </cell>
          <cell r="V409">
            <v>4265.68513147059</v>
          </cell>
          <cell r="W409">
            <v>4895.5284789226162</v>
          </cell>
          <cell r="X409">
            <v>629.84334745202614</v>
          </cell>
          <cell r="Y409">
            <v>1421.8950438235299</v>
          </cell>
          <cell r="Z409">
            <v>6.0894862690515202E-2</v>
          </cell>
          <cell r="AA409">
            <v>0</v>
          </cell>
          <cell r="AB409">
            <v>0</v>
          </cell>
          <cell r="AC409">
            <v>5687.5801752941197</v>
          </cell>
          <cell r="AD409">
            <v>4895.5284789226162</v>
          </cell>
          <cell r="AE409">
            <v>-792.05169637150357</v>
          </cell>
          <cell r="AF409">
            <v>1421.8950438235299</v>
          </cell>
          <cell r="AG409">
            <v>6.0894862690515202E-2</v>
          </cell>
          <cell r="AH409">
            <v>0</v>
          </cell>
          <cell r="AI409">
            <v>0</v>
          </cell>
          <cell r="AJ409">
            <v>7109.4752191176494</v>
          </cell>
          <cell r="AK409">
            <v>4895.5284789226162</v>
          </cell>
          <cell r="AL409">
            <v>-2213.9467401950333</v>
          </cell>
          <cell r="AM409">
            <v>1421.8950438235299</v>
          </cell>
          <cell r="AN409">
            <v>6.0894862690515202E-2</v>
          </cell>
          <cell r="AO409">
            <v>0</v>
          </cell>
          <cell r="AP409" t="e">
            <v>#DIV/0!</v>
          </cell>
          <cell r="AQ409">
            <v>8531.37026294118</v>
          </cell>
          <cell r="AR409">
            <v>4895.5284789226162</v>
          </cell>
          <cell r="AS409">
            <v>-3635.8417840185639</v>
          </cell>
          <cell r="AT409">
            <v>1421.8950438235299</v>
          </cell>
          <cell r="AU409">
            <v>6.0894862690515202E-2</v>
          </cell>
          <cell r="AV409">
            <v>0</v>
          </cell>
          <cell r="AW409" t="e">
            <v>#DIV/0!</v>
          </cell>
          <cell r="AX409">
            <v>9953.2653067647097</v>
          </cell>
          <cell r="AY409">
            <v>4895.5284789226162</v>
          </cell>
          <cell r="AZ409">
            <v>-5057.7368278420936</v>
          </cell>
          <cell r="BA409">
            <v>1421.8950438235299</v>
          </cell>
          <cell r="BB409">
            <v>6.0894862690515202E-2</v>
          </cell>
          <cell r="BC409">
            <v>0</v>
          </cell>
          <cell r="BD409" t="e">
            <v>#DIV/0!</v>
          </cell>
          <cell r="BE409">
            <v>11375.160350588239</v>
          </cell>
          <cell r="BF409">
            <v>4895.5284789226162</v>
          </cell>
          <cell r="BG409">
            <v>-6479.6318716656233</v>
          </cell>
          <cell r="BH409">
            <v>1421.8950438235299</v>
          </cell>
          <cell r="BI409">
            <v>6.0894862690515202E-2</v>
          </cell>
          <cell r="BJ409">
            <v>0</v>
          </cell>
          <cell r="BK409" t="e">
            <v>#DIV/0!</v>
          </cell>
          <cell r="BL409">
            <v>12797.055394411769</v>
          </cell>
          <cell r="BM409">
            <v>4895.5284789226162</v>
          </cell>
          <cell r="BN409">
            <v>-7901.526915489153</v>
          </cell>
          <cell r="BO409">
            <v>1635.1842565735296</v>
          </cell>
          <cell r="BP409">
            <v>7.0029304350044091E-2</v>
          </cell>
          <cell r="BQ409">
            <v>0</v>
          </cell>
          <cell r="BR409" t="e">
            <v>#DIV/0!</v>
          </cell>
          <cell r="BS409">
            <v>14432.239650985299</v>
          </cell>
          <cell r="BT409">
            <v>4895.5284789226162</v>
          </cell>
          <cell r="BU409">
            <v>-9536.7111720626817</v>
          </cell>
          <cell r="BV409">
            <v>1635.1842565735296</v>
          </cell>
          <cell r="BW409">
            <v>7.0029304350044091E-2</v>
          </cell>
          <cell r="BX409">
            <v>0</v>
          </cell>
          <cell r="BY409" t="e">
            <v>#DIV/0!</v>
          </cell>
          <cell r="BZ409">
            <v>16067.423907558828</v>
          </cell>
          <cell r="CA409">
            <v>4895.5284789226162</v>
          </cell>
          <cell r="CB409">
            <v>-11171.895428636213</v>
          </cell>
          <cell r="CC409">
            <v>1635.1842565735296</v>
          </cell>
          <cell r="CD409">
            <v>7.0029304350044091E-2</v>
          </cell>
          <cell r="CE409">
            <v>0</v>
          </cell>
          <cell r="CF409" t="e">
            <v>#DIV/0!</v>
          </cell>
          <cell r="CG409">
            <v>17702.608164132358</v>
          </cell>
          <cell r="CH409">
            <v>4895.5284789226162</v>
          </cell>
        </row>
        <row r="410">
          <cell r="A410" t="str">
            <v>Plano Odontológico</v>
          </cell>
          <cell r="B410">
            <v>4.7563211634901862E-5</v>
          </cell>
          <cell r="C410">
            <v>18.590833083333333</v>
          </cell>
          <cell r="D410">
            <v>14.629995999999998</v>
          </cell>
          <cell r="E410">
            <v>6.2655229122055673E-4</v>
          </cell>
          <cell r="F410">
            <v>29.319983000000001</v>
          </cell>
          <cell r="G410">
            <v>3.6906102488003939E-4</v>
          </cell>
          <cell r="H410">
            <v>14.629995999999998</v>
          </cell>
          <cell r="I410">
            <v>29.319983000000001</v>
          </cell>
          <cell r="J410">
            <v>14.689987000000002</v>
          </cell>
          <cell r="K410">
            <v>14.629995999999998</v>
          </cell>
          <cell r="L410">
            <v>6.2655229122055673E-4</v>
          </cell>
          <cell r="M410">
            <v>38.024399000000003</v>
          </cell>
          <cell r="N410">
            <v>5.7612725757575757E-3</v>
          </cell>
          <cell r="O410">
            <v>29.259991999999997</v>
          </cell>
          <cell r="P410">
            <v>67.344381999999996</v>
          </cell>
          <cell r="Q410">
            <v>38.084389999999999</v>
          </cell>
          <cell r="R410">
            <v>14.629995999999998</v>
          </cell>
          <cell r="S410">
            <v>6.2655229122055673E-4</v>
          </cell>
          <cell r="T410">
            <v>23.456</v>
          </cell>
          <cell r="U410">
            <v>3.4090647018795882E-5</v>
          </cell>
          <cell r="V410">
            <v>43.889987999999995</v>
          </cell>
          <cell r="W410">
            <v>90.800381999999999</v>
          </cell>
          <cell r="X410">
            <v>46.910394000000004</v>
          </cell>
          <cell r="Y410">
            <v>14.629995999999998</v>
          </cell>
          <cell r="Z410">
            <v>6.2655229122055673E-4</v>
          </cell>
          <cell r="AA410">
            <v>0</v>
          </cell>
          <cell r="AB410">
            <v>0</v>
          </cell>
          <cell r="AC410">
            <v>58.519983999999994</v>
          </cell>
          <cell r="AD410">
            <v>90.800381999999999</v>
          </cell>
          <cell r="AE410">
            <v>32.280398000000005</v>
          </cell>
          <cell r="AF410">
            <v>14.629995999999998</v>
          </cell>
          <cell r="AG410">
            <v>6.2655229122055673E-4</v>
          </cell>
          <cell r="AH410">
            <v>0</v>
          </cell>
          <cell r="AI410">
            <v>0</v>
          </cell>
          <cell r="AJ410">
            <v>73.149979999999999</v>
          </cell>
          <cell r="AK410">
            <v>90.800381999999999</v>
          </cell>
          <cell r="AL410">
            <v>17.650402</v>
          </cell>
          <cell r="AM410">
            <v>14.629995999999998</v>
          </cell>
          <cell r="AN410">
            <v>6.2655229122055673E-4</v>
          </cell>
          <cell r="AO410">
            <v>0</v>
          </cell>
          <cell r="AP410" t="e">
            <v>#DIV/0!</v>
          </cell>
          <cell r="AQ410">
            <v>87.779976000000005</v>
          </cell>
          <cell r="AR410">
            <v>90.800381999999999</v>
          </cell>
          <cell r="AS410">
            <v>3.0204059999999942</v>
          </cell>
          <cell r="AT410">
            <v>14.629995999999998</v>
          </cell>
          <cell r="AU410">
            <v>6.2655229122055673E-4</v>
          </cell>
          <cell r="AV410">
            <v>0</v>
          </cell>
          <cell r="AW410" t="e">
            <v>#DIV/0!</v>
          </cell>
          <cell r="AX410">
            <v>102.40997200000001</v>
          </cell>
          <cell r="AY410">
            <v>90.800381999999999</v>
          </cell>
          <cell r="AZ410">
            <v>-11.609590000000011</v>
          </cell>
          <cell r="BA410">
            <v>14.629995999999998</v>
          </cell>
          <cell r="BB410">
            <v>6.2655229122055673E-4</v>
          </cell>
          <cell r="BC410">
            <v>0</v>
          </cell>
          <cell r="BD410" t="e">
            <v>#DIV/0!</v>
          </cell>
          <cell r="BE410">
            <v>117.03996800000002</v>
          </cell>
          <cell r="BF410">
            <v>90.800381999999999</v>
          </cell>
          <cell r="BG410">
            <v>-26.239586000000017</v>
          </cell>
          <cell r="BH410">
            <v>14.629995999999998</v>
          </cell>
          <cell r="BI410">
            <v>6.2655229122055673E-4</v>
          </cell>
          <cell r="BJ410">
            <v>0</v>
          </cell>
          <cell r="BK410" t="e">
            <v>#DIV/0!</v>
          </cell>
          <cell r="BL410">
            <v>131.66996400000002</v>
          </cell>
          <cell r="BM410">
            <v>90.800381999999999</v>
          </cell>
          <cell r="BN410">
            <v>-40.869582000000023</v>
          </cell>
          <cell r="BO410">
            <v>14.629995999999998</v>
          </cell>
          <cell r="BP410">
            <v>6.2655229122055673E-4</v>
          </cell>
          <cell r="BQ410">
            <v>0</v>
          </cell>
          <cell r="BR410" t="e">
            <v>#DIV/0!</v>
          </cell>
          <cell r="BS410">
            <v>146.29996000000003</v>
          </cell>
          <cell r="BT410">
            <v>90.800381999999999</v>
          </cell>
          <cell r="BU410">
            <v>-55.499578000000028</v>
          </cell>
          <cell r="BV410">
            <v>0</v>
          </cell>
          <cell r="BW410">
            <v>0</v>
          </cell>
          <cell r="BX410">
            <v>0</v>
          </cell>
          <cell r="BY410" t="e">
            <v>#DIV/0!</v>
          </cell>
          <cell r="BZ410">
            <v>146.29996000000003</v>
          </cell>
          <cell r="CA410">
            <v>90.800381999999999</v>
          </cell>
          <cell r="CB410">
            <v>-55.499578000000028</v>
          </cell>
          <cell r="CC410">
            <v>0</v>
          </cell>
          <cell r="CD410">
            <v>0</v>
          </cell>
          <cell r="CE410">
            <v>0</v>
          </cell>
          <cell r="CF410" t="e">
            <v>#DIV/0!</v>
          </cell>
          <cell r="CG410">
            <v>146.29996000000003</v>
          </cell>
          <cell r="CH410">
            <v>90.800381999999999</v>
          </cell>
        </row>
        <row r="411">
          <cell r="A411" t="str">
            <v>Saneamento Gestão</v>
          </cell>
          <cell r="B411">
            <v>1.1973670958344668E-3</v>
          </cell>
          <cell r="C411">
            <v>468.00985578946364</v>
          </cell>
          <cell r="D411">
            <v>5606.54</v>
          </cell>
          <cell r="E411">
            <v>0.24010877944325482</v>
          </cell>
          <cell r="F411">
            <v>5797.2353390049329</v>
          </cell>
          <cell r="G411">
            <v>7.2971857305781623E-2</v>
          </cell>
          <cell r="H411">
            <v>5606.54</v>
          </cell>
          <cell r="I411">
            <v>5797.2353390049329</v>
          </cell>
          <cell r="J411">
            <v>190.69533900493298</v>
          </cell>
          <cell r="K411">
            <v>2606.54</v>
          </cell>
          <cell r="L411">
            <v>0.11162912205567452</v>
          </cell>
          <cell r="M411">
            <v>0</v>
          </cell>
          <cell r="N411">
            <v>0</v>
          </cell>
          <cell r="O411">
            <v>8213.08</v>
          </cell>
          <cell r="P411">
            <v>5797.2353390049329</v>
          </cell>
          <cell r="Q411">
            <v>-2415.844660995067</v>
          </cell>
          <cell r="R411">
            <v>2606.54</v>
          </cell>
          <cell r="S411">
            <v>0.11162912205567452</v>
          </cell>
          <cell r="T411">
            <v>-1.233167213547163E-5</v>
          </cell>
          <cell r="U411">
            <v>-1.7922692783163548E-11</v>
          </cell>
          <cell r="V411">
            <v>10819.619999999999</v>
          </cell>
          <cell r="W411">
            <v>5797.2353266732607</v>
          </cell>
          <cell r="X411">
            <v>-5022.3846733267383</v>
          </cell>
          <cell r="Y411">
            <v>2606.54</v>
          </cell>
          <cell r="Z411">
            <v>0.11162912205567452</v>
          </cell>
          <cell r="AA411">
            <v>0</v>
          </cell>
          <cell r="AB411">
            <v>0</v>
          </cell>
          <cell r="AC411">
            <v>13426.16</v>
          </cell>
          <cell r="AD411">
            <v>5797.2353266732607</v>
          </cell>
          <cell r="AE411">
            <v>-7628.9246733267391</v>
          </cell>
          <cell r="AF411">
            <v>2606.54</v>
          </cell>
          <cell r="AG411">
            <v>0.11162912205567452</v>
          </cell>
          <cell r="AH411">
            <v>0</v>
          </cell>
          <cell r="AI411">
            <v>0</v>
          </cell>
          <cell r="AJ411">
            <v>16032.7</v>
          </cell>
          <cell r="AK411">
            <v>5797.2353266732607</v>
          </cell>
          <cell r="AL411">
            <v>-10235.46467332674</v>
          </cell>
          <cell r="AM411">
            <v>2606.54</v>
          </cell>
          <cell r="AN411">
            <v>0.11162912205567452</v>
          </cell>
          <cell r="AO411">
            <v>0</v>
          </cell>
          <cell r="AP411" t="e">
            <v>#DIV/0!</v>
          </cell>
          <cell r="AQ411">
            <v>18639.240000000002</v>
          </cell>
          <cell r="AR411">
            <v>5797.2353266732607</v>
          </cell>
          <cell r="AS411">
            <v>-12842.004673326741</v>
          </cell>
          <cell r="AT411">
            <v>2606.54</v>
          </cell>
          <cell r="AU411">
            <v>0.11162912205567452</v>
          </cell>
          <cell r="AV411">
            <v>0</v>
          </cell>
          <cell r="AW411" t="e">
            <v>#DIV/0!</v>
          </cell>
          <cell r="AX411">
            <v>21245.780000000002</v>
          </cell>
          <cell r="AY411">
            <v>5797.2353266732607</v>
          </cell>
          <cell r="AZ411">
            <v>-15448.544673326742</v>
          </cell>
          <cell r="BA411">
            <v>2606.54</v>
          </cell>
          <cell r="BB411">
            <v>0.11162912205567452</v>
          </cell>
          <cell r="BC411">
            <v>0</v>
          </cell>
          <cell r="BD411" t="e">
            <v>#DIV/0!</v>
          </cell>
          <cell r="BE411">
            <v>23852.320000000003</v>
          </cell>
          <cell r="BF411">
            <v>5797.2353266732607</v>
          </cell>
          <cell r="BG411">
            <v>-18055.084673326743</v>
          </cell>
          <cell r="BH411">
            <v>2606.54</v>
          </cell>
          <cell r="BI411">
            <v>0.11162912205567452</v>
          </cell>
          <cell r="BJ411">
            <v>0</v>
          </cell>
          <cell r="BK411" t="e">
            <v>#DIV/0!</v>
          </cell>
          <cell r="BL411">
            <v>26458.860000000004</v>
          </cell>
          <cell r="BM411">
            <v>5797.2353266732607</v>
          </cell>
          <cell r="BN411">
            <v>-20661.624673326744</v>
          </cell>
          <cell r="BO411">
            <v>2606.54</v>
          </cell>
          <cell r="BP411">
            <v>0.11162912205567452</v>
          </cell>
          <cell r="BQ411">
            <v>0</v>
          </cell>
          <cell r="BR411" t="e">
            <v>#DIV/0!</v>
          </cell>
          <cell r="BS411">
            <v>29065.400000000005</v>
          </cell>
          <cell r="BT411">
            <v>5797.2353266732607</v>
          </cell>
          <cell r="BU411">
            <v>-23268.164673326744</v>
          </cell>
          <cell r="BV411">
            <v>2606.54</v>
          </cell>
          <cell r="BW411">
            <v>0.11162912205567452</v>
          </cell>
          <cell r="BX411">
            <v>0</v>
          </cell>
          <cell r="BY411" t="e">
            <v>#DIV/0!</v>
          </cell>
          <cell r="BZ411">
            <v>31671.940000000006</v>
          </cell>
          <cell r="CA411">
            <v>5797.2353266732607</v>
          </cell>
          <cell r="CB411">
            <v>-25874.704673326745</v>
          </cell>
          <cell r="CC411">
            <v>2606.54</v>
          </cell>
          <cell r="CD411">
            <v>0.11162912205567452</v>
          </cell>
          <cell r="CE411">
            <v>0</v>
          </cell>
          <cell r="CF411" t="e">
            <v>#DIV/0!</v>
          </cell>
          <cell r="CG411">
            <v>34278.480000000003</v>
          </cell>
          <cell r="CH411">
            <v>5797.2353266732607</v>
          </cell>
        </row>
        <row r="412">
          <cell r="A412" t="str">
            <v>Remuneração</v>
          </cell>
          <cell r="B412">
            <v>2.7076295106866294E-2</v>
          </cell>
          <cell r="C412">
            <v>10583.197928490032</v>
          </cell>
          <cell r="D412">
            <v>7311.9036768956994</v>
          </cell>
          <cell r="E412">
            <v>0.31314362641951604</v>
          </cell>
          <cell r="F412">
            <v>8234.1233978491291</v>
          </cell>
          <cell r="G412">
            <v>0.10364583158861013</v>
          </cell>
          <cell r="H412">
            <v>7311.9036768956994</v>
          </cell>
          <cell r="I412">
            <v>8234.1233978491291</v>
          </cell>
          <cell r="J412">
            <v>922.21972095342971</v>
          </cell>
          <cell r="K412">
            <v>7311.9036768956994</v>
          </cell>
          <cell r="L412">
            <v>0.31314362641951604</v>
          </cell>
          <cell r="M412">
            <v>10349.679293682464</v>
          </cell>
          <cell r="N412">
            <v>1.5681332263155248</v>
          </cell>
          <cell r="O412">
            <v>14623.807353791399</v>
          </cell>
          <cell r="P412">
            <v>18583.802691531593</v>
          </cell>
          <cell r="Q412">
            <v>3959.9953377401944</v>
          </cell>
          <cell r="R412">
            <v>7311.9036768956994</v>
          </cell>
          <cell r="S412">
            <v>0.31314362641951604</v>
          </cell>
          <cell r="T412">
            <v>10173.819397849131</v>
          </cell>
          <cell r="U412">
            <v>1.4786497524089922E-2</v>
          </cell>
          <cell r="V412">
            <v>21935.711030687096</v>
          </cell>
          <cell r="W412">
            <v>28757.622089380726</v>
          </cell>
          <cell r="X412">
            <v>6821.9110586936295</v>
          </cell>
          <cell r="Y412">
            <v>7311.9036768956994</v>
          </cell>
          <cell r="Z412">
            <v>0.31314362641951604</v>
          </cell>
          <cell r="AA412">
            <v>0</v>
          </cell>
          <cell r="AB412">
            <v>0</v>
          </cell>
          <cell r="AC412">
            <v>29247.614707582798</v>
          </cell>
          <cell r="AD412">
            <v>28757.622089380726</v>
          </cell>
          <cell r="AE412">
            <v>-489.99261820207175</v>
          </cell>
          <cell r="AF412">
            <v>7311.9036768956994</v>
          </cell>
          <cell r="AG412">
            <v>0.31314362641951604</v>
          </cell>
          <cell r="AH412">
            <v>0</v>
          </cell>
          <cell r="AI412">
            <v>0</v>
          </cell>
          <cell r="AJ412">
            <v>36559.518384478499</v>
          </cell>
          <cell r="AK412">
            <v>28757.622089380726</v>
          </cell>
          <cell r="AL412">
            <v>-7801.896295097773</v>
          </cell>
          <cell r="AM412">
            <v>7311.9036768956994</v>
          </cell>
          <cell r="AN412">
            <v>0.31314362641951604</v>
          </cell>
          <cell r="AO412">
            <v>0</v>
          </cell>
          <cell r="AP412" t="e">
            <v>#DIV/0!</v>
          </cell>
          <cell r="AQ412">
            <v>43871.4220613742</v>
          </cell>
          <cell r="AR412">
            <v>28757.622089380726</v>
          </cell>
          <cell r="AS412">
            <v>-15113.799971993474</v>
          </cell>
          <cell r="AT412">
            <v>7311.9036768956994</v>
          </cell>
          <cell r="AU412">
            <v>0.31314362641951604</v>
          </cell>
          <cell r="AV412">
            <v>0</v>
          </cell>
          <cell r="AW412" t="e">
            <v>#DIV/0!</v>
          </cell>
          <cell r="AX412">
            <v>51183.325738269901</v>
          </cell>
          <cell r="AY412">
            <v>28757.622089380726</v>
          </cell>
          <cell r="AZ412">
            <v>-22425.703648889175</v>
          </cell>
          <cell r="BA412">
            <v>7311.9036768956994</v>
          </cell>
          <cell r="BB412">
            <v>0.31314362641951604</v>
          </cell>
          <cell r="BC412">
            <v>0</v>
          </cell>
          <cell r="BD412" t="e">
            <v>#DIV/0!</v>
          </cell>
          <cell r="BE412">
            <v>58495.229415165602</v>
          </cell>
          <cell r="BF412">
            <v>28757.622089380726</v>
          </cell>
          <cell r="BG412">
            <v>-29737.607325784877</v>
          </cell>
          <cell r="BH412">
            <v>7311.9036768956994</v>
          </cell>
          <cell r="BI412">
            <v>0.31314362641951604</v>
          </cell>
          <cell r="BJ412">
            <v>0</v>
          </cell>
          <cell r="BK412" t="e">
            <v>#DIV/0!</v>
          </cell>
          <cell r="BL412">
            <v>65807.133092061296</v>
          </cell>
          <cell r="BM412">
            <v>28757.622089380726</v>
          </cell>
          <cell r="BN412">
            <v>-37049.511002680571</v>
          </cell>
          <cell r="BO412">
            <v>7311.9036768956994</v>
          </cell>
          <cell r="BP412">
            <v>0.31314362641951604</v>
          </cell>
          <cell r="BQ412">
            <v>0</v>
          </cell>
          <cell r="BR412" t="e">
            <v>#DIV/0!</v>
          </cell>
          <cell r="BS412">
            <v>73119.036768956998</v>
          </cell>
          <cell r="BT412">
            <v>28757.622089380726</v>
          </cell>
          <cell r="BU412">
            <v>-44361.414679576272</v>
          </cell>
          <cell r="BV412">
            <v>7311.9036768956994</v>
          </cell>
          <cell r="BW412">
            <v>0.31314362641951604</v>
          </cell>
          <cell r="BX412">
            <v>0</v>
          </cell>
          <cell r="BY412" t="e">
            <v>#DIV/0!</v>
          </cell>
          <cell r="BZ412">
            <v>80430.940445852699</v>
          </cell>
          <cell r="CA412">
            <v>28757.622089380726</v>
          </cell>
          <cell r="CB412">
            <v>-51673.318356471973</v>
          </cell>
          <cell r="CC412">
            <v>7311.9036768956994</v>
          </cell>
          <cell r="CD412">
            <v>0.31314362641951604</v>
          </cell>
          <cell r="CE412">
            <v>0</v>
          </cell>
          <cell r="CF412" t="e">
            <v>#DIV/0!</v>
          </cell>
          <cell r="CG412">
            <v>87742.8441227484</v>
          </cell>
          <cell r="CH412">
            <v>28757.622089380726</v>
          </cell>
        </row>
        <row r="413">
          <cell r="A413" t="str">
            <v>Pesquisas/Consultas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 t="e">
            <v>#DIV/0!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 t="e">
            <v>#DIV/0!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 t="e">
            <v>#DIV/0!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 t="e">
            <v>#DIV/0!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 t="e">
            <v>#DIV/0!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 t="e">
            <v>#DIV/0!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 t="e">
            <v>#DIV/0!</v>
          </cell>
          <cell r="CG413">
            <v>0</v>
          </cell>
          <cell r="CH413">
            <v>0</v>
          </cell>
        </row>
        <row r="414">
          <cell r="A414" t="str">
            <v>Sistemas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 t="e">
            <v>#DIV/0!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 t="e">
            <v>#DIV/0!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 t="e">
            <v>#DIV/0!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 t="e">
            <v>#DIV/0!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 t="e">
            <v>#DIV/0!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 t="e">
            <v>#DIV/0!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 t="e">
            <v>#DIV/0!</v>
          </cell>
          <cell r="CG414">
            <v>0</v>
          </cell>
          <cell r="CH414">
            <v>0</v>
          </cell>
        </row>
        <row r="415">
          <cell r="A415" t="str">
            <v>Indenização por Ruptura de Contrato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 t="e">
            <v>#DIV/0!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 t="e">
            <v>#DIV/0!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 t="e">
            <v>#DIV/0!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 t="e">
            <v>#DIV/0!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 t="e">
            <v>#DIV/0!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 t="e">
            <v>#DIV/0!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 t="e">
            <v>#DIV/0!</v>
          </cell>
          <cell r="CG415">
            <v>0</v>
          </cell>
          <cell r="CH415">
            <v>0</v>
          </cell>
        </row>
        <row r="416">
          <cell r="A416" t="str">
            <v>Vale Alimentação / Refeição</v>
          </cell>
          <cell r="B416">
            <v>0</v>
          </cell>
          <cell r="C416">
            <v>0</v>
          </cell>
          <cell r="D416">
            <v>351.745</v>
          </cell>
          <cell r="E416">
            <v>1.5064025695931477E-2</v>
          </cell>
          <cell r="F416">
            <v>256.61500000000001</v>
          </cell>
          <cell r="G416">
            <v>3.2301040181227699E-3</v>
          </cell>
          <cell r="H416">
            <v>351.745</v>
          </cell>
          <cell r="I416">
            <v>256.61500000000001</v>
          </cell>
          <cell r="J416">
            <v>-95.13</v>
          </cell>
          <cell r="K416">
            <v>351.745</v>
          </cell>
          <cell r="L416">
            <v>1.5064025695931477E-2</v>
          </cell>
          <cell r="M416">
            <v>463.54229166666698</v>
          </cell>
          <cell r="N416">
            <v>7.0233680555555608E-2</v>
          </cell>
          <cell r="O416">
            <v>703.49</v>
          </cell>
          <cell r="P416">
            <v>720.15729166666699</v>
          </cell>
          <cell r="Q416">
            <v>16.667291666666983</v>
          </cell>
          <cell r="R416">
            <v>351.745</v>
          </cell>
          <cell r="S416">
            <v>1.5064025695931477E-2</v>
          </cell>
          <cell r="T416">
            <v>425.78999999999996</v>
          </cell>
          <cell r="U416">
            <v>6.1883767880853923E-4</v>
          </cell>
          <cell r="V416">
            <v>1055.2350000000001</v>
          </cell>
          <cell r="W416">
            <v>1145.9472916666668</v>
          </cell>
          <cell r="X416">
            <v>90.712291666666715</v>
          </cell>
          <cell r="Y416">
            <v>351.745</v>
          </cell>
          <cell r="Z416">
            <v>1.5064025695931477E-2</v>
          </cell>
          <cell r="AA416">
            <v>0</v>
          </cell>
          <cell r="AB416">
            <v>0</v>
          </cell>
          <cell r="AC416">
            <v>1406.98</v>
          </cell>
          <cell r="AD416">
            <v>1145.9472916666668</v>
          </cell>
          <cell r="AE416">
            <v>-261.03270833333318</v>
          </cell>
          <cell r="AF416">
            <v>351.745</v>
          </cell>
          <cell r="AG416">
            <v>1.5064025695931477E-2</v>
          </cell>
          <cell r="AH416">
            <v>0</v>
          </cell>
          <cell r="AI416">
            <v>0</v>
          </cell>
          <cell r="AJ416">
            <v>1758.7249999999999</v>
          </cell>
          <cell r="AK416">
            <v>1145.9472916666668</v>
          </cell>
          <cell r="AL416">
            <v>-612.77770833333307</v>
          </cell>
          <cell r="AM416">
            <v>351.745</v>
          </cell>
          <cell r="AN416">
            <v>1.5064025695931477E-2</v>
          </cell>
          <cell r="AO416">
            <v>0</v>
          </cell>
          <cell r="AP416" t="e">
            <v>#DIV/0!</v>
          </cell>
          <cell r="AQ416">
            <v>2110.4699999999998</v>
          </cell>
          <cell r="AR416">
            <v>1145.9472916666668</v>
          </cell>
          <cell r="AS416">
            <v>-964.52270833333296</v>
          </cell>
          <cell r="AT416">
            <v>351.745</v>
          </cell>
          <cell r="AU416">
            <v>1.5064025695931477E-2</v>
          </cell>
          <cell r="AV416">
            <v>0</v>
          </cell>
          <cell r="AW416" t="e">
            <v>#DIV/0!</v>
          </cell>
          <cell r="AX416">
            <v>2462.2149999999997</v>
          </cell>
          <cell r="AY416">
            <v>1145.9472916666668</v>
          </cell>
          <cell r="AZ416">
            <v>-1316.2677083333328</v>
          </cell>
          <cell r="BA416">
            <v>351.745</v>
          </cell>
          <cell r="BB416">
            <v>1.5064025695931477E-2</v>
          </cell>
          <cell r="BC416">
            <v>0</v>
          </cell>
          <cell r="BD416" t="e">
            <v>#DIV/0!</v>
          </cell>
          <cell r="BE416">
            <v>2813.9599999999996</v>
          </cell>
          <cell r="BF416">
            <v>1145.9472916666668</v>
          </cell>
          <cell r="BG416">
            <v>-1668.0127083333327</v>
          </cell>
          <cell r="BH416">
            <v>351.745</v>
          </cell>
          <cell r="BI416">
            <v>1.5064025695931477E-2</v>
          </cell>
          <cell r="BJ416">
            <v>0</v>
          </cell>
          <cell r="BK416" t="e">
            <v>#DIV/0!</v>
          </cell>
          <cell r="BL416">
            <v>3165.7049999999995</v>
          </cell>
          <cell r="BM416">
            <v>1145.9472916666668</v>
          </cell>
          <cell r="BN416">
            <v>-2019.7577083333326</v>
          </cell>
          <cell r="BO416">
            <v>351.745</v>
          </cell>
          <cell r="BP416">
            <v>1.5064025695931477E-2</v>
          </cell>
          <cell r="BQ416">
            <v>0</v>
          </cell>
          <cell r="BR416" t="e">
            <v>#DIV/0!</v>
          </cell>
          <cell r="BS416">
            <v>3517.4499999999994</v>
          </cell>
          <cell r="BT416">
            <v>1145.9472916666668</v>
          </cell>
          <cell r="BU416">
            <v>-2371.5027083333325</v>
          </cell>
          <cell r="BV416">
            <v>351.745</v>
          </cell>
          <cell r="BW416">
            <v>1.5064025695931477E-2</v>
          </cell>
          <cell r="BX416">
            <v>0</v>
          </cell>
          <cell r="BY416" t="e">
            <v>#DIV/0!</v>
          </cell>
          <cell r="BZ416">
            <v>3869.1949999999993</v>
          </cell>
          <cell r="CA416">
            <v>1145.9472916666668</v>
          </cell>
          <cell r="CB416">
            <v>-2723.2477083333324</v>
          </cell>
          <cell r="CC416">
            <v>351.745</v>
          </cell>
          <cell r="CD416">
            <v>1.5064025695931477E-2</v>
          </cell>
          <cell r="CE416">
            <v>0</v>
          </cell>
          <cell r="CF416" t="e">
            <v>#DIV/0!</v>
          </cell>
          <cell r="CG416">
            <v>4220.9399999999996</v>
          </cell>
          <cell r="CH416">
            <v>1145.9472916666668</v>
          </cell>
        </row>
        <row r="417">
          <cell r="A417" t="str">
            <v>Vale Transporte</v>
          </cell>
          <cell r="B417">
            <v>0</v>
          </cell>
          <cell r="C417">
            <v>0</v>
          </cell>
          <cell r="D417">
            <v>34.200000000000003</v>
          </cell>
          <cell r="E417">
            <v>1.4646680942184155E-3</v>
          </cell>
          <cell r="F417">
            <v>37.600001499999998</v>
          </cell>
          <cell r="G417">
            <v>4.7328455439694548E-4</v>
          </cell>
          <cell r="H417">
            <v>34.200000000000003</v>
          </cell>
          <cell r="I417">
            <v>37.600001499999998</v>
          </cell>
          <cell r="J417">
            <v>3.4000014999999948</v>
          </cell>
          <cell r="K417">
            <v>34.200000000000003</v>
          </cell>
          <cell r="L417">
            <v>1.4646680942184155E-3</v>
          </cell>
          <cell r="M417">
            <v>53.433329833333303</v>
          </cell>
          <cell r="N417">
            <v>8.0959590656565616E-3</v>
          </cell>
          <cell r="O417">
            <v>68.400000000000006</v>
          </cell>
          <cell r="P417">
            <v>91.033331333333308</v>
          </cell>
          <cell r="Q417">
            <v>22.633331333333302</v>
          </cell>
          <cell r="R417">
            <v>34.200000000000003</v>
          </cell>
          <cell r="S417">
            <v>1.4646680942184155E-3</v>
          </cell>
          <cell r="T417">
            <v>0</v>
          </cell>
          <cell r="U417">
            <v>0</v>
          </cell>
          <cell r="V417">
            <v>102.60000000000001</v>
          </cell>
          <cell r="W417">
            <v>91.033331333333308</v>
          </cell>
          <cell r="X417">
            <v>-11.5666686666667</v>
          </cell>
          <cell r="Y417">
            <v>34.200000000000003</v>
          </cell>
          <cell r="Z417">
            <v>1.4646680942184155E-3</v>
          </cell>
          <cell r="AA417">
            <v>0</v>
          </cell>
          <cell r="AB417">
            <v>0</v>
          </cell>
          <cell r="AC417">
            <v>136.80000000000001</v>
          </cell>
          <cell r="AD417">
            <v>91.033331333333308</v>
          </cell>
          <cell r="AE417">
            <v>-45.766668666666703</v>
          </cell>
          <cell r="AF417">
            <v>34.200000000000003</v>
          </cell>
          <cell r="AG417">
            <v>1.4646680942184155E-3</v>
          </cell>
          <cell r="AH417">
            <v>0</v>
          </cell>
          <cell r="AI417">
            <v>0</v>
          </cell>
          <cell r="AJ417">
            <v>171</v>
          </cell>
          <cell r="AK417">
            <v>91.033331333333308</v>
          </cell>
          <cell r="AL417">
            <v>-79.966668666666692</v>
          </cell>
          <cell r="AM417">
            <v>34.200000000000003</v>
          </cell>
          <cell r="AN417">
            <v>1.4646680942184155E-3</v>
          </cell>
          <cell r="AO417">
            <v>0</v>
          </cell>
          <cell r="AP417" t="e">
            <v>#DIV/0!</v>
          </cell>
          <cell r="AQ417">
            <v>205.2</v>
          </cell>
          <cell r="AR417">
            <v>91.033331333333308</v>
          </cell>
          <cell r="AS417">
            <v>-114.16666866666668</v>
          </cell>
          <cell r="AT417">
            <v>34.200000000000003</v>
          </cell>
          <cell r="AU417">
            <v>1.4646680942184155E-3</v>
          </cell>
          <cell r="AV417">
            <v>0</v>
          </cell>
          <cell r="AW417" t="e">
            <v>#DIV/0!</v>
          </cell>
          <cell r="AX417">
            <v>239.39999999999998</v>
          </cell>
          <cell r="AY417">
            <v>91.033331333333308</v>
          </cell>
          <cell r="AZ417">
            <v>-148.36666866666667</v>
          </cell>
          <cell r="BA417">
            <v>34.200000000000003</v>
          </cell>
          <cell r="BB417">
            <v>1.4646680942184155E-3</v>
          </cell>
          <cell r="BC417">
            <v>0</v>
          </cell>
          <cell r="BD417" t="e">
            <v>#DIV/0!</v>
          </cell>
          <cell r="BE417">
            <v>273.59999999999997</v>
          </cell>
          <cell r="BF417">
            <v>91.033331333333308</v>
          </cell>
          <cell r="BG417">
            <v>-182.56666866666666</v>
          </cell>
          <cell r="BH417">
            <v>34.200000000000003</v>
          </cell>
          <cell r="BI417">
            <v>1.4646680942184155E-3</v>
          </cell>
          <cell r="BJ417">
            <v>0</v>
          </cell>
          <cell r="BK417" t="e">
            <v>#DIV/0!</v>
          </cell>
          <cell r="BL417">
            <v>307.79999999999995</v>
          </cell>
          <cell r="BM417">
            <v>91.033331333333308</v>
          </cell>
          <cell r="BN417">
            <v>-216.76666866666665</v>
          </cell>
          <cell r="BO417">
            <v>34.200000000000003</v>
          </cell>
          <cell r="BP417">
            <v>1.4646680942184155E-3</v>
          </cell>
          <cell r="BQ417">
            <v>0</v>
          </cell>
          <cell r="BR417" t="e">
            <v>#DIV/0!</v>
          </cell>
          <cell r="BS417">
            <v>341.99999999999994</v>
          </cell>
          <cell r="BT417">
            <v>91.033331333333308</v>
          </cell>
          <cell r="BU417">
            <v>-250.96666866666664</v>
          </cell>
          <cell r="BV417">
            <v>34.200000000000003</v>
          </cell>
          <cell r="BW417">
            <v>1.4646680942184155E-3</v>
          </cell>
          <cell r="BX417">
            <v>0</v>
          </cell>
          <cell r="BY417" t="e">
            <v>#DIV/0!</v>
          </cell>
          <cell r="BZ417">
            <v>376.19999999999993</v>
          </cell>
          <cell r="CA417">
            <v>91.033331333333308</v>
          </cell>
          <cell r="CB417">
            <v>-285.16666866666662</v>
          </cell>
          <cell r="CC417">
            <v>34.200000000000003</v>
          </cell>
          <cell r="CD417">
            <v>1.4646680942184155E-3</v>
          </cell>
          <cell r="CE417">
            <v>0</v>
          </cell>
          <cell r="CF417" t="e">
            <v>#DIV/0!</v>
          </cell>
          <cell r="CG417">
            <v>410.39999999999992</v>
          </cell>
          <cell r="CH417">
            <v>91.033331333333308</v>
          </cell>
        </row>
        <row r="418">
          <cell r="A418" t="str">
            <v>Viagens - Alimentação / Hospedagem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 t="e">
            <v>#DIV/0!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 t="e">
            <v>#DIV/0!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 t="e">
            <v>#DIV/0!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 t="e">
            <v>#DIV/0!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 t="e">
            <v>#DIV/0!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 t="e">
            <v>#DIV/0!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 t="e">
            <v>#DIV/0!</v>
          </cell>
          <cell r="CG418">
            <v>0</v>
          </cell>
          <cell r="CH418">
            <v>0</v>
          </cell>
        </row>
        <row r="419">
          <cell r="A419" t="str">
            <v>Viagens - Passagens / Traslados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 t="e">
            <v>#DIV/0!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 t="e">
            <v>#DIV/0!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 t="e">
            <v>#DIV/0!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 t="e">
            <v>#DIV/0!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 t="e">
            <v>#DIV/0!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 t="e">
            <v>#DIV/0!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 t="e">
            <v>#DIV/0!</v>
          </cell>
          <cell r="CG419">
            <v>0</v>
          </cell>
          <cell r="CH419">
            <v>0</v>
          </cell>
        </row>
        <row r="439">
          <cell r="A439" t="str">
            <v>13º (+ Encargos)</v>
          </cell>
          <cell r="B439">
            <v>6.7137406800707325E-4</v>
          </cell>
          <cell r="C439">
            <v>262.41716666666667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 t="e">
            <v>#DIV/0!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 t="e">
            <v>#DIV/0!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 t="e">
            <v>#DIV/0!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 t="e">
            <v>#DIV/0!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 t="e">
            <v>#DIV/0!</v>
          </cell>
          <cell r="BS439">
            <v>0</v>
          </cell>
          <cell r="BT439">
            <v>0</v>
          </cell>
          <cell r="BU439">
            <v>0</v>
          </cell>
          <cell r="BV439">
            <v>1129.54</v>
          </cell>
          <cell r="BW439">
            <v>1.1766041666666666E-2</v>
          </cell>
          <cell r="BX439">
            <v>0</v>
          </cell>
          <cell r="BY439">
            <v>0</v>
          </cell>
          <cell r="BZ439">
            <v>1129.54</v>
          </cell>
          <cell r="CA439">
            <v>0</v>
          </cell>
          <cell r="CB439">
            <v>-1129.54</v>
          </cell>
          <cell r="CC439">
            <v>1129.54</v>
          </cell>
          <cell r="CD439">
            <v>6.2993112550772867E-3</v>
          </cell>
          <cell r="CE439">
            <v>0</v>
          </cell>
          <cell r="CF439" t="e">
            <v>#DIV/0!</v>
          </cell>
          <cell r="CG439">
            <v>2259.08</v>
          </cell>
          <cell r="CH439">
            <v>0</v>
          </cell>
        </row>
        <row r="440">
          <cell r="A440" t="str">
            <v>Acordo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 t="e">
            <v>#DIV/0!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 t="e">
            <v>#DIV/0!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 t="e">
            <v>#DIV/0!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 t="e">
            <v>#DIV/0!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 t="e">
            <v>#DIV/0!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 t="e">
            <v>#DIV/0!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 t="e">
            <v>#DIV/0!</v>
          </cell>
          <cell r="CG440">
            <v>0</v>
          </cell>
          <cell r="CH440">
            <v>0</v>
          </cell>
        </row>
        <row r="441">
          <cell r="A441" t="str">
            <v>Aluguel + IPTU + Condomínio + Energia Elétrica</v>
          </cell>
          <cell r="B441">
            <v>0</v>
          </cell>
          <cell r="C441">
            <v>0</v>
          </cell>
          <cell r="D441">
            <v>1580.869680457643</v>
          </cell>
          <cell r="E441">
            <v>8.8163236104230602E-3</v>
          </cell>
          <cell r="F441">
            <v>0</v>
          </cell>
          <cell r="G441">
            <v>0</v>
          </cell>
          <cell r="H441">
            <v>1580.869680457643</v>
          </cell>
          <cell r="I441">
            <v>0</v>
          </cell>
          <cell r="J441">
            <v>-1580.869680457643</v>
          </cell>
          <cell r="K441">
            <v>1580.869680457643</v>
          </cell>
          <cell r="L441">
            <v>8.8163236104230602E-3</v>
          </cell>
          <cell r="M441">
            <v>1568.4574500000001</v>
          </cell>
          <cell r="N441">
            <v>6.5956999579478565E-2</v>
          </cell>
          <cell r="O441">
            <v>3161.7393609152859</v>
          </cell>
          <cell r="P441">
            <v>1568.4574500000001</v>
          </cell>
          <cell r="Q441">
            <v>-1593.2819109152858</v>
          </cell>
          <cell r="R441">
            <v>1580.869680457643</v>
          </cell>
          <cell r="S441">
            <v>8.8163236104230602E-3</v>
          </cell>
          <cell r="T441">
            <v>1537.2485999999999</v>
          </cell>
          <cell r="U441">
            <v>2.2342172323814007E-3</v>
          </cell>
          <cell r="V441">
            <v>4742.6090413729289</v>
          </cell>
          <cell r="W441">
            <v>3105.7060499999998</v>
          </cell>
          <cell r="X441">
            <v>-1636.9029913729291</v>
          </cell>
          <cell r="Y441">
            <v>1580.869680457643</v>
          </cell>
          <cell r="Z441">
            <v>8.8163236104230602E-3</v>
          </cell>
          <cell r="AA441">
            <v>0</v>
          </cell>
          <cell r="AB441">
            <v>0</v>
          </cell>
          <cell r="AC441">
            <v>6323.4787218305719</v>
          </cell>
          <cell r="AD441">
            <v>3105.7060499999998</v>
          </cell>
          <cell r="AE441">
            <v>-3217.7726718305721</v>
          </cell>
          <cell r="AF441">
            <v>1580.869680457643</v>
          </cell>
          <cell r="AG441">
            <v>8.8163236104230602E-3</v>
          </cell>
          <cell r="AH441">
            <v>0</v>
          </cell>
          <cell r="AI441">
            <v>0</v>
          </cell>
          <cell r="AJ441">
            <v>7904.3484022882149</v>
          </cell>
          <cell r="AK441">
            <v>3105.7060499999998</v>
          </cell>
          <cell r="AL441">
            <v>-4798.6423522882151</v>
          </cell>
          <cell r="AM441">
            <v>1580.869680457643</v>
          </cell>
          <cell r="AN441">
            <v>8.8163236104230602E-3</v>
          </cell>
          <cell r="AO441">
            <v>0</v>
          </cell>
          <cell r="AP441" t="e">
            <v>#DIV/0!</v>
          </cell>
          <cell r="AQ441">
            <v>9485.2180827458578</v>
          </cell>
          <cell r="AR441">
            <v>3105.7060499999998</v>
          </cell>
          <cell r="AS441">
            <v>-6379.5120327458581</v>
          </cell>
          <cell r="AT441">
            <v>1580.869680457643</v>
          </cell>
          <cell r="AU441">
            <v>8.8163236104230602E-3</v>
          </cell>
          <cell r="AV441">
            <v>0</v>
          </cell>
          <cell r="AW441" t="e">
            <v>#DIV/0!</v>
          </cell>
          <cell r="AX441">
            <v>11066.087763203501</v>
          </cell>
          <cell r="AY441">
            <v>3105.7060499999998</v>
          </cell>
          <cell r="AZ441">
            <v>-7960.381713203501</v>
          </cell>
          <cell r="BA441">
            <v>1580.869680457643</v>
          </cell>
          <cell r="BB441">
            <v>8.8163236104230602E-3</v>
          </cell>
          <cell r="BC441">
            <v>0</v>
          </cell>
          <cell r="BD441" t="e">
            <v>#DIV/0!</v>
          </cell>
          <cell r="BE441">
            <v>12646.957443661144</v>
          </cell>
          <cell r="BF441">
            <v>3105.7060499999998</v>
          </cell>
          <cell r="BG441">
            <v>-9541.2513936611431</v>
          </cell>
          <cell r="BH441">
            <v>1580.869680457643</v>
          </cell>
          <cell r="BI441">
            <v>8.8163236104230602E-3</v>
          </cell>
          <cell r="BJ441">
            <v>0</v>
          </cell>
          <cell r="BK441" t="e">
            <v>#DIV/0!</v>
          </cell>
          <cell r="BL441">
            <v>14227.827124118787</v>
          </cell>
          <cell r="BM441">
            <v>3105.7060499999998</v>
          </cell>
          <cell r="BN441">
            <v>-11122.121074118786</v>
          </cell>
          <cell r="BO441">
            <v>1642.131179228453</v>
          </cell>
          <cell r="BP441">
            <v>9.1579717580848232E-3</v>
          </cell>
          <cell r="BQ441">
            <v>0</v>
          </cell>
          <cell r="BR441" t="e">
            <v>#DIV/0!</v>
          </cell>
          <cell r="BS441">
            <v>15869.958303347239</v>
          </cell>
          <cell r="BT441">
            <v>3105.7060499999998</v>
          </cell>
          <cell r="BU441">
            <v>-12764.25225334724</v>
          </cell>
          <cell r="BV441">
            <v>1642.131179228453</v>
          </cell>
          <cell r="BW441">
            <v>9.1579717580848232E-3</v>
          </cell>
          <cell r="BX441">
            <v>0</v>
          </cell>
          <cell r="BY441" t="e">
            <v>#DIV/0!</v>
          </cell>
          <cell r="BZ441">
            <v>17512.089482575691</v>
          </cell>
          <cell r="CA441">
            <v>3105.7060499999998</v>
          </cell>
          <cell r="CB441">
            <v>-14406.383432575691</v>
          </cell>
          <cell r="CC441">
            <v>1642.131179228453</v>
          </cell>
          <cell r="CD441">
            <v>9.1579717580848232E-3</v>
          </cell>
          <cell r="CE441">
            <v>0</v>
          </cell>
          <cell r="CF441" t="e">
            <v>#DIV/0!</v>
          </cell>
          <cell r="CG441">
            <v>19154.220661804145</v>
          </cell>
          <cell r="CH441">
            <v>3105.7060499999998</v>
          </cell>
        </row>
        <row r="442">
          <cell r="A442" t="str">
            <v>Aperfeiçoamento - Treinamentos / Livros / Revistas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 t="e">
            <v>#DIV/0!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 t="e">
            <v>#DIV/0!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 t="e">
            <v>#DIV/0!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 t="e">
            <v>#DIV/0!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 t="e">
            <v>#DIV/0!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 t="e">
            <v>#DIV/0!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 t="e">
            <v>#DIV/0!</v>
          </cell>
          <cell r="CG442">
            <v>0</v>
          </cell>
          <cell r="CH442">
            <v>0</v>
          </cell>
        </row>
        <row r="443">
          <cell r="A443" t="str">
            <v>OAB / Associações</v>
          </cell>
          <cell r="B443">
            <v>3.5618830075542828E-3</v>
          </cell>
          <cell r="C443">
            <v>1392.2182749999999</v>
          </cell>
          <cell r="D443">
            <v>560.08799999999997</v>
          </cell>
          <cell r="E443">
            <v>3.1235446661771402E-3</v>
          </cell>
          <cell r="F443">
            <v>875.79100000000005</v>
          </cell>
          <cell r="G443">
            <v>5.1244017179034092E-3</v>
          </cell>
          <cell r="H443">
            <v>560.08799999999997</v>
          </cell>
          <cell r="I443">
            <v>875.79100000000005</v>
          </cell>
          <cell r="J443">
            <v>315.70300000000009</v>
          </cell>
          <cell r="K443">
            <v>560.08799999999997</v>
          </cell>
          <cell r="L443">
            <v>3.1235446661771402E-3</v>
          </cell>
          <cell r="M443">
            <v>937.88800000000003</v>
          </cell>
          <cell r="N443">
            <v>3.9440201850294364E-2</v>
          </cell>
          <cell r="O443">
            <v>1120.1759999999999</v>
          </cell>
          <cell r="P443">
            <v>1813.6790000000001</v>
          </cell>
          <cell r="Q443">
            <v>693.50300000000016</v>
          </cell>
          <cell r="R443">
            <v>560.08799999999997</v>
          </cell>
          <cell r="S443">
            <v>3.1235446661771402E-3</v>
          </cell>
          <cell r="T443">
            <v>348.26099999999997</v>
          </cell>
          <cell r="U443">
            <v>5.061580329729225E-4</v>
          </cell>
          <cell r="V443">
            <v>1680.2639999999999</v>
          </cell>
          <cell r="W443">
            <v>2161.94</v>
          </cell>
          <cell r="X443">
            <v>481.67600000000016</v>
          </cell>
          <cell r="Y443">
            <v>560.08799999999997</v>
          </cell>
          <cell r="Z443">
            <v>3.1235446661771402E-3</v>
          </cell>
          <cell r="AA443">
            <v>0</v>
          </cell>
          <cell r="AB443">
            <v>0</v>
          </cell>
          <cell r="AC443">
            <v>2240.3519999999999</v>
          </cell>
          <cell r="AD443">
            <v>2161.94</v>
          </cell>
          <cell r="AE443">
            <v>-78.411999999999807</v>
          </cell>
          <cell r="AF443">
            <v>560.08799999999997</v>
          </cell>
          <cell r="AG443">
            <v>3.1235446661771402E-3</v>
          </cell>
          <cell r="AH443">
            <v>0</v>
          </cell>
          <cell r="AI443">
            <v>0</v>
          </cell>
          <cell r="AJ443">
            <v>2800.4399999999996</v>
          </cell>
          <cell r="AK443">
            <v>2161.94</v>
          </cell>
          <cell r="AL443">
            <v>-638.49999999999955</v>
          </cell>
          <cell r="AM443">
            <v>560.08799999999997</v>
          </cell>
          <cell r="AN443">
            <v>3.1235446661771402E-3</v>
          </cell>
          <cell r="AO443">
            <v>0</v>
          </cell>
          <cell r="AP443" t="e">
            <v>#DIV/0!</v>
          </cell>
          <cell r="AQ443">
            <v>3360.5279999999993</v>
          </cell>
          <cell r="AR443">
            <v>2161.94</v>
          </cell>
          <cell r="AS443">
            <v>-1198.5879999999993</v>
          </cell>
          <cell r="AT443">
            <v>560.08799999999997</v>
          </cell>
          <cell r="AU443">
            <v>3.1235446661771402E-3</v>
          </cell>
          <cell r="AV443">
            <v>0</v>
          </cell>
          <cell r="AW443" t="e">
            <v>#DIV/0!</v>
          </cell>
          <cell r="AX443">
            <v>3920.6159999999991</v>
          </cell>
          <cell r="AY443">
            <v>2161.94</v>
          </cell>
          <cell r="AZ443">
            <v>-1758.675999999999</v>
          </cell>
          <cell r="BA443">
            <v>560.08799999999997</v>
          </cell>
          <cell r="BB443">
            <v>3.1235446661771402E-3</v>
          </cell>
          <cell r="BC443">
            <v>0</v>
          </cell>
          <cell r="BD443" t="e">
            <v>#DIV/0!</v>
          </cell>
          <cell r="BE443">
            <v>4480.7039999999988</v>
          </cell>
          <cell r="BF443">
            <v>2161.94</v>
          </cell>
          <cell r="BG443">
            <v>-2318.7639999999988</v>
          </cell>
          <cell r="BH443">
            <v>560.08799999999997</v>
          </cell>
          <cell r="BI443">
            <v>3.1235446661771402E-3</v>
          </cell>
          <cell r="BJ443">
            <v>0</v>
          </cell>
          <cell r="BK443" t="e">
            <v>#DIV/0!</v>
          </cell>
          <cell r="BL443">
            <v>5040.7919999999986</v>
          </cell>
          <cell r="BM443">
            <v>2161.94</v>
          </cell>
          <cell r="BN443">
            <v>-2878.8519999999985</v>
          </cell>
          <cell r="BO443">
            <v>560.08799999999997</v>
          </cell>
          <cell r="BP443">
            <v>3.1235446661771402E-3</v>
          </cell>
          <cell r="BQ443">
            <v>0</v>
          </cell>
          <cell r="BR443" t="e">
            <v>#DIV/0!</v>
          </cell>
          <cell r="BS443">
            <v>5600.8799999999983</v>
          </cell>
          <cell r="BT443">
            <v>2161.94</v>
          </cell>
          <cell r="BU443">
            <v>-3438.9399999999982</v>
          </cell>
          <cell r="BV443">
            <v>560.08799999999997</v>
          </cell>
          <cell r="BW443">
            <v>3.1235446661771402E-3</v>
          </cell>
          <cell r="BX443">
            <v>0</v>
          </cell>
          <cell r="BY443" t="e">
            <v>#DIV/0!</v>
          </cell>
          <cell r="BZ443">
            <v>6160.967999999998</v>
          </cell>
          <cell r="CA443">
            <v>2161.94</v>
          </cell>
          <cell r="CB443">
            <v>-3999.027999999998</v>
          </cell>
          <cell r="CC443">
            <v>560.08799999999997</v>
          </cell>
          <cell r="CD443">
            <v>3.1235446661771402E-3</v>
          </cell>
          <cell r="CE443">
            <v>0</v>
          </cell>
          <cell r="CF443" t="e">
            <v>#DIV/0!</v>
          </cell>
          <cell r="CG443">
            <v>6721.0559999999978</v>
          </cell>
          <cell r="CH443">
            <v>2161.94</v>
          </cell>
        </row>
        <row r="444">
          <cell r="A444" t="str">
            <v>Back Office / Encerramento</v>
          </cell>
          <cell r="B444">
            <v>5.9047949609227534E-3</v>
          </cell>
          <cell r="C444">
            <v>2307.9824456023443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 t="e">
            <v>#DIV/0!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 t="e">
            <v>#DIV/0!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 t="e">
            <v>#DIV/0!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 t="e">
            <v>#DIV/0!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 t="e">
            <v>#DIV/0!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 t="e">
            <v>#DIV/0!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 t="e">
            <v>#DIV/0!</v>
          </cell>
          <cell r="CG444">
            <v>0</v>
          </cell>
          <cell r="CH444">
            <v>0</v>
          </cell>
        </row>
        <row r="445">
          <cell r="A445" t="str">
            <v>Bonificações/Premiações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 t="e">
            <v>#DIV/0!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 t="e">
            <v>#DIV/0!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 t="e">
            <v>#DIV/0!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  <cell r="BK445" t="e">
            <v>#DIV/0!</v>
          </cell>
          <cell r="BL445">
            <v>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 t="e">
            <v>#DIV/0!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 t="e">
            <v>#DIV/0!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 t="e">
            <v>#DIV/0!</v>
          </cell>
          <cell r="CG445">
            <v>0</v>
          </cell>
          <cell r="CH445">
            <v>0</v>
          </cell>
        </row>
        <row r="446">
          <cell r="A446" t="str">
            <v>Cadastro</v>
          </cell>
          <cell r="B446">
            <v>9.1316176963207978E-3</v>
          </cell>
          <cell r="C446">
            <v>3569.2371170440429</v>
          </cell>
          <cell r="D446">
            <v>2038.984357076429</v>
          </cell>
          <cell r="E446">
            <v>1.1371175088494497E-2</v>
          </cell>
          <cell r="F446">
            <v>2619.0322414139746</v>
          </cell>
          <cell r="G446">
            <v>1.53244019602236E-2</v>
          </cell>
          <cell r="H446">
            <v>2038.984357076429</v>
          </cell>
          <cell r="I446">
            <v>2619.0322414139746</v>
          </cell>
          <cell r="J446">
            <v>580.04788433754561</v>
          </cell>
          <cell r="K446">
            <v>2038.984357076429</v>
          </cell>
          <cell r="L446">
            <v>1.1371175088494497E-2</v>
          </cell>
          <cell r="M446">
            <v>3247.0345804168842</v>
          </cell>
          <cell r="N446">
            <v>0.13654476788969236</v>
          </cell>
          <cell r="O446">
            <v>4077.968714152858</v>
          </cell>
          <cell r="P446">
            <v>5866.0668218308583</v>
          </cell>
          <cell r="Q446">
            <v>1788.0981076780004</v>
          </cell>
          <cell r="R446">
            <v>2038.984357076429</v>
          </cell>
          <cell r="S446">
            <v>1.1371175088494497E-2</v>
          </cell>
          <cell r="T446">
            <v>3250.5773778879266</v>
          </cell>
          <cell r="U446">
            <v>4.7243471178743338E-3</v>
          </cell>
          <cell r="V446">
            <v>6116.9530712292872</v>
          </cell>
          <cell r="W446">
            <v>9116.6441997187849</v>
          </cell>
          <cell r="X446">
            <v>2999.6911284894977</v>
          </cell>
          <cell r="Y446">
            <v>2038.984357076429</v>
          </cell>
          <cell r="Z446">
            <v>1.1371175088494497E-2</v>
          </cell>
          <cell r="AA446">
            <v>0</v>
          </cell>
          <cell r="AB446">
            <v>0</v>
          </cell>
          <cell r="AC446">
            <v>8155.9374283057159</v>
          </cell>
          <cell r="AD446">
            <v>9116.6441997187849</v>
          </cell>
          <cell r="AE446">
            <v>960.70677141306896</v>
          </cell>
          <cell r="AF446">
            <v>2038.984357076429</v>
          </cell>
          <cell r="AG446">
            <v>1.1371175088494497E-2</v>
          </cell>
          <cell r="AH446">
            <v>0</v>
          </cell>
          <cell r="AI446">
            <v>0</v>
          </cell>
          <cell r="AJ446">
            <v>10194.921785382145</v>
          </cell>
          <cell r="AK446">
            <v>9116.6441997187849</v>
          </cell>
          <cell r="AL446">
            <v>-1078.2775856633598</v>
          </cell>
          <cell r="AM446">
            <v>2038.984357076429</v>
          </cell>
          <cell r="AN446">
            <v>1.1371175088494497E-2</v>
          </cell>
          <cell r="AO446">
            <v>0</v>
          </cell>
          <cell r="AP446" t="e">
            <v>#DIV/0!</v>
          </cell>
          <cell r="AQ446">
            <v>12233.906142458574</v>
          </cell>
          <cell r="AR446">
            <v>9116.6441997187849</v>
          </cell>
          <cell r="AS446">
            <v>-3117.2619427397894</v>
          </cell>
          <cell r="AT446">
            <v>2038.984357076429</v>
          </cell>
          <cell r="AU446">
            <v>1.1371175088494497E-2</v>
          </cell>
          <cell r="AV446">
            <v>0</v>
          </cell>
          <cell r="AW446" t="e">
            <v>#DIV/0!</v>
          </cell>
          <cell r="AX446">
            <v>14272.890499535004</v>
          </cell>
          <cell r="AY446">
            <v>9116.6441997187849</v>
          </cell>
          <cell r="AZ446">
            <v>-5156.2462998162191</v>
          </cell>
          <cell r="BA446">
            <v>2038.984357076429</v>
          </cell>
          <cell r="BB446">
            <v>1.1371175088494497E-2</v>
          </cell>
          <cell r="BC446">
            <v>0</v>
          </cell>
          <cell r="BD446" t="e">
            <v>#DIV/0!</v>
          </cell>
          <cell r="BE446">
            <v>16311.874856611434</v>
          </cell>
          <cell r="BF446">
            <v>9116.6441997187849</v>
          </cell>
          <cell r="BG446">
            <v>-7195.2306568926488</v>
          </cell>
          <cell r="BH446">
            <v>2038.984357076429</v>
          </cell>
          <cell r="BI446">
            <v>1.1371175088494497E-2</v>
          </cell>
          <cell r="BJ446">
            <v>0</v>
          </cell>
          <cell r="BK446" t="e">
            <v>#DIV/0!</v>
          </cell>
          <cell r="BL446">
            <v>18350.859213687861</v>
          </cell>
          <cell r="BM446">
            <v>9116.6441997187849</v>
          </cell>
          <cell r="BN446">
            <v>-9234.2150139690766</v>
          </cell>
          <cell r="BO446">
            <v>2038.984357076429</v>
          </cell>
          <cell r="BP446">
            <v>1.1371175088494497E-2</v>
          </cell>
          <cell r="BQ446">
            <v>0</v>
          </cell>
          <cell r="BR446" t="e">
            <v>#DIV/0!</v>
          </cell>
          <cell r="BS446">
            <v>20389.843570764289</v>
          </cell>
          <cell r="BT446">
            <v>9116.6441997187849</v>
          </cell>
          <cell r="BU446">
            <v>-11273.199371045504</v>
          </cell>
          <cell r="BV446">
            <v>2038.984357076429</v>
          </cell>
          <cell r="BW446">
            <v>1.1371175088494497E-2</v>
          </cell>
          <cell r="BX446">
            <v>0</v>
          </cell>
          <cell r="BY446" t="e">
            <v>#DIV/0!</v>
          </cell>
          <cell r="BZ446">
            <v>22428.827927840717</v>
          </cell>
          <cell r="CA446">
            <v>9116.6441997187849</v>
          </cell>
          <cell r="CB446">
            <v>-13312.183728121932</v>
          </cell>
          <cell r="CC446">
            <v>2038.984357076429</v>
          </cell>
          <cell r="CD446">
            <v>1.1371175088494497E-2</v>
          </cell>
          <cell r="CE446">
            <v>0</v>
          </cell>
          <cell r="CF446" t="e">
            <v>#DIV/0!</v>
          </cell>
          <cell r="CG446">
            <v>24467.812284917145</v>
          </cell>
          <cell r="CH446">
            <v>9116.6441997187849</v>
          </cell>
        </row>
        <row r="447">
          <cell r="A447" t="str">
            <v>Cartório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 t="e">
            <v>#DIV/0!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 t="e">
            <v>#DIV/0!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 t="e">
            <v>#DIV/0!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  <cell r="BK447" t="e">
            <v>#DIV/0!</v>
          </cell>
          <cell r="BL447">
            <v>0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 t="e">
            <v>#DIV/0!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 t="e">
            <v>#DIV/0!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 t="e">
            <v>#DIV/0!</v>
          </cell>
          <cell r="CG447">
            <v>0</v>
          </cell>
          <cell r="CH447">
            <v>0</v>
          </cell>
        </row>
        <row r="448">
          <cell r="A448" t="str">
            <v>Condenação</v>
          </cell>
          <cell r="B448">
            <v>8.9544798759662818E-5</v>
          </cell>
          <cell r="C448">
            <v>35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 t="e">
            <v>#DIV/0!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 t="e">
            <v>#DIV/0!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 t="e">
            <v>#DIV/0!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 t="e">
            <v>#DIV/0!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 t="e">
            <v>#DIV/0!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 t="e">
            <v>#DIV/0!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 t="e">
            <v>#DIV/0!</v>
          </cell>
          <cell r="CG448">
            <v>0</v>
          </cell>
          <cell r="CH448">
            <v>0</v>
          </cell>
        </row>
        <row r="449">
          <cell r="A449" t="str">
            <v>Penalidades/Irregularidades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 t="e">
            <v>#DIV/0!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 t="e">
            <v>#DIV/0!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 t="e">
            <v>#DIV/0!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  <cell r="BK449" t="e">
            <v>#DIV/0!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 t="e">
            <v>#DIV/0!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 t="e">
            <v>#DIV/0!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 t="e">
            <v>#DIV/0!</v>
          </cell>
          <cell r="CG449">
            <v>0</v>
          </cell>
          <cell r="CH449">
            <v>0</v>
          </cell>
        </row>
        <row r="450">
          <cell r="A450" t="str">
            <v>Controladoria Jurídica - Custas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1529.5230970840537</v>
          </cell>
          <cell r="U450">
            <v>2.2229890863654476E-3</v>
          </cell>
          <cell r="V450">
            <v>0</v>
          </cell>
          <cell r="W450">
            <v>1529.5230970840537</v>
          </cell>
          <cell r="X450">
            <v>1529.5230970840537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1529.5230970840537</v>
          </cell>
          <cell r="AE450">
            <v>1529.5230970840537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1529.5230970840537</v>
          </cell>
          <cell r="AL450">
            <v>1529.5230970840537</v>
          </cell>
          <cell r="AM450">
            <v>0</v>
          </cell>
          <cell r="AN450">
            <v>0</v>
          </cell>
          <cell r="AO450">
            <v>0</v>
          </cell>
          <cell r="AP450" t="e">
            <v>#DIV/0!</v>
          </cell>
          <cell r="AQ450">
            <v>0</v>
          </cell>
          <cell r="AR450">
            <v>1529.5230970840537</v>
          </cell>
          <cell r="AS450">
            <v>1529.5230970840537</v>
          </cell>
          <cell r="AT450">
            <v>0</v>
          </cell>
          <cell r="AU450">
            <v>0</v>
          </cell>
          <cell r="AV450">
            <v>0</v>
          </cell>
          <cell r="AW450" t="e">
            <v>#DIV/0!</v>
          </cell>
          <cell r="AX450">
            <v>0</v>
          </cell>
          <cell r="AY450">
            <v>1529.5230970840537</v>
          </cell>
          <cell r="AZ450">
            <v>1529.5230970840537</v>
          </cell>
          <cell r="BA450">
            <v>0</v>
          </cell>
          <cell r="BB450">
            <v>0</v>
          </cell>
          <cell r="BC450">
            <v>0</v>
          </cell>
          <cell r="BD450" t="e">
            <v>#DIV/0!</v>
          </cell>
          <cell r="BE450">
            <v>0</v>
          </cell>
          <cell r="BF450">
            <v>1529.5230970840537</v>
          </cell>
          <cell r="BG450">
            <v>1529.5230970840537</v>
          </cell>
          <cell r="BH450">
            <v>0</v>
          </cell>
          <cell r="BI450">
            <v>0</v>
          </cell>
          <cell r="BJ450">
            <v>0</v>
          </cell>
          <cell r="BK450" t="e">
            <v>#DIV/0!</v>
          </cell>
          <cell r="BL450">
            <v>0</v>
          </cell>
          <cell r="BM450">
            <v>1529.5230970840537</v>
          </cell>
          <cell r="BN450">
            <v>1529.5230970840537</v>
          </cell>
          <cell r="BO450">
            <v>0</v>
          </cell>
          <cell r="BP450">
            <v>0</v>
          </cell>
          <cell r="BQ450">
            <v>0</v>
          </cell>
          <cell r="BR450" t="e">
            <v>#DIV/0!</v>
          </cell>
          <cell r="BS450">
            <v>0</v>
          </cell>
          <cell r="BT450">
            <v>1529.5230970840537</v>
          </cell>
          <cell r="BU450">
            <v>1529.5230970840537</v>
          </cell>
          <cell r="BV450">
            <v>0</v>
          </cell>
          <cell r="BW450">
            <v>0</v>
          </cell>
          <cell r="BX450">
            <v>0</v>
          </cell>
          <cell r="BY450" t="e">
            <v>#DIV/0!</v>
          </cell>
          <cell r="BZ450">
            <v>0</v>
          </cell>
          <cell r="CA450">
            <v>1529.5230970840537</v>
          </cell>
          <cell r="CB450">
            <v>1529.5230970840537</v>
          </cell>
          <cell r="CC450">
            <v>0</v>
          </cell>
          <cell r="CD450">
            <v>0</v>
          </cell>
          <cell r="CE450">
            <v>0</v>
          </cell>
          <cell r="CF450" t="e">
            <v>#DIV/0!</v>
          </cell>
          <cell r="CG450">
            <v>0</v>
          </cell>
          <cell r="CH450">
            <v>1529.5230970840537</v>
          </cell>
        </row>
        <row r="451">
          <cell r="A451" t="str">
            <v>GNA</v>
          </cell>
          <cell r="B451">
            <v>8.9117970378442622E-4</v>
          </cell>
          <cell r="C451">
            <v>348.33167380466142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313.15320834803589</v>
          </cell>
          <cell r="N451">
            <v>1.3168764017999827E-2</v>
          </cell>
          <cell r="O451">
            <v>0</v>
          </cell>
          <cell r="P451">
            <v>313.15320834803589</v>
          </cell>
          <cell r="Q451">
            <v>313.15320834803589</v>
          </cell>
          <cell r="R451">
            <v>0</v>
          </cell>
          <cell r="S451">
            <v>0</v>
          </cell>
          <cell r="T451">
            <v>2195.7965502068305</v>
          </cell>
          <cell r="U451">
            <v>3.1913423055163186E-3</v>
          </cell>
          <cell r="V451">
            <v>0</v>
          </cell>
          <cell r="W451">
            <v>2508.9497585548665</v>
          </cell>
          <cell r="X451">
            <v>2508.9497585548665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2508.9497585548665</v>
          </cell>
          <cell r="AE451">
            <v>2508.9497585548665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2508.9497585548665</v>
          </cell>
          <cell r="AL451">
            <v>2508.9497585548665</v>
          </cell>
          <cell r="AM451">
            <v>0</v>
          </cell>
          <cell r="AN451">
            <v>0</v>
          </cell>
          <cell r="AO451">
            <v>0</v>
          </cell>
          <cell r="AP451" t="e">
            <v>#DIV/0!</v>
          </cell>
          <cell r="AQ451">
            <v>0</v>
          </cell>
          <cell r="AR451">
            <v>2508.9497585548665</v>
          </cell>
          <cell r="AS451">
            <v>2508.9497585548665</v>
          </cell>
          <cell r="AT451">
            <v>0</v>
          </cell>
          <cell r="AU451">
            <v>0</v>
          </cell>
          <cell r="AV451">
            <v>0</v>
          </cell>
          <cell r="AW451" t="e">
            <v>#DIV/0!</v>
          </cell>
          <cell r="AX451">
            <v>0</v>
          </cell>
          <cell r="AY451">
            <v>2508.9497585548665</v>
          </cell>
          <cell r="AZ451">
            <v>2508.9497585548665</v>
          </cell>
          <cell r="BA451">
            <v>0</v>
          </cell>
          <cell r="BB451">
            <v>0</v>
          </cell>
          <cell r="BC451">
            <v>0</v>
          </cell>
          <cell r="BD451" t="e">
            <v>#DIV/0!</v>
          </cell>
          <cell r="BE451">
            <v>0</v>
          </cell>
          <cell r="BF451">
            <v>2508.9497585548665</v>
          </cell>
          <cell r="BG451">
            <v>2508.9497585548665</v>
          </cell>
          <cell r="BH451">
            <v>0</v>
          </cell>
          <cell r="BI451">
            <v>0</v>
          </cell>
          <cell r="BJ451">
            <v>0</v>
          </cell>
          <cell r="BK451" t="e">
            <v>#DIV/0!</v>
          </cell>
          <cell r="BL451">
            <v>0</v>
          </cell>
          <cell r="BM451">
            <v>2508.9497585548665</v>
          </cell>
          <cell r="BN451">
            <v>2508.9497585548665</v>
          </cell>
          <cell r="BO451">
            <v>0</v>
          </cell>
          <cell r="BP451">
            <v>0</v>
          </cell>
          <cell r="BQ451">
            <v>0</v>
          </cell>
          <cell r="BR451" t="e">
            <v>#DIV/0!</v>
          </cell>
          <cell r="BS451">
            <v>0</v>
          </cell>
          <cell r="BT451">
            <v>2508.9497585548665</v>
          </cell>
          <cell r="BU451">
            <v>2508.9497585548665</v>
          </cell>
          <cell r="BV451">
            <v>0</v>
          </cell>
          <cell r="BW451">
            <v>0</v>
          </cell>
          <cell r="BX451">
            <v>0</v>
          </cell>
          <cell r="BY451" t="e">
            <v>#DIV/0!</v>
          </cell>
          <cell r="BZ451">
            <v>0</v>
          </cell>
          <cell r="CA451">
            <v>2508.9497585548665</v>
          </cell>
          <cell r="CB451">
            <v>2508.9497585548665</v>
          </cell>
          <cell r="CC451">
            <v>0</v>
          </cell>
          <cell r="CD451">
            <v>0</v>
          </cell>
          <cell r="CE451">
            <v>0</v>
          </cell>
          <cell r="CF451" t="e">
            <v>#DIV/0!</v>
          </cell>
          <cell r="CG451">
            <v>0</v>
          </cell>
          <cell r="CH451">
            <v>2508.9497585548665</v>
          </cell>
        </row>
        <row r="452">
          <cell r="A452" t="str">
            <v>Correios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#DIV/0!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 t="e">
            <v>#DIV/0!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 t="e">
            <v>#DIV/0!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 t="e">
            <v>#DIV/0!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 t="e">
            <v>#DIV/0!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 t="e">
            <v>#DIV/0!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 t="e">
            <v>#DIV/0!</v>
          </cell>
          <cell r="CG452">
            <v>0</v>
          </cell>
          <cell r="CH452">
            <v>0</v>
          </cell>
        </row>
        <row r="453">
          <cell r="A453" t="str">
            <v xml:space="preserve">Correspondentes </v>
          </cell>
          <cell r="B453">
            <v>2.3448989373522546E-2</v>
          </cell>
          <cell r="C453">
            <v>9165.4081470000001</v>
          </cell>
          <cell r="D453">
            <v>748.80458599999997</v>
          </cell>
          <cell r="E453">
            <v>4.1759947911922442E-3</v>
          </cell>
          <cell r="F453">
            <v>16515.200699000001</v>
          </cell>
          <cell r="G453">
            <v>9.6633241074040713E-2</v>
          </cell>
          <cell r="H453">
            <v>748.80458599999997</v>
          </cell>
          <cell r="I453">
            <v>16515.200699000001</v>
          </cell>
          <cell r="J453">
            <v>15766.396113000001</v>
          </cell>
          <cell r="K453">
            <v>748.80458599999997</v>
          </cell>
          <cell r="L453">
            <v>4.1759947911922442E-3</v>
          </cell>
          <cell r="M453">
            <v>11701.8332928</v>
          </cell>
          <cell r="N453">
            <v>0.49208718640874682</v>
          </cell>
          <cell r="O453">
            <v>1497.6091719999999</v>
          </cell>
          <cell r="P453">
            <v>28217.033991800003</v>
          </cell>
          <cell r="Q453">
            <v>26719.424819800002</v>
          </cell>
          <cell r="R453">
            <v>748.80458599999997</v>
          </cell>
          <cell r="S453">
            <v>4.1759947911922442E-3</v>
          </cell>
          <cell r="T453">
            <v>11008.648390599999</v>
          </cell>
          <cell r="U453">
            <v>1.5999827184429567E-2</v>
          </cell>
          <cell r="V453">
            <v>2246.4137579999997</v>
          </cell>
          <cell r="W453">
            <v>39225.682382400002</v>
          </cell>
          <cell r="X453">
            <v>36979.2686244</v>
          </cell>
          <cell r="Y453">
            <v>748.80458599999997</v>
          </cell>
          <cell r="Z453">
            <v>4.1759947911922442E-3</v>
          </cell>
          <cell r="AA453">
            <v>0</v>
          </cell>
          <cell r="AB453">
            <v>0</v>
          </cell>
          <cell r="AC453">
            <v>2995.2183439999999</v>
          </cell>
          <cell r="AD453">
            <v>39225.682382400002</v>
          </cell>
          <cell r="AE453">
            <v>36230.464038400001</v>
          </cell>
          <cell r="AF453">
            <v>748.80458599999997</v>
          </cell>
          <cell r="AG453">
            <v>4.1759947911922442E-3</v>
          </cell>
          <cell r="AH453">
            <v>0</v>
          </cell>
          <cell r="AI453">
            <v>0</v>
          </cell>
          <cell r="AJ453">
            <v>3744.0229300000001</v>
          </cell>
          <cell r="AK453">
            <v>39225.682382400002</v>
          </cell>
          <cell r="AL453">
            <v>35481.659452400003</v>
          </cell>
          <cell r="AM453">
            <v>748.80458599999997</v>
          </cell>
          <cell r="AN453">
            <v>4.1759947911922442E-3</v>
          </cell>
          <cell r="AO453">
            <v>0</v>
          </cell>
          <cell r="AP453" t="e">
            <v>#DIV/0!</v>
          </cell>
          <cell r="AQ453">
            <v>4492.8275160000003</v>
          </cell>
          <cell r="AR453">
            <v>39225.682382400002</v>
          </cell>
          <cell r="AS453">
            <v>34732.854866400005</v>
          </cell>
          <cell r="AT453">
            <v>748.80458599999997</v>
          </cell>
          <cell r="AU453">
            <v>4.1759947911922442E-3</v>
          </cell>
          <cell r="AV453">
            <v>0</v>
          </cell>
          <cell r="AW453" t="e">
            <v>#DIV/0!</v>
          </cell>
          <cell r="AX453">
            <v>5241.6321020000005</v>
          </cell>
          <cell r="AY453">
            <v>39225.682382400002</v>
          </cell>
          <cell r="AZ453">
            <v>33984.050280399999</v>
          </cell>
          <cell r="BA453">
            <v>748.80458599999997</v>
          </cell>
          <cell r="BB453">
            <v>4.1759947911922442E-3</v>
          </cell>
          <cell r="BC453">
            <v>0</v>
          </cell>
          <cell r="BD453" t="e">
            <v>#DIV/0!</v>
          </cell>
          <cell r="BE453">
            <v>5990.4366880000007</v>
          </cell>
          <cell r="BF453">
            <v>39225.682382400002</v>
          </cell>
          <cell r="BG453">
            <v>33235.245694400001</v>
          </cell>
          <cell r="BH453">
            <v>748.80458599999997</v>
          </cell>
          <cell r="BI453">
            <v>4.1759947911922442E-3</v>
          </cell>
          <cell r="BJ453">
            <v>0</v>
          </cell>
          <cell r="BK453" t="e">
            <v>#DIV/0!</v>
          </cell>
          <cell r="BL453">
            <v>6739.2412740000009</v>
          </cell>
          <cell r="BM453">
            <v>39225.682382400002</v>
          </cell>
          <cell r="BN453">
            <v>32486.441108400002</v>
          </cell>
          <cell r="BO453">
            <v>748.80458599999997</v>
          </cell>
          <cell r="BP453">
            <v>4.1759947911922442E-3</v>
          </cell>
          <cell r="BQ453">
            <v>0</v>
          </cell>
          <cell r="BR453" t="e">
            <v>#DIV/0!</v>
          </cell>
          <cell r="BS453">
            <v>7488.0458600000011</v>
          </cell>
          <cell r="BT453">
            <v>39225.682382400002</v>
          </cell>
          <cell r="BU453">
            <v>31737.6365224</v>
          </cell>
          <cell r="BV453">
            <v>748.80458599999997</v>
          </cell>
          <cell r="BW453">
            <v>4.1759947911922442E-3</v>
          </cell>
          <cell r="BX453">
            <v>0</v>
          </cell>
          <cell r="BY453" t="e">
            <v>#DIV/0!</v>
          </cell>
          <cell r="BZ453">
            <v>8236.8504460000004</v>
          </cell>
          <cell r="CA453">
            <v>39225.682382400002</v>
          </cell>
          <cell r="CB453">
            <v>30988.831936400002</v>
          </cell>
          <cell r="CC453">
            <v>748.80458599999997</v>
          </cell>
          <cell r="CD453">
            <v>4.1759947911922442E-3</v>
          </cell>
          <cell r="CE453">
            <v>0</v>
          </cell>
          <cell r="CF453" t="e">
            <v>#DIV/0!</v>
          </cell>
          <cell r="CG453">
            <v>8985.6550320000006</v>
          </cell>
          <cell r="CH453">
            <v>39225.682382400002</v>
          </cell>
        </row>
        <row r="454">
          <cell r="A454" t="str">
            <v>Custas/Guias/Despesas</v>
          </cell>
          <cell r="B454">
            <v>1.3805121624777214E-4</v>
          </cell>
          <cell r="C454">
            <v>53.959499999999991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 t="e">
            <v>#DIV/0!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 t="e">
            <v>#DIV/0!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 t="e">
            <v>#DIV/0!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  <cell r="BK454" t="e">
            <v>#DIV/0!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 t="e">
            <v>#DIV/0!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 t="e">
            <v>#DIV/0!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 t="e">
            <v>#DIV/0!</v>
          </cell>
          <cell r="CG454">
            <v>0</v>
          </cell>
          <cell r="CH454">
            <v>0</v>
          </cell>
        </row>
        <row r="455">
          <cell r="A455" t="str">
            <v>Deslocamento</v>
          </cell>
          <cell r="B455">
            <v>2.1049385389232695E-3</v>
          </cell>
          <cell r="C455">
            <v>822.74849999999992</v>
          </cell>
          <cell r="D455">
            <v>0</v>
          </cell>
          <cell r="E455">
            <v>0</v>
          </cell>
          <cell r="F455">
            <v>1730.68</v>
          </cell>
          <cell r="G455">
            <v>1.0126502287807333E-2</v>
          </cell>
          <cell r="H455">
            <v>0</v>
          </cell>
          <cell r="I455">
            <v>1730.68</v>
          </cell>
          <cell r="J455">
            <v>1730.68</v>
          </cell>
          <cell r="K455">
            <v>0</v>
          </cell>
          <cell r="L455">
            <v>0</v>
          </cell>
          <cell r="M455">
            <v>1205.54</v>
          </cell>
          <cell r="N455">
            <v>5.0695542472666104E-2</v>
          </cell>
          <cell r="O455">
            <v>0</v>
          </cell>
          <cell r="P455">
            <v>2936.2200000000003</v>
          </cell>
          <cell r="Q455">
            <v>2936.2200000000003</v>
          </cell>
          <cell r="R455">
            <v>0</v>
          </cell>
          <cell r="S455">
            <v>0</v>
          </cell>
          <cell r="T455">
            <v>1370.32</v>
          </cell>
          <cell r="U455">
            <v>1.9916053642051661E-3</v>
          </cell>
          <cell r="V455">
            <v>0</v>
          </cell>
          <cell r="W455">
            <v>4306.54</v>
          </cell>
          <cell r="X455">
            <v>4306.54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4306.54</v>
          </cell>
          <cell r="AE455">
            <v>4306.54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4306.54</v>
          </cell>
          <cell r="AL455">
            <v>4306.54</v>
          </cell>
          <cell r="AM455">
            <v>0</v>
          </cell>
          <cell r="AN455">
            <v>0</v>
          </cell>
          <cell r="AO455">
            <v>0</v>
          </cell>
          <cell r="AP455" t="e">
            <v>#DIV/0!</v>
          </cell>
          <cell r="AQ455">
            <v>0</v>
          </cell>
          <cell r="AR455">
            <v>4306.54</v>
          </cell>
          <cell r="AS455">
            <v>4306.54</v>
          </cell>
          <cell r="AT455">
            <v>0</v>
          </cell>
          <cell r="AU455">
            <v>0</v>
          </cell>
          <cell r="AV455">
            <v>0</v>
          </cell>
          <cell r="AW455" t="e">
            <v>#DIV/0!</v>
          </cell>
          <cell r="AX455">
            <v>0</v>
          </cell>
          <cell r="AY455">
            <v>4306.54</v>
          </cell>
          <cell r="AZ455">
            <v>4306.54</v>
          </cell>
          <cell r="BA455">
            <v>0</v>
          </cell>
          <cell r="BB455">
            <v>0</v>
          </cell>
          <cell r="BC455">
            <v>0</v>
          </cell>
          <cell r="BD455" t="e">
            <v>#DIV/0!</v>
          </cell>
          <cell r="BE455">
            <v>0</v>
          </cell>
          <cell r="BF455">
            <v>4306.54</v>
          </cell>
          <cell r="BG455">
            <v>4306.54</v>
          </cell>
          <cell r="BH455">
            <v>0</v>
          </cell>
          <cell r="BI455">
            <v>0</v>
          </cell>
          <cell r="BJ455">
            <v>0</v>
          </cell>
          <cell r="BK455" t="e">
            <v>#DIV/0!</v>
          </cell>
          <cell r="BL455">
            <v>0</v>
          </cell>
          <cell r="BM455">
            <v>4306.54</v>
          </cell>
          <cell r="BN455">
            <v>4306.54</v>
          </cell>
          <cell r="BO455">
            <v>0</v>
          </cell>
          <cell r="BP455">
            <v>0</v>
          </cell>
          <cell r="BQ455">
            <v>0</v>
          </cell>
          <cell r="BR455" t="e">
            <v>#DIV/0!</v>
          </cell>
          <cell r="BS455">
            <v>0</v>
          </cell>
          <cell r="BT455">
            <v>4306.54</v>
          </cell>
          <cell r="BU455">
            <v>4306.54</v>
          </cell>
          <cell r="BV455">
            <v>0</v>
          </cell>
          <cell r="BW455">
            <v>0</v>
          </cell>
          <cell r="BX455">
            <v>0</v>
          </cell>
          <cell r="BY455" t="e">
            <v>#DIV/0!</v>
          </cell>
          <cell r="BZ455">
            <v>0</v>
          </cell>
          <cell r="CA455">
            <v>4306.54</v>
          </cell>
          <cell r="CB455">
            <v>4306.54</v>
          </cell>
          <cell r="CC455">
            <v>0</v>
          </cell>
          <cell r="CD455">
            <v>0</v>
          </cell>
          <cell r="CE455">
            <v>0</v>
          </cell>
          <cell r="CF455" t="e">
            <v>#DIV/0!</v>
          </cell>
          <cell r="CG455">
            <v>0</v>
          </cell>
          <cell r="CH455">
            <v>4306.54</v>
          </cell>
        </row>
        <row r="456">
          <cell r="A456" t="str">
            <v>Digitação / Atual. Sistemas / Lanç. Planilhas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 t="e">
            <v>#DIV/0!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 t="e">
            <v>#DIV/0!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 t="e">
            <v>#DIV/0!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 t="e">
            <v>#DIV/0!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 t="e">
            <v>#DIV/0!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 t="e">
            <v>#DIV/0!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 t="e">
            <v>#DIV/0!</v>
          </cell>
          <cell r="CG456">
            <v>0</v>
          </cell>
          <cell r="CH456">
            <v>0</v>
          </cell>
        </row>
        <row r="457">
          <cell r="A457" t="str">
            <v>Diligências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 t="e">
            <v>#DIV/0!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 t="e">
            <v>#DIV/0!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 t="e">
            <v>#DIV/0!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 t="e">
            <v>#DIV/0!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 t="e">
            <v>#DIV/0!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 t="e">
            <v>#DIV/0!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 t="e">
            <v>#DIV/0!</v>
          </cell>
          <cell r="CG457">
            <v>0</v>
          </cell>
          <cell r="CH457">
            <v>0</v>
          </cell>
        </row>
        <row r="458">
          <cell r="A458" t="str">
            <v>Encargos</v>
          </cell>
          <cell r="B458">
            <v>1.5856517370567639E-3</v>
          </cell>
          <cell r="C458">
            <v>619.77704529709433</v>
          </cell>
          <cell r="D458">
            <v>1940.6151776181262</v>
          </cell>
          <cell r="E458">
            <v>1.0822581785632798E-2</v>
          </cell>
          <cell r="F458">
            <v>2040.2421247405841</v>
          </cell>
          <cell r="G458">
            <v>1.1937802796511439E-2</v>
          </cell>
          <cell r="H458">
            <v>1940.6151776181262</v>
          </cell>
          <cell r="I458">
            <v>2040.2421247405841</v>
          </cell>
          <cell r="J458">
            <v>99.626947122457977</v>
          </cell>
          <cell r="K458">
            <v>1940.6151776181262</v>
          </cell>
          <cell r="L458">
            <v>1.0822581785632798E-2</v>
          </cell>
          <cell r="M458">
            <v>1940.6151776181262</v>
          </cell>
          <cell r="N458">
            <v>8.1607030177381246E-2</v>
          </cell>
          <cell r="O458">
            <v>3881.2303552362523</v>
          </cell>
          <cell r="P458">
            <v>3980.8573023587105</v>
          </cell>
          <cell r="Q458">
            <v>99.626947122458205</v>
          </cell>
          <cell r="R458">
            <v>1940.6151776181262</v>
          </cell>
          <cell r="S458">
            <v>1.0822581785632798E-2</v>
          </cell>
          <cell r="T458">
            <v>1981.0541882259363</v>
          </cell>
          <cell r="U458">
            <v>2.8792385341028996E-3</v>
          </cell>
          <cell r="V458">
            <v>5821.8455328543787</v>
          </cell>
          <cell r="W458">
            <v>5961.9114905846473</v>
          </cell>
          <cell r="X458">
            <v>140.06595773026856</v>
          </cell>
          <cell r="Y458">
            <v>1940.6151776181262</v>
          </cell>
          <cell r="Z458">
            <v>1.0822581785632798E-2</v>
          </cell>
          <cell r="AA458">
            <v>0</v>
          </cell>
          <cell r="AB458">
            <v>0</v>
          </cell>
          <cell r="AC458">
            <v>7762.4607104725046</v>
          </cell>
          <cell r="AD458">
            <v>5961.9114905846473</v>
          </cell>
          <cell r="AE458">
            <v>-1800.5492198878574</v>
          </cell>
          <cell r="AF458">
            <v>1940.6151776181262</v>
          </cell>
          <cell r="AG458">
            <v>1.0822581785632798E-2</v>
          </cell>
          <cell r="AH458">
            <v>0</v>
          </cell>
          <cell r="AI458">
            <v>0</v>
          </cell>
          <cell r="AJ458">
            <v>9703.0758880906305</v>
          </cell>
          <cell r="AK458">
            <v>5961.9114905846473</v>
          </cell>
          <cell r="AL458">
            <v>-3741.1643975059833</v>
          </cell>
          <cell r="AM458">
            <v>1940.6151776181262</v>
          </cell>
          <cell r="AN458">
            <v>1.0822581785632798E-2</v>
          </cell>
          <cell r="AO458">
            <v>0</v>
          </cell>
          <cell r="AP458" t="e">
            <v>#DIV/0!</v>
          </cell>
          <cell r="AQ458">
            <v>11643.691065708757</v>
          </cell>
          <cell r="AR458">
            <v>5961.9114905846473</v>
          </cell>
          <cell r="AS458">
            <v>-5681.7795751241101</v>
          </cell>
          <cell r="AT458">
            <v>1940.6151776181262</v>
          </cell>
          <cell r="AU458">
            <v>1.0822581785632798E-2</v>
          </cell>
          <cell r="AV458">
            <v>0</v>
          </cell>
          <cell r="AW458" t="e">
            <v>#DIV/0!</v>
          </cell>
          <cell r="AX458">
            <v>13584.306243326884</v>
          </cell>
          <cell r="AY458">
            <v>5961.9114905846473</v>
          </cell>
          <cell r="AZ458">
            <v>-7622.394752742237</v>
          </cell>
          <cell r="BA458">
            <v>1940.6151776181262</v>
          </cell>
          <cell r="BB458">
            <v>1.0822581785632798E-2</v>
          </cell>
          <cell r="BC458">
            <v>0</v>
          </cell>
          <cell r="BD458" t="e">
            <v>#DIV/0!</v>
          </cell>
          <cell r="BE458">
            <v>15524.921420945011</v>
          </cell>
          <cell r="BF458">
            <v>5961.9114905846473</v>
          </cell>
          <cell r="BG458">
            <v>-9563.0099303603638</v>
          </cell>
          <cell r="BH458">
            <v>1940.6151776181262</v>
          </cell>
          <cell r="BI458">
            <v>1.0822581785632798E-2</v>
          </cell>
          <cell r="BJ458">
            <v>0</v>
          </cell>
          <cell r="BK458" t="e">
            <v>#DIV/0!</v>
          </cell>
          <cell r="BL458">
            <v>17465.536598563136</v>
          </cell>
          <cell r="BM458">
            <v>5961.9114905846473</v>
          </cell>
          <cell r="BN458">
            <v>-11503.625107978489</v>
          </cell>
          <cell r="BO458">
            <v>1940.6151776181262</v>
          </cell>
          <cell r="BP458">
            <v>1.0822581785632798E-2</v>
          </cell>
          <cell r="BQ458">
            <v>0</v>
          </cell>
          <cell r="BR458" t="e">
            <v>#DIV/0!</v>
          </cell>
          <cell r="BS458">
            <v>19406.151776181261</v>
          </cell>
          <cell r="BT458">
            <v>5961.9114905846473</v>
          </cell>
          <cell r="BU458">
            <v>-13444.240285596614</v>
          </cell>
          <cell r="BV458">
            <v>1940.6151776181262</v>
          </cell>
          <cell r="BW458">
            <v>1.0822581785632798E-2</v>
          </cell>
          <cell r="BX458">
            <v>0</v>
          </cell>
          <cell r="BY458" t="e">
            <v>#DIV/0!</v>
          </cell>
          <cell r="BZ458">
            <v>21346.766953799386</v>
          </cell>
          <cell r="CA458">
            <v>5961.9114905846473</v>
          </cell>
          <cell r="CB458">
            <v>-15384.855463214739</v>
          </cell>
          <cell r="CC458">
            <v>1940.6151776181262</v>
          </cell>
          <cell r="CD458">
            <v>1.0822581785632798E-2</v>
          </cell>
          <cell r="CE458">
            <v>0</v>
          </cell>
          <cell r="CF458" t="e">
            <v>#DIV/0!</v>
          </cell>
          <cell r="CG458">
            <v>23287.382131417511</v>
          </cell>
          <cell r="CH458">
            <v>5961.9114905846473</v>
          </cell>
        </row>
        <row r="459">
          <cell r="A459" t="str">
            <v>Encargos Rescisórios</v>
          </cell>
          <cell r="B459">
            <v>6.0948816517095758E-4</v>
          </cell>
          <cell r="C459">
            <v>238.2280833333333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 t="e">
            <v>#DIV/0!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 t="e">
            <v>#DIV/0!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 t="e">
            <v>#DIV/0!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 t="e">
            <v>#DIV/0!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 t="e">
            <v>#DIV/0!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 t="e">
            <v>#DIV/0!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 t="e">
            <v>#DIV/0!</v>
          </cell>
          <cell r="CG459">
            <v>0</v>
          </cell>
          <cell r="CH459">
            <v>0</v>
          </cell>
        </row>
        <row r="460">
          <cell r="A460" t="str">
            <v>Encerramento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 t="e">
            <v>#DIV/0!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 t="e">
            <v>#DIV/0!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 t="e">
            <v>#DIV/0!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 t="e">
            <v>#DIV/0!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 t="e">
            <v>#DIV/0!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 t="e">
            <v>#DIV/0!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 t="e">
            <v>#DIV/0!</v>
          </cell>
          <cell r="CG460">
            <v>0</v>
          </cell>
          <cell r="CH460">
            <v>0</v>
          </cell>
        </row>
        <row r="461">
          <cell r="A461" t="str">
            <v>Eventos / Representações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 t="e">
            <v>#DIV/0!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 t="e">
            <v>#DIV/0!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 t="e">
            <v>#DIV/0!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 t="e">
            <v>#DIV/0!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 t="e">
            <v>#DIV/0!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 t="e">
            <v>#DIV/0!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 t="e">
            <v>#DIV/0!</v>
          </cell>
          <cell r="CG461">
            <v>0</v>
          </cell>
          <cell r="CH461">
            <v>0</v>
          </cell>
        </row>
        <row r="462">
          <cell r="A462" t="str">
            <v>Férias</v>
          </cell>
          <cell r="B462">
            <v>4.0793327005614522E-4</v>
          </cell>
          <cell r="C462">
            <v>159.44716666666665</v>
          </cell>
          <cell r="D462">
            <v>0</v>
          </cell>
          <cell r="E462">
            <v>0</v>
          </cell>
          <cell r="F462">
            <v>875.16099999999994</v>
          </cell>
          <cell r="G462">
            <v>5.1207154810246564E-3</v>
          </cell>
          <cell r="H462">
            <v>0</v>
          </cell>
          <cell r="I462">
            <v>875.16099999999994</v>
          </cell>
          <cell r="J462">
            <v>875.16099999999994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875.16099999999994</v>
          </cell>
          <cell r="Q462">
            <v>875.16099999999994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875.16099999999994</v>
          </cell>
          <cell r="X462">
            <v>875.16099999999994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875.16099999999994</v>
          </cell>
          <cell r="AE462">
            <v>875.16099999999994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875.16099999999994</v>
          </cell>
          <cell r="AL462">
            <v>875.16099999999994</v>
          </cell>
          <cell r="AM462">
            <v>0</v>
          </cell>
          <cell r="AN462">
            <v>0</v>
          </cell>
          <cell r="AO462">
            <v>0</v>
          </cell>
          <cell r="AP462" t="e">
            <v>#DIV/0!</v>
          </cell>
          <cell r="AQ462">
            <v>0</v>
          </cell>
          <cell r="AR462">
            <v>875.16099999999994</v>
          </cell>
          <cell r="AS462">
            <v>875.16099999999994</v>
          </cell>
          <cell r="AT462">
            <v>0</v>
          </cell>
          <cell r="AU462">
            <v>0</v>
          </cell>
          <cell r="AV462">
            <v>0</v>
          </cell>
          <cell r="AW462" t="e">
            <v>#DIV/0!</v>
          </cell>
          <cell r="AX462">
            <v>0</v>
          </cell>
          <cell r="AY462">
            <v>875.16099999999994</v>
          </cell>
          <cell r="AZ462">
            <v>875.16099999999994</v>
          </cell>
          <cell r="BA462">
            <v>0</v>
          </cell>
          <cell r="BB462">
            <v>0</v>
          </cell>
          <cell r="BC462">
            <v>0</v>
          </cell>
          <cell r="BD462" t="e">
            <v>#DIV/0!</v>
          </cell>
          <cell r="BE462">
            <v>0</v>
          </cell>
          <cell r="BF462">
            <v>875.16099999999994</v>
          </cell>
          <cell r="BG462">
            <v>875.16099999999994</v>
          </cell>
          <cell r="BH462">
            <v>0</v>
          </cell>
          <cell r="BI462">
            <v>0</v>
          </cell>
          <cell r="BJ462">
            <v>0</v>
          </cell>
          <cell r="BK462" t="e">
            <v>#DIV/0!</v>
          </cell>
          <cell r="BL462">
            <v>0</v>
          </cell>
          <cell r="BM462">
            <v>875.16099999999994</v>
          </cell>
          <cell r="BN462">
            <v>875.16099999999994</v>
          </cell>
          <cell r="BO462">
            <v>0</v>
          </cell>
          <cell r="BP462">
            <v>0</v>
          </cell>
          <cell r="BQ462">
            <v>0</v>
          </cell>
          <cell r="BR462" t="e">
            <v>#DIV/0!</v>
          </cell>
          <cell r="BS462">
            <v>0</v>
          </cell>
          <cell r="BT462">
            <v>875.16099999999994</v>
          </cell>
          <cell r="BU462">
            <v>875.16099999999994</v>
          </cell>
          <cell r="BV462">
            <v>0</v>
          </cell>
          <cell r="BW462">
            <v>0</v>
          </cell>
          <cell r="BX462">
            <v>0</v>
          </cell>
          <cell r="BY462" t="e">
            <v>#DIV/0!</v>
          </cell>
          <cell r="BZ462">
            <v>0</v>
          </cell>
          <cell r="CA462">
            <v>875.16099999999994</v>
          </cell>
          <cell r="CB462">
            <v>875.16099999999994</v>
          </cell>
          <cell r="CC462">
            <v>0</v>
          </cell>
          <cell r="CD462">
            <v>0</v>
          </cell>
          <cell r="CE462">
            <v>0</v>
          </cell>
          <cell r="CF462" t="e">
            <v>#DIV/0!</v>
          </cell>
          <cell r="CG462">
            <v>0</v>
          </cell>
          <cell r="CH462">
            <v>875.16099999999994</v>
          </cell>
        </row>
        <row r="463">
          <cell r="A463" t="str">
            <v>Exames Médicos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 t="e">
            <v>#DIV/0!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 t="e">
            <v>#DIV/0!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 t="e">
            <v>#DIV/0!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 t="e">
            <v>#DIV/0!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 t="e">
            <v>#DIV/0!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 t="e">
            <v>#DIV/0!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 t="e">
            <v>#DIV/0!</v>
          </cell>
          <cell r="CG463">
            <v>0</v>
          </cell>
          <cell r="CH463">
            <v>0</v>
          </cell>
        </row>
        <row r="464">
          <cell r="A464" t="str">
            <v>Parcerias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 t="e">
            <v>#DIV/0!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 t="e">
            <v>#DIV/0!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 t="e">
            <v>#DIV/0!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 t="e">
            <v>#DIV/0!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 t="e">
            <v>#DIV/0!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 t="e">
            <v>#DIV/0!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 t="e">
            <v>#DIV/0!</v>
          </cell>
          <cell r="CG464">
            <v>0</v>
          </cell>
          <cell r="CH464">
            <v>0</v>
          </cell>
        </row>
        <row r="465">
          <cell r="A465" t="str">
            <v>Fotocópia/Xerox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 t="e">
            <v>#DIV/0!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 t="e">
            <v>#DIV/0!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 t="e">
            <v>#DIV/0!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 t="e">
            <v>#DIV/0!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 t="e">
            <v>#DIV/0!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 t="e">
            <v>#DIV/0!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 t="e">
            <v>#DIV/0!</v>
          </cell>
          <cell r="CG465">
            <v>0</v>
          </cell>
          <cell r="CH465">
            <v>0</v>
          </cell>
        </row>
        <row r="466">
          <cell r="A466" t="str">
            <v>IR s/ Salário</v>
          </cell>
          <cell r="B466">
            <v>2.2632447886504776E-5</v>
          </cell>
          <cell r="C466">
            <v>8.8462499999999995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 t="e">
            <v>#DIV/0!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 t="e">
            <v>#DIV/0!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 t="e">
            <v>#DIV/0!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 t="e">
            <v>#DIV/0!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 t="e">
            <v>#DIV/0!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 t="e">
            <v>#DIV/0!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 t="e">
            <v>#DIV/0!</v>
          </cell>
          <cell r="CG466">
            <v>0</v>
          </cell>
          <cell r="CH466">
            <v>0</v>
          </cell>
        </row>
        <row r="467">
          <cell r="A467" t="str">
            <v>Consultoria de Projetos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 t="e">
            <v>#DIV/0!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 t="e">
            <v>#DIV/0!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 t="e">
            <v>#DIV/0!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 t="e">
            <v>#DIV/0!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 t="e">
            <v>#DIV/0!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 t="e">
            <v>#DIV/0!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 t="e">
            <v>#DIV/0!</v>
          </cell>
          <cell r="CG467">
            <v>0</v>
          </cell>
          <cell r="CH467">
            <v>0</v>
          </cell>
        </row>
        <row r="468">
          <cell r="A468" t="str">
            <v>Pauta</v>
          </cell>
          <cell r="B468">
            <v>1.3277825759582125E-2</v>
          </cell>
          <cell r="C468">
            <v>5189.8480762985218</v>
          </cell>
          <cell r="D468">
            <v>4192.3902224378371</v>
          </cell>
          <cell r="E468">
            <v>2.3380465422985143E-2</v>
          </cell>
          <cell r="F468">
            <v>5101.387373272215</v>
          </cell>
          <cell r="G468">
            <v>2.9849082965327227E-2</v>
          </cell>
          <cell r="H468">
            <v>4192.3902224378371</v>
          </cell>
          <cell r="I468">
            <v>5101.387373272215</v>
          </cell>
          <cell r="J468">
            <v>908.99715083437786</v>
          </cell>
          <cell r="K468">
            <v>4192.3902224378371</v>
          </cell>
          <cell r="L468">
            <v>2.3380465422985143E-2</v>
          </cell>
          <cell r="M468">
            <v>3146.8190457807309</v>
          </cell>
          <cell r="N468">
            <v>0.13233048973005596</v>
          </cell>
          <cell r="O468">
            <v>8384.7804448756742</v>
          </cell>
          <cell r="P468">
            <v>8248.2064190529454</v>
          </cell>
          <cell r="Q468">
            <v>-136.5740258227288</v>
          </cell>
          <cell r="R468">
            <v>4192.3902224378371</v>
          </cell>
          <cell r="S468">
            <v>2.3380465422985143E-2</v>
          </cell>
          <cell r="T468">
            <v>3310.3094382851637</v>
          </cell>
          <cell r="U468">
            <v>4.8111609218778979E-3</v>
          </cell>
          <cell r="V468">
            <v>12577.170667313512</v>
          </cell>
          <cell r="W468">
            <v>11558.515857338109</v>
          </cell>
          <cell r="X468">
            <v>-1018.6548099754036</v>
          </cell>
          <cell r="Y468">
            <v>4192.3902224378371</v>
          </cell>
          <cell r="Z468">
            <v>2.3380465422985143E-2</v>
          </cell>
          <cell r="AA468">
            <v>0</v>
          </cell>
          <cell r="AB468">
            <v>0</v>
          </cell>
          <cell r="AC468">
            <v>16769.560889751348</v>
          </cell>
          <cell r="AD468">
            <v>11558.515857338109</v>
          </cell>
          <cell r="AE468">
            <v>-5211.0450324132398</v>
          </cell>
          <cell r="AF468">
            <v>4192.3902224378371</v>
          </cell>
          <cell r="AG468">
            <v>2.3380465422985143E-2</v>
          </cell>
          <cell r="AH468">
            <v>0</v>
          </cell>
          <cell r="AI468">
            <v>0</v>
          </cell>
          <cell r="AJ468">
            <v>20961.951112189185</v>
          </cell>
          <cell r="AK468">
            <v>11558.515857338109</v>
          </cell>
          <cell r="AL468">
            <v>-9403.435254851076</v>
          </cell>
          <cell r="AM468">
            <v>4192.3902224378371</v>
          </cell>
          <cell r="AN468">
            <v>2.3380465422985143E-2</v>
          </cell>
          <cell r="AO468">
            <v>0</v>
          </cell>
          <cell r="AP468" t="e">
            <v>#DIV/0!</v>
          </cell>
          <cell r="AQ468">
            <v>25154.341334627021</v>
          </cell>
          <cell r="AR468">
            <v>11558.515857338109</v>
          </cell>
          <cell r="AS468">
            <v>-13595.825477288912</v>
          </cell>
          <cell r="AT468">
            <v>4192.3902224378371</v>
          </cell>
          <cell r="AU468">
            <v>2.3380465422985143E-2</v>
          </cell>
          <cell r="AV468">
            <v>0</v>
          </cell>
          <cell r="AW468" t="e">
            <v>#DIV/0!</v>
          </cell>
          <cell r="AX468">
            <v>29346.731557064857</v>
          </cell>
          <cell r="AY468">
            <v>11558.515857338109</v>
          </cell>
          <cell r="AZ468">
            <v>-17788.215699726748</v>
          </cell>
          <cell r="BA468">
            <v>4192.3902224378371</v>
          </cell>
          <cell r="BB468">
            <v>2.3380465422985143E-2</v>
          </cell>
          <cell r="BC468">
            <v>0</v>
          </cell>
          <cell r="BD468" t="e">
            <v>#DIV/0!</v>
          </cell>
          <cell r="BE468">
            <v>33539.121779502697</v>
          </cell>
          <cell r="BF468">
            <v>11558.515857338109</v>
          </cell>
          <cell r="BG468">
            <v>-21980.605922164588</v>
          </cell>
          <cell r="BH468">
            <v>4192.3902224378371</v>
          </cell>
          <cell r="BI468">
            <v>2.3380465422985143E-2</v>
          </cell>
          <cell r="BJ468">
            <v>0</v>
          </cell>
          <cell r="BK468" t="e">
            <v>#DIV/0!</v>
          </cell>
          <cell r="BL468">
            <v>37731.512001940537</v>
          </cell>
          <cell r="BM468">
            <v>11558.515857338109</v>
          </cell>
          <cell r="BN468">
            <v>-26172.996144602428</v>
          </cell>
          <cell r="BO468">
            <v>4192.3902224378371</v>
          </cell>
          <cell r="BP468">
            <v>2.3380465422985143E-2</v>
          </cell>
          <cell r="BQ468">
            <v>0</v>
          </cell>
          <cell r="BR468" t="e">
            <v>#DIV/0!</v>
          </cell>
          <cell r="BS468">
            <v>41923.902224378377</v>
          </cell>
          <cell r="BT468">
            <v>11558.515857338109</v>
          </cell>
          <cell r="BU468">
            <v>-30365.386367040268</v>
          </cell>
          <cell r="BV468">
            <v>4192.3902224378371</v>
          </cell>
          <cell r="BW468">
            <v>2.3380465422985143E-2</v>
          </cell>
          <cell r="BX468">
            <v>0</v>
          </cell>
          <cell r="BY468" t="e">
            <v>#DIV/0!</v>
          </cell>
          <cell r="BZ468">
            <v>46116.292446816216</v>
          </cell>
          <cell r="CA468">
            <v>11558.515857338109</v>
          </cell>
          <cell r="CB468">
            <v>-34557.776589478104</v>
          </cell>
          <cell r="CC468">
            <v>4192.3902224378371</v>
          </cell>
          <cell r="CD468">
            <v>2.3380465422985143E-2</v>
          </cell>
          <cell r="CE468">
            <v>0</v>
          </cell>
          <cell r="CF468" t="e">
            <v>#DIV/0!</v>
          </cell>
          <cell r="CG468">
            <v>50308.682669254056</v>
          </cell>
          <cell r="CH468">
            <v>11558.515857338109</v>
          </cell>
        </row>
        <row r="469">
          <cell r="A469" t="str">
            <v>Pauta - Gestão de Pauta</v>
          </cell>
          <cell r="B469">
            <v>4.4425125032272889E-3</v>
          </cell>
          <cell r="C469">
            <v>1736.4262332006897</v>
          </cell>
          <cell r="D469">
            <v>1535.7382551295846</v>
          </cell>
          <cell r="E469">
            <v>8.5646309784430351E-3</v>
          </cell>
          <cell r="F469">
            <v>1852.0904492770401</v>
          </cell>
          <cell r="G469">
            <v>1.0836895423665876E-2</v>
          </cell>
          <cell r="H469">
            <v>1535.7382551295846</v>
          </cell>
          <cell r="I469">
            <v>1852.0904492770401</v>
          </cell>
          <cell r="J469">
            <v>316.35219414745552</v>
          </cell>
          <cell r="K469">
            <v>1535.7382551295846</v>
          </cell>
          <cell r="L469">
            <v>8.5646309784430351E-3</v>
          </cell>
          <cell r="M469">
            <v>1106.970288042927</v>
          </cell>
          <cell r="N469">
            <v>4.6550474686414087E-2</v>
          </cell>
          <cell r="O469">
            <v>3071.4765102591691</v>
          </cell>
          <cell r="P469">
            <v>2959.0607373199673</v>
          </cell>
          <cell r="Q469">
            <v>-112.41577293920182</v>
          </cell>
          <cell r="R469">
            <v>1535.7382551295846</v>
          </cell>
          <cell r="S469">
            <v>8.5646309784430351E-3</v>
          </cell>
          <cell r="T469">
            <v>1454.1149743328042</v>
          </cell>
          <cell r="U469">
            <v>2.1133918960916211E-3</v>
          </cell>
          <cell r="V469">
            <v>4607.2147653887532</v>
          </cell>
          <cell r="W469">
            <v>4413.1757116527715</v>
          </cell>
          <cell r="X469">
            <v>-194.03905373598172</v>
          </cell>
          <cell r="Y469">
            <v>1535.7382551295846</v>
          </cell>
          <cell r="Z469">
            <v>8.5646309784430351E-3</v>
          </cell>
          <cell r="AA469">
            <v>0</v>
          </cell>
          <cell r="AB469">
            <v>0</v>
          </cell>
          <cell r="AC469">
            <v>6142.9530205183382</v>
          </cell>
          <cell r="AD469">
            <v>4413.1757116527715</v>
          </cell>
          <cell r="AE469">
            <v>-1729.7773088655667</v>
          </cell>
          <cell r="AF469">
            <v>1535.7382551295846</v>
          </cell>
          <cell r="AG469">
            <v>8.5646309784430351E-3</v>
          </cell>
          <cell r="AH469">
            <v>0</v>
          </cell>
          <cell r="AI469">
            <v>0</v>
          </cell>
          <cell r="AJ469">
            <v>7678.6912756479232</v>
          </cell>
          <cell r="AK469">
            <v>4413.1757116527715</v>
          </cell>
          <cell r="AL469">
            <v>-3265.5155639951518</v>
          </cell>
          <cell r="AM469">
            <v>1535.7382551295846</v>
          </cell>
          <cell r="AN469">
            <v>8.5646309784430351E-3</v>
          </cell>
          <cell r="AO469">
            <v>0</v>
          </cell>
          <cell r="AP469" t="e">
            <v>#DIV/0!</v>
          </cell>
          <cell r="AQ469">
            <v>9214.4295307775083</v>
          </cell>
          <cell r="AR469">
            <v>4413.1757116527715</v>
          </cell>
          <cell r="AS469">
            <v>-4801.2538191247368</v>
          </cell>
          <cell r="AT469">
            <v>1535.7382551295846</v>
          </cell>
          <cell r="AU469">
            <v>8.5646309784430351E-3</v>
          </cell>
          <cell r="AV469">
            <v>0</v>
          </cell>
          <cell r="AW469" t="e">
            <v>#DIV/0!</v>
          </cell>
          <cell r="AX469">
            <v>10750.167785907093</v>
          </cell>
          <cell r="AY469">
            <v>4413.1757116527715</v>
          </cell>
          <cell r="AZ469">
            <v>-6336.9920742543218</v>
          </cell>
          <cell r="BA469">
            <v>1535.7382551295846</v>
          </cell>
          <cell r="BB469">
            <v>8.5646309784430351E-3</v>
          </cell>
          <cell r="BC469">
            <v>0</v>
          </cell>
          <cell r="BD469" t="e">
            <v>#DIV/0!</v>
          </cell>
          <cell r="BE469">
            <v>12285.906041036678</v>
          </cell>
          <cell r="BF469">
            <v>4413.1757116527715</v>
          </cell>
          <cell r="BG469">
            <v>-7872.7303293839068</v>
          </cell>
          <cell r="BH469">
            <v>1535.7382551295846</v>
          </cell>
          <cell r="BI469">
            <v>8.5646309784430351E-3</v>
          </cell>
          <cell r="BJ469">
            <v>0</v>
          </cell>
          <cell r="BK469" t="e">
            <v>#DIV/0!</v>
          </cell>
          <cell r="BL469">
            <v>13821.644296166263</v>
          </cell>
          <cell r="BM469">
            <v>4413.1757116527715</v>
          </cell>
          <cell r="BN469">
            <v>-9408.4685845134918</v>
          </cell>
          <cell r="BO469">
            <v>1535.7382551295846</v>
          </cell>
          <cell r="BP469">
            <v>8.5646309784430351E-3</v>
          </cell>
          <cell r="BQ469">
            <v>0</v>
          </cell>
          <cell r="BR469" t="e">
            <v>#DIV/0!</v>
          </cell>
          <cell r="BS469">
            <v>15357.382551295848</v>
          </cell>
          <cell r="BT469">
            <v>4413.1757116527715</v>
          </cell>
          <cell r="BU469">
            <v>-10944.206839643077</v>
          </cell>
          <cell r="BV469">
            <v>1535.7382551295846</v>
          </cell>
          <cell r="BW469">
            <v>8.5646309784430351E-3</v>
          </cell>
          <cell r="BX469">
            <v>0</v>
          </cell>
          <cell r="BY469" t="e">
            <v>#DIV/0!</v>
          </cell>
          <cell r="BZ469">
            <v>16893.120806425432</v>
          </cell>
          <cell r="CA469">
            <v>4413.1757116527715</v>
          </cell>
          <cell r="CB469">
            <v>-12479.94509477266</v>
          </cell>
          <cell r="CC469">
            <v>1535.7382551295846</v>
          </cell>
          <cell r="CD469">
            <v>8.5646309784430351E-3</v>
          </cell>
          <cell r="CE469">
            <v>0</v>
          </cell>
          <cell r="CF469" t="e">
            <v>#DIV/0!</v>
          </cell>
          <cell r="CG469">
            <v>18428.859061555017</v>
          </cell>
          <cell r="CH469">
            <v>4413.1757116527715</v>
          </cell>
        </row>
        <row r="470">
          <cell r="A470" t="str">
            <v>Seguro de Vida</v>
          </cell>
          <cell r="B470">
            <v>5.3891989716299972E-4</v>
          </cell>
          <cell r="C470">
            <v>210.64536033333329</v>
          </cell>
          <cell r="D470">
            <v>0</v>
          </cell>
          <cell r="E470">
            <v>0</v>
          </cell>
          <cell r="F470">
            <v>345.03500000000003</v>
          </cell>
          <cell r="G470">
            <v>2.0188583197781238E-3</v>
          </cell>
          <cell r="H470">
            <v>0</v>
          </cell>
          <cell r="I470">
            <v>345.03500000000003</v>
          </cell>
          <cell r="J470">
            <v>345.03500000000003</v>
          </cell>
          <cell r="K470">
            <v>0</v>
          </cell>
          <cell r="L470">
            <v>0</v>
          </cell>
          <cell r="M470">
            <v>353.55239999999998</v>
          </cell>
          <cell r="N470">
            <v>1.4867636669470143E-2</v>
          </cell>
          <cell r="O470">
            <v>0</v>
          </cell>
          <cell r="P470">
            <v>698.5874</v>
          </cell>
          <cell r="Q470">
            <v>698.5874</v>
          </cell>
          <cell r="R470">
            <v>0</v>
          </cell>
          <cell r="S470">
            <v>0</v>
          </cell>
          <cell r="T470">
            <v>363.91139719999995</v>
          </cell>
          <cell r="U470">
            <v>5.289041178402977E-4</v>
          </cell>
          <cell r="V470">
            <v>0</v>
          </cell>
          <cell r="W470">
            <v>1062.4987971999999</v>
          </cell>
          <cell r="X470">
            <v>1062.4987971999999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1062.4987971999999</v>
          </cell>
          <cell r="AE470">
            <v>1062.4987971999999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1062.4987971999999</v>
          </cell>
          <cell r="AL470">
            <v>1062.4987971999999</v>
          </cell>
          <cell r="AM470">
            <v>0</v>
          </cell>
          <cell r="AN470">
            <v>0</v>
          </cell>
          <cell r="AO470">
            <v>0</v>
          </cell>
          <cell r="AP470" t="e">
            <v>#DIV/0!</v>
          </cell>
          <cell r="AQ470">
            <v>0</v>
          </cell>
          <cell r="AR470">
            <v>1062.4987971999999</v>
          </cell>
          <cell r="AS470">
            <v>1062.4987971999999</v>
          </cell>
          <cell r="AT470">
            <v>0</v>
          </cell>
          <cell r="AU470">
            <v>0</v>
          </cell>
          <cell r="AV470">
            <v>0</v>
          </cell>
          <cell r="AW470" t="e">
            <v>#DIV/0!</v>
          </cell>
          <cell r="AX470">
            <v>0</v>
          </cell>
          <cell r="AY470">
            <v>1062.4987971999999</v>
          </cell>
          <cell r="AZ470">
            <v>1062.4987971999999</v>
          </cell>
          <cell r="BA470">
            <v>0</v>
          </cell>
          <cell r="BB470">
            <v>0</v>
          </cell>
          <cell r="BC470">
            <v>0</v>
          </cell>
          <cell r="BD470" t="e">
            <v>#DIV/0!</v>
          </cell>
          <cell r="BE470">
            <v>0</v>
          </cell>
          <cell r="BF470">
            <v>1062.4987971999999</v>
          </cell>
          <cell r="BG470">
            <v>1062.4987971999999</v>
          </cell>
          <cell r="BH470">
            <v>0</v>
          </cell>
          <cell r="BI470">
            <v>0</v>
          </cell>
          <cell r="BJ470">
            <v>0</v>
          </cell>
          <cell r="BK470" t="e">
            <v>#DIV/0!</v>
          </cell>
          <cell r="BL470">
            <v>0</v>
          </cell>
          <cell r="BM470">
            <v>1062.4987971999999</v>
          </cell>
          <cell r="BN470">
            <v>1062.4987971999999</v>
          </cell>
          <cell r="BO470">
            <v>0</v>
          </cell>
          <cell r="BP470">
            <v>0</v>
          </cell>
          <cell r="BQ470">
            <v>0</v>
          </cell>
          <cell r="BR470" t="e">
            <v>#DIV/0!</v>
          </cell>
          <cell r="BS470">
            <v>0</v>
          </cell>
          <cell r="BT470">
            <v>1062.4987971999999</v>
          </cell>
          <cell r="BU470">
            <v>1062.4987971999999</v>
          </cell>
          <cell r="BV470">
            <v>0</v>
          </cell>
          <cell r="BW470">
            <v>0</v>
          </cell>
          <cell r="BX470">
            <v>0</v>
          </cell>
          <cell r="BY470" t="e">
            <v>#DIV/0!</v>
          </cell>
          <cell r="BZ470">
            <v>0</v>
          </cell>
          <cell r="CA470">
            <v>1062.4987971999999</v>
          </cell>
          <cell r="CB470">
            <v>1062.4987971999999</v>
          </cell>
          <cell r="CC470">
            <v>0</v>
          </cell>
          <cell r="CD470">
            <v>0</v>
          </cell>
          <cell r="CE470">
            <v>0</v>
          </cell>
          <cell r="CF470" t="e">
            <v>#DIV/0!</v>
          </cell>
          <cell r="CG470">
            <v>0</v>
          </cell>
          <cell r="CH470">
            <v>1062.4987971999999</v>
          </cell>
        </row>
        <row r="471">
          <cell r="A471" t="str">
            <v>Plano de Saúde</v>
          </cell>
          <cell r="B471">
            <v>8.9119270939536175E-3</v>
          </cell>
          <cell r="C471">
            <v>3483.3675725327089</v>
          </cell>
          <cell r="D471">
            <v>1595.2660833065902</v>
          </cell>
          <cell r="E471">
            <v>8.8966106498364495E-3</v>
          </cell>
          <cell r="F471">
            <v>5265.1698981996042</v>
          </cell>
          <cell r="G471">
            <v>3.080740230418829E-2</v>
          </cell>
          <cell r="H471">
            <v>1595.2660833065902</v>
          </cell>
          <cell r="I471">
            <v>5265.1698981996042</v>
          </cell>
          <cell r="J471">
            <v>3669.903814893014</v>
          </cell>
          <cell r="K471">
            <v>1595.2660833065902</v>
          </cell>
          <cell r="L471">
            <v>8.8966106498364495E-3</v>
          </cell>
          <cell r="M471">
            <v>6561.0317142857148</v>
          </cell>
          <cell r="N471">
            <v>0.27590545476390727</v>
          </cell>
          <cell r="O471">
            <v>3190.5321666131804</v>
          </cell>
          <cell r="P471">
            <v>11826.201612485318</v>
          </cell>
          <cell r="Q471">
            <v>8635.6694458721377</v>
          </cell>
          <cell r="R471">
            <v>1595.2660833065902</v>
          </cell>
          <cell r="S471">
            <v>8.8966106498364495E-3</v>
          </cell>
          <cell r="T471">
            <v>6413.0113692999994</v>
          </cell>
          <cell r="U471">
            <v>9.3205877778961086E-3</v>
          </cell>
          <cell r="V471">
            <v>4785.7982499197706</v>
          </cell>
          <cell r="W471">
            <v>18239.212981785317</v>
          </cell>
          <cell r="X471">
            <v>13453.414731865545</v>
          </cell>
          <cell r="Y471">
            <v>1595.2660833065902</v>
          </cell>
          <cell r="Z471">
            <v>8.8966106498364495E-3</v>
          </cell>
          <cell r="AA471">
            <v>0</v>
          </cell>
          <cell r="AB471">
            <v>0</v>
          </cell>
          <cell r="AC471">
            <v>6381.0643332263608</v>
          </cell>
          <cell r="AD471">
            <v>18239.212981785317</v>
          </cell>
          <cell r="AE471">
            <v>11858.148648558956</v>
          </cell>
          <cell r="AF471">
            <v>1595.2660833065902</v>
          </cell>
          <cell r="AG471">
            <v>8.8966106498364495E-3</v>
          </cell>
          <cell r="AH471">
            <v>0</v>
          </cell>
          <cell r="AI471">
            <v>0</v>
          </cell>
          <cell r="AJ471">
            <v>7976.3304165329509</v>
          </cell>
          <cell r="AK471">
            <v>18239.212981785317</v>
          </cell>
          <cell r="AL471">
            <v>10262.882565252366</v>
          </cell>
          <cell r="AM471">
            <v>1595.2660833065902</v>
          </cell>
          <cell r="AN471">
            <v>8.8966106498364495E-3</v>
          </cell>
          <cell r="AO471">
            <v>0</v>
          </cell>
          <cell r="AP471" t="e">
            <v>#DIV/0!</v>
          </cell>
          <cell r="AQ471">
            <v>9571.5964998395411</v>
          </cell>
          <cell r="AR471">
            <v>18239.212981785317</v>
          </cell>
          <cell r="AS471">
            <v>8667.6164819457754</v>
          </cell>
          <cell r="AT471">
            <v>1595.2660833065902</v>
          </cell>
          <cell r="AU471">
            <v>8.8966106498364495E-3</v>
          </cell>
          <cell r="AV471">
            <v>0</v>
          </cell>
          <cell r="AW471" t="e">
            <v>#DIV/0!</v>
          </cell>
          <cell r="AX471">
            <v>11166.862583146132</v>
          </cell>
          <cell r="AY471">
            <v>18239.212981785317</v>
          </cell>
          <cell r="AZ471">
            <v>7072.3503986391843</v>
          </cell>
          <cell r="BA471">
            <v>1595.2660833065902</v>
          </cell>
          <cell r="BB471">
            <v>8.8966106498364495E-3</v>
          </cell>
          <cell r="BC471">
            <v>0</v>
          </cell>
          <cell r="BD471" t="e">
            <v>#DIV/0!</v>
          </cell>
          <cell r="BE471">
            <v>12762.128666452722</v>
          </cell>
          <cell r="BF471">
            <v>18239.212981785317</v>
          </cell>
          <cell r="BG471">
            <v>5477.084315332595</v>
          </cell>
          <cell r="BH471">
            <v>1595.2660833065902</v>
          </cell>
          <cell r="BI471">
            <v>8.8966106498364495E-3</v>
          </cell>
          <cell r="BJ471">
            <v>0</v>
          </cell>
          <cell r="BK471" t="e">
            <v>#DIV/0!</v>
          </cell>
          <cell r="BL471">
            <v>14357.394749759311</v>
          </cell>
          <cell r="BM471">
            <v>18239.212981785317</v>
          </cell>
          <cell r="BN471">
            <v>3881.8182320260057</v>
          </cell>
          <cell r="BO471">
            <v>1595.2660833065902</v>
          </cell>
          <cell r="BP471">
            <v>8.8966106498364495E-3</v>
          </cell>
          <cell r="BQ471">
            <v>0</v>
          </cell>
          <cell r="BR471" t="e">
            <v>#DIV/0!</v>
          </cell>
          <cell r="BS471">
            <v>15952.6608330659</v>
          </cell>
          <cell r="BT471">
            <v>18239.212981785317</v>
          </cell>
          <cell r="BU471">
            <v>2286.5521487194164</v>
          </cell>
          <cell r="BV471">
            <v>1595.2660833065902</v>
          </cell>
          <cell r="BW471">
            <v>8.8966106498364495E-3</v>
          </cell>
          <cell r="BX471">
            <v>0</v>
          </cell>
          <cell r="BY471" t="e">
            <v>#DIV/0!</v>
          </cell>
          <cell r="BZ471">
            <v>17547.926916372489</v>
          </cell>
          <cell r="CA471">
            <v>18239.212981785317</v>
          </cell>
          <cell r="CB471">
            <v>691.28606541282716</v>
          </cell>
          <cell r="CC471">
            <v>1595.2660833065902</v>
          </cell>
          <cell r="CD471">
            <v>8.8966106498364495E-3</v>
          </cell>
          <cell r="CE471">
            <v>0</v>
          </cell>
          <cell r="CF471" t="e">
            <v>#DIV/0!</v>
          </cell>
          <cell r="CG471">
            <v>19143.192999679079</v>
          </cell>
          <cell r="CH471">
            <v>18239.212981785317</v>
          </cell>
        </row>
        <row r="472">
          <cell r="A472" t="str">
            <v>Plano Odontológico</v>
          </cell>
          <cell r="B472">
            <v>5.0267166729310987E-4</v>
          </cell>
          <cell r="C472">
            <v>196.47716672500002</v>
          </cell>
          <cell r="D472">
            <v>50.106001499999998</v>
          </cell>
          <cell r="E472">
            <v>2.7943525611830427E-4</v>
          </cell>
          <cell r="F472">
            <v>137.928</v>
          </cell>
          <cell r="G472">
            <v>8.0704012732145153E-4</v>
          </cell>
          <cell r="H472">
            <v>50.106001499999998</v>
          </cell>
          <cell r="I472">
            <v>137.928</v>
          </cell>
          <cell r="J472">
            <v>87.821998500000007</v>
          </cell>
          <cell r="K472">
            <v>50.106001499999998</v>
          </cell>
          <cell r="L472">
            <v>2.7943525611830427E-4</v>
          </cell>
          <cell r="M472">
            <v>57.125999999999998</v>
          </cell>
          <cell r="N472">
            <v>2.4022708158116064E-3</v>
          </cell>
          <cell r="O472">
            <v>100.212003</v>
          </cell>
          <cell r="P472">
            <v>195.054</v>
          </cell>
          <cell r="Q472">
            <v>94.841997000000006</v>
          </cell>
          <cell r="R472">
            <v>50.106001499999998</v>
          </cell>
          <cell r="S472">
            <v>2.7943525611830427E-4</v>
          </cell>
          <cell r="T472">
            <v>74.597999999999999</v>
          </cell>
          <cell r="U472">
            <v>1.0841976834533318E-4</v>
          </cell>
          <cell r="V472">
            <v>150.3180045</v>
          </cell>
          <cell r="W472">
            <v>269.65199999999999</v>
          </cell>
          <cell r="X472">
            <v>119.33399549999999</v>
          </cell>
          <cell r="Y472">
            <v>50.106001499999998</v>
          </cell>
          <cell r="Z472">
            <v>2.7943525611830427E-4</v>
          </cell>
          <cell r="AA472">
            <v>0</v>
          </cell>
          <cell r="AB472">
            <v>0</v>
          </cell>
          <cell r="AC472">
            <v>200.42400599999999</v>
          </cell>
          <cell r="AD472">
            <v>269.65199999999999</v>
          </cell>
          <cell r="AE472">
            <v>69.227993999999995</v>
          </cell>
          <cell r="AF472">
            <v>50.106001499999998</v>
          </cell>
          <cell r="AG472">
            <v>2.7943525611830427E-4</v>
          </cell>
          <cell r="AH472">
            <v>0</v>
          </cell>
          <cell r="AI472">
            <v>0</v>
          </cell>
          <cell r="AJ472">
            <v>250.53000749999998</v>
          </cell>
          <cell r="AK472">
            <v>269.65199999999999</v>
          </cell>
          <cell r="AL472">
            <v>19.121992500000005</v>
          </cell>
          <cell r="AM472">
            <v>50.106001499999998</v>
          </cell>
          <cell r="AN472">
            <v>2.7943525611830427E-4</v>
          </cell>
          <cell r="AO472">
            <v>0</v>
          </cell>
          <cell r="AP472" t="e">
            <v>#DIV/0!</v>
          </cell>
          <cell r="AQ472">
            <v>300.636009</v>
          </cell>
          <cell r="AR472">
            <v>269.65199999999999</v>
          </cell>
          <cell r="AS472">
            <v>-30.984009000000015</v>
          </cell>
          <cell r="AT472">
            <v>50.106001499999998</v>
          </cell>
          <cell r="AU472">
            <v>2.7943525611830427E-4</v>
          </cell>
          <cell r="AV472">
            <v>0</v>
          </cell>
          <cell r="AW472" t="e">
            <v>#DIV/0!</v>
          </cell>
          <cell r="AX472">
            <v>350.74201049999999</v>
          </cell>
          <cell r="AY472">
            <v>269.65199999999999</v>
          </cell>
          <cell r="AZ472">
            <v>-81.090010500000005</v>
          </cell>
          <cell r="BA472">
            <v>50.106001499999998</v>
          </cell>
          <cell r="BB472">
            <v>2.7943525611830427E-4</v>
          </cell>
          <cell r="BC472">
            <v>0</v>
          </cell>
          <cell r="BD472" t="e">
            <v>#DIV/0!</v>
          </cell>
          <cell r="BE472">
            <v>400.84801199999998</v>
          </cell>
          <cell r="BF472">
            <v>269.65199999999999</v>
          </cell>
          <cell r="BG472">
            <v>-131.196012</v>
          </cell>
          <cell r="BH472">
            <v>50.106001499999998</v>
          </cell>
          <cell r="BI472">
            <v>2.7943525611830427E-4</v>
          </cell>
          <cell r="BJ472">
            <v>0</v>
          </cell>
          <cell r="BK472" t="e">
            <v>#DIV/0!</v>
          </cell>
          <cell r="BL472">
            <v>450.95401349999997</v>
          </cell>
          <cell r="BM472">
            <v>269.65199999999999</v>
          </cell>
          <cell r="BN472">
            <v>-181.30201349999999</v>
          </cell>
          <cell r="BO472">
            <v>50.106001499999998</v>
          </cell>
          <cell r="BP472">
            <v>2.7943525611830427E-4</v>
          </cell>
          <cell r="BQ472">
            <v>0</v>
          </cell>
          <cell r="BR472" t="e">
            <v>#DIV/0!</v>
          </cell>
          <cell r="BS472">
            <v>501.06001499999996</v>
          </cell>
          <cell r="BT472">
            <v>269.65199999999999</v>
          </cell>
          <cell r="BU472">
            <v>-231.40801499999998</v>
          </cell>
          <cell r="BV472">
            <v>50.106001499999998</v>
          </cell>
          <cell r="BW472">
            <v>2.7943525611830427E-4</v>
          </cell>
          <cell r="BX472">
            <v>0</v>
          </cell>
          <cell r="BY472" t="e">
            <v>#DIV/0!</v>
          </cell>
          <cell r="BZ472">
            <v>551.16601649999996</v>
          </cell>
          <cell r="CA472">
            <v>269.65199999999999</v>
          </cell>
          <cell r="CB472">
            <v>-281.51401649999997</v>
          </cell>
          <cell r="CC472">
            <v>50.106001499999998</v>
          </cell>
          <cell r="CD472">
            <v>2.7943525611830427E-4</v>
          </cell>
          <cell r="CE472">
            <v>0</v>
          </cell>
          <cell r="CF472" t="e">
            <v>#DIV/0!</v>
          </cell>
          <cell r="CG472">
            <v>601.272018</v>
          </cell>
          <cell r="CH472">
            <v>269.65199999999999</v>
          </cell>
        </row>
        <row r="473">
          <cell r="A473" t="str">
            <v>Saneamento Gestão</v>
          </cell>
          <cell r="B473">
            <v>1.6763139341682536E-3</v>
          </cell>
          <cell r="C473">
            <v>655.21379810524911</v>
          </cell>
          <cell r="D473">
            <v>12516.91</v>
          </cell>
          <cell r="E473">
            <v>6.9805329640198172E-2</v>
          </cell>
          <cell r="F473">
            <v>5797.2353390049329</v>
          </cell>
          <cell r="G473">
            <v>3.3920607462610636E-2</v>
          </cell>
          <cell r="H473">
            <v>12516.91</v>
          </cell>
          <cell r="I473">
            <v>5797.2353390049329</v>
          </cell>
          <cell r="J473">
            <v>-6719.6746609950669</v>
          </cell>
          <cell r="K473">
            <v>9516.94</v>
          </cell>
          <cell r="L473">
            <v>5.3074851050777513E-2</v>
          </cell>
          <cell r="M473">
            <v>0</v>
          </cell>
          <cell r="N473">
            <v>0</v>
          </cell>
          <cell r="O473">
            <v>22033.85</v>
          </cell>
          <cell r="P473">
            <v>5797.2353390049329</v>
          </cell>
          <cell r="Q473">
            <v>-16236.614660995067</v>
          </cell>
          <cell r="R473">
            <v>9516.94</v>
          </cell>
          <cell r="S473">
            <v>5.3074851050777513E-2</v>
          </cell>
          <cell r="T473">
            <v>-1.233167213547163E-5</v>
          </cell>
          <cell r="U473">
            <v>-1.7922692783163548E-11</v>
          </cell>
          <cell r="V473">
            <v>31550.79</v>
          </cell>
          <cell r="W473">
            <v>5797.2353266732607</v>
          </cell>
          <cell r="X473">
            <v>-25753.55467332674</v>
          </cell>
          <cell r="Y473">
            <v>9516.94</v>
          </cell>
          <cell r="Z473">
            <v>5.3074851050777513E-2</v>
          </cell>
          <cell r="AA473">
            <v>0</v>
          </cell>
          <cell r="AB473">
            <v>0</v>
          </cell>
          <cell r="AC473">
            <v>41067.730000000003</v>
          </cell>
          <cell r="AD473">
            <v>5797.2353266732607</v>
          </cell>
          <cell r="AE473">
            <v>-35270.494673326742</v>
          </cell>
          <cell r="AF473">
            <v>9516.94</v>
          </cell>
          <cell r="AG473">
            <v>5.3074851050777513E-2</v>
          </cell>
          <cell r="AH473">
            <v>0</v>
          </cell>
          <cell r="AI473">
            <v>0</v>
          </cell>
          <cell r="AJ473">
            <v>50584.670000000006</v>
          </cell>
          <cell r="AK473">
            <v>5797.2353266732607</v>
          </cell>
          <cell r="AL473">
            <v>-44787.434673326745</v>
          </cell>
          <cell r="AM473">
            <v>9516.94</v>
          </cell>
          <cell r="AN473">
            <v>5.3074851050777513E-2</v>
          </cell>
          <cell r="AO473">
            <v>0</v>
          </cell>
          <cell r="AP473" t="e">
            <v>#DIV/0!</v>
          </cell>
          <cell r="AQ473">
            <v>60101.610000000008</v>
          </cell>
          <cell r="AR473">
            <v>5797.2353266732607</v>
          </cell>
          <cell r="AS473">
            <v>-54304.374673326747</v>
          </cell>
          <cell r="AT473">
            <v>9516.94</v>
          </cell>
          <cell r="AU473">
            <v>5.3074851050777513E-2</v>
          </cell>
          <cell r="AV473">
            <v>0</v>
          </cell>
          <cell r="AW473" t="e">
            <v>#DIV/0!</v>
          </cell>
          <cell r="AX473">
            <v>69618.55</v>
          </cell>
          <cell r="AY473">
            <v>5797.2353266732607</v>
          </cell>
          <cell r="AZ473">
            <v>-63821.314673326742</v>
          </cell>
          <cell r="BA473">
            <v>9516.94</v>
          </cell>
          <cell r="BB473">
            <v>5.3074851050777513E-2</v>
          </cell>
          <cell r="BC473">
            <v>0</v>
          </cell>
          <cell r="BD473" t="e">
            <v>#DIV/0!</v>
          </cell>
          <cell r="BE473">
            <v>79135.490000000005</v>
          </cell>
          <cell r="BF473">
            <v>5797.2353266732607</v>
          </cell>
          <cell r="BG473">
            <v>-73338.254673326737</v>
          </cell>
          <cell r="BH473">
            <v>9516.94</v>
          </cell>
          <cell r="BI473">
            <v>5.3074851050777513E-2</v>
          </cell>
          <cell r="BJ473">
            <v>0</v>
          </cell>
          <cell r="BK473" t="e">
            <v>#DIV/0!</v>
          </cell>
          <cell r="BL473">
            <v>88652.430000000008</v>
          </cell>
          <cell r="BM473">
            <v>5797.2353266732607</v>
          </cell>
          <cell r="BN473">
            <v>-82855.19467332674</v>
          </cell>
          <cell r="BO473">
            <v>9516.94</v>
          </cell>
          <cell r="BP473">
            <v>5.3074851050777513E-2</v>
          </cell>
          <cell r="BQ473">
            <v>0</v>
          </cell>
          <cell r="BR473" t="e">
            <v>#DIV/0!</v>
          </cell>
          <cell r="BS473">
            <v>98169.37000000001</v>
          </cell>
          <cell r="BT473">
            <v>5797.2353266732607</v>
          </cell>
          <cell r="BU473">
            <v>-92372.134673326742</v>
          </cell>
          <cell r="BV473">
            <v>9516.94</v>
          </cell>
          <cell r="BW473">
            <v>5.3074851050777513E-2</v>
          </cell>
          <cell r="BX473">
            <v>0</v>
          </cell>
          <cell r="BY473" t="e">
            <v>#DIV/0!</v>
          </cell>
          <cell r="BZ473">
            <v>107686.31000000001</v>
          </cell>
          <cell r="CA473">
            <v>5797.2353266732607</v>
          </cell>
          <cell r="CB473">
            <v>-101889.07467332674</v>
          </cell>
          <cell r="CC473">
            <v>9516.94</v>
          </cell>
          <cell r="CD473">
            <v>5.3074851050777513E-2</v>
          </cell>
          <cell r="CE473">
            <v>0</v>
          </cell>
          <cell r="CF473" t="e">
            <v>#DIV/0!</v>
          </cell>
          <cell r="CG473">
            <v>117203.25000000001</v>
          </cell>
          <cell r="CH473">
            <v>5797.2353266732607</v>
          </cell>
        </row>
        <row r="474">
          <cell r="A474" t="str">
            <v>Remuneração</v>
          </cell>
          <cell r="B474">
            <v>0.19243019172964154</v>
          </cell>
          <cell r="C474">
            <v>75214.382117427798</v>
          </cell>
          <cell r="D474">
            <v>81171.113750417397</v>
          </cell>
          <cell r="E474">
            <v>0.45268172037746607</v>
          </cell>
          <cell r="F474">
            <v>91145.585227651332</v>
          </cell>
          <cell r="G474">
            <v>0.53330828190731361</v>
          </cell>
          <cell r="H474">
            <v>81171.113750417397</v>
          </cell>
          <cell r="I474">
            <v>91145.585227651332</v>
          </cell>
          <cell r="J474">
            <v>9974.4714772339357</v>
          </cell>
          <cell r="K474">
            <v>81171.113750417397</v>
          </cell>
          <cell r="L474">
            <v>0.45268172037746607</v>
          </cell>
          <cell r="M474">
            <v>103357.99547765129</v>
          </cell>
          <cell r="N474">
            <v>4.3464253775294903</v>
          </cell>
          <cell r="O474">
            <v>162342.22750083479</v>
          </cell>
          <cell r="P474">
            <v>194503.58070530262</v>
          </cell>
          <cell r="Q474">
            <v>32161.353204467829</v>
          </cell>
          <cell r="R474">
            <v>81171.113750417397</v>
          </cell>
          <cell r="S474">
            <v>0.45268172037746607</v>
          </cell>
          <cell r="T474">
            <v>99639.694727651324</v>
          </cell>
          <cell r="U474">
            <v>0.144815043571834</v>
          </cell>
          <cell r="V474">
            <v>243513.34125125219</v>
          </cell>
          <cell r="W474">
            <v>294143.27543295396</v>
          </cell>
          <cell r="X474">
            <v>50629.93418170177</v>
          </cell>
          <cell r="Y474">
            <v>81171.113750417397</v>
          </cell>
          <cell r="Z474">
            <v>0.45268172037746607</v>
          </cell>
          <cell r="AA474">
            <v>0</v>
          </cell>
          <cell r="AB474">
            <v>0</v>
          </cell>
          <cell r="AC474">
            <v>324684.45500166959</v>
          </cell>
          <cell r="AD474">
            <v>294143.27543295396</v>
          </cell>
          <cell r="AE474">
            <v>-30541.179568715626</v>
          </cell>
          <cell r="AF474">
            <v>81171.113750417397</v>
          </cell>
          <cell r="AG474">
            <v>0.45268172037746607</v>
          </cell>
          <cell r="AH474">
            <v>0</v>
          </cell>
          <cell r="AI474">
            <v>0</v>
          </cell>
          <cell r="AJ474">
            <v>405855.56875208695</v>
          </cell>
          <cell r="AK474">
            <v>294143.27543295396</v>
          </cell>
          <cell r="AL474">
            <v>-111712.29331913299</v>
          </cell>
          <cell r="AM474">
            <v>81171.113750417397</v>
          </cell>
          <cell r="AN474">
            <v>0.45268172037746607</v>
          </cell>
          <cell r="AO474">
            <v>0</v>
          </cell>
          <cell r="AP474" t="e">
            <v>#DIV/0!</v>
          </cell>
          <cell r="AQ474">
            <v>487026.68250250432</v>
          </cell>
          <cell r="AR474">
            <v>294143.27543295396</v>
          </cell>
          <cell r="AS474">
            <v>-192883.40706955036</v>
          </cell>
          <cell r="AT474">
            <v>81171.113750417397</v>
          </cell>
          <cell r="AU474">
            <v>0.45268172037746607</v>
          </cell>
          <cell r="AV474">
            <v>0</v>
          </cell>
          <cell r="AW474" t="e">
            <v>#DIV/0!</v>
          </cell>
          <cell r="AX474">
            <v>568197.79625292169</v>
          </cell>
          <cell r="AY474">
            <v>294143.27543295396</v>
          </cell>
          <cell r="AZ474">
            <v>-274054.52081996773</v>
          </cell>
          <cell r="BA474">
            <v>81171.113750417397</v>
          </cell>
          <cell r="BB474">
            <v>0.45268172037746607</v>
          </cell>
          <cell r="BC474">
            <v>0</v>
          </cell>
          <cell r="BD474" t="e">
            <v>#DIV/0!</v>
          </cell>
          <cell r="BE474">
            <v>649368.91000333906</v>
          </cell>
          <cell r="BF474">
            <v>294143.27543295396</v>
          </cell>
          <cell r="BG474">
            <v>-355225.6345703851</v>
          </cell>
          <cell r="BH474">
            <v>81171.113750417397</v>
          </cell>
          <cell r="BI474">
            <v>0.45268172037746607</v>
          </cell>
          <cell r="BJ474">
            <v>0</v>
          </cell>
          <cell r="BK474" t="e">
            <v>#DIV/0!</v>
          </cell>
          <cell r="BL474">
            <v>730540.02375375642</v>
          </cell>
          <cell r="BM474">
            <v>294143.27543295396</v>
          </cell>
          <cell r="BN474">
            <v>-436396.74832080246</v>
          </cell>
          <cell r="BO474">
            <v>81171.113750417397</v>
          </cell>
          <cell r="BP474">
            <v>0.45268172037746607</v>
          </cell>
          <cell r="BQ474">
            <v>0</v>
          </cell>
          <cell r="BR474" t="e">
            <v>#DIV/0!</v>
          </cell>
          <cell r="BS474">
            <v>811711.13750417379</v>
          </cell>
          <cell r="BT474">
            <v>294143.27543295396</v>
          </cell>
          <cell r="BU474">
            <v>-517567.86207121983</v>
          </cell>
          <cell r="BV474">
            <v>81171.113750417397</v>
          </cell>
          <cell r="BW474">
            <v>0.45268172037746607</v>
          </cell>
          <cell r="BX474">
            <v>0</v>
          </cell>
          <cell r="BY474" t="e">
            <v>#DIV/0!</v>
          </cell>
          <cell r="BZ474">
            <v>892882.25125459116</v>
          </cell>
          <cell r="CA474">
            <v>294143.27543295396</v>
          </cell>
          <cell r="CB474">
            <v>-598738.9758216372</v>
          </cell>
          <cell r="CC474">
            <v>81171.113750417397</v>
          </cell>
          <cell r="CD474">
            <v>0.45268172037746607</v>
          </cell>
          <cell r="CE474">
            <v>0</v>
          </cell>
          <cell r="CF474" t="e">
            <v>#DIV/0!</v>
          </cell>
          <cell r="CG474">
            <v>974053.36500500853</v>
          </cell>
          <cell r="CH474">
            <v>294143.27543295396</v>
          </cell>
        </row>
        <row r="475">
          <cell r="A475" t="str">
            <v>Pesquisas/Consultas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 t="e">
            <v>#DIV/0!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 t="e">
            <v>#DIV/0!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 t="e">
            <v>#DIV/0!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 t="e">
            <v>#DIV/0!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 t="e">
            <v>#DIV/0!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 t="e">
            <v>#DIV/0!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 t="e">
            <v>#DIV/0!</v>
          </cell>
          <cell r="CG475">
            <v>0</v>
          </cell>
          <cell r="CH475">
            <v>0</v>
          </cell>
        </row>
        <row r="476">
          <cell r="A476" t="str">
            <v>Sistemas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 t="e">
            <v>#DIV/0!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 t="e">
            <v>#DIV/0!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 t="e">
            <v>#DIV/0!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 t="e">
            <v>#DIV/0!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 t="e">
            <v>#DIV/0!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 t="e">
            <v>#DIV/0!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 t="e">
            <v>#DIV/0!</v>
          </cell>
          <cell r="CG476">
            <v>0</v>
          </cell>
          <cell r="CH476">
            <v>0</v>
          </cell>
        </row>
        <row r="477">
          <cell r="A477" t="str">
            <v>Indenização por Ruptura de Contrato</v>
          </cell>
          <cell r="B477">
            <v>1.1715444504389217E-3</v>
          </cell>
          <cell r="C477">
            <v>457.91666666666663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 t="e">
            <v>#DIV/0!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 t="e">
            <v>#DIV/0!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 t="e">
            <v>#DIV/0!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 t="e">
            <v>#DIV/0!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 t="e">
            <v>#DIV/0!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 t="e">
            <v>#DIV/0!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 t="e">
            <v>#DIV/0!</v>
          </cell>
          <cell r="CG477">
            <v>0</v>
          </cell>
          <cell r="CH477">
            <v>0</v>
          </cell>
        </row>
        <row r="478">
          <cell r="A478" t="str">
            <v>Vale Alimentação / Refeição</v>
          </cell>
          <cell r="B478">
            <v>2.9789046784061608E-3</v>
          </cell>
          <cell r="C478">
            <v>1164.3519801083332</v>
          </cell>
          <cell r="D478">
            <v>2204.1812961134019</v>
          </cell>
          <cell r="E478">
            <v>1.2292458918531432E-2</v>
          </cell>
          <cell r="F478">
            <v>1077.7829999999999</v>
          </cell>
          <cell r="G478">
            <v>6.306291177606403E-3</v>
          </cell>
          <cell r="H478">
            <v>2204.1812961134019</v>
          </cell>
          <cell r="I478">
            <v>1077.7829999999999</v>
          </cell>
          <cell r="J478">
            <v>-1126.398296113402</v>
          </cell>
          <cell r="K478">
            <v>2204.1812961134019</v>
          </cell>
          <cell r="L478">
            <v>1.2292458918531432E-2</v>
          </cell>
          <cell r="M478">
            <v>1394.778</v>
          </cell>
          <cell r="N478">
            <v>5.8653406223717411E-2</v>
          </cell>
          <cell r="O478">
            <v>4408.3625922268038</v>
          </cell>
          <cell r="P478">
            <v>2472.5609999999997</v>
          </cell>
          <cell r="Q478">
            <v>-1935.8015922268041</v>
          </cell>
          <cell r="R478">
            <v>2204.1812961134019</v>
          </cell>
          <cell r="S478">
            <v>1.2292458918531432E-2</v>
          </cell>
          <cell r="T478">
            <v>1324.6798236</v>
          </cell>
          <cell r="U478">
            <v>1.9252725221379772E-3</v>
          </cell>
          <cell r="V478">
            <v>6612.5438883402057</v>
          </cell>
          <cell r="W478">
            <v>3797.2408235999997</v>
          </cell>
          <cell r="X478">
            <v>-2815.3030647402061</v>
          </cell>
          <cell r="Y478">
            <v>2204.1812961134019</v>
          </cell>
          <cell r="Z478">
            <v>1.2292458918531432E-2</v>
          </cell>
          <cell r="AA478">
            <v>0</v>
          </cell>
          <cell r="AB478">
            <v>0</v>
          </cell>
          <cell r="AC478">
            <v>8816.7251844536077</v>
          </cell>
          <cell r="AD478">
            <v>3797.2408235999997</v>
          </cell>
          <cell r="AE478">
            <v>-5019.4843608536085</v>
          </cell>
          <cell r="AF478">
            <v>2204.1812961134019</v>
          </cell>
          <cell r="AG478">
            <v>1.2292458918531432E-2</v>
          </cell>
          <cell r="AH478">
            <v>0</v>
          </cell>
          <cell r="AI478">
            <v>0</v>
          </cell>
          <cell r="AJ478">
            <v>11020.90648056701</v>
          </cell>
          <cell r="AK478">
            <v>3797.2408235999997</v>
          </cell>
          <cell r="AL478">
            <v>-7223.6656569670104</v>
          </cell>
          <cell r="AM478">
            <v>2204.1812961134019</v>
          </cell>
          <cell r="AN478">
            <v>1.2292458918531432E-2</v>
          </cell>
          <cell r="AO478">
            <v>0</v>
          </cell>
          <cell r="AP478" t="e">
            <v>#DIV/0!</v>
          </cell>
          <cell r="AQ478">
            <v>13225.087776680411</v>
          </cell>
          <cell r="AR478">
            <v>3797.2408235999997</v>
          </cell>
          <cell r="AS478">
            <v>-9427.8469530804123</v>
          </cell>
          <cell r="AT478">
            <v>2204.1812961134019</v>
          </cell>
          <cell r="AU478">
            <v>1.2292458918531432E-2</v>
          </cell>
          <cell r="AV478">
            <v>0</v>
          </cell>
          <cell r="AW478" t="e">
            <v>#DIV/0!</v>
          </cell>
          <cell r="AX478">
            <v>15429.269072793813</v>
          </cell>
          <cell r="AY478">
            <v>3797.2408235999997</v>
          </cell>
          <cell r="AZ478">
            <v>-11632.028249193814</v>
          </cell>
          <cell r="BA478">
            <v>2204.1812961134019</v>
          </cell>
          <cell r="BB478">
            <v>1.2292458918531432E-2</v>
          </cell>
          <cell r="BC478">
            <v>0</v>
          </cell>
          <cell r="BD478" t="e">
            <v>#DIV/0!</v>
          </cell>
          <cell r="BE478">
            <v>17633.450368907215</v>
          </cell>
          <cell r="BF478">
            <v>3797.2408235999997</v>
          </cell>
          <cell r="BG478">
            <v>-13836.209545307216</v>
          </cell>
          <cell r="BH478">
            <v>2204.1812961134019</v>
          </cell>
          <cell r="BI478">
            <v>1.2292458918531432E-2</v>
          </cell>
          <cell r="BJ478">
            <v>0</v>
          </cell>
          <cell r="BK478" t="e">
            <v>#DIV/0!</v>
          </cell>
          <cell r="BL478">
            <v>19837.631665020617</v>
          </cell>
          <cell r="BM478">
            <v>3797.2408235999997</v>
          </cell>
          <cell r="BN478">
            <v>-16040.390841420618</v>
          </cell>
          <cell r="BO478">
            <v>2204.1812961134019</v>
          </cell>
          <cell r="BP478">
            <v>1.2292458918531432E-2</v>
          </cell>
          <cell r="BQ478">
            <v>0</v>
          </cell>
          <cell r="BR478" t="e">
            <v>#DIV/0!</v>
          </cell>
          <cell r="BS478">
            <v>22041.812961134019</v>
          </cell>
          <cell r="BT478">
            <v>3797.2408235999997</v>
          </cell>
          <cell r="BU478">
            <v>-18244.572137534018</v>
          </cell>
          <cell r="BV478">
            <v>2204.1812961134019</v>
          </cell>
          <cell r="BW478">
            <v>1.2292458918531432E-2</v>
          </cell>
          <cell r="BX478">
            <v>0</v>
          </cell>
          <cell r="BY478" t="e">
            <v>#DIV/0!</v>
          </cell>
          <cell r="BZ478">
            <v>24245.994257247421</v>
          </cell>
          <cell r="CA478">
            <v>3797.2408235999997</v>
          </cell>
          <cell r="CB478">
            <v>-20448.75343364742</v>
          </cell>
          <cell r="CC478">
            <v>2204.1812961134019</v>
          </cell>
          <cell r="CD478">
            <v>1.2292458918531432E-2</v>
          </cell>
          <cell r="CE478">
            <v>0</v>
          </cell>
          <cell r="CF478" t="e">
            <v>#DIV/0!</v>
          </cell>
          <cell r="CG478">
            <v>26450.175553360823</v>
          </cell>
          <cell r="CH478">
            <v>3797.2408235999997</v>
          </cell>
        </row>
        <row r="479">
          <cell r="A479" t="str">
            <v>Vale Transporte</v>
          </cell>
          <cell r="B479">
            <v>5.6331638937513512E-4</v>
          </cell>
          <cell r="C479">
            <v>220.18111494166666</v>
          </cell>
          <cell r="D479">
            <v>190.7208934707904</v>
          </cell>
          <cell r="E479">
            <v>1.0636279112018576E-3</v>
          </cell>
          <cell r="F479">
            <v>133.28</v>
          </cell>
          <cell r="G479">
            <v>7.798438907937697E-4</v>
          </cell>
          <cell r="H479">
            <v>190.7208934707904</v>
          </cell>
          <cell r="I479">
            <v>133.28</v>
          </cell>
          <cell r="J479">
            <v>-57.4408934707904</v>
          </cell>
          <cell r="K479">
            <v>190.7208934707904</v>
          </cell>
          <cell r="L479">
            <v>1.0636279112018576E-3</v>
          </cell>
          <cell r="M479">
            <v>176.95992089999999</v>
          </cell>
          <cell r="N479">
            <v>7.4415441925988219E-3</v>
          </cell>
          <cell r="O479">
            <v>381.4417869415808</v>
          </cell>
          <cell r="P479">
            <v>310.23992090000002</v>
          </cell>
          <cell r="Q479">
            <v>-71.201866041580786</v>
          </cell>
          <cell r="R479">
            <v>190.7208934707904</v>
          </cell>
          <cell r="S479">
            <v>1.0636279112018576E-3</v>
          </cell>
          <cell r="T479">
            <v>82.88</v>
          </cell>
          <cell r="U479">
            <v>1.2045672002548612E-4</v>
          </cell>
          <cell r="V479">
            <v>572.16268041237117</v>
          </cell>
          <cell r="W479">
            <v>393.11992090000001</v>
          </cell>
          <cell r="X479">
            <v>-179.04275951237116</v>
          </cell>
          <cell r="Y479">
            <v>190.7208934707904</v>
          </cell>
          <cell r="Z479">
            <v>1.0636279112018576E-3</v>
          </cell>
          <cell r="AA479">
            <v>0</v>
          </cell>
          <cell r="AB479">
            <v>0</v>
          </cell>
          <cell r="AC479">
            <v>762.8835738831616</v>
          </cell>
          <cell r="AD479">
            <v>393.11992090000001</v>
          </cell>
          <cell r="AE479">
            <v>-369.76365298316159</v>
          </cell>
          <cell r="AF479">
            <v>190.7208934707904</v>
          </cell>
          <cell r="AG479">
            <v>1.0636279112018576E-3</v>
          </cell>
          <cell r="AH479">
            <v>0</v>
          </cell>
          <cell r="AI479">
            <v>0</v>
          </cell>
          <cell r="AJ479">
            <v>953.60446735395203</v>
          </cell>
          <cell r="AK479">
            <v>393.11992090000001</v>
          </cell>
          <cell r="AL479">
            <v>-560.48454645395202</v>
          </cell>
          <cell r="AM479">
            <v>190.7208934707904</v>
          </cell>
          <cell r="AN479">
            <v>1.0636279112018576E-3</v>
          </cell>
          <cell r="AO479">
            <v>0</v>
          </cell>
          <cell r="AP479" t="e">
            <v>#DIV/0!</v>
          </cell>
          <cell r="AQ479">
            <v>1144.3253608247423</v>
          </cell>
          <cell r="AR479">
            <v>393.11992090000001</v>
          </cell>
          <cell r="AS479">
            <v>-751.20543992474234</v>
          </cell>
          <cell r="AT479">
            <v>190.7208934707904</v>
          </cell>
          <cell r="AU479">
            <v>1.0636279112018576E-3</v>
          </cell>
          <cell r="AV479">
            <v>0</v>
          </cell>
          <cell r="AW479" t="e">
            <v>#DIV/0!</v>
          </cell>
          <cell r="AX479">
            <v>1335.0462542955327</v>
          </cell>
          <cell r="AY479">
            <v>393.11992090000001</v>
          </cell>
          <cell r="AZ479">
            <v>-941.92633339553265</v>
          </cell>
          <cell r="BA479">
            <v>190.7208934707904</v>
          </cell>
          <cell r="BB479">
            <v>1.0636279112018576E-3</v>
          </cell>
          <cell r="BC479">
            <v>0</v>
          </cell>
          <cell r="BD479" t="e">
            <v>#DIV/0!</v>
          </cell>
          <cell r="BE479">
            <v>1525.767147766323</v>
          </cell>
          <cell r="BF479">
            <v>393.11992090000001</v>
          </cell>
          <cell r="BG479">
            <v>-1132.6472268663229</v>
          </cell>
          <cell r="BH479">
            <v>190.7208934707904</v>
          </cell>
          <cell r="BI479">
            <v>1.0636279112018576E-3</v>
          </cell>
          <cell r="BJ479">
            <v>0</v>
          </cell>
          <cell r="BK479" t="e">
            <v>#DIV/0!</v>
          </cell>
          <cell r="BL479">
            <v>1716.4880412371133</v>
          </cell>
          <cell r="BM479">
            <v>393.11992090000001</v>
          </cell>
          <cell r="BN479">
            <v>-1323.3681203371134</v>
          </cell>
          <cell r="BO479">
            <v>190.7208934707904</v>
          </cell>
          <cell r="BP479">
            <v>1.0636279112018576E-3</v>
          </cell>
          <cell r="BQ479">
            <v>0</v>
          </cell>
          <cell r="BR479" t="e">
            <v>#DIV/0!</v>
          </cell>
          <cell r="BS479">
            <v>1907.2089347079036</v>
          </cell>
          <cell r="BT479">
            <v>393.11992090000001</v>
          </cell>
          <cell r="BU479">
            <v>-1514.0890138079035</v>
          </cell>
          <cell r="BV479">
            <v>190.7208934707904</v>
          </cell>
          <cell r="BW479">
            <v>1.0636279112018576E-3</v>
          </cell>
          <cell r="BX479">
            <v>0</v>
          </cell>
          <cell r="BY479" t="e">
            <v>#DIV/0!</v>
          </cell>
          <cell r="BZ479">
            <v>2097.9298281786942</v>
          </cell>
          <cell r="CA479">
            <v>393.11992090000001</v>
          </cell>
          <cell r="CB479">
            <v>-1704.809907278694</v>
          </cell>
          <cell r="CC479">
            <v>190.7208934707904</v>
          </cell>
          <cell r="CD479">
            <v>1.0636279112018576E-3</v>
          </cell>
          <cell r="CE479">
            <v>0</v>
          </cell>
          <cell r="CF479" t="e">
            <v>#DIV/0!</v>
          </cell>
          <cell r="CG479">
            <v>2288.6507216494847</v>
          </cell>
          <cell r="CH479">
            <v>393.11992090000001</v>
          </cell>
        </row>
        <row r="480">
          <cell r="A480" t="str">
            <v>Viagens - Alimentação / Hospedagem</v>
          </cell>
          <cell r="B480">
            <v>1.2536271826352793E-5</v>
          </cell>
          <cell r="C480">
            <v>4.8999999999999995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 t="e">
            <v>#DIV/0!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 t="e">
            <v>#DIV/0!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 t="e">
            <v>#DIV/0!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 t="e">
            <v>#DIV/0!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 t="e">
            <v>#DIV/0!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 t="e">
            <v>#DIV/0!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 t="e">
            <v>#DIV/0!</v>
          </cell>
          <cell r="CG480">
            <v>0</v>
          </cell>
          <cell r="CH480">
            <v>0</v>
          </cell>
        </row>
        <row r="481">
          <cell r="A481" t="str">
            <v>Viagens - Passagens / Traslados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1298.2829999999999</v>
          </cell>
          <cell r="N481">
            <v>5.459558452481076E-2</v>
          </cell>
          <cell r="O481">
            <v>0</v>
          </cell>
          <cell r="P481">
            <v>1298.2829999999999</v>
          </cell>
          <cell r="Q481">
            <v>1298.2829999999999</v>
          </cell>
          <cell r="R481">
            <v>0</v>
          </cell>
          <cell r="S481">
            <v>0</v>
          </cell>
          <cell r="T481">
            <v>520.471</v>
          </cell>
          <cell r="U481">
            <v>7.5644581959923734E-4</v>
          </cell>
          <cell r="V481">
            <v>0</v>
          </cell>
          <cell r="W481">
            <v>1818.7539999999999</v>
          </cell>
          <cell r="X481">
            <v>1818.7539999999999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1818.7539999999999</v>
          </cell>
          <cell r="AE481">
            <v>1818.7539999999999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1818.7539999999999</v>
          </cell>
          <cell r="AL481">
            <v>1818.7539999999999</v>
          </cell>
          <cell r="AM481">
            <v>0</v>
          </cell>
          <cell r="AN481">
            <v>0</v>
          </cell>
          <cell r="AO481">
            <v>0</v>
          </cell>
          <cell r="AP481" t="e">
            <v>#DIV/0!</v>
          </cell>
          <cell r="AQ481">
            <v>0</v>
          </cell>
          <cell r="AR481">
            <v>1818.7539999999999</v>
          </cell>
          <cell r="AS481">
            <v>1818.7539999999999</v>
          </cell>
          <cell r="AT481">
            <v>0</v>
          </cell>
          <cell r="AU481">
            <v>0</v>
          </cell>
          <cell r="AV481">
            <v>0</v>
          </cell>
          <cell r="AW481" t="e">
            <v>#DIV/0!</v>
          </cell>
          <cell r="AX481">
            <v>0</v>
          </cell>
          <cell r="AY481">
            <v>1818.7539999999999</v>
          </cell>
          <cell r="AZ481">
            <v>1818.7539999999999</v>
          </cell>
          <cell r="BA481">
            <v>0</v>
          </cell>
          <cell r="BB481">
            <v>0</v>
          </cell>
          <cell r="BC481">
            <v>0</v>
          </cell>
          <cell r="BD481" t="e">
            <v>#DIV/0!</v>
          </cell>
          <cell r="BE481">
            <v>0</v>
          </cell>
          <cell r="BF481">
            <v>1818.7539999999999</v>
          </cell>
          <cell r="BG481">
            <v>1818.7539999999999</v>
          </cell>
          <cell r="BH481">
            <v>0</v>
          </cell>
          <cell r="BI481">
            <v>0</v>
          </cell>
          <cell r="BJ481">
            <v>0</v>
          </cell>
          <cell r="BK481" t="e">
            <v>#DIV/0!</v>
          </cell>
          <cell r="BL481">
            <v>0</v>
          </cell>
          <cell r="BM481">
            <v>1818.7539999999999</v>
          </cell>
          <cell r="BN481">
            <v>1818.7539999999999</v>
          </cell>
          <cell r="BO481">
            <v>0</v>
          </cell>
          <cell r="BP481">
            <v>0</v>
          </cell>
          <cell r="BQ481">
            <v>0</v>
          </cell>
          <cell r="BR481" t="e">
            <v>#DIV/0!</v>
          </cell>
          <cell r="BS481">
            <v>0</v>
          </cell>
          <cell r="BT481">
            <v>1818.7539999999999</v>
          </cell>
          <cell r="BU481">
            <v>1818.7539999999999</v>
          </cell>
          <cell r="BV481">
            <v>0</v>
          </cell>
          <cell r="BW481">
            <v>0</v>
          </cell>
          <cell r="BX481">
            <v>0</v>
          </cell>
          <cell r="BY481" t="e">
            <v>#DIV/0!</v>
          </cell>
          <cell r="BZ481">
            <v>0</v>
          </cell>
          <cell r="CA481">
            <v>1818.7539999999999</v>
          </cell>
          <cell r="CB481">
            <v>1818.7539999999999</v>
          </cell>
          <cell r="CC481">
            <v>0</v>
          </cell>
          <cell r="CD481">
            <v>0</v>
          </cell>
          <cell r="CE481">
            <v>0</v>
          </cell>
          <cell r="CF481" t="e">
            <v>#DIV/0!</v>
          </cell>
          <cell r="CG481">
            <v>0</v>
          </cell>
          <cell r="CH481">
            <v>1818.7539999999999</v>
          </cell>
        </row>
        <row r="501">
          <cell r="A501" t="str">
            <v>13º (+ Encargos)</v>
          </cell>
          <cell r="B501">
            <v>2.8773174343160285E-4</v>
          </cell>
          <cell r="C501">
            <v>112.4645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 t="e">
            <v>#DIV/0!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 t="e">
            <v>#DIV/0!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 t="e">
            <v>#DIV/0!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 t="e">
            <v>#DIV/0!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 t="e">
            <v>#DIV/0!</v>
          </cell>
          <cell r="BS501">
            <v>0</v>
          </cell>
          <cell r="BT501">
            <v>0</v>
          </cell>
          <cell r="BU501">
            <v>0</v>
          </cell>
          <cell r="BV501">
            <v>367.6</v>
          </cell>
          <cell r="BW501">
            <v>3.8291666666666669E-3</v>
          </cell>
          <cell r="BX501">
            <v>0</v>
          </cell>
          <cell r="BY501">
            <v>0</v>
          </cell>
          <cell r="BZ501">
            <v>367.6</v>
          </cell>
          <cell r="CA501">
            <v>0</v>
          </cell>
          <cell r="CB501">
            <v>-367.6</v>
          </cell>
          <cell r="CC501">
            <v>367.5</v>
          </cell>
          <cell r="CD501">
            <v>2.0495041222452527E-3</v>
          </cell>
          <cell r="CE501">
            <v>0</v>
          </cell>
          <cell r="CF501" t="e">
            <v>#DIV/0!</v>
          </cell>
          <cell r="CG501">
            <v>735.1</v>
          </cell>
          <cell r="CH501">
            <v>0</v>
          </cell>
        </row>
        <row r="502">
          <cell r="A502" t="str">
            <v>Acordo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 t="e">
            <v>#DIV/0!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 t="e">
            <v>#DIV/0!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 t="e">
            <v>#DIV/0!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 t="e">
            <v>#DIV/0!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 t="e">
            <v>#DIV/0!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 t="e">
            <v>#DIV/0!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 t="e">
            <v>#DIV/0!</v>
          </cell>
          <cell r="CG502">
            <v>0</v>
          </cell>
          <cell r="CH502">
            <v>0</v>
          </cell>
        </row>
        <row r="503">
          <cell r="A503" t="str">
            <v>Aluguel + IPTU + Condomínio + Energia Elétrica</v>
          </cell>
          <cell r="B503">
            <v>0</v>
          </cell>
          <cell r="C503">
            <v>0</v>
          </cell>
          <cell r="D503">
            <v>677.51557733898983</v>
          </cell>
          <cell r="E503">
            <v>3.7784244044670261E-3</v>
          </cell>
          <cell r="F503">
            <v>0</v>
          </cell>
          <cell r="G503">
            <v>0</v>
          </cell>
          <cell r="H503">
            <v>677.51557733898983</v>
          </cell>
          <cell r="I503">
            <v>0</v>
          </cell>
          <cell r="J503">
            <v>-677.51557733898983</v>
          </cell>
          <cell r="K503">
            <v>677.51557733898983</v>
          </cell>
          <cell r="L503">
            <v>3.7784244044670261E-3</v>
          </cell>
          <cell r="M503">
            <v>672.69397300000003</v>
          </cell>
          <cell r="N503">
            <v>2.8288224264087471E-2</v>
          </cell>
          <cell r="O503">
            <v>1355.0311546779797</v>
          </cell>
          <cell r="P503">
            <v>672.69397300000003</v>
          </cell>
          <cell r="Q503">
            <v>-682.33718167797963</v>
          </cell>
          <cell r="R503">
            <v>677.51557733898983</v>
          </cell>
          <cell r="S503">
            <v>3.7784244044670261E-3</v>
          </cell>
          <cell r="T503">
            <v>659.30884400000002</v>
          </cell>
          <cell r="U503">
            <v>9.5823094633246759E-4</v>
          </cell>
          <cell r="V503">
            <v>2032.5467320169696</v>
          </cell>
          <cell r="W503">
            <v>1332.0028170000001</v>
          </cell>
          <cell r="X503">
            <v>-700.54391501696955</v>
          </cell>
          <cell r="Y503">
            <v>677.51557733898983</v>
          </cell>
          <cell r="Z503">
            <v>3.7784244044670261E-3</v>
          </cell>
          <cell r="AA503">
            <v>0</v>
          </cell>
          <cell r="AB503">
            <v>0</v>
          </cell>
          <cell r="AC503">
            <v>2710.0623093559593</v>
          </cell>
          <cell r="AD503">
            <v>1332.0028170000001</v>
          </cell>
          <cell r="AE503">
            <v>-1378.0594923559593</v>
          </cell>
          <cell r="AF503">
            <v>677.51557733898983</v>
          </cell>
          <cell r="AG503">
            <v>3.7784244044670261E-3</v>
          </cell>
          <cell r="AH503">
            <v>0</v>
          </cell>
          <cell r="AI503">
            <v>0</v>
          </cell>
          <cell r="AJ503">
            <v>3387.577886694949</v>
          </cell>
          <cell r="AK503">
            <v>1332.0028170000001</v>
          </cell>
          <cell r="AL503">
            <v>-2055.575069694949</v>
          </cell>
          <cell r="AM503">
            <v>677.51557733898983</v>
          </cell>
          <cell r="AN503">
            <v>3.7784244044670261E-3</v>
          </cell>
          <cell r="AO503">
            <v>0</v>
          </cell>
          <cell r="AP503" t="e">
            <v>#DIV/0!</v>
          </cell>
          <cell r="AQ503">
            <v>4065.0934640339387</v>
          </cell>
          <cell r="AR503">
            <v>1332.0028170000001</v>
          </cell>
          <cell r="AS503">
            <v>-2733.0906470339387</v>
          </cell>
          <cell r="AT503">
            <v>677.51557733898983</v>
          </cell>
          <cell r="AU503">
            <v>3.7784244044670261E-3</v>
          </cell>
          <cell r="AV503">
            <v>0</v>
          </cell>
          <cell r="AW503" t="e">
            <v>#DIV/0!</v>
          </cell>
          <cell r="AX503">
            <v>4742.6090413729289</v>
          </cell>
          <cell r="AY503">
            <v>1332.0028170000001</v>
          </cell>
          <cell r="AZ503">
            <v>-3410.6062243729289</v>
          </cell>
          <cell r="BA503">
            <v>677.51557733898983</v>
          </cell>
          <cell r="BB503">
            <v>3.7784244044670261E-3</v>
          </cell>
          <cell r="BC503">
            <v>0</v>
          </cell>
          <cell r="BD503" t="e">
            <v>#DIV/0!</v>
          </cell>
          <cell r="BE503">
            <v>5420.1246187119186</v>
          </cell>
          <cell r="BF503">
            <v>1332.0028170000001</v>
          </cell>
          <cell r="BG503">
            <v>-4088.1218017119186</v>
          </cell>
          <cell r="BH503">
            <v>677.51557733898983</v>
          </cell>
          <cell r="BI503">
            <v>3.7784244044670261E-3</v>
          </cell>
          <cell r="BJ503">
            <v>0</v>
          </cell>
          <cell r="BK503" t="e">
            <v>#DIV/0!</v>
          </cell>
          <cell r="BL503">
            <v>6097.6401960509083</v>
          </cell>
          <cell r="BM503">
            <v>1332.0028170000001</v>
          </cell>
          <cell r="BN503">
            <v>-4765.6373790509078</v>
          </cell>
          <cell r="BO503">
            <v>703.77050538362266</v>
          </cell>
          <cell r="BP503">
            <v>3.9248450391792099E-3</v>
          </cell>
          <cell r="BQ503">
            <v>0</v>
          </cell>
          <cell r="BR503" t="e">
            <v>#DIV/0!</v>
          </cell>
          <cell r="BS503">
            <v>6801.4107014345309</v>
          </cell>
          <cell r="BT503">
            <v>1332.0028170000001</v>
          </cell>
          <cell r="BU503">
            <v>-5469.4078844345313</v>
          </cell>
          <cell r="BV503">
            <v>703.77050538362266</v>
          </cell>
          <cell r="BW503">
            <v>3.9248450391792099E-3</v>
          </cell>
          <cell r="BX503">
            <v>0</v>
          </cell>
          <cell r="BY503" t="e">
            <v>#DIV/0!</v>
          </cell>
          <cell r="BZ503">
            <v>7505.1812068181534</v>
          </cell>
          <cell r="CA503">
            <v>1332.0028170000001</v>
          </cell>
          <cell r="CB503">
            <v>-6173.1783898181529</v>
          </cell>
          <cell r="CC503">
            <v>703.77050538362266</v>
          </cell>
          <cell r="CD503">
            <v>3.9248450391792099E-3</v>
          </cell>
          <cell r="CE503">
            <v>0</v>
          </cell>
          <cell r="CF503" t="e">
            <v>#DIV/0!</v>
          </cell>
          <cell r="CG503">
            <v>8208.9517122017769</v>
          </cell>
          <cell r="CH503">
            <v>1332.0028170000001</v>
          </cell>
        </row>
        <row r="504">
          <cell r="A504" t="str">
            <v>Aperfeiçoamento - Treinamentos / Livros / Revistas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 t="e">
            <v>#DIV/0!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 t="e">
            <v>#DIV/0!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 t="e">
            <v>#DIV/0!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 t="e">
            <v>#DIV/0!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 t="e">
            <v>#DIV/0!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 t="e">
            <v>#DIV/0!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 t="e">
            <v>#DIV/0!</v>
          </cell>
          <cell r="CG504">
            <v>0</v>
          </cell>
          <cell r="CH504">
            <v>0</v>
          </cell>
        </row>
        <row r="505">
          <cell r="A505" t="str">
            <v>OAB / Associações</v>
          </cell>
          <cell r="B505">
            <v>1.5265212889518356E-3</v>
          </cell>
          <cell r="C505">
            <v>596.66497500000003</v>
          </cell>
          <cell r="D505">
            <v>1306.8719999999998</v>
          </cell>
          <cell r="E505">
            <v>7.2882708877466604E-3</v>
          </cell>
          <cell r="F505">
            <v>375.339</v>
          </cell>
          <cell r="G505">
            <v>2.1961721648157467E-3</v>
          </cell>
          <cell r="H505">
            <v>1306.8719999999998</v>
          </cell>
          <cell r="I505">
            <v>375.339</v>
          </cell>
          <cell r="J505">
            <v>-931.5329999999999</v>
          </cell>
          <cell r="K505">
            <v>1306.8719999999998</v>
          </cell>
          <cell r="L505">
            <v>7.2882708877466604E-3</v>
          </cell>
          <cell r="M505">
            <v>401.952</v>
          </cell>
          <cell r="N505">
            <v>1.6902943650126158E-2</v>
          </cell>
          <cell r="O505">
            <v>2613.7439999999997</v>
          </cell>
          <cell r="P505">
            <v>777.29099999999994</v>
          </cell>
          <cell r="Q505">
            <v>-1836.4529999999997</v>
          </cell>
          <cell r="R505">
            <v>1306.8719999999998</v>
          </cell>
          <cell r="S505">
            <v>7.2882708877466604E-3</v>
          </cell>
          <cell r="T505">
            <v>812.60899999999992</v>
          </cell>
          <cell r="U505">
            <v>1.1810354102701527E-3</v>
          </cell>
          <cell r="V505">
            <v>3920.6159999999995</v>
          </cell>
          <cell r="W505">
            <v>1589.8999999999999</v>
          </cell>
          <cell r="X505">
            <v>-2330.7159999999994</v>
          </cell>
          <cell r="Y505">
            <v>1306.8719999999998</v>
          </cell>
          <cell r="Z505">
            <v>7.2882708877466604E-3</v>
          </cell>
          <cell r="AA505">
            <v>0</v>
          </cell>
          <cell r="AB505">
            <v>0</v>
          </cell>
          <cell r="AC505">
            <v>5227.4879999999994</v>
          </cell>
          <cell r="AD505">
            <v>1589.8999999999999</v>
          </cell>
          <cell r="AE505">
            <v>-3637.5879999999997</v>
          </cell>
          <cell r="AF505">
            <v>1306.8719999999998</v>
          </cell>
          <cell r="AG505">
            <v>7.2882708877466604E-3</v>
          </cell>
          <cell r="AH505">
            <v>0</v>
          </cell>
          <cell r="AI505">
            <v>0</v>
          </cell>
          <cell r="AJ505">
            <v>6534.3599999999988</v>
          </cell>
          <cell r="AK505">
            <v>1589.8999999999999</v>
          </cell>
          <cell r="AL505">
            <v>-4944.4599999999991</v>
          </cell>
          <cell r="AM505">
            <v>1306.8719999999998</v>
          </cell>
          <cell r="AN505">
            <v>7.2882708877466604E-3</v>
          </cell>
          <cell r="AO505">
            <v>0</v>
          </cell>
          <cell r="AP505" t="e">
            <v>#DIV/0!</v>
          </cell>
          <cell r="AQ505">
            <v>7841.2319999999982</v>
          </cell>
          <cell r="AR505">
            <v>1589.8999999999999</v>
          </cell>
          <cell r="AS505">
            <v>-6251.3319999999985</v>
          </cell>
          <cell r="AT505">
            <v>1306.8719999999998</v>
          </cell>
          <cell r="AU505">
            <v>7.2882708877466604E-3</v>
          </cell>
          <cell r="AV505">
            <v>0</v>
          </cell>
          <cell r="AW505" t="e">
            <v>#DIV/0!</v>
          </cell>
          <cell r="AX505">
            <v>9148.1039999999975</v>
          </cell>
          <cell r="AY505">
            <v>1589.8999999999999</v>
          </cell>
          <cell r="AZ505">
            <v>-7558.2039999999979</v>
          </cell>
          <cell r="BA505">
            <v>1306.8719999999998</v>
          </cell>
          <cell r="BB505">
            <v>7.2882708877466604E-3</v>
          </cell>
          <cell r="BC505">
            <v>0</v>
          </cell>
          <cell r="BD505" t="e">
            <v>#DIV/0!</v>
          </cell>
          <cell r="BE505">
            <v>10454.975999999997</v>
          </cell>
          <cell r="BF505">
            <v>1589.8999999999999</v>
          </cell>
          <cell r="BG505">
            <v>-8865.0759999999973</v>
          </cell>
          <cell r="BH505">
            <v>1306.8719999999998</v>
          </cell>
          <cell r="BI505">
            <v>7.2882708877466604E-3</v>
          </cell>
          <cell r="BJ505">
            <v>0</v>
          </cell>
          <cell r="BK505" t="e">
            <v>#DIV/0!</v>
          </cell>
          <cell r="BL505">
            <v>11761.847999999996</v>
          </cell>
          <cell r="BM505">
            <v>1589.8999999999999</v>
          </cell>
          <cell r="BN505">
            <v>-10171.947999999997</v>
          </cell>
          <cell r="BO505">
            <v>1306.8719999999998</v>
          </cell>
          <cell r="BP505">
            <v>7.2882708877466604E-3</v>
          </cell>
          <cell r="BQ505">
            <v>0</v>
          </cell>
          <cell r="BR505" t="e">
            <v>#DIV/0!</v>
          </cell>
          <cell r="BS505">
            <v>13068.719999999996</v>
          </cell>
          <cell r="BT505">
            <v>1589.8999999999999</v>
          </cell>
          <cell r="BU505">
            <v>-11478.819999999996</v>
          </cell>
          <cell r="BV505">
            <v>1306.8719999999998</v>
          </cell>
          <cell r="BW505">
            <v>7.2882708877466604E-3</v>
          </cell>
          <cell r="BX505">
            <v>0</v>
          </cell>
          <cell r="BY505" t="e">
            <v>#DIV/0!</v>
          </cell>
          <cell r="BZ505">
            <v>14375.591999999995</v>
          </cell>
          <cell r="CA505">
            <v>1589.8999999999999</v>
          </cell>
          <cell r="CB505">
            <v>-12785.691999999995</v>
          </cell>
          <cell r="CC505">
            <v>1306.8719999999998</v>
          </cell>
          <cell r="CD505">
            <v>7.2882708877466604E-3</v>
          </cell>
          <cell r="CE505">
            <v>0</v>
          </cell>
          <cell r="CF505" t="e">
            <v>#DIV/0!</v>
          </cell>
          <cell r="CG505">
            <v>15682.463999999994</v>
          </cell>
          <cell r="CH505">
            <v>1589.8999999999999</v>
          </cell>
        </row>
        <row r="506">
          <cell r="A506" t="str">
            <v>Back Office / Encerramento</v>
          </cell>
          <cell r="B506">
            <v>2.5306264118240369E-3</v>
          </cell>
          <cell r="C506">
            <v>989.1353338295761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 t="e">
            <v>#DIV/0!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 t="e">
            <v>#DIV/0!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 t="e">
            <v>#DIV/0!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  <cell r="BK506" t="e">
            <v>#DIV/0!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 t="e">
            <v>#DIV/0!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 t="e">
            <v>#DIV/0!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 t="e">
            <v>#DIV/0!</v>
          </cell>
          <cell r="CG506">
            <v>0</v>
          </cell>
          <cell r="CH506">
            <v>0</v>
          </cell>
        </row>
        <row r="507">
          <cell r="A507" t="str">
            <v>Bonificações/Premiações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 t="e">
            <v>#DIV/0!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 t="e">
            <v>#DIV/0!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 t="e">
            <v>#DIV/0!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 t="e">
            <v>#DIV/0!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 t="e">
            <v>#DIV/0!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 t="e">
            <v>#DIV/0!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 t="e">
            <v>#DIV/0!</v>
          </cell>
          <cell r="CG507">
            <v>0</v>
          </cell>
          <cell r="CH507">
            <v>0</v>
          </cell>
        </row>
        <row r="508">
          <cell r="A508" t="str">
            <v>Cadastro</v>
          </cell>
          <cell r="B508">
            <v>3.9135504412803421E-3</v>
          </cell>
          <cell r="C508">
            <v>1529.6730501617328</v>
          </cell>
          <cell r="D508">
            <v>803.80770608446517</v>
          </cell>
          <cell r="E508">
            <v>4.4827406996261546E-3</v>
          </cell>
          <cell r="F508">
            <v>1524.6698849610764</v>
          </cell>
          <cell r="G508">
            <v>8.92110215534315E-3</v>
          </cell>
          <cell r="H508">
            <v>803.80770608446517</v>
          </cell>
          <cell r="I508">
            <v>1524.6698849610764</v>
          </cell>
          <cell r="J508">
            <v>720.86217887661121</v>
          </cell>
          <cell r="K508">
            <v>803.80770608446517</v>
          </cell>
          <cell r="L508">
            <v>4.4827406996261546E-3</v>
          </cell>
          <cell r="M508">
            <v>2414.5627742589709</v>
          </cell>
          <cell r="N508">
            <v>0.10153754307228641</v>
          </cell>
          <cell r="O508">
            <v>1607.6154121689303</v>
          </cell>
          <cell r="P508">
            <v>3939.232659220047</v>
          </cell>
          <cell r="Q508">
            <v>2331.6172470511165</v>
          </cell>
          <cell r="R508">
            <v>803.80770608446517</v>
          </cell>
          <cell r="S508">
            <v>4.4827406996261546E-3</v>
          </cell>
          <cell r="T508">
            <v>1620.6844716948303</v>
          </cell>
          <cell r="U508">
            <v>2.3554818491384783E-3</v>
          </cell>
          <cell r="V508">
            <v>2411.4231182533954</v>
          </cell>
          <cell r="W508">
            <v>5559.9171309148769</v>
          </cell>
          <cell r="X508">
            <v>3148.4940126614815</v>
          </cell>
          <cell r="Y508">
            <v>803.80770608446517</v>
          </cell>
          <cell r="Z508">
            <v>4.4827406996261546E-3</v>
          </cell>
          <cell r="AA508">
            <v>0</v>
          </cell>
          <cell r="AB508">
            <v>0</v>
          </cell>
          <cell r="AC508">
            <v>3215.2308243378607</v>
          </cell>
          <cell r="AD508">
            <v>5559.9171309148769</v>
          </cell>
          <cell r="AE508">
            <v>2344.6863065770162</v>
          </cell>
          <cell r="AF508">
            <v>803.80770608446517</v>
          </cell>
          <cell r="AG508">
            <v>4.4827406996261546E-3</v>
          </cell>
          <cell r="AH508">
            <v>0</v>
          </cell>
          <cell r="AI508">
            <v>0</v>
          </cell>
          <cell r="AJ508">
            <v>4019.0385304223259</v>
          </cell>
          <cell r="AK508">
            <v>5559.9171309148769</v>
          </cell>
          <cell r="AL508">
            <v>1540.878600492551</v>
          </cell>
          <cell r="AM508">
            <v>803.80770608446517</v>
          </cell>
          <cell r="AN508">
            <v>4.4827406996261546E-3</v>
          </cell>
          <cell r="AO508">
            <v>0</v>
          </cell>
          <cell r="AP508" t="e">
            <v>#DIV/0!</v>
          </cell>
          <cell r="AQ508">
            <v>4822.8462365067908</v>
          </cell>
          <cell r="AR508">
            <v>5559.9171309148769</v>
          </cell>
          <cell r="AS508">
            <v>737.07089440808613</v>
          </cell>
          <cell r="AT508">
            <v>803.80770608446517</v>
          </cell>
          <cell r="AU508">
            <v>4.4827406996261546E-3</v>
          </cell>
          <cell r="AV508">
            <v>0</v>
          </cell>
          <cell r="AW508" t="e">
            <v>#DIV/0!</v>
          </cell>
          <cell r="AX508">
            <v>5626.6539425912561</v>
          </cell>
          <cell r="AY508">
            <v>5559.9171309148769</v>
          </cell>
          <cell r="AZ508">
            <v>-66.736811676379148</v>
          </cell>
          <cell r="BA508">
            <v>803.80770608446517</v>
          </cell>
          <cell r="BB508">
            <v>4.4827406996261546E-3</v>
          </cell>
          <cell r="BC508">
            <v>0</v>
          </cell>
          <cell r="BD508" t="e">
            <v>#DIV/0!</v>
          </cell>
          <cell r="BE508">
            <v>6430.4616486757213</v>
          </cell>
          <cell r="BF508">
            <v>5559.9171309148769</v>
          </cell>
          <cell r="BG508">
            <v>-870.54451776084443</v>
          </cell>
          <cell r="BH508">
            <v>803.80770608446517</v>
          </cell>
          <cell r="BI508">
            <v>4.4827406996261546E-3</v>
          </cell>
          <cell r="BJ508">
            <v>0</v>
          </cell>
          <cell r="BK508" t="e">
            <v>#DIV/0!</v>
          </cell>
          <cell r="BL508">
            <v>7234.2693547601866</v>
          </cell>
          <cell r="BM508">
            <v>5559.9171309148769</v>
          </cell>
          <cell r="BN508">
            <v>-1674.3522238453097</v>
          </cell>
          <cell r="BO508">
            <v>803.80770608446517</v>
          </cell>
          <cell r="BP508">
            <v>4.4827406996261546E-3</v>
          </cell>
          <cell r="BQ508">
            <v>0</v>
          </cell>
          <cell r="BR508" t="e">
            <v>#DIV/0!</v>
          </cell>
          <cell r="BS508">
            <v>8038.0770608446519</v>
          </cell>
          <cell r="BT508">
            <v>5559.9171309148769</v>
          </cell>
          <cell r="BU508">
            <v>-2478.159929929775</v>
          </cell>
          <cell r="BV508">
            <v>803.80770608446517</v>
          </cell>
          <cell r="BW508">
            <v>4.4827406996261546E-3</v>
          </cell>
          <cell r="BX508">
            <v>0</v>
          </cell>
          <cell r="BY508" t="e">
            <v>#DIV/0!</v>
          </cell>
          <cell r="BZ508">
            <v>8841.8847669291172</v>
          </cell>
          <cell r="CA508">
            <v>5559.9171309148769</v>
          </cell>
          <cell r="CB508">
            <v>-3281.9676360142403</v>
          </cell>
          <cell r="CC508">
            <v>803.80770608446517</v>
          </cell>
          <cell r="CD508">
            <v>4.4827406996261546E-3</v>
          </cell>
          <cell r="CE508">
            <v>0</v>
          </cell>
          <cell r="CF508" t="e">
            <v>#DIV/0!</v>
          </cell>
          <cell r="CG508">
            <v>9645.6924730135815</v>
          </cell>
          <cell r="CH508">
            <v>5559.9171309148769</v>
          </cell>
        </row>
        <row r="509">
          <cell r="A509" t="str">
            <v>Cartório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 t="e">
            <v>#DIV/0!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 t="e">
            <v>#DIV/0!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 t="e">
            <v>#DIV/0!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 t="e">
            <v>#DIV/0!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 t="e">
            <v>#DIV/0!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 t="e">
            <v>#DIV/0!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 t="e">
            <v>#DIV/0!</v>
          </cell>
          <cell r="CG509">
            <v>0</v>
          </cell>
          <cell r="CH509">
            <v>0</v>
          </cell>
        </row>
        <row r="510">
          <cell r="A510" t="str">
            <v>Condenação</v>
          </cell>
          <cell r="B510">
            <v>3.837634232556978E-5</v>
          </cell>
          <cell r="C510">
            <v>15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 t="e">
            <v>#DIV/0!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 t="e">
            <v>#DIV/0!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 t="e">
            <v>#DIV/0!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 t="e">
            <v>#DIV/0!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 t="e">
            <v>#DIV/0!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 t="e">
            <v>#DIV/0!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 t="e">
            <v>#DIV/0!</v>
          </cell>
          <cell r="CG510">
            <v>0</v>
          </cell>
          <cell r="CH510">
            <v>0</v>
          </cell>
        </row>
        <row r="511">
          <cell r="A511" t="str">
            <v>Penalidades/Irregularidades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 t="e">
            <v>#DIV/0!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 t="e">
            <v>#DIV/0!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 t="e">
            <v>#DIV/0!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 t="e">
            <v>#DIV/0!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 t="e">
            <v>#DIV/0!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 t="e">
            <v>#DIV/0!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 t="e">
            <v>#DIV/0!</v>
          </cell>
          <cell r="CG511">
            <v>0</v>
          </cell>
          <cell r="CH511">
            <v>0</v>
          </cell>
        </row>
        <row r="512">
          <cell r="A512" t="str">
            <v>Controladoria Jurídica - Custas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 t="e">
            <v>#DIV/0!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 t="e">
            <v>#DIV/0!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 t="e">
            <v>#DIV/0!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 t="e">
            <v>#DIV/0!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 t="e">
            <v>#DIV/0!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 t="e">
            <v>#DIV/0!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 t="e">
            <v>#DIV/0!</v>
          </cell>
          <cell r="CG512">
            <v>0</v>
          </cell>
          <cell r="CH512">
            <v>0</v>
          </cell>
        </row>
        <row r="513">
          <cell r="A513" t="str">
            <v>GNA</v>
          </cell>
          <cell r="B513">
            <v>3.8193415876475412E-4</v>
          </cell>
          <cell r="C513">
            <v>149.28500305914062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667.47197301633923</v>
          </cell>
          <cell r="N513">
            <v>2.8068627965363298E-2</v>
          </cell>
          <cell r="O513">
            <v>0</v>
          </cell>
          <cell r="P513">
            <v>667.47197301633923</v>
          </cell>
          <cell r="Q513">
            <v>667.47197301633923</v>
          </cell>
          <cell r="R513">
            <v>0</v>
          </cell>
          <cell r="S513">
            <v>0</v>
          </cell>
          <cell r="T513">
            <v>649.42737877369404</v>
          </cell>
          <cell r="U513">
            <v>9.4386935257997342E-4</v>
          </cell>
          <cell r="V513">
            <v>0</v>
          </cell>
          <cell r="W513">
            <v>1316.8993517900333</v>
          </cell>
          <cell r="X513">
            <v>1316.8993517900333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1316.8993517900333</v>
          </cell>
          <cell r="AE513">
            <v>1316.8993517900333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1316.8993517900333</v>
          </cell>
          <cell r="AL513">
            <v>1316.8993517900333</v>
          </cell>
          <cell r="AM513">
            <v>0</v>
          </cell>
          <cell r="AN513">
            <v>0</v>
          </cell>
          <cell r="AO513">
            <v>0</v>
          </cell>
          <cell r="AP513" t="e">
            <v>#DIV/0!</v>
          </cell>
          <cell r="AQ513">
            <v>0</v>
          </cell>
          <cell r="AR513">
            <v>1316.8993517900333</v>
          </cell>
          <cell r="AS513">
            <v>1316.8993517900333</v>
          </cell>
          <cell r="AT513">
            <v>0</v>
          </cell>
          <cell r="AU513">
            <v>0</v>
          </cell>
          <cell r="AV513">
            <v>0</v>
          </cell>
          <cell r="AW513" t="e">
            <v>#DIV/0!</v>
          </cell>
          <cell r="AX513">
            <v>0</v>
          </cell>
          <cell r="AY513">
            <v>1316.8993517900333</v>
          </cell>
          <cell r="AZ513">
            <v>1316.8993517900333</v>
          </cell>
          <cell r="BA513">
            <v>0</v>
          </cell>
          <cell r="BB513">
            <v>0</v>
          </cell>
          <cell r="BC513">
            <v>0</v>
          </cell>
          <cell r="BD513" t="e">
            <v>#DIV/0!</v>
          </cell>
          <cell r="BE513">
            <v>0</v>
          </cell>
          <cell r="BF513">
            <v>1316.8993517900333</v>
          </cell>
          <cell r="BG513">
            <v>1316.8993517900333</v>
          </cell>
          <cell r="BH513">
            <v>0</v>
          </cell>
          <cell r="BI513">
            <v>0</v>
          </cell>
          <cell r="BJ513">
            <v>0</v>
          </cell>
          <cell r="BK513" t="e">
            <v>#DIV/0!</v>
          </cell>
          <cell r="BL513">
            <v>0</v>
          </cell>
          <cell r="BM513">
            <v>1316.8993517900333</v>
          </cell>
          <cell r="BN513">
            <v>1316.8993517900333</v>
          </cell>
          <cell r="BO513">
            <v>0</v>
          </cell>
          <cell r="BP513">
            <v>0</v>
          </cell>
          <cell r="BQ513">
            <v>0</v>
          </cell>
          <cell r="BR513" t="e">
            <v>#DIV/0!</v>
          </cell>
          <cell r="BS513">
            <v>0</v>
          </cell>
          <cell r="BT513">
            <v>1316.8993517900333</v>
          </cell>
          <cell r="BU513">
            <v>1316.8993517900333</v>
          </cell>
          <cell r="BV513">
            <v>0</v>
          </cell>
          <cell r="BW513">
            <v>0</v>
          </cell>
          <cell r="BX513">
            <v>0</v>
          </cell>
          <cell r="BY513" t="e">
            <v>#DIV/0!</v>
          </cell>
          <cell r="BZ513">
            <v>0</v>
          </cell>
          <cell r="CA513">
            <v>1316.8993517900333</v>
          </cell>
          <cell r="CB513">
            <v>1316.8993517900333</v>
          </cell>
          <cell r="CC513">
            <v>0</v>
          </cell>
          <cell r="CD513">
            <v>0</v>
          </cell>
          <cell r="CE513">
            <v>0</v>
          </cell>
          <cell r="CF513" t="e">
            <v>#DIV/0!</v>
          </cell>
          <cell r="CG513">
            <v>0</v>
          </cell>
          <cell r="CH513">
            <v>1316.8993517900333</v>
          </cell>
        </row>
        <row r="514">
          <cell r="A514" t="str">
            <v>Correios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 t="e">
            <v>#DIV/0!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 t="e">
            <v>#DIV/0!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 t="e">
            <v>#DIV/0!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 t="e">
            <v>#DIV/0!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 t="e">
            <v>#DIV/0!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 t="e">
            <v>#DIV/0!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 t="e">
            <v>#DIV/0!</v>
          </cell>
          <cell r="CG514">
            <v>0</v>
          </cell>
          <cell r="CH514">
            <v>0</v>
          </cell>
        </row>
        <row r="515">
          <cell r="A515" t="str">
            <v xml:space="preserve">Correspondentes </v>
          </cell>
          <cell r="B515">
            <v>1.0049566874366806E-2</v>
          </cell>
          <cell r="C515">
            <v>3928.0320630000001</v>
          </cell>
          <cell r="D515">
            <v>16282.092279</v>
          </cell>
          <cell r="E515">
            <v>9.0803306787994836E-2</v>
          </cell>
          <cell r="F515">
            <v>1942.1999619999999</v>
          </cell>
          <cell r="G515">
            <v>1.1364141469579769E-2</v>
          </cell>
          <cell r="H515">
            <v>16282.092279</v>
          </cell>
          <cell r="I515">
            <v>1942.1999619999999</v>
          </cell>
          <cell r="J515">
            <v>-14339.892317</v>
          </cell>
          <cell r="K515">
            <v>16282.092279</v>
          </cell>
          <cell r="L515">
            <v>9.0803306787994836E-2</v>
          </cell>
          <cell r="M515">
            <v>5015.0714111999996</v>
          </cell>
          <cell r="N515">
            <v>0.2108945084608915</v>
          </cell>
          <cell r="O515">
            <v>32564.184558000001</v>
          </cell>
          <cell r="P515">
            <v>6957.2713731999993</v>
          </cell>
          <cell r="Q515">
            <v>-25606.913184800003</v>
          </cell>
          <cell r="R515">
            <v>16282.092279</v>
          </cell>
          <cell r="S515">
            <v>9.0803306787994836E-2</v>
          </cell>
          <cell r="T515">
            <v>4717.9921674000007</v>
          </cell>
          <cell r="U515">
            <v>6.8570687933269588E-3</v>
          </cell>
          <cell r="V515">
            <v>48846.276836999998</v>
          </cell>
          <cell r="W515">
            <v>11675.263540600001</v>
          </cell>
          <cell r="X515">
            <v>-37171.013296399993</v>
          </cell>
          <cell r="Y515">
            <v>16282.092279</v>
          </cell>
          <cell r="Z515">
            <v>9.0803306787994836E-2</v>
          </cell>
          <cell r="AA515">
            <v>0</v>
          </cell>
          <cell r="AB515">
            <v>0</v>
          </cell>
          <cell r="AC515">
            <v>65128.369116000002</v>
          </cell>
          <cell r="AD515">
            <v>11675.263540600001</v>
          </cell>
          <cell r="AE515">
            <v>-53453.105575399997</v>
          </cell>
          <cell r="AF515">
            <v>16282.092279</v>
          </cell>
          <cell r="AG515">
            <v>9.0803306787994836E-2</v>
          </cell>
          <cell r="AH515">
            <v>0</v>
          </cell>
          <cell r="AI515">
            <v>0</v>
          </cell>
          <cell r="AJ515">
            <v>81410.461395000006</v>
          </cell>
          <cell r="AK515">
            <v>11675.263540600001</v>
          </cell>
          <cell r="AL515">
            <v>-69735.197854400001</v>
          </cell>
          <cell r="AM515">
            <v>16282.092279</v>
          </cell>
          <cell r="AN515">
            <v>9.0803306787994836E-2</v>
          </cell>
          <cell r="AO515">
            <v>0</v>
          </cell>
          <cell r="AP515" t="e">
            <v>#DIV/0!</v>
          </cell>
          <cell r="AQ515">
            <v>97692.55367400001</v>
          </cell>
          <cell r="AR515">
            <v>11675.263540600001</v>
          </cell>
          <cell r="AS515">
            <v>-86017.290133400005</v>
          </cell>
          <cell r="AT515">
            <v>16282.092279</v>
          </cell>
          <cell r="AU515">
            <v>9.0803306787994836E-2</v>
          </cell>
          <cell r="AV515">
            <v>0</v>
          </cell>
          <cell r="AW515" t="e">
            <v>#DIV/0!</v>
          </cell>
          <cell r="AX515">
            <v>113974.64595300001</v>
          </cell>
          <cell r="AY515">
            <v>11675.263540600001</v>
          </cell>
          <cell r="AZ515">
            <v>-102299.38241240001</v>
          </cell>
          <cell r="BA515">
            <v>16282.092279</v>
          </cell>
          <cell r="BB515">
            <v>9.0803306787994836E-2</v>
          </cell>
          <cell r="BC515">
            <v>0</v>
          </cell>
          <cell r="BD515" t="e">
            <v>#DIV/0!</v>
          </cell>
          <cell r="BE515">
            <v>130256.73823200002</v>
          </cell>
          <cell r="BF515">
            <v>11675.263540600001</v>
          </cell>
          <cell r="BG515">
            <v>-118581.47469140001</v>
          </cell>
          <cell r="BH515">
            <v>16282.092279</v>
          </cell>
          <cell r="BI515">
            <v>9.0803306787994836E-2</v>
          </cell>
          <cell r="BJ515">
            <v>0</v>
          </cell>
          <cell r="BK515" t="e">
            <v>#DIV/0!</v>
          </cell>
          <cell r="BL515">
            <v>146538.83051100001</v>
          </cell>
          <cell r="BM515">
            <v>11675.263540600001</v>
          </cell>
          <cell r="BN515">
            <v>-134863.56697040002</v>
          </cell>
          <cell r="BO515">
            <v>16282.092279</v>
          </cell>
          <cell r="BP515">
            <v>9.0803306787994836E-2</v>
          </cell>
          <cell r="BQ515">
            <v>0</v>
          </cell>
          <cell r="BR515" t="e">
            <v>#DIV/0!</v>
          </cell>
          <cell r="BS515">
            <v>162820.92279000001</v>
          </cell>
          <cell r="BT515">
            <v>11675.263540600001</v>
          </cell>
          <cell r="BU515">
            <v>-151145.65924940002</v>
          </cell>
          <cell r="BV515">
            <v>16282.092279</v>
          </cell>
          <cell r="BW515">
            <v>9.0803306787994836E-2</v>
          </cell>
          <cell r="BX515">
            <v>0</v>
          </cell>
          <cell r="BY515" t="e">
            <v>#DIV/0!</v>
          </cell>
          <cell r="BZ515">
            <v>179103.01506900002</v>
          </cell>
          <cell r="CA515">
            <v>11675.263540600001</v>
          </cell>
          <cell r="CB515">
            <v>-167427.75152840003</v>
          </cell>
          <cell r="CC515">
            <v>16282.092279</v>
          </cell>
          <cell r="CD515">
            <v>9.0803306787994836E-2</v>
          </cell>
          <cell r="CE515">
            <v>0</v>
          </cell>
          <cell r="CF515" t="e">
            <v>#DIV/0!</v>
          </cell>
          <cell r="CG515">
            <v>195385.10734800002</v>
          </cell>
          <cell r="CH515">
            <v>11675.263540600001</v>
          </cell>
        </row>
        <row r="516">
          <cell r="A516" t="str">
            <v>Custas/Guias/Despesas</v>
          </cell>
          <cell r="B516">
            <v>5.9164806963330926E-5</v>
          </cell>
          <cell r="C516">
            <v>23.125499999999999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 t="e">
            <v>#DIV/0!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 t="e">
            <v>#DIV/0!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 t="e">
            <v>#DIV/0!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 t="e">
            <v>#DIV/0!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 t="e">
            <v>#DIV/0!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 t="e">
            <v>#DIV/0!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 t="e">
            <v>#DIV/0!</v>
          </cell>
          <cell r="CG516">
            <v>0</v>
          </cell>
          <cell r="CH516">
            <v>0</v>
          </cell>
        </row>
        <row r="517">
          <cell r="A517" t="str">
            <v>Deslocamento</v>
          </cell>
          <cell r="B517">
            <v>9.0211651668140134E-4</v>
          </cell>
          <cell r="C517">
            <v>352.60649999999998</v>
          </cell>
          <cell r="D517">
            <v>2624.2</v>
          </cell>
          <cell r="E517">
            <v>1.4634853653322427E-2</v>
          </cell>
          <cell r="F517">
            <v>741.72</v>
          </cell>
          <cell r="G517">
            <v>4.3399295519174286E-3</v>
          </cell>
          <cell r="H517">
            <v>2624.2</v>
          </cell>
          <cell r="I517">
            <v>741.72</v>
          </cell>
          <cell r="J517">
            <v>-1882.4799999999998</v>
          </cell>
          <cell r="K517">
            <v>2624.2</v>
          </cell>
          <cell r="L517">
            <v>1.4634853653322427E-2</v>
          </cell>
          <cell r="M517">
            <v>516.66</v>
          </cell>
          <cell r="N517">
            <v>2.1726661059714044E-2</v>
          </cell>
          <cell r="O517">
            <v>5248.4</v>
          </cell>
          <cell r="P517">
            <v>1258.3800000000001</v>
          </cell>
          <cell r="Q517">
            <v>-3990.0199999999995</v>
          </cell>
          <cell r="R517">
            <v>2624.2</v>
          </cell>
          <cell r="S517">
            <v>1.4634853653322427E-2</v>
          </cell>
          <cell r="T517">
            <v>587.28</v>
          </cell>
          <cell r="U517">
            <v>8.5354515608792821E-4</v>
          </cell>
          <cell r="V517">
            <v>7872.5999999999995</v>
          </cell>
          <cell r="W517">
            <v>1845.66</v>
          </cell>
          <cell r="X517">
            <v>-6026.94</v>
          </cell>
          <cell r="Y517">
            <v>2624.2</v>
          </cell>
          <cell r="Z517">
            <v>1.4634853653322427E-2</v>
          </cell>
          <cell r="AA517">
            <v>0</v>
          </cell>
          <cell r="AB517">
            <v>0</v>
          </cell>
          <cell r="AC517">
            <v>10496.8</v>
          </cell>
          <cell r="AD517">
            <v>1845.66</v>
          </cell>
          <cell r="AE517">
            <v>-8651.14</v>
          </cell>
          <cell r="AF517">
            <v>2624.2</v>
          </cell>
          <cell r="AG517">
            <v>1.4634853653322427E-2</v>
          </cell>
          <cell r="AH517">
            <v>0</v>
          </cell>
          <cell r="AI517">
            <v>0</v>
          </cell>
          <cell r="AJ517">
            <v>13121</v>
          </cell>
          <cell r="AK517">
            <v>1845.66</v>
          </cell>
          <cell r="AL517">
            <v>-11275.34</v>
          </cell>
          <cell r="AM517">
            <v>2624.2</v>
          </cell>
          <cell r="AN517">
            <v>1.4634853653322427E-2</v>
          </cell>
          <cell r="AO517">
            <v>0</v>
          </cell>
          <cell r="AP517" t="e">
            <v>#DIV/0!</v>
          </cell>
          <cell r="AQ517">
            <v>15745.2</v>
          </cell>
          <cell r="AR517">
            <v>1845.66</v>
          </cell>
          <cell r="AS517">
            <v>-13899.54</v>
          </cell>
          <cell r="AT517">
            <v>2624.2</v>
          </cell>
          <cell r="AU517">
            <v>1.4634853653322427E-2</v>
          </cell>
          <cell r="AV517">
            <v>0</v>
          </cell>
          <cell r="AW517" t="e">
            <v>#DIV/0!</v>
          </cell>
          <cell r="AX517">
            <v>18369.400000000001</v>
          </cell>
          <cell r="AY517">
            <v>1845.66</v>
          </cell>
          <cell r="AZ517">
            <v>-16523.740000000002</v>
          </cell>
          <cell r="BA517">
            <v>2624.2</v>
          </cell>
          <cell r="BB517">
            <v>1.4634853653322427E-2</v>
          </cell>
          <cell r="BC517">
            <v>0</v>
          </cell>
          <cell r="BD517" t="e">
            <v>#DIV/0!</v>
          </cell>
          <cell r="BE517">
            <v>20993.600000000002</v>
          </cell>
          <cell r="BF517">
            <v>1845.66</v>
          </cell>
          <cell r="BG517">
            <v>-19147.940000000002</v>
          </cell>
          <cell r="BH517">
            <v>2624.2</v>
          </cell>
          <cell r="BI517">
            <v>1.4634853653322427E-2</v>
          </cell>
          <cell r="BJ517">
            <v>0</v>
          </cell>
          <cell r="BK517" t="e">
            <v>#DIV/0!</v>
          </cell>
          <cell r="BL517">
            <v>23617.800000000003</v>
          </cell>
          <cell r="BM517">
            <v>1845.66</v>
          </cell>
          <cell r="BN517">
            <v>-21772.140000000003</v>
          </cell>
          <cell r="BO517">
            <v>2624.2</v>
          </cell>
          <cell r="BP517">
            <v>1.4634853653322427E-2</v>
          </cell>
          <cell r="BQ517">
            <v>0</v>
          </cell>
          <cell r="BR517" t="e">
            <v>#DIV/0!</v>
          </cell>
          <cell r="BS517">
            <v>26242.000000000004</v>
          </cell>
          <cell r="BT517">
            <v>1845.66</v>
          </cell>
          <cell r="BU517">
            <v>-24396.340000000004</v>
          </cell>
          <cell r="BV517">
            <v>2624.2</v>
          </cell>
          <cell r="BW517">
            <v>1.4634853653322427E-2</v>
          </cell>
          <cell r="BX517">
            <v>0</v>
          </cell>
          <cell r="BY517" t="e">
            <v>#DIV/0!</v>
          </cell>
          <cell r="BZ517">
            <v>28866.200000000004</v>
          </cell>
          <cell r="CA517">
            <v>1845.66</v>
          </cell>
          <cell r="CB517">
            <v>-27020.540000000005</v>
          </cell>
          <cell r="CC517">
            <v>2624.2</v>
          </cell>
          <cell r="CD517">
            <v>1.4634853653322427E-2</v>
          </cell>
          <cell r="CE517">
            <v>0</v>
          </cell>
          <cell r="CF517" t="e">
            <v>#DIV/0!</v>
          </cell>
          <cell r="CG517">
            <v>31490.400000000005</v>
          </cell>
          <cell r="CH517">
            <v>1845.66</v>
          </cell>
        </row>
        <row r="518">
          <cell r="A518" t="str">
            <v>Digitação / Atual. Sistemas / Lanç. Planilhas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 t="e">
            <v>#DIV/0!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 t="e">
            <v>#DIV/0!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 t="e">
            <v>#DIV/0!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 t="e">
            <v>#DIV/0!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 t="e">
            <v>#DIV/0!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 t="e">
            <v>#DIV/0!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 t="e">
            <v>#DIV/0!</v>
          </cell>
          <cell r="CG518">
            <v>0</v>
          </cell>
          <cell r="CH518">
            <v>0</v>
          </cell>
        </row>
        <row r="519">
          <cell r="A519" t="str">
            <v>Diligências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 t="e">
            <v>#DIV/0!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 t="e">
            <v>#DIV/0!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 t="e">
            <v>#DIV/0!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  <cell r="BK519" t="e">
            <v>#DIV/0!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 t="e">
            <v>#DIV/0!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 t="e">
            <v>#DIV/0!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 t="e">
            <v>#DIV/0!</v>
          </cell>
          <cell r="CG519">
            <v>0</v>
          </cell>
          <cell r="CH519">
            <v>0</v>
          </cell>
        </row>
        <row r="520">
          <cell r="A520" t="str">
            <v>Encargos</v>
          </cell>
          <cell r="B520">
            <v>6.7956503016718464E-4</v>
          </cell>
          <cell r="C520">
            <v>265.61873369875474</v>
          </cell>
          <cell r="D520">
            <v>831.69221897919704</v>
          </cell>
          <cell r="E520">
            <v>4.638249336699771E-3</v>
          </cell>
          <cell r="F520">
            <v>874.38948203167899</v>
          </cell>
          <cell r="G520">
            <v>5.1162011985049034E-3</v>
          </cell>
          <cell r="H520">
            <v>831.69221897919704</v>
          </cell>
          <cell r="I520">
            <v>874.38948203167899</v>
          </cell>
          <cell r="J520">
            <v>42.697263052481958</v>
          </cell>
          <cell r="K520">
            <v>831.69221897919704</v>
          </cell>
          <cell r="L520">
            <v>4.638249336699771E-3</v>
          </cell>
          <cell r="M520">
            <v>831.69221897919704</v>
          </cell>
          <cell r="N520">
            <v>3.4974441504591967E-2</v>
          </cell>
          <cell r="O520">
            <v>1663.3844379583941</v>
          </cell>
          <cell r="P520">
            <v>1706.081701010876</v>
          </cell>
          <cell r="Q520">
            <v>42.697263052481958</v>
          </cell>
          <cell r="R520">
            <v>831.69221897919704</v>
          </cell>
          <cell r="S520">
            <v>4.638249336699771E-3</v>
          </cell>
          <cell r="T520">
            <v>849.02322352540125</v>
          </cell>
          <cell r="U520">
            <v>1.2339593717583855E-3</v>
          </cell>
          <cell r="V520">
            <v>2495.076656937591</v>
          </cell>
          <cell r="W520">
            <v>2555.1049245362774</v>
          </cell>
          <cell r="X520">
            <v>60.028267598686398</v>
          </cell>
          <cell r="Y520">
            <v>831.69221897919704</v>
          </cell>
          <cell r="Z520">
            <v>4.638249336699771E-3</v>
          </cell>
          <cell r="AA520">
            <v>0</v>
          </cell>
          <cell r="AB520">
            <v>0</v>
          </cell>
          <cell r="AC520">
            <v>3326.7688759167881</v>
          </cell>
          <cell r="AD520">
            <v>2555.1049245362774</v>
          </cell>
          <cell r="AE520">
            <v>-771.66395138051075</v>
          </cell>
          <cell r="AF520">
            <v>831.69221897919704</v>
          </cell>
          <cell r="AG520">
            <v>4.638249336699771E-3</v>
          </cell>
          <cell r="AH520">
            <v>0</v>
          </cell>
          <cell r="AI520">
            <v>0</v>
          </cell>
          <cell r="AJ520">
            <v>4158.4610948959853</v>
          </cell>
          <cell r="AK520">
            <v>2555.1049245362774</v>
          </cell>
          <cell r="AL520">
            <v>-1603.3561703597079</v>
          </cell>
          <cell r="AM520">
            <v>831.69221897919704</v>
          </cell>
          <cell r="AN520">
            <v>4.638249336699771E-3</v>
          </cell>
          <cell r="AO520">
            <v>0</v>
          </cell>
          <cell r="AP520" t="e">
            <v>#DIV/0!</v>
          </cell>
          <cell r="AQ520">
            <v>4990.153313875182</v>
          </cell>
          <cell r="AR520">
            <v>2555.1049245362774</v>
          </cell>
          <cell r="AS520">
            <v>-2435.0483893389046</v>
          </cell>
          <cell r="AT520">
            <v>831.69221897919704</v>
          </cell>
          <cell r="AU520">
            <v>4.638249336699771E-3</v>
          </cell>
          <cell r="AV520">
            <v>0</v>
          </cell>
          <cell r="AW520" t="e">
            <v>#DIV/0!</v>
          </cell>
          <cell r="AX520">
            <v>5821.8455328543787</v>
          </cell>
          <cell r="AY520">
            <v>2555.1049245362774</v>
          </cell>
          <cell r="AZ520">
            <v>-3266.7406083181013</v>
          </cell>
          <cell r="BA520">
            <v>831.69221897919704</v>
          </cell>
          <cell r="BB520">
            <v>4.638249336699771E-3</v>
          </cell>
          <cell r="BC520">
            <v>0</v>
          </cell>
          <cell r="BD520" t="e">
            <v>#DIV/0!</v>
          </cell>
          <cell r="BE520">
            <v>6653.5377518335754</v>
          </cell>
          <cell r="BF520">
            <v>2555.1049245362774</v>
          </cell>
          <cell r="BG520">
            <v>-4098.432827297298</v>
          </cell>
          <cell r="BH520">
            <v>831.69221897919704</v>
          </cell>
          <cell r="BI520">
            <v>4.638249336699771E-3</v>
          </cell>
          <cell r="BJ520">
            <v>0</v>
          </cell>
          <cell r="BK520" t="e">
            <v>#DIV/0!</v>
          </cell>
          <cell r="BL520">
            <v>7485.2299708127721</v>
          </cell>
          <cell r="BM520">
            <v>2555.1049245362774</v>
          </cell>
          <cell r="BN520">
            <v>-4930.1250462764947</v>
          </cell>
          <cell r="BO520">
            <v>831.69221897919704</v>
          </cell>
          <cell r="BP520">
            <v>4.638249336699771E-3</v>
          </cell>
          <cell r="BQ520">
            <v>0</v>
          </cell>
          <cell r="BR520" t="e">
            <v>#DIV/0!</v>
          </cell>
          <cell r="BS520">
            <v>8316.9221897919688</v>
          </cell>
          <cell r="BT520">
            <v>2555.1049245362774</v>
          </cell>
          <cell r="BU520">
            <v>-5761.8172652556914</v>
          </cell>
          <cell r="BV520">
            <v>831.69221897919704</v>
          </cell>
          <cell r="BW520">
            <v>4.638249336699771E-3</v>
          </cell>
          <cell r="BX520">
            <v>0</v>
          </cell>
          <cell r="BY520" t="e">
            <v>#DIV/0!</v>
          </cell>
          <cell r="BZ520">
            <v>9148.6144087711655</v>
          </cell>
          <cell r="CA520">
            <v>2555.1049245362774</v>
          </cell>
          <cell r="CB520">
            <v>-6593.5094842348881</v>
          </cell>
          <cell r="CC520">
            <v>831.69221897919704</v>
          </cell>
          <cell r="CD520">
            <v>4.638249336699771E-3</v>
          </cell>
          <cell r="CE520">
            <v>0</v>
          </cell>
          <cell r="CF520" t="e">
            <v>#DIV/0!</v>
          </cell>
          <cell r="CG520">
            <v>9980.3066277503622</v>
          </cell>
          <cell r="CH520">
            <v>2555.1049245362774</v>
          </cell>
        </row>
        <row r="521">
          <cell r="A521" t="str">
            <v>Encargos Rescisórios</v>
          </cell>
          <cell r="B521">
            <v>2.612092136446961E-4</v>
          </cell>
          <cell r="C521">
            <v>102.09774999999999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 t="e">
            <v>#DIV/0!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 t="e">
            <v>#DIV/0!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 t="e">
            <v>#DIV/0!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  <cell r="BK521" t="e">
            <v>#DIV/0!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 t="e">
            <v>#DIV/0!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 t="e">
            <v>#DIV/0!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 t="e">
            <v>#DIV/0!</v>
          </cell>
          <cell r="CG521">
            <v>0</v>
          </cell>
          <cell r="CH521">
            <v>0</v>
          </cell>
        </row>
        <row r="522">
          <cell r="A522" t="str">
            <v>Encerramento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 t="e">
            <v>#DIV/0!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 t="e">
            <v>#DIV/0!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 t="e">
            <v>#DIV/0!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  <cell r="BK522" t="e">
            <v>#DIV/0!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 t="e">
            <v>#DIV/0!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 t="e">
            <v>#DIV/0!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 t="e">
            <v>#DIV/0!</v>
          </cell>
          <cell r="CG522">
            <v>0</v>
          </cell>
          <cell r="CH522">
            <v>0</v>
          </cell>
        </row>
        <row r="523">
          <cell r="A523" t="str">
            <v>Eventos / Representações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 t="e">
            <v>#DIV/0!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 t="e">
            <v>#DIV/0!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 t="e">
            <v>#DIV/0!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 t="e">
            <v>#DIV/0!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 t="e">
            <v>#DIV/0!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 t="e">
            <v>#DIV/0!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 t="e">
            <v>#DIV/0!</v>
          </cell>
          <cell r="CG523">
            <v>0</v>
          </cell>
          <cell r="CH523">
            <v>0</v>
          </cell>
        </row>
        <row r="524">
          <cell r="A524" t="str">
            <v>Férias</v>
          </cell>
          <cell r="B524">
            <v>1.7482854430977651E-4</v>
          </cell>
          <cell r="C524">
            <v>68.334499999999991</v>
          </cell>
          <cell r="D524">
            <v>0</v>
          </cell>
          <cell r="E524">
            <v>0</v>
          </cell>
          <cell r="F524">
            <v>375.06900000000002</v>
          </cell>
          <cell r="G524">
            <v>2.1945923490105674E-3</v>
          </cell>
          <cell r="H524">
            <v>0</v>
          </cell>
          <cell r="I524">
            <v>375.06900000000002</v>
          </cell>
          <cell r="J524">
            <v>375.06900000000002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375.06900000000002</v>
          </cell>
          <cell r="Q524">
            <v>375.06900000000002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375.06900000000002</v>
          </cell>
          <cell r="X524">
            <v>375.06900000000002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375.06900000000002</v>
          </cell>
          <cell r="AE524">
            <v>375.06900000000002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375.06900000000002</v>
          </cell>
          <cell r="AL524">
            <v>375.06900000000002</v>
          </cell>
          <cell r="AM524">
            <v>0</v>
          </cell>
          <cell r="AN524">
            <v>0</v>
          </cell>
          <cell r="AO524">
            <v>0</v>
          </cell>
          <cell r="AP524" t="e">
            <v>#DIV/0!</v>
          </cell>
          <cell r="AQ524">
            <v>0</v>
          </cell>
          <cell r="AR524">
            <v>375.06900000000002</v>
          </cell>
          <cell r="AS524">
            <v>375.06900000000002</v>
          </cell>
          <cell r="AT524">
            <v>0</v>
          </cell>
          <cell r="AU524">
            <v>0</v>
          </cell>
          <cell r="AV524">
            <v>0</v>
          </cell>
          <cell r="AW524" t="e">
            <v>#DIV/0!</v>
          </cell>
          <cell r="AX524">
            <v>0</v>
          </cell>
          <cell r="AY524">
            <v>375.06900000000002</v>
          </cell>
          <cell r="AZ524">
            <v>375.06900000000002</v>
          </cell>
          <cell r="BA524">
            <v>0</v>
          </cell>
          <cell r="BB524">
            <v>0</v>
          </cell>
          <cell r="BC524">
            <v>0</v>
          </cell>
          <cell r="BD524" t="e">
            <v>#DIV/0!</v>
          </cell>
          <cell r="BE524">
            <v>0</v>
          </cell>
          <cell r="BF524">
            <v>375.06900000000002</v>
          </cell>
          <cell r="BG524">
            <v>375.06900000000002</v>
          </cell>
          <cell r="BH524">
            <v>0</v>
          </cell>
          <cell r="BI524">
            <v>0</v>
          </cell>
          <cell r="BJ524">
            <v>0</v>
          </cell>
          <cell r="BK524" t="e">
            <v>#DIV/0!</v>
          </cell>
          <cell r="BL524">
            <v>0</v>
          </cell>
          <cell r="BM524">
            <v>375.06900000000002</v>
          </cell>
          <cell r="BN524">
            <v>375.06900000000002</v>
          </cell>
          <cell r="BO524">
            <v>0</v>
          </cell>
          <cell r="BP524">
            <v>0</v>
          </cell>
          <cell r="BQ524">
            <v>0</v>
          </cell>
          <cell r="BR524" t="e">
            <v>#DIV/0!</v>
          </cell>
          <cell r="BS524">
            <v>0</v>
          </cell>
          <cell r="BT524">
            <v>375.06900000000002</v>
          </cell>
          <cell r="BU524">
            <v>375.06900000000002</v>
          </cell>
          <cell r="BV524">
            <v>0</v>
          </cell>
          <cell r="BW524">
            <v>0</v>
          </cell>
          <cell r="BX524">
            <v>0</v>
          </cell>
          <cell r="BY524" t="e">
            <v>#DIV/0!</v>
          </cell>
          <cell r="BZ524">
            <v>0</v>
          </cell>
          <cell r="CA524">
            <v>375.06900000000002</v>
          </cell>
          <cell r="CB524">
            <v>375.06900000000002</v>
          </cell>
          <cell r="CC524">
            <v>0</v>
          </cell>
          <cell r="CD524">
            <v>0</v>
          </cell>
          <cell r="CE524">
            <v>0</v>
          </cell>
          <cell r="CF524" t="e">
            <v>#DIV/0!</v>
          </cell>
          <cell r="CG524">
            <v>0</v>
          </cell>
          <cell r="CH524">
            <v>375.06900000000002</v>
          </cell>
        </row>
        <row r="525">
          <cell r="A525" t="str">
            <v>Exames Médicos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 t="e">
            <v>#DIV/0!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 t="e">
            <v>#DIV/0!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 t="e">
            <v>#DIV/0!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 t="e">
            <v>#DIV/0!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 t="e">
            <v>#DIV/0!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 t="e">
            <v>#DIV/0!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 t="e">
            <v>#DIV/0!</v>
          </cell>
          <cell r="CG525">
            <v>0</v>
          </cell>
          <cell r="CH525">
            <v>0</v>
          </cell>
        </row>
        <row r="526">
          <cell r="A526" t="str">
            <v>Parcerias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 t="e">
            <v>#DIV/0!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 t="e">
            <v>#DIV/0!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 t="e">
            <v>#DIV/0!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  <cell r="BK526" t="e">
            <v>#DIV/0!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 t="e">
            <v>#DIV/0!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 t="e">
            <v>#DIV/0!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 t="e">
            <v>#DIV/0!</v>
          </cell>
          <cell r="CG526">
            <v>0</v>
          </cell>
          <cell r="CH526">
            <v>0</v>
          </cell>
        </row>
        <row r="527">
          <cell r="A527" t="str">
            <v>Fotocópia/Xerox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 t="e">
            <v>#DIV/0!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 t="e">
            <v>#DIV/0!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 t="e">
            <v>#DIV/0!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 t="e">
            <v>#DIV/0!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 t="e">
            <v>#DIV/0!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 t="e">
            <v>#DIV/0!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 t="e">
            <v>#DIV/0!</v>
          </cell>
          <cell r="CG527">
            <v>0</v>
          </cell>
          <cell r="CH527">
            <v>0</v>
          </cell>
        </row>
        <row r="528">
          <cell r="A528" t="str">
            <v>IR s/ Salário</v>
          </cell>
          <cell r="B528">
            <v>9.6996205227877618E-6</v>
          </cell>
          <cell r="C528">
            <v>3.7912500000000002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 t="e">
            <v>#DIV/0!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 t="e">
            <v>#DIV/0!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 t="e">
            <v>#DIV/0!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 t="e">
            <v>#DIV/0!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 t="e">
            <v>#DIV/0!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 t="e">
            <v>#DIV/0!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 t="e">
            <v>#DIV/0!</v>
          </cell>
          <cell r="CG528">
            <v>0</v>
          </cell>
          <cell r="CH528">
            <v>0</v>
          </cell>
        </row>
        <row r="529">
          <cell r="A529" t="str">
            <v>Consultoria de Projetos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 t="e">
            <v>#DIV/0!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 t="e">
            <v>#DIV/0!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 t="e">
            <v>#DIV/0!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  <cell r="BK529" t="e">
            <v>#DIV/0!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 t="e">
            <v>#DIV/0!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 t="e">
            <v>#DIV/0!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 t="e">
            <v>#DIV/0!</v>
          </cell>
          <cell r="CG529">
            <v>0</v>
          </cell>
          <cell r="CH529">
            <v>0</v>
          </cell>
        </row>
        <row r="530">
          <cell r="A530" t="str">
            <v>Pauta</v>
          </cell>
          <cell r="B530">
            <v>5.6904967541066241E-3</v>
          </cell>
          <cell r="C530">
            <v>2224.2206041279378</v>
          </cell>
          <cell r="D530">
            <v>1158.8720940072071</v>
          </cell>
          <cell r="E530">
            <v>6.4628928811503649E-3</v>
          </cell>
          <cell r="F530">
            <v>1166.0313996050777</v>
          </cell>
          <cell r="G530">
            <v>6.8226475349319375E-3</v>
          </cell>
          <cell r="H530">
            <v>1158.8720940072071</v>
          </cell>
          <cell r="I530">
            <v>1166.0313996050777</v>
          </cell>
          <cell r="J530">
            <v>7.1593055978705706</v>
          </cell>
          <cell r="K530">
            <v>1158.8720940072071</v>
          </cell>
          <cell r="L530">
            <v>6.4628928811503649E-3</v>
          </cell>
          <cell r="M530">
            <v>806.87667840531572</v>
          </cell>
          <cell r="N530">
            <v>3.3930894802578458E-2</v>
          </cell>
          <cell r="O530">
            <v>2317.7441880144142</v>
          </cell>
          <cell r="P530">
            <v>1972.9080780103934</v>
          </cell>
          <cell r="Q530">
            <v>-344.83611000402084</v>
          </cell>
          <cell r="R530">
            <v>1158.8720940072071</v>
          </cell>
          <cell r="S530">
            <v>6.4628928811503649E-3</v>
          </cell>
          <cell r="T530">
            <v>1135.8904935292228</v>
          </cell>
          <cell r="U530">
            <v>1.650888551624769E-3</v>
          </cell>
          <cell r="V530">
            <v>3476.6162820216214</v>
          </cell>
          <cell r="W530">
            <v>3108.7985715396162</v>
          </cell>
          <cell r="X530">
            <v>-367.81771048200517</v>
          </cell>
          <cell r="Y530">
            <v>1158.8720940072071</v>
          </cell>
          <cell r="Z530">
            <v>6.4628928811503649E-3</v>
          </cell>
          <cell r="AA530">
            <v>0</v>
          </cell>
          <cell r="AB530">
            <v>0</v>
          </cell>
          <cell r="AC530">
            <v>4635.4883760288285</v>
          </cell>
          <cell r="AD530">
            <v>3108.7985715396162</v>
          </cell>
          <cell r="AE530">
            <v>-1526.6898044892123</v>
          </cell>
          <cell r="AF530">
            <v>1158.8720940072071</v>
          </cell>
          <cell r="AG530">
            <v>6.4628928811503649E-3</v>
          </cell>
          <cell r="AH530">
            <v>0</v>
          </cell>
          <cell r="AI530">
            <v>0</v>
          </cell>
          <cell r="AJ530">
            <v>5794.3604700360356</v>
          </cell>
          <cell r="AK530">
            <v>3108.7985715396162</v>
          </cell>
          <cell r="AL530">
            <v>-2685.5618984964194</v>
          </cell>
          <cell r="AM530">
            <v>1158.8720940072071</v>
          </cell>
          <cell r="AN530">
            <v>6.4628928811503649E-3</v>
          </cell>
          <cell r="AO530">
            <v>0</v>
          </cell>
          <cell r="AP530" t="e">
            <v>#DIV/0!</v>
          </cell>
          <cell r="AQ530">
            <v>6953.2325640432427</v>
          </cell>
          <cell r="AR530">
            <v>3108.7985715396162</v>
          </cell>
          <cell r="AS530">
            <v>-3844.4339925036265</v>
          </cell>
          <cell r="AT530">
            <v>1158.8720940072071</v>
          </cell>
          <cell r="AU530">
            <v>6.4628928811503649E-3</v>
          </cell>
          <cell r="AV530">
            <v>0</v>
          </cell>
          <cell r="AW530" t="e">
            <v>#DIV/0!</v>
          </cell>
          <cell r="AX530">
            <v>8112.1046580504499</v>
          </cell>
          <cell r="AY530">
            <v>3108.7985715396162</v>
          </cell>
          <cell r="AZ530">
            <v>-5003.3060865108337</v>
          </cell>
          <cell r="BA530">
            <v>1158.8720940072071</v>
          </cell>
          <cell r="BB530">
            <v>6.4628928811503649E-3</v>
          </cell>
          <cell r="BC530">
            <v>0</v>
          </cell>
          <cell r="BD530" t="e">
            <v>#DIV/0!</v>
          </cell>
          <cell r="BE530">
            <v>9270.976752057657</v>
          </cell>
          <cell r="BF530">
            <v>3108.7985715396162</v>
          </cell>
          <cell r="BG530">
            <v>-6162.1781805180408</v>
          </cell>
          <cell r="BH530">
            <v>1158.8720940072071</v>
          </cell>
          <cell r="BI530">
            <v>6.4628928811503649E-3</v>
          </cell>
          <cell r="BJ530">
            <v>0</v>
          </cell>
          <cell r="BK530" t="e">
            <v>#DIV/0!</v>
          </cell>
          <cell r="BL530">
            <v>10429.848846064864</v>
          </cell>
          <cell r="BM530">
            <v>3108.7985715396162</v>
          </cell>
          <cell r="BN530">
            <v>-7321.0502745252479</v>
          </cell>
          <cell r="BO530">
            <v>1158.8720940072071</v>
          </cell>
          <cell r="BP530">
            <v>6.4628928811503649E-3</v>
          </cell>
          <cell r="BQ530">
            <v>0</v>
          </cell>
          <cell r="BR530" t="e">
            <v>#DIV/0!</v>
          </cell>
          <cell r="BS530">
            <v>11588.720940072071</v>
          </cell>
          <cell r="BT530">
            <v>3108.7985715396162</v>
          </cell>
          <cell r="BU530">
            <v>-8479.9223685324541</v>
          </cell>
          <cell r="BV530">
            <v>1158.8720940072071</v>
          </cell>
          <cell r="BW530">
            <v>6.4628928811503649E-3</v>
          </cell>
          <cell r="BX530">
            <v>0</v>
          </cell>
          <cell r="BY530" t="e">
            <v>#DIV/0!</v>
          </cell>
          <cell r="BZ530">
            <v>12747.593034079278</v>
          </cell>
          <cell r="CA530">
            <v>3108.7985715396162</v>
          </cell>
          <cell r="CB530">
            <v>-9638.7944625396631</v>
          </cell>
          <cell r="CC530">
            <v>1158.8720940072071</v>
          </cell>
          <cell r="CD530">
            <v>6.4628928811503649E-3</v>
          </cell>
          <cell r="CE530">
            <v>0</v>
          </cell>
          <cell r="CF530" t="e">
            <v>#DIV/0!</v>
          </cell>
          <cell r="CG530">
            <v>13906.465128086485</v>
          </cell>
          <cell r="CH530">
            <v>3108.7985715396162</v>
          </cell>
        </row>
        <row r="531">
          <cell r="A531" t="str">
            <v>Pauta - Gestão de Pauta</v>
          </cell>
          <cell r="B531">
            <v>1.9039339299545522E-3</v>
          </cell>
          <cell r="C531">
            <v>744.18267137172415</v>
          </cell>
          <cell r="D531">
            <v>787.3912240283039</v>
          </cell>
          <cell r="E531">
            <v>4.3911879169135897E-3</v>
          </cell>
          <cell r="F531">
            <v>903.0854256805402</v>
          </cell>
          <cell r="G531">
            <v>5.284106033027162E-3</v>
          </cell>
          <cell r="H531">
            <v>787.3912240283039</v>
          </cell>
          <cell r="I531">
            <v>903.0854256805402</v>
          </cell>
          <cell r="J531">
            <v>115.6942016522363</v>
          </cell>
          <cell r="K531">
            <v>787.3912240283039</v>
          </cell>
          <cell r="L531">
            <v>4.3911879169135897E-3</v>
          </cell>
          <cell r="M531">
            <v>528.19902069053364</v>
          </cell>
          <cell r="N531">
            <v>2.2211901627019918E-2</v>
          </cell>
          <cell r="O531">
            <v>1574.7824480566078</v>
          </cell>
          <cell r="P531">
            <v>1431.284446371074</v>
          </cell>
          <cell r="Q531">
            <v>-143.49800168553384</v>
          </cell>
          <cell r="R531">
            <v>787.3912240283039</v>
          </cell>
          <cell r="S531">
            <v>4.3911879169135897E-3</v>
          </cell>
          <cell r="T531">
            <v>658.74336085546486</v>
          </cell>
          <cell r="U531">
            <v>9.5740908044419047E-4</v>
          </cell>
          <cell r="V531">
            <v>2362.1736720849117</v>
          </cell>
          <cell r="W531">
            <v>2090.0278072265387</v>
          </cell>
          <cell r="X531">
            <v>-272.14586485837299</v>
          </cell>
          <cell r="Y531">
            <v>787.3912240283039</v>
          </cell>
          <cell r="Z531">
            <v>4.3911879169135897E-3</v>
          </cell>
          <cell r="AA531">
            <v>0</v>
          </cell>
          <cell r="AB531">
            <v>0</v>
          </cell>
          <cell r="AC531">
            <v>3149.5648961132156</v>
          </cell>
          <cell r="AD531">
            <v>2090.0278072265387</v>
          </cell>
          <cell r="AE531">
            <v>-1059.5370888866769</v>
          </cell>
          <cell r="AF531">
            <v>787.3912240283039</v>
          </cell>
          <cell r="AG531">
            <v>4.3911879169135897E-3</v>
          </cell>
          <cell r="AH531">
            <v>0</v>
          </cell>
          <cell r="AI531">
            <v>0</v>
          </cell>
          <cell r="AJ531">
            <v>3936.9561201415195</v>
          </cell>
          <cell r="AK531">
            <v>2090.0278072265387</v>
          </cell>
          <cell r="AL531">
            <v>-1846.9283129149808</v>
          </cell>
          <cell r="AM531">
            <v>787.3912240283039</v>
          </cell>
          <cell r="AN531">
            <v>4.3911879169135897E-3</v>
          </cell>
          <cell r="AO531">
            <v>0</v>
          </cell>
          <cell r="AP531" t="e">
            <v>#DIV/0!</v>
          </cell>
          <cell r="AQ531">
            <v>4724.3473441698234</v>
          </cell>
          <cell r="AR531">
            <v>2090.0278072265387</v>
          </cell>
          <cell r="AS531">
            <v>-2634.3195369432847</v>
          </cell>
          <cell r="AT531">
            <v>787.3912240283039</v>
          </cell>
          <cell r="AU531">
            <v>4.3911879169135897E-3</v>
          </cell>
          <cell r="AV531">
            <v>0</v>
          </cell>
          <cell r="AW531" t="e">
            <v>#DIV/0!</v>
          </cell>
          <cell r="AX531">
            <v>5511.7385681981268</v>
          </cell>
          <cell r="AY531">
            <v>2090.0278072265387</v>
          </cell>
          <cell r="AZ531">
            <v>-3421.7107609715881</v>
          </cell>
          <cell r="BA531">
            <v>787.3912240283039</v>
          </cell>
          <cell r="BB531">
            <v>4.3911879169135897E-3</v>
          </cell>
          <cell r="BC531">
            <v>0</v>
          </cell>
          <cell r="BD531" t="e">
            <v>#DIV/0!</v>
          </cell>
          <cell r="BE531">
            <v>6299.1297922264312</v>
          </cell>
          <cell r="BF531">
            <v>2090.0278072265387</v>
          </cell>
          <cell r="BG531">
            <v>-4209.101984999892</v>
          </cell>
          <cell r="BH531">
            <v>787.3912240283039</v>
          </cell>
          <cell r="BI531">
            <v>4.3911879169135897E-3</v>
          </cell>
          <cell r="BJ531">
            <v>0</v>
          </cell>
          <cell r="BK531" t="e">
            <v>#DIV/0!</v>
          </cell>
          <cell r="BL531">
            <v>7086.5210162547355</v>
          </cell>
          <cell r="BM531">
            <v>2090.0278072265387</v>
          </cell>
          <cell r="BN531">
            <v>-4996.4932090281964</v>
          </cell>
          <cell r="BO531">
            <v>787.3912240283039</v>
          </cell>
          <cell r="BP531">
            <v>4.3911879169135897E-3</v>
          </cell>
          <cell r="BQ531">
            <v>0</v>
          </cell>
          <cell r="BR531" t="e">
            <v>#DIV/0!</v>
          </cell>
          <cell r="BS531">
            <v>7873.9122402830399</v>
          </cell>
          <cell r="BT531">
            <v>2090.0278072265387</v>
          </cell>
          <cell r="BU531">
            <v>-5783.8844330565007</v>
          </cell>
          <cell r="BV531">
            <v>787.3912240283039</v>
          </cell>
          <cell r="BW531">
            <v>4.3911879169135897E-3</v>
          </cell>
          <cell r="BX531">
            <v>0</v>
          </cell>
          <cell r="BY531" t="e">
            <v>#DIV/0!</v>
          </cell>
          <cell r="BZ531">
            <v>8661.3034643113442</v>
          </cell>
          <cell r="CA531">
            <v>2090.0278072265387</v>
          </cell>
          <cell r="CB531">
            <v>-6571.2756570848051</v>
          </cell>
          <cell r="CC531">
            <v>787.3912240283039</v>
          </cell>
          <cell r="CD531">
            <v>4.3911879169135897E-3</v>
          </cell>
          <cell r="CE531">
            <v>0</v>
          </cell>
          <cell r="CF531" t="e">
            <v>#DIV/0!</v>
          </cell>
          <cell r="CG531">
            <v>9448.6946883396486</v>
          </cell>
          <cell r="CH531">
            <v>2090.0278072265387</v>
          </cell>
        </row>
        <row r="532">
          <cell r="A532" t="str">
            <v>Seguro de Vida</v>
          </cell>
          <cell r="B532">
            <v>2.3096567021271415E-4</v>
          </cell>
          <cell r="C532">
            <v>90.276582999999974</v>
          </cell>
          <cell r="D532">
            <v>0</v>
          </cell>
          <cell r="E532">
            <v>0</v>
          </cell>
          <cell r="F532">
            <v>147.05000000000001</v>
          </cell>
          <cell r="G532">
            <v>8.6041449685792199E-4</v>
          </cell>
          <cell r="H532">
            <v>0</v>
          </cell>
          <cell r="I532">
            <v>147.05000000000001</v>
          </cell>
          <cell r="J532">
            <v>147.05000000000001</v>
          </cell>
          <cell r="K532">
            <v>0</v>
          </cell>
          <cell r="L532">
            <v>0</v>
          </cell>
          <cell r="M532">
            <v>158.90530000000001</v>
          </cell>
          <cell r="N532">
            <v>6.6823086627418003E-3</v>
          </cell>
          <cell r="O532">
            <v>0</v>
          </cell>
          <cell r="P532">
            <v>305.95530000000002</v>
          </cell>
          <cell r="Q532">
            <v>305.95530000000002</v>
          </cell>
          <cell r="R532">
            <v>0</v>
          </cell>
          <cell r="S532">
            <v>0</v>
          </cell>
          <cell r="T532">
            <v>159.7109988</v>
          </cell>
          <cell r="U532">
            <v>2.3212189994500907E-4</v>
          </cell>
          <cell r="V532">
            <v>0</v>
          </cell>
          <cell r="W532">
            <v>465.66629880000005</v>
          </cell>
          <cell r="X532">
            <v>465.66629880000005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465.66629880000005</v>
          </cell>
          <cell r="AE532">
            <v>465.66629880000005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465.66629880000005</v>
          </cell>
          <cell r="AL532">
            <v>465.66629880000005</v>
          </cell>
          <cell r="AM532">
            <v>0</v>
          </cell>
          <cell r="AN532">
            <v>0</v>
          </cell>
          <cell r="AO532">
            <v>0</v>
          </cell>
          <cell r="AP532" t="e">
            <v>#DIV/0!</v>
          </cell>
          <cell r="AQ532">
            <v>0</v>
          </cell>
          <cell r="AR532">
            <v>465.66629880000005</v>
          </cell>
          <cell r="AS532">
            <v>465.66629880000005</v>
          </cell>
          <cell r="AT532">
            <v>0</v>
          </cell>
          <cell r="AU532">
            <v>0</v>
          </cell>
          <cell r="AV532">
            <v>0</v>
          </cell>
          <cell r="AW532" t="e">
            <v>#DIV/0!</v>
          </cell>
          <cell r="AX532">
            <v>0</v>
          </cell>
          <cell r="AY532">
            <v>465.66629880000005</v>
          </cell>
          <cell r="AZ532">
            <v>465.66629880000005</v>
          </cell>
          <cell r="BA532">
            <v>0</v>
          </cell>
          <cell r="BB532">
            <v>0</v>
          </cell>
          <cell r="BC532">
            <v>0</v>
          </cell>
          <cell r="BD532" t="e">
            <v>#DIV/0!</v>
          </cell>
          <cell r="BE532">
            <v>0</v>
          </cell>
          <cell r="BF532">
            <v>465.66629880000005</v>
          </cell>
          <cell r="BG532">
            <v>465.66629880000005</v>
          </cell>
          <cell r="BH532">
            <v>0</v>
          </cell>
          <cell r="BI532">
            <v>0</v>
          </cell>
          <cell r="BJ532">
            <v>0</v>
          </cell>
          <cell r="BK532" t="e">
            <v>#DIV/0!</v>
          </cell>
          <cell r="BL532">
            <v>0</v>
          </cell>
          <cell r="BM532">
            <v>465.66629880000005</v>
          </cell>
          <cell r="BN532">
            <v>465.66629880000005</v>
          </cell>
          <cell r="BO532">
            <v>0</v>
          </cell>
          <cell r="BP532">
            <v>0</v>
          </cell>
          <cell r="BQ532">
            <v>0</v>
          </cell>
          <cell r="BR532" t="e">
            <v>#DIV/0!</v>
          </cell>
          <cell r="BS532">
            <v>0</v>
          </cell>
          <cell r="BT532">
            <v>465.66629880000005</v>
          </cell>
          <cell r="BU532">
            <v>465.66629880000005</v>
          </cell>
          <cell r="BV532">
            <v>0</v>
          </cell>
          <cell r="BW532">
            <v>0</v>
          </cell>
          <cell r="BX532">
            <v>0</v>
          </cell>
          <cell r="BY532" t="e">
            <v>#DIV/0!</v>
          </cell>
          <cell r="BZ532">
            <v>0</v>
          </cell>
          <cell r="CA532">
            <v>465.66629880000005</v>
          </cell>
          <cell r="CB532">
            <v>465.66629880000005</v>
          </cell>
          <cell r="CC532">
            <v>0</v>
          </cell>
          <cell r="CD532">
            <v>0</v>
          </cell>
          <cell r="CE532">
            <v>0</v>
          </cell>
          <cell r="CF532" t="e">
            <v>#DIV/0!</v>
          </cell>
          <cell r="CG532">
            <v>0</v>
          </cell>
          <cell r="CH532">
            <v>465.66629880000005</v>
          </cell>
        </row>
        <row r="533">
          <cell r="A533" t="str">
            <v>Plano de Saúde</v>
          </cell>
          <cell r="B533">
            <v>3.8193973259801218E-3</v>
          </cell>
          <cell r="C533">
            <v>1492.8718167997324</v>
          </cell>
          <cell r="D533">
            <v>3030.241353055651</v>
          </cell>
          <cell r="E533">
            <v>1.6899298352341739E-2</v>
          </cell>
          <cell r="F533">
            <v>2228.5900277998321</v>
          </cell>
          <cell r="G533">
            <v>1.3039858330309247E-2</v>
          </cell>
          <cell r="H533">
            <v>3030.241353055651</v>
          </cell>
          <cell r="I533">
            <v>2228.5900277998321</v>
          </cell>
          <cell r="J533">
            <v>-801.65132525581885</v>
          </cell>
          <cell r="K533">
            <v>3030.241353055651</v>
          </cell>
          <cell r="L533">
            <v>1.6899298352341739E-2</v>
          </cell>
          <cell r="M533">
            <v>3225.5968571428543</v>
          </cell>
          <cell r="N533">
            <v>0.13564326564940515</v>
          </cell>
          <cell r="O533">
            <v>6060.4827061113019</v>
          </cell>
          <cell r="P533">
            <v>5454.1868849426864</v>
          </cell>
          <cell r="Q533">
            <v>-606.29582116861548</v>
          </cell>
          <cell r="R533">
            <v>3030.241353055651</v>
          </cell>
          <cell r="S533">
            <v>1.6899298352341739E-2</v>
          </cell>
          <cell r="T533">
            <v>3162.1152296999994</v>
          </cell>
          <cell r="U533">
            <v>4.5957773758723286E-3</v>
          </cell>
          <cell r="V533">
            <v>9090.7240591669524</v>
          </cell>
          <cell r="W533">
            <v>8616.3021146426854</v>
          </cell>
          <cell r="X533">
            <v>-474.42194452426702</v>
          </cell>
          <cell r="Y533">
            <v>3030.241353055651</v>
          </cell>
          <cell r="Z533">
            <v>1.6899298352341739E-2</v>
          </cell>
          <cell r="AA533">
            <v>0</v>
          </cell>
          <cell r="AB533">
            <v>0</v>
          </cell>
          <cell r="AC533">
            <v>12120.965412222604</v>
          </cell>
          <cell r="AD533">
            <v>8616.3021146426854</v>
          </cell>
          <cell r="AE533">
            <v>-3504.6632975799184</v>
          </cell>
          <cell r="AF533">
            <v>3030.241353055651</v>
          </cell>
          <cell r="AG533">
            <v>1.6899298352341739E-2</v>
          </cell>
          <cell r="AH533">
            <v>0</v>
          </cell>
          <cell r="AI533">
            <v>0</v>
          </cell>
          <cell r="AJ533">
            <v>15151.206765278255</v>
          </cell>
          <cell r="AK533">
            <v>8616.3021146426854</v>
          </cell>
          <cell r="AL533">
            <v>-6534.9046506355699</v>
          </cell>
          <cell r="AM533">
            <v>3030.241353055651</v>
          </cell>
          <cell r="AN533">
            <v>1.6899298352341739E-2</v>
          </cell>
          <cell r="AO533">
            <v>0</v>
          </cell>
          <cell r="AP533" t="e">
            <v>#DIV/0!</v>
          </cell>
          <cell r="AQ533">
            <v>18181.448118333905</v>
          </cell>
          <cell r="AR533">
            <v>8616.3021146426854</v>
          </cell>
          <cell r="AS533">
            <v>-9565.1460036912194</v>
          </cell>
          <cell r="AT533">
            <v>3030.241353055651</v>
          </cell>
          <cell r="AU533">
            <v>1.6899298352341739E-2</v>
          </cell>
          <cell r="AV533">
            <v>0</v>
          </cell>
          <cell r="AW533" t="e">
            <v>#DIV/0!</v>
          </cell>
          <cell r="AX533">
            <v>21211.689471389556</v>
          </cell>
          <cell r="AY533">
            <v>8616.3021146426854</v>
          </cell>
          <cell r="AZ533">
            <v>-12595.387356746871</v>
          </cell>
          <cell r="BA533">
            <v>3030.241353055651</v>
          </cell>
          <cell r="BB533">
            <v>1.6899298352341739E-2</v>
          </cell>
          <cell r="BC533">
            <v>0</v>
          </cell>
          <cell r="BD533" t="e">
            <v>#DIV/0!</v>
          </cell>
          <cell r="BE533">
            <v>24241.930824445208</v>
          </cell>
          <cell r="BF533">
            <v>8616.3021146426854</v>
          </cell>
          <cell r="BG533">
            <v>-15625.628709802522</v>
          </cell>
          <cell r="BH533">
            <v>3030.241353055651</v>
          </cell>
          <cell r="BI533">
            <v>1.6899298352341739E-2</v>
          </cell>
          <cell r="BJ533">
            <v>0</v>
          </cell>
          <cell r="BK533" t="e">
            <v>#DIV/0!</v>
          </cell>
          <cell r="BL533">
            <v>27272.172177500859</v>
          </cell>
          <cell r="BM533">
            <v>8616.3021146426854</v>
          </cell>
          <cell r="BN533">
            <v>-18655.870062858172</v>
          </cell>
          <cell r="BO533">
            <v>3030.241353055651</v>
          </cell>
          <cell r="BP533">
            <v>1.6899298352341739E-2</v>
          </cell>
          <cell r="BQ533">
            <v>0</v>
          </cell>
          <cell r="BR533" t="e">
            <v>#DIV/0!</v>
          </cell>
          <cell r="BS533">
            <v>30302.413530556511</v>
          </cell>
          <cell r="BT533">
            <v>8616.3021146426854</v>
          </cell>
          <cell r="BU533">
            <v>-21686.111415913823</v>
          </cell>
          <cell r="BV533">
            <v>3030.241353055651</v>
          </cell>
          <cell r="BW533">
            <v>1.6899298352341739E-2</v>
          </cell>
          <cell r="BX533">
            <v>0</v>
          </cell>
          <cell r="BY533" t="e">
            <v>#DIV/0!</v>
          </cell>
          <cell r="BZ533">
            <v>33332.654883612158</v>
          </cell>
          <cell r="CA533">
            <v>8616.3021146426854</v>
          </cell>
          <cell r="CB533">
            <v>-24716.352768969475</v>
          </cell>
          <cell r="CC533">
            <v>3030.241353055651</v>
          </cell>
          <cell r="CD533">
            <v>1.6899298352341739E-2</v>
          </cell>
          <cell r="CE533">
            <v>0</v>
          </cell>
          <cell r="CF533" t="e">
            <v>#DIV/0!</v>
          </cell>
          <cell r="CG533">
            <v>36362.89623666781</v>
          </cell>
          <cell r="CH533">
            <v>8616.3021146426854</v>
          </cell>
        </row>
        <row r="534">
          <cell r="A534" t="str">
            <v>Plano Odontológico</v>
          </cell>
          <cell r="B534">
            <v>2.1543071455418995E-4</v>
          </cell>
          <cell r="C534">
            <v>84.204500025000002</v>
          </cell>
          <cell r="D534">
            <v>116.91400349999999</v>
          </cell>
          <cell r="E534">
            <v>6.5201559760937663E-4</v>
          </cell>
          <cell r="F534">
            <v>59.111999999999995</v>
          </cell>
          <cell r="G534">
            <v>3.4587434028062207E-4</v>
          </cell>
          <cell r="H534">
            <v>116.91400349999999</v>
          </cell>
          <cell r="I534">
            <v>59.111999999999995</v>
          </cell>
          <cell r="J534">
            <v>-57.802003499999998</v>
          </cell>
          <cell r="K534">
            <v>116.91400349999999</v>
          </cell>
          <cell r="L534">
            <v>6.5201559760937663E-4</v>
          </cell>
          <cell r="M534">
            <v>133.29400000000001</v>
          </cell>
          <cell r="N534">
            <v>5.6052985702270824E-3</v>
          </cell>
          <cell r="O534">
            <v>233.82800699999999</v>
          </cell>
          <cell r="P534">
            <v>192.40600000000001</v>
          </cell>
          <cell r="Q534">
            <v>-41.422006999999979</v>
          </cell>
          <cell r="R534">
            <v>116.91400349999999</v>
          </cell>
          <cell r="S534">
            <v>6.5201559760937663E-4</v>
          </cell>
          <cell r="T534">
            <v>174.06199999999998</v>
          </cell>
          <cell r="U534">
            <v>2.5297945947244405E-4</v>
          </cell>
          <cell r="V534">
            <v>350.74201049999999</v>
          </cell>
          <cell r="W534">
            <v>366.46799999999996</v>
          </cell>
          <cell r="X534">
            <v>15.725989499999969</v>
          </cell>
          <cell r="Y534">
            <v>116.91400349999999</v>
          </cell>
          <cell r="Z534">
            <v>6.5201559760937663E-4</v>
          </cell>
          <cell r="AA534">
            <v>0</v>
          </cell>
          <cell r="AB534">
            <v>0</v>
          </cell>
          <cell r="AC534">
            <v>467.65601399999997</v>
          </cell>
          <cell r="AD534">
            <v>366.46799999999996</v>
          </cell>
          <cell r="AE534">
            <v>-101.18801400000001</v>
          </cell>
          <cell r="AF534">
            <v>116.91400349999999</v>
          </cell>
          <cell r="AG534">
            <v>6.5201559760937663E-4</v>
          </cell>
          <cell r="AH534">
            <v>0</v>
          </cell>
          <cell r="AI534">
            <v>0</v>
          </cell>
          <cell r="AJ534">
            <v>584.57001749999995</v>
          </cell>
          <cell r="AK534">
            <v>366.46799999999996</v>
          </cell>
          <cell r="AL534">
            <v>-218.10201749999999</v>
          </cell>
          <cell r="AM534">
            <v>116.91400349999999</v>
          </cell>
          <cell r="AN534">
            <v>6.5201559760937663E-4</v>
          </cell>
          <cell r="AO534">
            <v>0</v>
          </cell>
          <cell r="AP534" t="e">
            <v>#DIV/0!</v>
          </cell>
          <cell r="AQ534">
            <v>701.48402099999998</v>
          </cell>
          <cell r="AR534">
            <v>366.46799999999996</v>
          </cell>
          <cell r="AS534">
            <v>-335.01602100000002</v>
          </cell>
          <cell r="AT534">
            <v>116.91400349999999</v>
          </cell>
          <cell r="AU534">
            <v>6.5201559760937663E-4</v>
          </cell>
          <cell r="AV534">
            <v>0</v>
          </cell>
          <cell r="AW534" t="e">
            <v>#DIV/0!</v>
          </cell>
          <cell r="AX534">
            <v>818.39802450000002</v>
          </cell>
          <cell r="AY534">
            <v>366.46799999999996</v>
          </cell>
          <cell r="AZ534">
            <v>-451.93002450000006</v>
          </cell>
          <cell r="BA534">
            <v>116.91400349999999</v>
          </cell>
          <cell r="BB534">
            <v>6.5201559760937663E-4</v>
          </cell>
          <cell r="BC534">
            <v>0</v>
          </cell>
          <cell r="BD534" t="e">
            <v>#DIV/0!</v>
          </cell>
          <cell r="BE534">
            <v>935.31202800000005</v>
          </cell>
          <cell r="BF534">
            <v>366.46799999999996</v>
          </cell>
          <cell r="BG534">
            <v>-568.84402800000009</v>
          </cell>
          <cell r="BH534">
            <v>116.91400349999999</v>
          </cell>
          <cell r="BI534">
            <v>6.5201559760937663E-4</v>
          </cell>
          <cell r="BJ534">
            <v>0</v>
          </cell>
          <cell r="BK534" t="e">
            <v>#DIV/0!</v>
          </cell>
          <cell r="BL534">
            <v>1052.2260315000001</v>
          </cell>
          <cell r="BM534">
            <v>366.46799999999996</v>
          </cell>
          <cell r="BN534">
            <v>-685.75803150000013</v>
          </cell>
          <cell r="BO534">
            <v>116.91400349999999</v>
          </cell>
          <cell r="BP534">
            <v>6.5201559760937663E-4</v>
          </cell>
          <cell r="BQ534">
            <v>0</v>
          </cell>
          <cell r="BR534" t="e">
            <v>#DIV/0!</v>
          </cell>
          <cell r="BS534">
            <v>1169.1400350000001</v>
          </cell>
          <cell r="BT534">
            <v>366.46799999999996</v>
          </cell>
          <cell r="BU534">
            <v>-802.67203500000016</v>
          </cell>
          <cell r="BV534">
            <v>116.91400349999999</v>
          </cell>
          <cell r="BW534">
            <v>6.5201559760937663E-4</v>
          </cell>
          <cell r="BX534">
            <v>0</v>
          </cell>
          <cell r="BY534" t="e">
            <v>#DIV/0!</v>
          </cell>
          <cell r="BZ534">
            <v>1286.0540385000002</v>
          </cell>
          <cell r="CA534">
            <v>366.46799999999996</v>
          </cell>
          <cell r="CB534">
            <v>-919.5860385000002</v>
          </cell>
          <cell r="CC534">
            <v>116.91400349999999</v>
          </cell>
          <cell r="CD534">
            <v>6.5201559760937663E-4</v>
          </cell>
          <cell r="CE534">
            <v>0</v>
          </cell>
          <cell r="CF534" t="e">
            <v>#DIV/0!</v>
          </cell>
          <cell r="CG534">
            <v>1402.9680420000002</v>
          </cell>
          <cell r="CH534">
            <v>366.46799999999996</v>
          </cell>
        </row>
        <row r="535">
          <cell r="A535" t="str">
            <v>Saneamento Gestão</v>
          </cell>
          <cell r="B535">
            <v>7.1842025750068006E-4</v>
          </cell>
          <cell r="C535">
            <v>280.80591347367817</v>
          </cell>
          <cell r="D535">
            <v>6792.02</v>
          </cell>
          <cell r="E535">
            <v>3.7878293845910758E-2</v>
          </cell>
          <cell r="F535">
            <v>5797.2353390049329</v>
          </cell>
          <cell r="G535">
            <v>3.3920607462610636E-2</v>
          </cell>
          <cell r="H535">
            <v>6792.02</v>
          </cell>
          <cell r="I535">
            <v>5797.2353390049329</v>
          </cell>
          <cell r="J535">
            <v>-994.7846609950675</v>
          </cell>
          <cell r="K535">
            <v>3792.02</v>
          </cell>
          <cell r="L535">
            <v>2.1147647950031139E-2</v>
          </cell>
          <cell r="M535">
            <v>0</v>
          </cell>
          <cell r="N535">
            <v>0</v>
          </cell>
          <cell r="O535">
            <v>10584.04</v>
          </cell>
          <cell r="P535">
            <v>5797.2353390049329</v>
          </cell>
          <cell r="Q535">
            <v>-4786.8046609950679</v>
          </cell>
          <cell r="R535">
            <v>3792.02</v>
          </cell>
          <cell r="S535">
            <v>2.1147647950031139E-2</v>
          </cell>
          <cell r="T535">
            <v>-1.233167213547163E-5</v>
          </cell>
          <cell r="U535">
            <v>-1.7922692783163548E-11</v>
          </cell>
          <cell r="V535">
            <v>14376.060000000001</v>
          </cell>
          <cell r="W535">
            <v>5797.2353266732607</v>
          </cell>
          <cell r="X535">
            <v>-8578.8246733267406</v>
          </cell>
          <cell r="Y535">
            <v>3792.02</v>
          </cell>
          <cell r="Z535">
            <v>2.1147647950031139E-2</v>
          </cell>
          <cell r="AA535">
            <v>0</v>
          </cell>
          <cell r="AB535">
            <v>0</v>
          </cell>
          <cell r="AC535">
            <v>18168.080000000002</v>
          </cell>
          <cell r="AD535">
            <v>5797.2353266732607</v>
          </cell>
          <cell r="AE535">
            <v>-12370.844673326741</v>
          </cell>
          <cell r="AF535">
            <v>3792.02</v>
          </cell>
          <cell r="AG535">
            <v>2.1147647950031139E-2</v>
          </cell>
          <cell r="AH535">
            <v>0</v>
          </cell>
          <cell r="AI535">
            <v>0</v>
          </cell>
          <cell r="AJ535">
            <v>21960.100000000002</v>
          </cell>
          <cell r="AK535">
            <v>5797.2353266732607</v>
          </cell>
          <cell r="AL535">
            <v>-16162.864673326741</v>
          </cell>
          <cell r="AM535">
            <v>3792.02</v>
          </cell>
          <cell r="AN535">
            <v>2.1147647950031139E-2</v>
          </cell>
          <cell r="AO535">
            <v>0</v>
          </cell>
          <cell r="AP535" t="e">
            <v>#DIV/0!</v>
          </cell>
          <cell r="AQ535">
            <v>25752.120000000003</v>
          </cell>
          <cell r="AR535">
            <v>5797.2353266732607</v>
          </cell>
          <cell r="AS535">
            <v>-19954.884673326742</v>
          </cell>
          <cell r="AT535">
            <v>3792.02</v>
          </cell>
          <cell r="AU535">
            <v>2.1147647950031139E-2</v>
          </cell>
          <cell r="AV535">
            <v>0</v>
          </cell>
          <cell r="AW535" t="e">
            <v>#DIV/0!</v>
          </cell>
          <cell r="AX535">
            <v>29544.140000000003</v>
          </cell>
          <cell r="AY535">
            <v>5797.2353266732607</v>
          </cell>
          <cell r="AZ535">
            <v>-23746.904673326742</v>
          </cell>
          <cell r="BA535">
            <v>3792.02</v>
          </cell>
          <cell r="BB535">
            <v>2.1147647950031139E-2</v>
          </cell>
          <cell r="BC535">
            <v>0</v>
          </cell>
          <cell r="BD535" t="e">
            <v>#DIV/0!</v>
          </cell>
          <cell r="BE535">
            <v>33336.160000000003</v>
          </cell>
          <cell r="BF535">
            <v>5797.2353266732607</v>
          </cell>
          <cell r="BG535">
            <v>-27538.924673326743</v>
          </cell>
          <cell r="BH535">
            <v>3792.02</v>
          </cell>
          <cell r="BI535">
            <v>2.1147647950031139E-2</v>
          </cell>
          <cell r="BJ535">
            <v>0</v>
          </cell>
          <cell r="BK535" t="e">
            <v>#DIV/0!</v>
          </cell>
          <cell r="BL535">
            <v>37128.18</v>
          </cell>
          <cell r="BM535">
            <v>5797.2353266732607</v>
          </cell>
          <cell r="BN535">
            <v>-31330.94467332674</v>
          </cell>
          <cell r="BO535">
            <v>3792.02</v>
          </cell>
          <cell r="BP535">
            <v>2.1147647950031139E-2</v>
          </cell>
          <cell r="BQ535">
            <v>0</v>
          </cell>
          <cell r="BR535" t="e">
            <v>#DIV/0!</v>
          </cell>
          <cell r="BS535">
            <v>40920.199999999997</v>
          </cell>
          <cell r="BT535">
            <v>5797.2353266732607</v>
          </cell>
          <cell r="BU535">
            <v>-35122.964673326736</v>
          </cell>
          <cell r="BV535">
            <v>3792.02</v>
          </cell>
          <cell r="BW535">
            <v>2.1147647950031139E-2</v>
          </cell>
          <cell r="BX535">
            <v>0</v>
          </cell>
          <cell r="BY535" t="e">
            <v>#DIV/0!</v>
          </cell>
          <cell r="BZ535">
            <v>44712.219999999994</v>
          </cell>
          <cell r="CA535">
            <v>5797.2353266732607</v>
          </cell>
          <cell r="CB535">
            <v>-38914.984673326733</v>
          </cell>
          <cell r="CC535">
            <v>3792.02</v>
          </cell>
          <cell r="CD535">
            <v>2.1147647950031139E-2</v>
          </cell>
          <cell r="CE535">
            <v>0</v>
          </cell>
          <cell r="CF535" t="e">
            <v>#DIV/0!</v>
          </cell>
          <cell r="CG535">
            <v>48504.239999999991</v>
          </cell>
          <cell r="CH535">
            <v>5797.2353266732607</v>
          </cell>
        </row>
        <row r="536">
          <cell r="A536" t="str">
            <v>Remuneração</v>
          </cell>
          <cell r="B536">
            <v>8.2470082169846373E-2</v>
          </cell>
          <cell r="C536">
            <v>32234.73519318334</v>
          </cell>
          <cell r="D536">
            <v>40003.303907272697</v>
          </cell>
          <cell r="E536">
            <v>0.22309370411261231</v>
          </cell>
          <cell r="F536">
            <v>40813.517479745606</v>
          </cell>
          <cell r="G536">
            <v>0.23880681473877807</v>
          </cell>
          <cell r="H536">
            <v>40003.303907272697</v>
          </cell>
          <cell r="I536">
            <v>40813.517479745606</v>
          </cell>
          <cell r="J536">
            <v>810.21357247290871</v>
          </cell>
          <cell r="K536">
            <v>40003.303907272697</v>
          </cell>
          <cell r="L536">
            <v>0.22309370411261231</v>
          </cell>
          <cell r="M536">
            <v>48434.565729745591</v>
          </cell>
          <cell r="N536">
            <v>2.0367773645813956</v>
          </cell>
          <cell r="O536">
            <v>80006.607814545394</v>
          </cell>
          <cell r="P536">
            <v>89248.083209491189</v>
          </cell>
          <cell r="Q536">
            <v>9241.4753949457954</v>
          </cell>
          <cell r="R536">
            <v>40003.303907272697</v>
          </cell>
          <cell r="S536">
            <v>0.22309370411261231</v>
          </cell>
          <cell r="T536">
            <v>44287.656979745589</v>
          </cell>
          <cell r="U536">
            <v>6.4367107835352086E-2</v>
          </cell>
          <cell r="V536">
            <v>120009.91172181809</v>
          </cell>
          <cell r="W536">
            <v>133535.74018923676</v>
          </cell>
          <cell r="X536">
            <v>13525.828467418673</v>
          </cell>
          <cell r="Y536">
            <v>40003.303907272697</v>
          </cell>
          <cell r="Z536">
            <v>0.22309370411261231</v>
          </cell>
          <cell r="AA536">
            <v>0</v>
          </cell>
          <cell r="AB536">
            <v>0</v>
          </cell>
          <cell r="AC536">
            <v>160013.21562909079</v>
          </cell>
          <cell r="AD536">
            <v>133535.74018923676</v>
          </cell>
          <cell r="AE536">
            <v>-26477.475439854024</v>
          </cell>
          <cell r="AF536">
            <v>40003.303907272697</v>
          </cell>
          <cell r="AG536">
            <v>0.22309370411261231</v>
          </cell>
          <cell r="AH536">
            <v>0</v>
          </cell>
          <cell r="AI536">
            <v>0</v>
          </cell>
          <cell r="AJ536">
            <v>200016.51953636348</v>
          </cell>
          <cell r="AK536">
            <v>133535.74018923676</v>
          </cell>
          <cell r="AL536">
            <v>-66480.779347126721</v>
          </cell>
          <cell r="AM536">
            <v>40003.303907272697</v>
          </cell>
          <cell r="AN536">
            <v>0.22309370411261231</v>
          </cell>
          <cell r="AO536">
            <v>0</v>
          </cell>
          <cell r="AP536" t="e">
            <v>#DIV/0!</v>
          </cell>
          <cell r="AQ536">
            <v>240019.82344363618</v>
          </cell>
          <cell r="AR536">
            <v>133535.74018923676</v>
          </cell>
          <cell r="AS536">
            <v>-106484.08325439942</v>
          </cell>
          <cell r="AT536">
            <v>40003.303907272697</v>
          </cell>
          <cell r="AU536">
            <v>0.22309370411261231</v>
          </cell>
          <cell r="AV536">
            <v>0</v>
          </cell>
          <cell r="AW536" t="e">
            <v>#DIV/0!</v>
          </cell>
          <cell r="AX536">
            <v>280023.12735090888</v>
          </cell>
          <cell r="AY536">
            <v>133535.74018923676</v>
          </cell>
          <cell r="AZ536">
            <v>-146487.38716167212</v>
          </cell>
          <cell r="BA536">
            <v>40003.303907272697</v>
          </cell>
          <cell r="BB536">
            <v>0.22309370411261231</v>
          </cell>
          <cell r="BC536">
            <v>0</v>
          </cell>
          <cell r="BD536" t="e">
            <v>#DIV/0!</v>
          </cell>
          <cell r="BE536">
            <v>320026.43125818158</v>
          </cell>
          <cell r="BF536">
            <v>133535.74018923676</v>
          </cell>
          <cell r="BG536">
            <v>-186490.69106894481</v>
          </cell>
          <cell r="BH536">
            <v>40003.303907272697</v>
          </cell>
          <cell r="BI536">
            <v>0.22309370411261231</v>
          </cell>
          <cell r="BJ536">
            <v>0</v>
          </cell>
          <cell r="BK536" t="e">
            <v>#DIV/0!</v>
          </cell>
          <cell r="BL536">
            <v>360029.73516545427</v>
          </cell>
          <cell r="BM536">
            <v>133535.74018923676</v>
          </cell>
          <cell r="BN536">
            <v>-226493.99497621751</v>
          </cell>
          <cell r="BO536">
            <v>40003.303907272697</v>
          </cell>
          <cell r="BP536">
            <v>0.22309370411261231</v>
          </cell>
          <cell r="BQ536">
            <v>0</v>
          </cell>
          <cell r="BR536" t="e">
            <v>#DIV/0!</v>
          </cell>
          <cell r="BS536">
            <v>400033.03907272697</v>
          </cell>
          <cell r="BT536">
            <v>133535.74018923676</v>
          </cell>
          <cell r="BU536">
            <v>-266497.29888349021</v>
          </cell>
          <cell r="BV536">
            <v>40003.303907272697</v>
          </cell>
          <cell r="BW536">
            <v>0.22309370411261231</v>
          </cell>
          <cell r="BX536">
            <v>0</v>
          </cell>
          <cell r="BY536" t="e">
            <v>#DIV/0!</v>
          </cell>
          <cell r="BZ536">
            <v>440036.34297999967</v>
          </cell>
          <cell r="CA536">
            <v>133535.74018923676</v>
          </cell>
          <cell r="CB536">
            <v>-306500.6027907629</v>
          </cell>
          <cell r="CC536">
            <v>40003.303907272697</v>
          </cell>
          <cell r="CD536">
            <v>0.22309370411261231</v>
          </cell>
          <cell r="CE536">
            <v>0</v>
          </cell>
          <cell r="CF536" t="e">
            <v>#DIV/0!</v>
          </cell>
          <cell r="CG536">
            <v>480039.64688727236</v>
          </cell>
          <cell r="CH536">
            <v>133535.74018923676</v>
          </cell>
        </row>
        <row r="537">
          <cell r="A537" t="str">
            <v>Pesquisas/Consultas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 t="e">
            <v>#DIV/0!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 t="e">
            <v>#DIV/0!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 t="e">
            <v>#DIV/0!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 t="e">
            <v>#DIV/0!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 t="e">
            <v>#DIV/0!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 t="e">
            <v>#DIV/0!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 t="e">
            <v>#DIV/0!</v>
          </cell>
          <cell r="CG537">
            <v>0</v>
          </cell>
          <cell r="CH537">
            <v>0</v>
          </cell>
        </row>
        <row r="538">
          <cell r="A538" t="str">
            <v>Sistemas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 t="e">
            <v>#DIV/0!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 t="e">
            <v>#DIV/0!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 t="e">
            <v>#DIV/0!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  <cell r="BK538" t="e">
            <v>#DIV/0!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 t="e">
            <v>#DIV/0!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 t="e">
            <v>#DIV/0!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 t="e">
            <v>#DIV/0!</v>
          </cell>
          <cell r="CG538">
            <v>0</v>
          </cell>
          <cell r="CH538">
            <v>0</v>
          </cell>
        </row>
        <row r="539">
          <cell r="A539" t="str">
            <v>Indenização por Ruptura de Contrato</v>
          </cell>
          <cell r="B539">
            <v>5.0209047875953783E-4</v>
          </cell>
          <cell r="C539">
            <v>196.24999999999997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 t="e">
            <v>#DIV/0!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 t="e">
            <v>#DIV/0!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 t="e">
            <v>#DIV/0!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  <cell r="BK539" t="e">
            <v>#DIV/0!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 t="e">
            <v>#DIV/0!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 t="e">
            <v>#DIV/0!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 t="e">
            <v>#DIV/0!</v>
          </cell>
          <cell r="CG539">
            <v>0</v>
          </cell>
          <cell r="CH539">
            <v>0</v>
          </cell>
        </row>
        <row r="540">
          <cell r="A540" t="str">
            <v>Vale Alimentação / Refeição</v>
          </cell>
          <cell r="B540">
            <v>1.2766734336026404E-3</v>
          </cell>
          <cell r="C540">
            <v>499.00799147499998</v>
          </cell>
          <cell r="D540">
            <v>17.429278350515499</v>
          </cell>
          <cell r="E540">
            <v>9.7201028101065183E-5</v>
          </cell>
          <cell r="F540">
            <v>461.90699999999998</v>
          </cell>
          <cell r="G540">
            <v>2.7026962189741727E-3</v>
          </cell>
          <cell r="H540">
            <v>17.429278350515499</v>
          </cell>
          <cell r="I540">
            <v>461.90699999999998</v>
          </cell>
          <cell r="J540">
            <v>444.47772164948447</v>
          </cell>
          <cell r="K540">
            <v>17.429278350515499</v>
          </cell>
          <cell r="L540">
            <v>9.7201028101065183E-5</v>
          </cell>
          <cell r="M540">
            <v>597.76199999999994</v>
          </cell>
          <cell r="N540">
            <v>2.5137174095878886E-2</v>
          </cell>
          <cell r="O540">
            <v>34.858556701030999</v>
          </cell>
          <cell r="P540">
            <v>1059.6689999999999</v>
          </cell>
          <cell r="Q540">
            <v>1024.8104432989689</v>
          </cell>
          <cell r="R540">
            <v>17.429278350515499</v>
          </cell>
          <cell r="S540">
            <v>9.7201028101065183E-5</v>
          </cell>
          <cell r="T540">
            <v>567.71992439999997</v>
          </cell>
          <cell r="U540">
            <v>8.2511679520199017E-4</v>
          </cell>
          <cell r="V540">
            <v>52.287835051546494</v>
          </cell>
          <cell r="W540">
            <v>1627.3889243999997</v>
          </cell>
          <cell r="X540">
            <v>1575.1010893484531</v>
          </cell>
          <cell r="Y540">
            <v>17.429278350515499</v>
          </cell>
          <cell r="Z540">
            <v>9.7201028101065183E-5</v>
          </cell>
          <cell r="AA540">
            <v>0</v>
          </cell>
          <cell r="AB540">
            <v>0</v>
          </cell>
          <cell r="AC540">
            <v>69.717113402061997</v>
          </cell>
          <cell r="AD540">
            <v>1627.3889243999997</v>
          </cell>
          <cell r="AE540">
            <v>1557.6718109979377</v>
          </cell>
          <cell r="AF540">
            <v>17.429278350515499</v>
          </cell>
          <cell r="AG540">
            <v>9.7201028101065183E-5</v>
          </cell>
          <cell r="AH540">
            <v>0</v>
          </cell>
          <cell r="AI540">
            <v>0</v>
          </cell>
          <cell r="AJ540">
            <v>87.1463917525775</v>
          </cell>
          <cell r="AK540">
            <v>1627.3889243999997</v>
          </cell>
          <cell r="AL540">
            <v>1540.2425326474222</v>
          </cell>
          <cell r="AM540">
            <v>17.429278350515499</v>
          </cell>
          <cell r="AN540">
            <v>9.7201028101065183E-5</v>
          </cell>
          <cell r="AO540">
            <v>0</v>
          </cell>
          <cell r="AP540" t="e">
            <v>#DIV/0!</v>
          </cell>
          <cell r="AQ540">
            <v>104.575670103093</v>
          </cell>
          <cell r="AR540">
            <v>1627.3889243999997</v>
          </cell>
          <cell r="AS540">
            <v>1522.8132542969067</v>
          </cell>
          <cell r="AT540">
            <v>17.429278350515499</v>
          </cell>
          <cell r="AU540">
            <v>9.7201028101065183E-5</v>
          </cell>
          <cell r="AV540">
            <v>0</v>
          </cell>
          <cell r="AW540" t="e">
            <v>#DIV/0!</v>
          </cell>
          <cell r="AX540">
            <v>122.00494845360851</v>
          </cell>
          <cell r="AY540">
            <v>1627.3889243999997</v>
          </cell>
          <cell r="AZ540">
            <v>1505.3839759463913</v>
          </cell>
          <cell r="BA540">
            <v>17.429278350515499</v>
          </cell>
          <cell r="BB540">
            <v>9.7201028101065183E-5</v>
          </cell>
          <cell r="BC540">
            <v>0</v>
          </cell>
          <cell r="BD540" t="e">
            <v>#DIV/0!</v>
          </cell>
          <cell r="BE540">
            <v>139.43422680412399</v>
          </cell>
          <cell r="BF540">
            <v>1627.3889243999997</v>
          </cell>
          <cell r="BG540">
            <v>1487.9546975958758</v>
          </cell>
          <cell r="BH540">
            <v>17.429278350515499</v>
          </cell>
          <cell r="BI540">
            <v>9.7201028101065183E-5</v>
          </cell>
          <cell r="BJ540">
            <v>0</v>
          </cell>
          <cell r="BK540" t="e">
            <v>#DIV/0!</v>
          </cell>
          <cell r="BL540">
            <v>156.86350515463948</v>
          </cell>
          <cell r="BM540">
            <v>1627.3889243999997</v>
          </cell>
          <cell r="BN540">
            <v>1470.5254192453604</v>
          </cell>
          <cell r="BO540">
            <v>17.429278350515499</v>
          </cell>
          <cell r="BP540">
            <v>9.7201028101065183E-5</v>
          </cell>
          <cell r="BQ540">
            <v>0</v>
          </cell>
          <cell r="BR540" t="e">
            <v>#DIV/0!</v>
          </cell>
          <cell r="BS540">
            <v>174.29278350515497</v>
          </cell>
          <cell r="BT540">
            <v>1627.3889243999997</v>
          </cell>
          <cell r="BU540">
            <v>1453.0961408948447</v>
          </cell>
          <cell r="BV540">
            <v>17.429278350515499</v>
          </cell>
          <cell r="BW540">
            <v>9.7201028101065183E-5</v>
          </cell>
          <cell r="BX540">
            <v>0</v>
          </cell>
          <cell r="BY540" t="e">
            <v>#DIV/0!</v>
          </cell>
          <cell r="BZ540">
            <v>191.72206185567046</v>
          </cell>
          <cell r="CA540">
            <v>1627.3889243999997</v>
          </cell>
          <cell r="CB540">
            <v>1435.6668625443292</v>
          </cell>
          <cell r="CC540">
            <v>17.429278350515499</v>
          </cell>
          <cell r="CD540">
            <v>9.7201028101065183E-5</v>
          </cell>
          <cell r="CE540">
            <v>0</v>
          </cell>
          <cell r="CF540" t="e">
            <v>#DIV/0!</v>
          </cell>
          <cell r="CG540">
            <v>209.15134020618595</v>
          </cell>
          <cell r="CH540">
            <v>1627.3889243999997</v>
          </cell>
        </row>
        <row r="541">
          <cell r="A541" t="str">
            <v>Vale Transporte</v>
          </cell>
          <cell r="B541">
            <v>2.4142130973220076E-4</v>
          </cell>
          <cell r="C541">
            <v>94.363334975000001</v>
          </cell>
          <cell r="D541">
            <v>83.043367697594491</v>
          </cell>
          <cell r="E541">
            <v>4.63123059649927E-4</v>
          </cell>
          <cell r="F541">
            <v>57.12</v>
          </cell>
          <cell r="G541">
            <v>3.3421881034018699E-4</v>
          </cell>
          <cell r="H541">
            <v>83.043367697594491</v>
          </cell>
          <cell r="I541">
            <v>57.12</v>
          </cell>
          <cell r="J541">
            <v>-25.923367697594493</v>
          </cell>
          <cell r="K541">
            <v>83.043367697594491</v>
          </cell>
          <cell r="L541">
            <v>4.63123059649927E-4</v>
          </cell>
          <cell r="M541">
            <v>75.839966099999998</v>
          </cell>
          <cell r="N541">
            <v>3.1892332253994952E-3</v>
          </cell>
          <cell r="O541">
            <v>166.08673539518898</v>
          </cell>
          <cell r="P541">
            <v>132.9599661</v>
          </cell>
          <cell r="Q541">
            <v>-33.126769295188979</v>
          </cell>
          <cell r="R541">
            <v>83.043367697594491</v>
          </cell>
          <cell r="S541">
            <v>4.63123059649927E-4</v>
          </cell>
          <cell r="T541">
            <v>35.520000000000003</v>
          </cell>
          <cell r="U541">
            <v>5.1624308582351206E-5</v>
          </cell>
          <cell r="V541">
            <v>249.13010309278349</v>
          </cell>
          <cell r="W541">
            <v>168.47996610000001</v>
          </cell>
          <cell r="X541">
            <v>-80.650136992783473</v>
          </cell>
          <cell r="Y541">
            <v>83.043367697594491</v>
          </cell>
          <cell r="Z541">
            <v>4.63123059649927E-4</v>
          </cell>
          <cell r="AA541">
            <v>0</v>
          </cell>
          <cell r="AB541">
            <v>0</v>
          </cell>
          <cell r="AC541">
            <v>332.17347079037796</v>
          </cell>
          <cell r="AD541">
            <v>168.47996610000001</v>
          </cell>
          <cell r="AE541">
            <v>-163.69350469037795</v>
          </cell>
          <cell r="AF541">
            <v>83.043367697594491</v>
          </cell>
          <cell r="AG541">
            <v>4.63123059649927E-4</v>
          </cell>
          <cell r="AH541">
            <v>0</v>
          </cell>
          <cell r="AI541">
            <v>0</v>
          </cell>
          <cell r="AJ541">
            <v>415.21683848797244</v>
          </cell>
          <cell r="AK541">
            <v>168.47996610000001</v>
          </cell>
          <cell r="AL541">
            <v>-246.73687238797243</v>
          </cell>
          <cell r="AM541">
            <v>83.043367697594491</v>
          </cell>
          <cell r="AN541">
            <v>4.63123059649927E-4</v>
          </cell>
          <cell r="AO541">
            <v>0</v>
          </cell>
          <cell r="AP541" t="e">
            <v>#DIV/0!</v>
          </cell>
          <cell r="AQ541">
            <v>498.26020618556691</v>
          </cell>
          <cell r="AR541">
            <v>168.47996610000001</v>
          </cell>
          <cell r="AS541">
            <v>-329.7802400855669</v>
          </cell>
          <cell r="AT541">
            <v>83.043367697594491</v>
          </cell>
          <cell r="AU541">
            <v>4.63123059649927E-4</v>
          </cell>
          <cell r="AV541">
            <v>0</v>
          </cell>
          <cell r="AW541" t="e">
            <v>#DIV/0!</v>
          </cell>
          <cell r="AX541">
            <v>581.30357388316145</v>
          </cell>
          <cell r="AY541">
            <v>168.47996610000001</v>
          </cell>
          <cell r="AZ541">
            <v>-412.82360778316144</v>
          </cell>
          <cell r="BA541">
            <v>83.043367697594491</v>
          </cell>
          <cell r="BB541">
            <v>4.63123059649927E-4</v>
          </cell>
          <cell r="BC541">
            <v>0</v>
          </cell>
          <cell r="BD541" t="e">
            <v>#DIV/0!</v>
          </cell>
          <cell r="BE541">
            <v>664.34694158075592</v>
          </cell>
          <cell r="BF541">
            <v>168.47996610000001</v>
          </cell>
          <cell r="BG541">
            <v>-495.86697548075591</v>
          </cell>
          <cell r="BH541">
            <v>83.043367697594491</v>
          </cell>
          <cell r="BI541">
            <v>4.63123059649927E-4</v>
          </cell>
          <cell r="BJ541">
            <v>0</v>
          </cell>
          <cell r="BK541" t="e">
            <v>#DIV/0!</v>
          </cell>
          <cell r="BL541">
            <v>747.3903092783504</v>
          </cell>
          <cell r="BM541">
            <v>168.47996610000001</v>
          </cell>
          <cell r="BN541">
            <v>-578.91034317835033</v>
          </cell>
          <cell r="BO541">
            <v>83.043367697594491</v>
          </cell>
          <cell r="BP541">
            <v>4.63123059649927E-4</v>
          </cell>
          <cell r="BQ541">
            <v>0</v>
          </cell>
          <cell r="BR541" t="e">
            <v>#DIV/0!</v>
          </cell>
          <cell r="BS541">
            <v>830.43367697594488</v>
          </cell>
          <cell r="BT541">
            <v>168.47996610000001</v>
          </cell>
          <cell r="BU541">
            <v>-661.95371087594481</v>
          </cell>
          <cell r="BV541">
            <v>83.043367697594491</v>
          </cell>
          <cell r="BW541">
            <v>4.63123059649927E-4</v>
          </cell>
          <cell r="BX541">
            <v>0</v>
          </cell>
          <cell r="BY541" t="e">
            <v>#DIV/0!</v>
          </cell>
          <cell r="BZ541">
            <v>913.47704467353935</v>
          </cell>
          <cell r="CA541">
            <v>168.47996610000001</v>
          </cell>
          <cell r="CB541">
            <v>-744.99707857353928</v>
          </cell>
          <cell r="CC541">
            <v>83.043367697594491</v>
          </cell>
          <cell r="CD541">
            <v>4.63123059649927E-4</v>
          </cell>
          <cell r="CE541">
            <v>0</v>
          </cell>
          <cell r="CF541" t="e">
            <v>#DIV/0!</v>
          </cell>
          <cell r="CG541">
            <v>996.52041237113383</v>
          </cell>
          <cell r="CH541">
            <v>168.47996610000001</v>
          </cell>
        </row>
        <row r="542">
          <cell r="A542" t="str">
            <v>Viagens - Alimentação / Hospedagem</v>
          </cell>
          <cell r="B542">
            <v>5.372687925579769E-6</v>
          </cell>
          <cell r="C542">
            <v>2.1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 t="e">
            <v>#DIV/0!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 t="e">
            <v>#DIV/0!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 t="e">
            <v>#DIV/0!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  <cell r="BK542" t="e">
            <v>#DIV/0!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 t="e">
            <v>#DIV/0!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 t="e">
            <v>#DIV/0!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 t="e">
            <v>#DIV/0!</v>
          </cell>
          <cell r="CG542">
            <v>0</v>
          </cell>
          <cell r="CH542">
            <v>0</v>
          </cell>
        </row>
        <row r="543">
          <cell r="A543" t="str">
            <v>Viagens - Passagens / Traslados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556.40700000000004</v>
          </cell>
          <cell r="N543">
            <v>2.3398107653490329E-2</v>
          </cell>
          <cell r="O543">
            <v>0</v>
          </cell>
          <cell r="P543">
            <v>556.40700000000004</v>
          </cell>
          <cell r="Q543">
            <v>556.40700000000004</v>
          </cell>
          <cell r="R543">
            <v>0</v>
          </cell>
          <cell r="S543">
            <v>0</v>
          </cell>
          <cell r="T543">
            <v>223.059</v>
          </cell>
          <cell r="U543">
            <v>3.2419106554253027E-4</v>
          </cell>
          <cell r="V543">
            <v>0</v>
          </cell>
          <cell r="W543">
            <v>779.46600000000001</v>
          </cell>
          <cell r="X543">
            <v>779.46600000000001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779.46600000000001</v>
          </cell>
          <cell r="AE543">
            <v>779.46600000000001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779.46600000000001</v>
          </cell>
          <cell r="AL543">
            <v>779.46600000000001</v>
          </cell>
          <cell r="AM543">
            <v>0</v>
          </cell>
          <cell r="AN543">
            <v>0</v>
          </cell>
          <cell r="AO543">
            <v>0</v>
          </cell>
          <cell r="AP543" t="e">
            <v>#DIV/0!</v>
          </cell>
          <cell r="AQ543">
            <v>0</v>
          </cell>
          <cell r="AR543">
            <v>779.46600000000001</v>
          </cell>
          <cell r="AS543">
            <v>779.46600000000001</v>
          </cell>
          <cell r="AT543">
            <v>0</v>
          </cell>
          <cell r="AU543">
            <v>0</v>
          </cell>
          <cell r="AV543">
            <v>0</v>
          </cell>
          <cell r="AW543" t="e">
            <v>#DIV/0!</v>
          </cell>
          <cell r="AX543">
            <v>0</v>
          </cell>
          <cell r="AY543">
            <v>779.46600000000001</v>
          </cell>
          <cell r="AZ543">
            <v>779.46600000000001</v>
          </cell>
          <cell r="BA543">
            <v>0</v>
          </cell>
          <cell r="BB543">
            <v>0</v>
          </cell>
          <cell r="BC543">
            <v>0</v>
          </cell>
          <cell r="BD543" t="e">
            <v>#DIV/0!</v>
          </cell>
          <cell r="BE543">
            <v>0</v>
          </cell>
          <cell r="BF543">
            <v>779.46600000000001</v>
          </cell>
          <cell r="BG543">
            <v>779.46600000000001</v>
          </cell>
          <cell r="BH543">
            <v>0</v>
          </cell>
          <cell r="BI543">
            <v>0</v>
          </cell>
          <cell r="BJ543">
            <v>0</v>
          </cell>
          <cell r="BK543" t="e">
            <v>#DIV/0!</v>
          </cell>
          <cell r="BL543">
            <v>0</v>
          </cell>
          <cell r="BM543">
            <v>779.46600000000001</v>
          </cell>
          <cell r="BN543">
            <v>779.46600000000001</v>
          </cell>
          <cell r="BO543">
            <v>0</v>
          </cell>
          <cell r="BP543">
            <v>0</v>
          </cell>
          <cell r="BQ543">
            <v>0</v>
          </cell>
          <cell r="BR543" t="e">
            <v>#DIV/0!</v>
          </cell>
          <cell r="BS543">
            <v>0</v>
          </cell>
          <cell r="BT543">
            <v>779.46600000000001</v>
          </cell>
          <cell r="BU543">
            <v>779.46600000000001</v>
          </cell>
          <cell r="BV543">
            <v>0</v>
          </cell>
          <cell r="BW543">
            <v>0</v>
          </cell>
          <cell r="BX543">
            <v>0</v>
          </cell>
          <cell r="BY543" t="e">
            <v>#DIV/0!</v>
          </cell>
          <cell r="BZ543">
            <v>0</v>
          </cell>
          <cell r="CA543">
            <v>779.46600000000001</v>
          </cell>
          <cell r="CB543">
            <v>779.46600000000001</v>
          </cell>
          <cell r="CC543">
            <v>0</v>
          </cell>
          <cell r="CD543">
            <v>0</v>
          </cell>
          <cell r="CE543">
            <v>0</v>
          </cell>
          <cell r="CF543" t="e">
            <v>#DIV/0!</v>
          </cell>
          <cell r="CG543">
            <v>0</v>
          </cell>
          <cell r="CH543">
            <v>779.46600000000001</v>
          </cell>
        </row>
        <row r="563">
          <cell r="A563" t="str">
            <v>13º (+ Encargos)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 t="e">
            <v>#DIV/0!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 t="e">
            <v>#DIV/0!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 t="e">
            <v>#DIV/0!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 t="e">
            <v>#DIV/0!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 t="e">
            <v>#DIV/0!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 t="e">
            <v>#DIV/0!</v>
          </cell>
          <cell r="CG563">
            <v>0</v>
          </cell>
          <cell r="CH563">
            <v>0</v>
          </cell>
        </row>
        <row r="564">
          <cell r="A564" t="str">
            <v>Acordo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 t="e">
            <v>#DIV/0!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 t="e">
            <v>#DIV/0!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 t="e">
            <v>#DIV/0!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 t="e">
            <v>#DIV/0!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 t="e">
            <v>#DIV/0!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 t="e">
            <v>#DIV/0!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 t="e">
            <v>#DIV/0!</v>
          </cell>
          <cell r="CG564">
            <v>0</v>
          </cell>
          <cell r="CH564">
            <v>0</v>
          </cell>
        </row>
        <row r="565">
          <cell r="A565" t="str">
            <v>Aluguel + IPTU + Condomínio + Energia Elétrica</v>
          </cell>
          <cell r="B565">
            <v>0</v>
          </cell>
          <cell r="C565">
            <v>0</v>
          </cell>
          <cell r="D565">
            <v>460.8949505707414</v>
          </cell>
          <cell r="E565">
            <v>2.5703567377326707E-3</v>
          </cell>
          <cell r="F565">
            <v>0</v>
          </cell>
          <cell r="G565">
            <v>0</v>
          </cell>
          <cell r="H565">
            <v>460.8949505707414</v>
          </cell>
          <cell r="I565">
            <v>0</v>
          </cell>
          <cell r="J565">
            <v>-460.8949505707414</v>
          </cell>
          <cell r="K565">
            <v>460.8949505707414</v>
          </cell>
          <cell r="L565">
            <v>2.5703567377326707E-3</v>
          </cell>
          <cell r="M565">
            <v>456.59539100000001</v>
          </cell>
          <cell r="N565">
            <v>1.9200815433137092E-2</v>
          </cell>
          <cell r="O565">
            <v>921.7899011414828</v>
          </cell>
          <cell r="P565">
            <v>456.59539100000001</v>
          </cell>
          <cell r="Q565">
            <v>-465.19451014148279</v>
          </cell>
          <cell r="R565">
            <v>460.8949505707414</v>
          </cell>
          <cell r="S565">
            <v>2.5703567377326707E-3</v>
          </cell>
          <cell r="T565">
            <v>447.51014800000002</v>
          </cell>
          <cell r="U565">
            <v>6.5040546098214119E-4</v>
          </cell>
          <cell r="V565">
            <v>1382.6848517122241</v>
          </cell>
          <cell r="W565">
            <v>904.10553900000002</v>
          </cell>
          <cell r="X565">
            <v>-478.57931271222412</v>
          </cell>
          <cell r="Y565">
            <v>460.8949505707414</v>
          </cell>
          <cell r="Z565">
            <v>2.5703567377326707E-3</v>
          </cell>
          <cell r="AA565">
            <v>0</v>
          </cell>
          <cell r="AB565">
            <v>0</v>
          </cell>
          <cell r="AC565">
            <v>1843.5798022829656</v>
          </cell>
          <cell r="AD565">
            <v>904.10553900000002</v>
          </cell>
          <cell r="AE565">
            <v>-939.47426328296558</v>
          </cell>
          <cell r="AF565">
            <v>460.8949505707414</v>
          </cell>
          <cell r="AG565">
            <v>2.5703567377326707E-3</v>
          </cell>
          <cell r="AH565">
            <v>0</v>
          </cell>
          <cell r="AI565">
            <v>0</v>
          </cell>
          <cell r="AJ565">
            <v>2304.4747528537068</v>
          </cell>
          <cell r="AK565">
            <v>904.10553900000002</v>
          </cell>
          <cell r="AL565">
            <v>-1400.3692138537067</v>
          </cell>
          <cell r="AM565">
            <v>460.8949505707414</v>
          </cell>
          <cell r="AN565">
            <v>2.5703567377326707E-3</v>
          </cell>
          <cell r="AO565">
            <v>0</v>
          </cell>
          <cell r="AP565" t="e">
            <v>#DIV/0!</v>
          </cell>
          <cell r="AQ565">
            <v>2765.3697034244483</v>
          </cell>
          <cell r="AR565">
            <v>904.10553900000002</v>
          </cell>
          <cell r="AS565">
            <v>-1861.2641644244482</v>
          </cell>
          <cell r="AT565">
            <v>460.8949505707414</v>
          </cell>
          <cell r="AU565">
            <v>2.5703567377326707E-3</v>
          </cell>
          <cell r="AV565">
            <v>0</v>
          </cell>
          <cell r="AW565" t="e">
            <v>#DIV/0!</v>
          </cell>
          <cell r="AX565">
            <v>3226.2646539951897</v>
          </cell>
          <cell r="AY565">
            <v>904.10553900000002</v>
          </cell>
          <cell r="AZ565">
            <v>-2322.1591149951896</v>
          </cell>
          <cell r="BA565">
            <v>460.8949505707414</v>
          </cell>
          <cell r="BB565">
            <v>2.5703567377326707E-3</v>
          </cell>
          <cell r="BC565">
            <v>0</v>
          </cell>
          <cell r="BD565" t="e">
            <v>#DIV/0!</v>
          </cell>
          <cell r="BE565">
            <v>3687.1596045659312</v>
          </cell>
          <cell r="BF565">
            <v>904.10553900000002</v>
          </cell>
          <cell r="BG565">
            <v>-2783.0540655659311</v>
          </cell>
          <cell r="BH565">
            <v>460.8949505707414</v>
          </cell>
          <cell r="BI565">
            <v>2.5703567377326707E-3</v>
          </cell>
          <cell r="BJ565">
            <v>0</v>
          </cell>
          <cell r="BK565" t="e">
            <v>#DIV/0!</v>
          </cell>
          <cell r="BL565">
            <v>4148.0545551366722</v>
          </cell>
          <cell r="BM565">
            <v>904.10553900000002</v>
          </cell>
          <cell r="BN565">
            <v>-3243.9490161366721</v>
          </cell>
          <cell r="BO565">
            <v>478.75544583919913</v>
          </cell>
          <cell r="BP565">
            <v>2.6699626116865375E-3</v>
          </cell>
          <cell r="BQ565">
            <v>0</v>
          </cell>
          <cell r="BR565" t="e">
            <v>#DIV/0!</v>
          </cell>
          <cell r="BS565">
            <v>4626.8100009758709</v>
          </cell>
          <cell r="BT565">
            <v>904.10553900000002</v>
          </cell>
          <cell r="BU565">
            <v>-3722.7044619758708</v>
          </cell>
          <cell r="BV565">
            <v>478.75544583919913</v>
          </cell>
          <cell r="BW565">
            <v>2.6699626116865375E-3</v>
          </cell>
          <cell r="BX565">
            <v>0</v>
          </cell>
          <cell r="BY565" t="e">
            <v>#DIV/0!</v>
          </cell>
          <cell r="BZ565">
            <v>5105.5654468150697</v>
          </cell>
          <cell r="CA565">
            <v>904.10553900000002</v>
          </cell>
          <cell r="CB565">
            <v>-4201.4599078150695</v>
          </cell>
          <cell r="CC565">
            <v>478.75544583919913</v>
          </cell>
          <cell r="CD565">
            <v>2.6699626116865375E-3</v>
          </cell>
          <cell r="CE565">
            <v>0</v>
          </cell>
          <cell r="CF565" t="e">
            <v>#DIV/0!</v>
          </cell>
          <cell r="CG565">
            <v>5584.3208926542684</v>
          </cell>
          <cell r="CH565">
            <v>904.10553900000002</v>
          </cell>
        </row>
        <row r="566">
          <cell r="A566" t="str">
            <v>Aperfeiçoamento - Treinamentos / Livros / Revistas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 t="e">
            <v>#DIV/0!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 t="e">
            <v>#DIV/0!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 t="e">
            <v>#DIV/0!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 t="e">
            <v>#DIV/0!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 t="e">
            <v>#DIV/0!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 t="e">
            <v>#DIV/0!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 t="e">
            <v>#DIV/0!</v>
          </cell>
          <cell r="CG566">
            <v>0</v>
          </cell>
          <cell r="CH566">
            <v>0</v>
          </cell>
        </row>
        <row r="567">
          <cell r="A567" t="str">
            <v>OAB / Associações</v>
          </cell>
          <cell r="B567">
            <v>5.0746316668511774E-4</v>
          </cell>
          <cell r="C567">
            <v>198.35</v>
          </cell>
          <cell r="D567">
            <v>156.44049999999999</v>
          </cell>
          <cell r="E567">
            <v>8.7245020309145152E-4</v>
          </cell>
          <cell r="F567">
            <v>152.80000000000001</v>
          </cell>
          <cell r="G567">
            <v>8.9405872233859561E-4</v>
          </cell>
          <cell r="H567">
            <v>156.44049999999999</v>
          </cell>
          <cell r="I567">
            <v>152.80000000000001</v>
          </cell>
          <cell r="J567">
            <v>-3.6404999999999745</v>
          </cell>
          <cell r="K567">
            <v>156.44049999999999</v>
          </cell>
          <cell r="L567">
            <v>8.7245020309145152E-4</v>
          </cell>
          <cell r="M567">
            <v>154.69</v>
          </cell>
          <cell r="N567">
            <v>6.5050462573591249E-3</v>
          </cell>
          <cell r="O567">
            <v>312.88099999999997</v>
          </cell>
          <cell r="P567">
            <v>307.49</v>
          </cell>
          <cell r="Q567">
            <v>-5.3909999999999627</v>
          </cell>
          <cell r="R567">
            <v>156.44049999999999</v>
          </cell>
          <cell r="S567">
            <v>8.7245020309145152E-4</v>
          </cell>
          <cell r="T567">
            <v>327.05</v>
          </cell>
          <cell r="U567">
            <v>4.7533023991717227E-4</v>
          </cell>
          <cell r="V567">
            <v>469.32149999999996</v>
          </cell>
          <cell r="W567">
            <v>634.54</v>
          </cell>
          <cell r="X567">
            <v>165.21850000000001</v>
          </cell>
          <cell r="Y567">
            <v>156.44049999999999</v>
          </cell>
          <cell r="Z567">
            <v>8.7245020309145152E-4</v>
          </cell>
          <cell r="AA567">
            <v>0</v>
          </cell>
          <cell r="AB567">
            <v>0</v>
          </cell>
          <cell r="AC567">
            <v>625.76199999999994</v>
          </cell>
          <cell r="AD567">
            <v>634.54</v>
          </cell>
          <cell r="AE567">
            <v>8.77800000000002</v>
          </cell>
          <cell r="AF567">
            <v>156.44049999999999</v>
          </cell>
          <cell r="AG567">
            <v>8.7245020309145152E-4</v>
          </cell>
          <cell r="AH567">
            <v>0</v>
          </cell>
          <cell r="AI567">
            <v>0</v>
          </cell>
          <cell r="AJ567">
            <v>782.20249999999987</v>
          </cell>
          <cell r="AK567">
            <v>634.54</v>
          </cell>
          <cell r="AL567">
            <v>-147.66249999999991</v>
          </cell>
          <cell r="AM567">
            <v>156.44049999999999</v>
          </cell>
          <cell r="AN567">
            <v>8.7245020309145152E-4</v>
          </cell>
          <cell r="AO567">
            <v>0</v>
          </cell>
          <cell r="AP567" t="e">
            <v>#DIV/0!</v>
          </cell>
          <cell r="AQ567">
            <v>938.6429999999998</v>
          </cell>
          <cell r="AR567">
            <v>634.54</v>
          </cell>
          <cell r="AS567">
            <v>-304.10299999999984</v>
          </cell>
          <cell r="AT567">
            <v>156.44049999999999</v>
          </cell>
          <cell r="AU567">
            <v>8.7245020309145152E-4</v>
          </cell>
          <cell r="AV567">
            <v>0</v>
          </cell>
          <cell r="AW567" t="e">
            <v>#DIV/0!</v>
          </cell>
          <cell r="AX567">
            <v>1095.0834999999997</v>
          </cell>
          <cell r="AY567">
            <v>634.54</v>
          </cell>
          <cell r="AZ567">
            <v>-460.54349999999977</v>
          </cell>
          <cell r="BA567">
            <v>156.44049999999999</v>
          </cell>
          <cell r="BB567">
            <v>8.7245020309145152E-4</v>
          </cell>
          <cell r="BC567">
            <v>0</v>
          </cell>
          <cell r="BD567" t="e">
            <v>#DIV/0!</v>
          </cell>
          <cell r="BE567">
            <v>1251.5239999999997</v>
          </cell>
          <cell r="BF567">
            <v>634.54</v>
          </cell>
          <cell r="BG567">
            <v>-616.9839999999997</v>
          </cell>
          <cell r="BH567">
            <v>156.44049999999999</v>
          </cell>
          <cell r="BI567">
            <v>8.7245020309145152E-4</v>
          </cell>
          <cell r="BJ567">
            <v>0</v>
          </cell>
          <cell r="BK567" t="e">
            <v>#DIV/0!</v>
          </cell>
          <cell r="BL567">
            <v>1407.9644999999996</v>
          </cell>
          <cell r="BM567">
            <v>634.54</v>
          </cell>
          <cell r="BN567">
            <v>-773.42449999999963</v>
          </cell>
          <cell r="BO567">
            <v>156.44049999999999</v>
          </cell>
          <cell r="BP567">
            <v>8.7245020309145152E-4</v>
          </cell>
          <cell r="BQ567">
            <v>0</v>
          </cell>
          <cell r="BR567" t="e">
            <v>#DIV/0!</v>
          </cell>
          <cell r="BS567">
            <v>1564.4049999999995</v>
          </cell>
          <cell r="BT567">
            <v>634.54</v>
          </cell>
          <cell r="BU567">
            <v>-929.86499999999955</v>
          </cell>
          <cell r="BV567">
            <v>156.44049999999999</v>
          </cell>
          <cell r="BW567">
            <v>8.7245020309145152E-4</v>
          </cell>
          <cell r="BX567">
            <v>0</v>
          </cell>
          <cell r="BY567" t="e">
            <v>#DIV/0!</v>
          </cell>
          <cell r="BZ567">
            <v>1720.8454999999994</v>
          </cell>
          <cell r="CA567">
            <v>634.54</v>
          </cell>
          <cell r="CB567">
            <v>-1086.3054999999995</v>
          </cell>
          <cell r="CC567">
            <v>156.44049999999999</v>
          </cell>
          <cell r="CD567">
            <v>8.7245020309145152E-4</v>
          </cell>
          <cell r="CE567">
            <v>0</v>
          </cell>
          <cell r="CF567" t="e">
            <v>#DIV/0!</v>
          </cell>
          <cell r="CG567">
            <v>1877.2859999999994</v>
          </cell>
          <cell r="CH567">
            <v>634.54</v>
          </cell>
        </row>
        <row r="568">
          <cell r="A568" t="str">
            <v>Back Office / Encerramento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 t="e">
            <v>#DIV/0!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 t="e">
            <v>#DIV/0!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 t="e">
            <v>#DIV/0!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 t="e">
            <v>#DIV/0!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 t="e">
            <v>#DIV/0!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 t="e">
            <v>#DIV/0!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 t="e">
            <v>#DIV/0!</v>
          </cell>
          <cell r="CG568">
            <v>0</v>
          </cell>
          <cell r="CH568">
            <v>0</v>
          </cell>
        </row>
        <row r="569">
          <cell r="A569" t="str">
            <v>Bonificações/Premiações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 t="e">
            <v>#DIV/0!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 t="e">
            <v>#DIV/0!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 t="e">
            <v>#DIV/0!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 t="e">
            <v>#DIV/0!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 t="e">
            <v>#DIV/0!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 t="e">
            <v>#DIV/0!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 t="e">
            <v>#DIV/0!</v>
          </cell>
          <cell r="CG569">
            <v>0</v>
          </cell>
          <cell r="CH569">
            <v>0</v>
          </cell>
        </row>
        <row r="570">
          <cell r="A570" t="str">
            <v>Cadastro</v>
          </cell>
          <cell r="B570">
            <v>4.7021835915547674E-3</v>
          </cell>
          <cell r="C570">
            <v>1837.9227826078213</v>
          </cell>
          <cell r="D570">
            <v>1303.5356641193819</v>
          </cell>
          <cell r="E570">
            <v>7.2696645363438811E-3</v>
          </cell>
          <cell r="F570">
            <v>2024.0391155755055</v>
          </cell>
          <cell r="G570">
            <v>1.1842996241065296E-2</v>
          </cell>
          <cell r="H570">
            <v>1303.5356641193819</v>
          </cell>
          <cell r="I570">
            <v>2024.0391155755055</v>
          </cell>
          <cell r="J570">
            <v>720.50345145612368</v>
          </cell>
          <cell r="K570">
            <v>1303.5356641193819</v>
          </cell>
          <cell r="L570">
            <v>7.2696645363438811E-3</v>
          </cell>
          <cell r="M570">
            <v>1053.4121907306296</v>
          </cell>
          <cell r="N570">
            <v>4.4298241830556334E-2</v>
          </cell>
          <cell r="O570">
            <v>2607.0713282387637</v>
          </cell>
          <cell r="P570">
            <v>3077.4513063061349</v>
          </cell>
          <cell r="Q570">
            <v>470.37997806737121</v>
          </cell>
          <cell r="R570">
            <v>1303.5356641193819</v>
          </cell>
          <cell r="S570">
            <v>7.2696645363438811E-3</v>
          </cell>
          <cell r="T570">
            <v>1286.1113515911627</v>
          </cell>
          <cell r="U570">
            <v>1.8692176037670878E-3</v>
          </cell>
          <cell r="V570">
            <v>3910.6069923581454</v>
          </cell>
          <cell r="W570">
            <v>4363.5626578972979</v>
          </cell>
          <cell r="X570">
            <v>452.95566553915251</v>
          </cell>
          <cell r="Y570">
            <v>1303.5356641193819</v>
          </cell>
          <cell r="Z570">
            <v>7.2696645363438811E-3</v>
          </cell>
          <cell r="AA570">
            <v>0</v>
          </cell>
          <cell r="AB570">
            <v>0</v>
          </cell>
          <cell r="AC570">
            <v>5214.1426564775275</v>
          </cell>
          <cell r="AD570">
            <v>4363.5626578972979</v>
          </cell>
          <cell r="AE570">
            <v>-850.57999858022959</v>
          </cell>
          <cell r="AF570">
            <v>1303.5356641193819</v>
          </cell>
          <cell r="AG570">
            <v>7.2696645363438811E-3</v>
          </cell>
          <cell r="AH570">
            <v>0</v>
          </cell>
          <cell r="AI570">
            <v>0</v>
          </cell>
          <cell r="AJ570">
            <v>6517.6783205969095</v>
          </cell>
          <cell r="AK570">
            <v>4363.5626578972979</v>
          </cell>
          <cell r="AL570">
            <v>-2154.1156626996117</v>
          </cell>
          <cell r="AM570">
            <v>1303.5356641193819</v>
          </cell>
          <cell r="AN570">
            <v>7.2696645363438811E-3</v>
          </cell>
          <cell r="AO570">
            <v>0</v>
          </cell>
          <cell r="AP570" t="e">
            <v>#DIV/0!</v>
          </cell>
          <cell r="AQ570">
            <v>7821.2139847162916</v>
          </cell>
          <cell r="AR570">
            <v>4363.5626578972979</v>
          </cell>
          <cell r="AS570">
            <v>-3457.6513268189938</v>
          </cell>
          <cell r="AT570">
            <v>1303.5356641193819</v>
          </cell>
          <cell r="AU570">
            <v>7.2696645363438811E-3</v>
          </cell>
          <cell r="AV570">
            <v>0</v>
          </cell>
          <cell r="AW570" t="e">
            <v>#DIV/0!</v>
          </cell>
          <cell r="AX570">
            <v>9124.7496488356737</v>
          </cell>
          <cell r="AY570">
            <v>4363.5626578972979</v>
          </cell>
          <cell r="AZ570">
            <v>-4761.1869909383759</v>
          </cell>
          <cell r="BA570">
            <v>1303.5356641193819</v>
          </cell>
          <cell r="BB570">
            <v>7.2696645363438811E-3</v>
          </cell>
          <cell r="BC570">
            <v>0</v>
          </cell>
          <cell r="BD570" t="e">
            <v>#DIV/0!</v>
          </cell>
          <cell r="BE570">
            <v>10428.285312955055</v>
          </cell>
          <cell r="BF570">
            <v>4363.5626578972979</v>
          </cell>
          <cell r="BG570">
            <v>-6064.722655057757</v>
          </cell>
          <cell r="BH570">
            <v>1303.5356641193819</v>
          </cell>
          <cell r="BI570">
            <v>7.2696645363438811E-3</v>
          </cell>
          <cell r="BJ570">
            <v>0</v>
          </cell>
          <cell r="BK570" t="e">
            <v>#DIV/0!</v>
          </cell>
          <cell r="BL570">
            <v>11731.820977074436</v>
          </cell>
          <cell r="BM570">
            <v>4363.5626578972979</v>
          </cell>
          <cell r="BN570">
            <v>-7368.2583191771382</v>
          </cell>
          <cell r="BO570">
            <v>1303.5356641193819</v>
          </cell>
          <cell r="BP570">
            <v>7.2696645363438811E-3</v>
          </cell>
          <cell r="BQ570">
            <v>0</v>
          </cell>
          <cell r="BR570" t="e">
            <v>#DIV/0!</v>
          </cell>
          <cell r="BS570">
            <v>13035.356641193817</v>
          </cell>
          <cell r="BT570">
            <v>4363.5626578972979</v>
          </cell>
          <cell r="BU570">
            <v>-8671.7939832965203</v>
          </cell>
          <cell r="BV570">
            <v>1303.5356641193819</v>
          </cell>
          <cell r="BW570">
            <v>7.2696645363438811E-3</v>
          </cell>
          <cell r="BX570">
            <v>0</v>
          </cell>
          <cell r="BY570" t="e">
            <v>#DIV/0!</v>
          </cell>
          <cell r="BZ570">
            <v>14338.892305313198</v>
          </cell>
          <cell r="CA570">
            <v>4363.5626578972979</v>
          </cell>
          <cell r="CB570">
            <v>-9975.3296474158997</v>
          </cell>
          <cell r="CC570">
            <v>1303.5356641193819</v>
          </cell>
          <cell r="CD570">
            <v>7.2696645363438811E-3</v>
          </cell>
          <cell r="CE570">
            <v>0</v>
          </cell>
          <cell r="CF570" t="e">
            <v>#DIV/0!</v>
          </cell>
          <cell r="CG570">
            <v>15642.42796943258</v>
          </cell>
          <cell r="CH570">
            <v>4363.5626578972979</v>
          </cell>
        </row>
        <row r="571">
          <cell r="A571" t="str">
            <v>Cartório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 t="e">
            <v>#DIV/0!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 t="e">
            <v>#DIV/0!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 t="e">
            <v>#DIV/0!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 t="e">
            <v>#DIV/0!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 t="e">
            <v>#DIV/0!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 t="e">
            <v>#DIV/0!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 t="e">
            <v>#DIV/0!</v>
          </cell>
          <cell r="CG571">
            <v>0</v>
          </cell>
          <cell r="CH571">
            <v>0</v>
          </cell>
        </row>
        <row r="572">
          <cell r="A572" t="str">
            <v>Condenação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 t="e">
            <v>#DIV/0!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 t="e">
            <v>#DIV/0!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 t="e">
            <v>#DIV/0!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 t="e">
            <v>#DIV/0!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 t="e">
            <v>#DIV/0!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 t="e">
            <v>#DIV/0!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 t="e">
            <v>#DIV/0!</v>
          </cell>
          <cell r="CG572">
            <v>0</v>
          </cell>
          <cell r="CH572">
            <v>0</v>
          </cell>
        </row>
        <row r="573">
          <cell r="A573" t="str">
            <v>Penalidades/Irregularidades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 t="e">
            <v>#DIV/0!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 t="e">
            <v>#DIV/0!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 t="e">
            <v>#DIV/0!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 t="e">
            <v>#DIV/0!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 t="e">
            <v>#DIV/0!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 t="e">
            <v>#DIV/0!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 t="e">
            <v>#DIV/0!</v>
          </cell>
          <cell r="CG573">
            <v>0</v>
          </cell>
          <cell r="CH573">
            <v>0</v>
          </cell>
        </row>
        <row r="574">
          <cell r="A574" t="str">
            <v>Controladoria Jurídica - Custas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 t="e">
            <v>#DIV/0!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 t="e">
            <v>#DIV/0!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 t="e">
            <v>#DIV/0!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 t="e">
            <v>#DIV/0!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 t="e">
            <v>#DIV/0!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 t="e">
            <v>#DIV/0!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 t="e">
            <v>#DIV/0!</v>
          </cell>
          <cell r="CG574">
            <v>0</v>
          </cell>
          <cell r="CH574">
            <v>0</v>
          </cell>
        </row>
        <row r="575">
          <cell r="A575" t="str">
            <v>GNA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836.21651514298901</v>
          </cell>
          <cell r="N575">
            <v>3.5164697861353615E-2</v>
          </cell>
          <cell r="O575">
            <v>0</v>
          </cell>
          <cell r="P575">
            <v>836.21651514298901</v>
          </cell>
          <cell r="Q575">
            <v>836.21651514298901</v>
          </cell>
          <cell r="R575">
            <v>0</v>
          </cell>
          <cell r="S575">
            <v>0</v>
          </cell>
          <cell r="T575">
            <v>544.1726594615792</v>
          </cell>
          <cell r="U575">
            <v>7.9089350490211933E-4</v>
          </cell>
          <cell r="V575">
            <v>0</v>
          </cell>
          <cell r="W575">
            <v>1380.3891746045683</v>
          </cell>
          <cell r="X575">
            <v>1380.3891746045683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1380.3891746045683</v>
          </cell>
          <cell r="AE575">
            <v>1380.3891746045683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1380.3891746045683</v>
          </cell>
          <cell r="AL575">
            <v>1380.3891746045683</v>
          </cell>
          <cell r="AM575">
            <v>0</v>
          </cell>
          <cell r="AN575">
            <v>0</v>
          </cell>
          <cell r="AO575">
            <v>0</v>
          </cell>
          <cell r="AP575" t="e">
            <v>#DIV/0!</v>
          </cell>
          <cell r="AQ575">
            <v>0</v>
          </cell>
          <cell r="AR575">
            <v>1380.3891746045683</v>
          </cell>
          <cell r="AS575">
            <v>1380.3891746045683</v>
          </cell>
          <cell r="AT575">
            <v>0</v>
          </cell>
          <cell r="AU575">
            <v>0</v>
          </cell>
          <cell r="AV575">
            <v>0</v>
          </cell>
          <cell r="AW575" t="e">
            <v>#DIV/0!</v>
          </cell>
          <cell r="AX575">
            <v>0</v>
          </cell>
          <cell r="AY575">
            <v>1380.3891746045683</v>
          </cell>
          <cell r="AZ575">
            <v>1380.3891746045683</v>
          </cell>
          <cell r="BA575">
            <v>0</v>
          </cell>
          <cell r="BB575">
            <v>0</v>
          </cell>
          <cell r="BC575">
            <v>0</v>
          </cell>
          <cell r="BD575" t="e">
            <v>#DIV/0!</v>
          </cell>
          <cell r="BE575">
            <v>0</v>
          </cell>
          <cell r="BF575">
            <v>1380.3891746045683</v>
          </cell>
          <cell r="BG575">
            <v>1380.3891746045683</v>
          </cell>
          <cell r="BH575">
            <v>0</v>
          </cell>
          <cell r="BI575">
            <v>0</v>
          </cell>
          <cell r="BJ575">
            <v>0</v>
          </cell>
          <cell r="BK575" t="e">
            <v>#DIV/0!</v>
          </cell>
          <cell r="BL575">
            <v>0</v>
          </cell>
          <cell r="BM575">
            <v>1380.3891746045683</v>
          </cell>
          <cell r="BN575">
            <v>1380.3891746045683</v>
          </cell>
          <cell r="BO575">
            <v>0</v>
          </cell>
          <cell r="BP575">
            <v>0</v>
          </cell>
          <cell r="BQ575">
            <v>0</v>
          </cell>
          <cell r="BR575" t="e">
            <v>#DIV/0!</v>
          </cell>
          <cell r="BS575">
            <v>0</v>
          </cell>
          <cell r="BT575">
            <v>1380.3891746045683</v>
          </cell>
          <cell r="BU575">
            <v>1380.3891746045683</v>
          </cell>
          <cell r="BV575">
            <v>0</v>
          </cell>
          <cell r="BW575">
            <v>0</v>
          </cell>
          <cell r="BX575">
            <v>0</v>
          </cell>
          <cell r="BY575" t="e">
            <v>#DIV/0!</v>
          </cell>
          <cell r="BZ575">
            <v>0</v>
          </cell>
          <cell r="CA575">
            <v>1380.3891746045683</v>
          </cell>
          <cell r="CB575">
            <v>1380.3891746045683</v>
          </cell>
          <cell r="CC575">
            <v>0</v>
          </cell>
          <cell r="CD575">
            <v>0</v>
          </cell>
          <cell r="CE575">
            <v>0</v>
          </cell>
          <cell r="CF575" t="e">
            <v>#DIV/0!</v>
          </cell>
          <cell r="CG575">
            <v>0</v>
          </cell>
          <cell r="CH575">
            <v>1380.3891746045683</v>
          </cell>
        </row>
        <row r="576">
          <cell r="A576" t="str">
            <v>Correios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 t="e">
            <v>#DIV/0!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 t="e">
            <v>#DIV/0!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 t="e">
            <v>#DIV/0!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 t="e">
            <v>#DIV/0!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 t="e">
            <v>#DIV/0!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 t="e">
            <v>#DIV/0!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 t="e">
            <v>#DIV/0!</v>
          </cell>
          <cell r="CG576">
            <v>0</v>
          </cell>
          <cell r="CH576">
            <v>0</v>
          </cell>
        </row>
        <row r="577">
          <cell r="A577" t="str">
            <v xml:space="preserve">Correspondentes </v>
          </cell>
          <cell r="B577">
            <v>0</v>
          </cell>
          <cell r="C577">
            <v>0</v>
          </cell>
          <cell r="D577">
            <v>2500</v>
          </cell>
          <cell r="E577">
            <v>1.3942204913233011E-2</v>
          </cell>
          <cell r="F577">
            <v>4299.5698869999997</v>
          </cell>
          <cell r="G577">
            <v>2.5157512825763867E-2</v>
          </cell>
          <cell r="H577">
            <v>2500</v>
          </cell>
          <cell r="I577">
            <v>4299.5698869999997</v>
          </cell>
          <cell r="J577">
            <v>1799.5698869999997</v>
          </cell>
          <cell r="K577">
            <v>2500</v>
          </cell>
          <cell r="L577">
            <v>1.3942204913233011E-2</v>
          </cell>
          <cell r="M577">
            <v>2525.8687060000002</v>
          </cell>
          <cell r="N577">
            <v>0.106218196215307</v>
          </cell>
          <cell r="O577">
            <v>5000</v>
          </cell>
          <cell r="P577">
            <v>6825.4385929999999</v>
          </cell>
          <cell r="Q577">
            <v>1825.4385929999999</v>
          </cell>
          <cell r="R577">
            <v>2500</v>
          </cell>
          <cell r="S577">
            <v>1.3942204913233011E-2</v>
          </cell>
          <cell r="T577">
            <v>1802.8890269999997</v>
          </cell>
          <cell r="U577">
            <v>2.6202955931751938E-3</v>
          </cell>
          <cell r="V577">
            <v>7500</v>
          </cell>
          <cell r="W577">
            <v>8628.32762</v>
          </cell>
          <cell r="X577">
            <v>1128.32762</v>
          </cell>
          <cell r="Y577">
            <v>2500</v>
          </cell>
          <cell r="Z577">
            <v>1.3942204913233011E-2</v>
          </cell>
          <cell r="AA577">
            <v>0</v>
          </cell>
          <cell r="AB577">
            <v>0</v>
          </cell>
          <cell r="AC577">
            <v>10000</v>
          </cell>
          <cell r="AD577">
            <v>8628.32762</v>
          </cell>
          <cell r="AE577">
            <v>-1371.67238</v>
          </cell>
          <cell r="AF577">
            <v>2500</v>
          </cell>
          <cell r="AG577">
            <v>1.3942204913233011E-2</v>
          </cell>
          <cell r="AH577">
            <v>0</v>
          </cell>
          <cell r="AI577">
            <v>0</v>
          </cell>
          <cell r="AJ577">
            <v>12500</v>
          </cell>
          <cell r="AK577">
            <v>8628.32762</v>
          </cell>
          <cell r="AL577">
            <v>-3871.67238</v>
          </cell>
          <cell r="AM577">
            <v>2500</v>
          </cell>
          <cell r="AN577">
            <v>1.3942204913233011E-2</v>
          </cell>
          <cell r="AO577">
            <v>0</v>
          </cell>
          <cell r="AP577" t="e">
            <v>#DIV/0!</v>
          </cell>
          <cell r="AQ577">
            <v>15000</v>
          </cell>
          <cell r="AR577">
            <v>8628.32762</v>
          </cell>
          <cell r="AS577">
            <v>-6371.67238</v>
          </cell>
          <cell r="AT577">
            <v>2500</v>
          </cell>
          <cell r="AU577">
            <v>1.3942204913233011E-2</v>
          </cell>
          <cell r="AV577">
            <v>0</v>
          </cell>
          <cell r="AW577" t="e">
            <v>#DIV/0!</v>
          </cell>
          <cell r="AX577">
            <v>17500</v>
          </cell>
          <cell r="AY577">
            <v>8628.32762</v>
          </cell>
          <cell r="AZ577">
            <v>-8871.67238</v>
          </cell>
          <cell r="BA577">
            <v>2500</v>
          </cell>
          <cell r="BB577">
            <v>1.3942204913233011E-2</v>
          </cell>
          <cell r="BC577">
            <v>0</v>
          </cell>
          <cell r="BD577" t="e">
            <v>#DIV/0!</v>
          </cell>
          <cell r="BE577">
            <v>20000</v>
          </cell>
          <cell r="BF577">
            <v>8628.32762</v>
          </cell>
          <cell r="BG577">
            <v>-11371.67238</v>
          </cell>
          <cell r="BH577">
            <v>2500</v>
          </cell>
          <cell r="BI577">
            <v>1.3942204913233011E-2</v>
          </cell>
          <cell r="BJ577">
            <v>0</v>
          </cell>
          <cell r="BK577" t="e">
            <v>#DIV/0!</v>
          </cell>
          <cell r="BL577">
            <v>22500</v>
          </cell>
          <cell r="BM577">
            <v>8628.32762</v>
          </cell>
          <cell r="BN577">
            <v>-13871.67238</v>
          </cell>
          <cell r="BO577">
            <v>2500</v>
          </cell>
          <cell r="BP577">
            <v>1.3942204913233011E-2</v>
          </cell>
          <cell r="BQ577">
            <v>0</v>
          </cell>
          <cell r="BR577" t="e">
            <v>#DIV/0!</v>
          </cell>
          <cell r="BS577">
            <v>25000</v>
          </cell>
          <cell r="BT577">
            <v>8628.32762</v>
          </cell>
          <cell r="BU577">
            <v>-16371.67238</v>
          </cell>
          <cell r="BV577">
            <v>2500</v>
          </cell>
          <cell r="BW577">
            <v>1.3942204913233011E-2</v>
          </cell>
          <cell r="BX577">
            <v>0</v>
          </cell>
          <cell r="BY577" t="e">
            <v>#DIV/0!</v>
          </cell>
          <cell r="BZ577">
            <v>27500</v>
          </cell>
          <cell r="CA577">
            <v>8628.32762</v>
          </cell>
          <cell r="CB577">
            <v>-18871.67238</v>
          </cell>
          <cell r="CC577">
            <v>2500</v>
          </cell>
          <cell r="CD577">
            <v>1.3942204913233011E-2</v>
          </cell>
          <cell r="CE577">
            <v>0</v>
          </cell>
          <cell r="CF577" t="e">
            <v>#DIV/0!</v>
          </cell>
          <cell r="CG577">
            <v>30000</v>
          </cell>
          <cell r="CH577">
            <v>8628.32762</v>
          </cell>
        </row>
        <row r="578">
          <cell r="A578" t="str">
            <v>Custas/Guias/Despesas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 t="e">
            <v>#DIV/0!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 t="e">
            <v>#DIV/0!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 t="e">
            <v>#DIV/0!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 t="e">
            <v>#DIV/0!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 t="e">
            <v>#DIV/0!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 t="e">
            <v>#DIV/0!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 t="e">
            <v>#DIV/0!</v>
          </cell>
          <cell r="CG578">
            <v>0</v>
          </cell>
          <cell r="CH578">
            <v>0</v>
          </cell>
        </row>
        <row r="579">
          <cell r="A579" t="str">
            <v>Deslocamento</v>
          </cell>
          <cell r="B579">
            <v>2.111338433611764E-3</v>
          </cell>
          <cell r="C579">
            <v>825.25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 t="e">
            <v>#DIV/0!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 t="e">
            <v>#DIV/0!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 t="e">
            <v>#DIV/0!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 t="e">
            <v>#DIV/0!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 t="e">
            <v>#DIV/0!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 t="e">
            <v>#DIV/0!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 t="e">
            <v>#DIV/0!</v>
          </cell>
          <cell r="CG579">
            <v>0</v>
          </cell>
          <cell r="CH579">
            <v>0</v>
          </cell>
        </row>
        <row r="580">
          <cell r="A580" t="str">
            <v>Digitação / Atual. Sistemas / Lanç. Planilhas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 t="e">
            <v>#DIV/0!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 t="e">
            <v>#DIV/0!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 t="e">
            <v>#DIV/0!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 t="e">
            <v>#DIV/0!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 t="e">
            <v>#DIV/0!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 t="e">
            <v>#DIV/0!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 t="e">
            <v>#DIV/0!</v>
          </cell>
          <cell r="CG580">
            <v>0</v>
          </cell>
          <cell r="CH580">
            <v>0</v>
          </cell>
        </row>
        <row r="581">
          <cell r="A581" t="str">
            <v>Diligências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 t="e">
            <v>#DIV/0!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 t="e">
            <v>#DIV/0!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 t="e">
            <v>#DIV/0!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 t="e">
            <v>#DIV/0!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 t="e">
            <v>#DIV/0!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 t="e">
            <v>#DIV/0!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 t="e">
            <v>#DIV/0!</v>
          </cell>
          <cell r="CG581">
            <v>0</v>
          </cell>
          <cell r="CH581">
            <v>0</v>
          </cell>
        </row>
        <row r="582">
          <cell r="A582" t="str">
            <v>Encargos</v>
          </cell>
          <cell r="B582">
            <v>0</v>
          </cell>
          <cell r="C582">
            <v>0</v>
          </cell>
          <cell r="D582">
            <v>128.5708144001317</v>
          </cell>
          <cell r="E582">
            <v>7.1702425609115438E-4</v>
          </cell>
          <cell r="F582">
            <v>83.275188764922007</v>
          </cell>
          <cell r="G582">
            <v>4.8725725700046811E-4</v>
          </cell>
          <cell r="H582">
            <v>128.5708144001317</v>
          </cell>
          <cell r="I582">
            <v>83.275188764922007</v>
          </cell>
          <cell r="J582">
            <v>-45.295625635209689</v>
          </cell>
          <cell r="K582">
            <v>128.5708144001317</v>
          </cell>
          <cell r="L582">
            <v>7.1702425609115438E-4</v>
          </cell>
          <cell r="M582">
            <v>128.5708144001317</v>
          </cell>
          <cell r="N582">
            <v>5.4066784861283301E-3</v>
          </cell>
          <cell r="O582">
            <v>257.14162880026339</v>
          </cell>
          <cell r="P582">
            <v>211.8460031650537</v>
          </cell>
          <cell r="Q582">
            <v>-45.295625635209689</v>
          </cell>
          <cell r="R582">
            <v>128.5708144001317</v>
          </cell>
          <cell r="S582">
            <v>7.1702425609115438E-4</v>
          </cell>
          <cell r="T582">
            <v>0</v>
          </cell>
          <cell r="U582">
            <v>0</v>
          </cell>
          <cell r="V582">
            <v>385.71244320039511</v>
          </cell>
          <cell r="W582">
            <v>211.8460031650537</v>
          </cell>
          <cell r="X582">
            <v>-173.86644003534141</v>
          </cell>
          <cell r="Y582">
            <v>128.5708144001317</v>
          </cell>
          <cell r="Z582">
            <v>7.1702425609115438E-4</v>
          </cell>
          <cell r="AA582">
            <v>0</v>
          </cell>
          <cell r="AB582">
            <v>0</v>
          </cell>
          <cell r="AC582">
            <v>514.28325760052678</v>
          </cell>
          <cell r="AD582">
            <v>211.8460031650537</v>
          </cell>
          <cell r="AE582">
            <v>-302.43725443547305</v>
          </cell>
          <cell r="AF582">
            <v>128.5708144001317</v>
          </cell>
          <cell r="AG582">
            <v>7.1702425609115438E-4</v>
          </cell>
          <cell r="AH582">
            <v>0</v>
          </cell>
          <cell r="AI582">
            <v>0</v>
          </cell>
          <cell r="AJ582">
            <v>642.85407200065845</v>
          </cell>
          <cell r="AK582">
            <v>211.8460031650537</v>
          </cell>
          <cell r="AL582">
            <v>-431.00806883560472</v>
          </cell>
          <cell r="AM582">
            <v>128.5708144001317</v>
          </cell>
          <cell r="AN582">
            <v>7.1702425609115438E-4</v>
          </cell>
          <cell r="AO582">
            <v>0</v>
          </cell>
          <cell r="AP582" t="e">
            <v>#DIV/0!</v>
          </cell>
          <cell r="AQ582">
            <v>771.42488640079011</v>
          </cell>
          <cell r="AR582">
            <v>211.8460031650537</v>
          </cell>
          <cell r="AS582">
            <v>-559.57888323573638</v>
          </cell>
          <cell r="AT582">
            <v>128.5708144001317</v>
          </cell>
          <cell r="AU582">
            <v>7.1702425609115438E-4</v>
          </cell>
          <cell r="AV582">
            <v>0</v>
          </cell>
          <cell r="AW582" t="e">
            <v>#DIV/0!</v>
          </cell>
          <cell r="AX582">
            <v>899.99570080092178</v>
          </cell>
          <cell r="AY582">
            <v>211.8460031650537</v>
          </cell>
          <cell r="AZ582">
            <v>-688.14969763586805</v>
          </cell>
          <cell r="BA582">
            <v>128.5708144001317</v>
          </cell>
          <cell r="BB582">
            <v>7.1702425609115438E-4</v>
          </cell>
          <cell r="BC582">
            <v>0</v>
          </cell>
          <cell r="BD582" t="e">
            <v>#DIV/0!</v>
          </cell>
          <cell r="BE582">
            <v>1028.5665152010536</v>
          </cell>
          <cell r="BF582">
            <v>211.8460031650537</v>
          </cell>
          <cell r="BG582">
            <v>-816.72051203599983</v>
          </cell>
          <cell r="BH582">
            <v>128.5708144001317</v>
          </cell>
          <cell r="BI582">
            <v>7.1702425609115438E-4</v>
          </cell>
          <cell r="BJ582">
            <v>0</v>
          </cell>
          <cell r="BK582" t="e">
            <v>#DIV/0!</v>
          </cell>
          <cell r="BL582">
            <v>1157.1373296011852</v>
          </cell>
          <cell r="BM582">
            <v>211.8460031650537</v>
          </cell>
          <cell r="BN582">
            <v>-945.2913264361315</v>
          </cell>
          <cell r="BO582">
            <v>128.5708144001317</v>
          </cell>
          <cell r="BP582">
            <v>7.1702425609115438E-4</v>
          </cell>
          <cell r="BQ582">
            <v>0</v>
          </cell>
          <cell r="BR582" t="e">
            <v>#DIV/0!</v>
          </cell>
          <cell r="BS582">
            <v>1285.7081440013169</v>
          </cell>
          <cell r="BT582">
            <v>211.8460031650537</v>
          </cell>
          <cell r="BU582">
            <v>-1073.8621408362633</v>
          </cell>
          <cell r="BV582">
            <v>128.5708144001317</v>
          </cell>
          <cell r="BW582">
            <v>7.1702425609115438E-4</v>
          </cell>
          <cell r="BX582">
            <v>0</v>
          </cell>
          <cell r="BY582" t="e">
            <v>#DIV/0!</v>
          </cell>
          <cell r="BZ582">
            <v>1414.2789584014486</v>
          </cell>
          <cell r="CA582">
            <v>211.8460031650537</v>
          </cell>
          <cell r="CB582">
            <v>-1202.4329552363949</v>
          </cell>
          <cell r="CC582">
            <v>128.5708144001317</v>
          </cell>
          <cell r="CD582">
            <v>7.1702425609115438E-4</v>
          </cell>
          <cell r="CE582">
            <v>0</v>
          </cell>
          <cell r="CF582" t="e">
            <v>#DIV/0!</v>
          </cell>
          <cell r="CG582">
            <v>1542.8497728015802</v>
          </cell>
          <cell r="CH582">
            <v>211.8460031650537</v>
          </cell>
        </row>
        <row r="583">
          <cell r="A583" t="str">
            <v>Encargos Rescisórios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 t="e">
            <v>#DIV/0!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 t="e">
            <v>#DIV/0!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 t="e">
            <v>#DIV/0!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 t="e">
            <v>#DIV/0!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 t="e">
            <v>#DIV/0!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 t="e">
            <v>#DIV/0!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 t="e">
            <v>#DIV/0!</v>
          </cell>
          <cell r="CG583">
            <v>0</v>
          </cell>
          <cell r="CH583">
            <v>0</v>
          </cell>
        </row>
        <row r="584">
          <cell r="A584" t="str">
            <v>Encerramento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 t="e">
            <v>#DIV/0!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 t="e">
            <v>#DIV/0!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 t="e">
            <v>#DIV/0!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 t="e">
            <v>#DIV/0!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 t="e">
            <v>#DIV/0!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 t="e">
            <v>#DIV/0!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 t="e">
            <v>#DIV/0!</v>
          </cell>
          <cell r="CG584">
            <v>0</v>
          </cell>
          <cell r="CH584">
            <v>0</v>
          </cell>
        </row>
        <row r="585">
          <cell r="A585" t="str">
            <v>Eventos / Representações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 t="e">
            <v>#DIV/0!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 t="e">
            <v>#DIV/0!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 t="e">
            <v>#DIV/0!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 t="e">
            <v>#DIV/0!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 t="e">
            <v>#DIV/0!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 t="e">
            <v>#DIV/0!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 t="e">
            <v>#DIV/0!</v>
          </cell>
          <cell r="CG585">
            <v>0</v>
          </cell>
          <cell r="CH585">
            <v>0</v>
          </cell>
        </row>
        <row r="586">
          <cell r="A586" t="str">
            <v>Férias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 t="e">
            <v>#DIV/0!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 t="e">
            <v>#DIV/0!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 t="e">
            <v>#DIV/0!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 t="e">
            <v>#DIV/0!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 t="e">
            <v>#DIV/0!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 t="e">
            <v>#DIV/0!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 t="e">
            <v>#DIV/0!</v>
          </cell>
          <cell r="CG586">
            <v>0</v>
          </cell>
          <cell r="CH586">
            <v>0</v>
          </cell>
        </row>
        <row r="587">
          <cell r="A587" t="str">
            <v>Exames Médicos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 t="e">
            <v>#DIV/0!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 t="e">
            <v>#DIV/0!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 t="e">
            <v>#DIV/0!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 t="e">
            <v>#DIV/0!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 t="e">
            <v>#DIV/0!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 t="e">
            <v>#DIV/0!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 t="e">
            <v>#DIV/0!</v>
          </cell>
          <cell r="CG587">
            <v>0</v>
          </cell>
          <cell r="CH587">
            <v>0</v>
          </cell>
        </row>
        <row r="588">
          <cell r="A588" t="str">
            <v>Parcerias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 t="e">
            <v>#DIV/0!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 t="e">
            <v>#DIV/0!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 t="e">
            <v>#DIV/0!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 t="e">
            <v>#DIV/0!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 t="e">
            <v>#DIV/0!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 t="e">
            <v>#DIV/0!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 t="e">
            <v>#DIV/0!</v>
          </cell>
          <cell r="CG588">
            <v>0</v>
          </cell>
          <cell r="CH588">
            <v>0</v>
          </cell>
        </row>
        <row r="589">
          <cell r="A589" t="str">
            <v>Fotocópia/Xerox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 t="e">
            <v>#DIV/0!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 t="e">
            <v>#DIV/0!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 t="e">
            <v>#DIV/0!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 t="e">
            <v>#DIV/0!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 t="e">
            <v>#DIV/0!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 t="e">
            <v>#DIV/0!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 t="e">
            <v>#DIV/0!</v>
          </cell>
          <cell r="CG589">
            <v>0</v>
          </cell>
          <cell r="CH589">
            <v>0</v>
          </cell>
        </row>
        <row r="590">
          <cell r="A590" t="str">
            <v>IR s/ Salário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 t="e">
            <v>#DIV/0!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 t="e">
            <v>#DIV/0!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 t="e">
            <v>#DIV/0!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 t="e">
            <v>#DIV/0!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 t="e">
            <v>#DIV/0!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 t="e">
            <v>#DIV/0!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 t="e">
            <v>#DIV/0!</v>
          </cell>
          <cell r="CG590">
            <v>0</v>
          </cell>
          <cell r="CH590">
            <v>0</v>
          </cell>
        </row>
        <row r="591">
          <cell r="A591" t="str">
            <v>Consultoria de Projetos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 t="e">
            <v>#DIV/0!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 t="e">
            <v>#DIV/0!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 t="e">
            <v>#DIV/0!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 t="e">
            <v>#DIV/0!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 t="e">
            <v>#DIV/0!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 t="e">
            <v>#DIV/0!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 t="e">
            <v>#DIV/0!</v>
          </cell>
          <cell r="CG591">
            <v>0</v>
          </cell>
          <cell r="CH591">
            <v>0</v>
          </cell>
        </row>
        <row r="592">
          <cell r="A592" t="str">
            <v>Pauta</v>
          </cell>
          <cell r="B592">
            <v>0</v>
          </cell>
          <cell r="C592">
            <v>0</v>
          </cell>
          <cell r="D592">
            <v>852.11183382882871</v>
          </cell>
          <cell r="E592">
            <v>4.7521271184929152E-3</v>
          </cell>
          <cell r="F592">
            <v>364.38481237658681</v>
          </cell>
          <cell r="G592">
            <v>2.1320773546662304E-3</v>
          </cell>
          <cell r="H592">
            <v>852.11183382882871</v>
          </cell>
          <cell r="I592">
            <v>364.38481237658681</v>
          </cell>
          <cell r="J592">
            <v>-487.7270214522419</v>
          </cell>
          <cell r="K592">
            <v>852.11183382882871</v>
          </cell>
          <cell r="L592">
            <v>4.7521271184929152E-3</v>
          </cell>
          <cell r="M592">
            <v>282.40683744186049</v>
          </cell>
          <cell r="N592">
            <v>1.187581318090246E-2</v>
          </cell>
          <cell r="O592">
            <v>1704.2236676576574</v>
          </cell>
          <cell r="P592">
            <v>646.79164981844724</v>
          </cell>
          <cell r="Q592">
            <v>-1057.4320178392102</v>
          </cell>
          <cell r="R592">
            <v>852.11183382882871</v>
          </cell>
          <cell r="S592">
            <v>4.7521271184929152E-3</v>
          </cell>
          <cell r="T592">
            <v>584.17225381502885</v>
          </cell>
          <cell r="U592">
            <v>8.4902839797845265E-4</v>
          </cell>
          <cell r="V592">
            <v>2556.335501486486</v>
          </cell>
          <cell r="W592">
            <v>1230.9639036334761</v>
          </cell>
          <cell r="X592">
            <v>-1325.3715978530099</v>
          </cell>
          <cell r="Y592">
            <v>852.11183382882871</v>
          </cell>
          <cell r="Z592">
            <v>4.7521271184929152E-3</v>
          </cell>
          <cell r="AA592">
            <v>0</v>
          </cell>
          <cell r="AB592">
            <v>0</v>
          </cell>
          <cell r="AC592">
            <v>3408.4473353153148</v>
          </cell>
          <cell r="AD592">
            <v>1230.9639036334761</v>
          </cell>
          <cell r="AE592">
            <v>-2177.4834316818387</v>
          </cell>
          <cell r="AF592">
            <v>852.11183382882871</v>
          </cell>
          <cell r="AG592">
            <v>4.7521271184929152E-3</v>
          </cell>
          <cell r="AH592">
            <v>0</v>
          </cell>
          <cell r="AI592">
            <v>0</v>
          </cell>
          <cell r="AJ592">
            <v>4260.5591691441432</v>
          </cell>
          <cell r="AK592">
            <v>1230.9639036334761</v>
          </cell>
          <cell r="AL592">
            <v>-3029.5952655106671</v>
          </cell>
          <cell r="AM592">
            <v>852.11183382882871</v>
          </cell>
          <cell r="AN592">
            <v>4.7521271184929152E-3</v>
          </cell>
          <cell r="AO592">
            <v>0</v>
          </cell>
          <cell r="AP592" t="e">
            <v>#DIV/0!</v>
          </cell>
          <cell r="AQ592">
            <v>5112.671002972972</v>
          </cell>
          <cell r="AR592">
            <v>1230.9639036334761</v>
          </cell>
          <cell r="AS592">
            <v>-3881.7070993394959</v>
          </cell>
          <cell r="AT592">
            <v>852.11183382882871</v>
          </cell>
          <cell r="AU592">
            <v>4.7521271184929152E-3</v>
          </cell>
          <cell r="AV592">
            <v>0</v>
          </cell>
          <cell r="AW592" t="e">
            <v>#DIV/0!</v>
          </cell>
          <cell r="AX592">
            <v>5964.7828368018008</v>
          </cell>
          <cell r="AY592">
            <v>1230.9639036334761</v>
          </cell>
          <cell r="AZ592">
            <v>-4733.8189331683243</v>
          </cell>
          <cell r="BA592">
            <v>852.11183382882871</v>
          </cell>
          <cell r="BB592">
            <v>4.7521271184929152E-3</v>
          </cell>
          <cell r="BC592">
            <v>0</v>
          </cell>
          <cell r="BD592" t="e">
            <v>#DIV/0!</v>
          </cell>
          <cell r="BE592">
            <v>6816.8946706306297</v>
          </cell>
          <cell r="BF592">
            <v>1230.9639036334761</v>
          </cell>
          <cell r="BG592">
            <v>-5585.9307669971531</v>
          </cell>
          <cell r="BH592">
            <v>852.11183382882871</v>
          </cell>
          <cell r="BI592">
            <v>4.7521271184929152E-3</v>
          </cell>
          <cell r="BJ592">
            <v>0</v>
          </cell>
          <cell r="BK592" t="e">
            <v>#DIV/0!</v>
          </cell>
          <cell r="BL592">
            <v>7669.0065044594585</v>
          </cell>
          <cell r="BM592">
            <v>1230.9639036334761</v>
          </cell>
          <cell r="BN592">
            <v>-6438.0426008259819</v>
          </cell>
          <cell r="BO592">
            <v>852.11183382882871</v>
          </cell>
          <cell r="BP592">
            <v>4.7521271184929152E-3</v>
          </cell>
          <cell r="BQ592">
            <v>0</v>
          </cell>
          <cell r="BR592" t="e">
            <v>#DIV/0!</v>
          </cell>
          <cell r="BS592">
            <v>8521.1183382882864</v>
          </cell>
          <cell r="BT592">
            <v>1230.9639036334761</v>
          </cell>
          <cell r="BU592">
            <v>-7290.1544346548108</v>
          </cell>
          <cell r="BV592">
            <v>852.11183382882871</v>
          </cell>
          <cell r="BW592">
            <v>4.7521271184929152E-3</v>
          </cell>
          <cell r="BX592">
            <v>0</v>
          </cell>
          <cell r="BY592" t="e">
            <v>#DIV/0!</v>
          </cell>
          <cell r="BZ592">
            <v>9373.2301721171152</v>
          </cell>
          <cell r="CA592">
            <v>1230.9639036334761</v>
          </cell>
          <cell r="CB592">
            <v>-8142.2662684836396</v>
          </cell>
          <cell r="CC592">
            <v>852.11183382882871</v>
          </cell>
          <cell r="CD592">
            <v>4.7521271184929152E-3</v>
          </cell>
          <cell r="CE592">
            <v>0</v>
          </cell>
          <cell r="CF592" t="e">
            <v>#DIV/0!</v>
          </cell>
          <cell r="CG592">
            <v>10225.342005945944</v>
          </cell>
          <cell r="CH592">
            <v>1230.9639036334761</v>
          </cell>
        </row>
        <row r="593">
          <cell r="A593" t="str">
            <v>Pauta - Gestão de Pauta</v>
          </cell>
          <cell r="B593">
            <v>3.9190287587438512E-5</v>
          </cell>
          <cell r="C593">
            <v>15.318143371362835</v>
          </cell>
          <cell r="D593">
            <v>611.6923558566989</v>
          </cell>
          <cell r="E593">
            <v>3.4113360676849376E-3</v>
          </cell>
          <cell r="F593">
            <v>489.80904443690309</v>
          </cell>
          <cell r="G593">
            <v>2.8659558145232062E-3</v>
          </cell>
          <cell r="H593">
            <v>611.6923558566989</v>
          </cell>
          <cell r="I593">
            <v>489.80904443690309</v>
          </cell>
          <cell r="J593">
            <v>-121.8833114197958</v>
          </cell>
          <cell r="K593">
            <v>611.6923558566989</v>
          </cell>
          <cell r="L593">
            <v>3.4113360676849376E-3</v>
          </cell>
          <cell r="M593">
            <v>314.67175700712647</v>
          </cell>
          <cell r="N593">
            <v>1.3232622245884208E-2</v>
          </cell>
          <cell r="O593">
            <v>1223.3847117133978</v>
          </cell>
          <cell r="P593">
            <v>804.48080144402957</v>
          </cell>
          <cell r="Q593">
            <v>-418.90391026936823</v>
          </cell>
          <cell r="R593">
            <v>611.6923558566989</v>
          </cell>
          <cell r="S593">
            <v>3.4113360676849376E-3</v>
          </cell>
          <cell r="T593">
            <v>585.54965409374654</v>
          </cell>
          <cell r="U593">
            <v>8.510302937281693E-4</v>
          </cell>
          <cell r="V593">
            <v>1835.0770675700967</v>
          </cell>
          <cell r="W593">
            <v>1390.0304555377761</v>
          </cell>
          <cell r="X593">
            <v>-445.04661203232058</v>
          </cell>
          <cell r="Y593">
            <v>611.6923558566989</v>
          </cell>
          <cell r="Z593">
            <v>3.4113360676849376E-3</v>
          </cell>
          <cell r="AA593">
            <v>0</v>
          </cell>
          <cell r="AB593">
            <v>0</v>
          </cell>
          <cell r="AC593">
            <v>2446.7694234267956</v>
          </cell>
          <cell r="AD593">
            <v>1390.0304555377761</v>
          </cell>
          <cell r="AE593">
            <v>-1056.7389678890195</v>
          </cell>
          <cell r="AF593">
            <v>611.6923558566989</v>
          </cell>
          <cell r="AG593">
            <v>3.4113360676849376E-3</v>
          </cell>
          <cell r="AH593">
            <v>0</v>
          </cell>
          <cell r="AI593">
            <v>0</v>
          </cell>
          <cell r="AJ593">
            <v>3058.4617792834943</v>
          </cell>
          <cell r="AK593">
            <v>1390.0304555377761</v>
          </cell>
          <cell r="AL593">
            <v>-1668.4313237457181</v>
          </cell>
          <cell r="AM593">
            <v>611.6923558566989</v>
          </cell>
          <cell r="AN593">
            <v>3.4113360676849376E-3</v>
          </cell>
          <cell r="AO593">
            <v>0</v>
          </cell>
          <cell r="AP593" t="e">
            <v>#DIV/0!</v>
          </cell>
          <cell r="AQ593">
            <v>3670.1541351401929</v>
          </cell>
          <cell r="AR593">
            <v>1390.0304555377761</v>
          </cell>
          <cell r="AS593">
            <v>-2280.1236796024168</v>
          </cell>
          <cell r="AT593">
            <v>611.6923558566989</v>
          </cell>
          <cell r="AU593">
            <v>3.4113360676849376E-3</v>
          </cell>
          <cell r="AV593">
            <v>0</v>
          </cell>
          <cell r="AW593" t="e">
            <v>#DIV/0!</v>
          </cell>
          <cell r="AX593">
            <v>4281.8464909968916</v>
          </cell>
          <cell r="AY593">
            <v>1390.0304555377761</v>
          </cell>
          <cell r="AZ593">
            <v>-2891.8160354591155</v>
          </cell>
          <cell r="BA593">
            <v>611.6923558566989</v>
          </cell>
          <cell r="BB593">
            <v>3.4113360676849376E-3</v>
          </cell>
          <cell r="BC593">
            <v>0</v>
          </cell>
          <cell r="BD593" t="e">
            <v>#DIV/0!</v>
          </cell>
          <cell r="BE593">
            <v>4893.5388468535903</v>
          </cell>
          <cell r="BF593">
            <v>1390.0304555377761</v>
          </cell>
          <cell r="BG593">
            <v>-3503.5083913158142</v>
          </cell>
          <cell r="BH593">
            <v>611.6923558566989</v>
          </cell>
          <cell r="BI593">
            <v>3.4113360676849376E-3</v>
          </cell>
          <cell r="BJ593">
            <v>0</v>
          </cell>
          <cell r="BK593" t="e">
            <v>#DIV/0!</v>
          </cell>
          <cell r="BL593">
            <v>5505.2312027102889</v>
          </cell>
          <cell r="BM593">
            <v>1390.0304555377761</v>
          </cell>
          <cell r="BN593">
            <v>-4115.2007471725128</v>
          </cell>
          <cell r="BO593">
            <v>611.6923558566989</v>
          </cell>
          <cell r="BP593">
            <v>3.4113360676849376E-3</v>
          </cell>
          <cell r="BQ593">
            <v>0</v>
          </cell>
          <cell r="BR593" t="e">
            <v>#DIV/0!</v>
          </cell>
          <cell r="BS593">
            <v>6116.9235585669876</v>
          </cell>
          <cell r="BT593">
            <v>1390.0304555377761</v>
          </cell>
          <cell r="BU593">
            <v>-4726.8931030292115</v>
          </cell>
          <cell r="BV593">
            <v>611.6923558566989</v>
          </cell>
          <cell r="BW593">
            <v>3.4113360676849376E-3</v>
          </cell>
          <cell r="BX593">
            <v>0</v>
          </cell>
          <cell r="BY593" t="e">
            <v>#DIV/0!</v>
          </cell>
          <cell r="BZ593">
            <v>6728.6159144236863</v>
          </cell>
          <cell r="CA593">
            <v>1390.0304555377761</v>
          </cell>
          <cell r="CB593">
            <v>-5338.5854588859102</v>
          </cell>
          <cell r="CC593">
            <v>611.6923558566989</v>
          </cell>
          <cell r="CD593">
            <v>3.4113360676849376E-3</v>
          </cell>
          <cell r="CE593">
            <v>0</v>
          </cell>
          <cell r="CF593" t="e">
            <v>#DIV/0!</v>
          </cell>
          <cell r="CG593">
            <v>7340.3082702803849</v>
          </cell>
          <cell r="CH593">
            <v>1390.0304555377761</v>
          </cell>
        </row>
        <row r="594">
          <cell r="A594" t="str">
            <v>Seguro de Vida</v>
          </cell>
          <cell r="B594">
            <v>2.3294439791620857E-5</v>
          </cell>
          <cell r="C594">
            <v>9.1050000000000004</v>
          </cell>
          <cell r="D594">
            <v>0</v>
          </cell>
          <cell r="E594">
            <v>0</v>
          </cell>
          <cell r="F594">
            <v>86.325000000000003</v>
          </cell>
          <cell r="G594">
            <v>5.0510221993376478E-4</v>
          </cell>
          <cell r="H594">
            <v>0</v>
          </cell>
          <cell r="I594">
            <v>86.325000000000003</v>
          </cell>
          <cell r="J594">
            <v>86.325000000000003</v>
          </cell>
          <cell r="K594">
            <v>0</v>
          </cell>
          <cell r="L594">
            <v>0</v>
          </cell>
          <cell r="M594">
            <v>108.194</v>
          </cell>
          <cell r="N594">
            <v>4.5497897392767035E-3</v>
          </cell>
          <cell r="O594">
            <v>0</v>
          </cell>
          <cell r="P594">
            <v>194.51900000000001</v>
          </cell>
          <cell r="Q594">
            <v>194.51900000000001</v>
          </cell>
          <cell r="R594">
            <v>0</v>
          </cell>
          <cell r="S594">
            <v>0</v>
          </cell>
          <cell r="T594">
            <v>119.704007</v>
          </cell>
          <cell r="U594">
            <v>1.7397625551553853E-4</v>
          </cell>
          <cell r="V594">
            <v>0</v>
          </cell>
          <cell r="W594">
            <v>314.223007</v>
          </cell>
          <cell r="X594">
            <v>314.223007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314.223007</v>
          </cell>
          <cell r="AE594">
            <v>314.223007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314.223007</v>
          </cell>
          <cell r="AL594">
            <v>314.223007</v>
          </cell>
          <cell r="AM594">
            <v>0</v>
          </cell>
          <cell r="AN594">
            <v>0</v>
          </cell>
          <cell r="AO594">
            <v>0</v>
          </cell>
          <cell r="AP594" t="e">
            <v>#DIV/0!</v>
          </cell>
          <cell r="AQ594">
            <v>0</v>
          </cell>
          <cell r="AR594">
            <v>314.223007</v>
          </cell>
          <cell r="AS594">
            <v>314.223007</v>
          </cell>
          <cell r="AT594">
            <v>0</v>
          </cell>
          <cell r="AU594">
            <v>0</v>
          </cell>
          <cell r="AV594">
            <v>0</v>
          </cell>
          <cell r="AW594" t="e">
            <v>#DIV/0!</v>
          </cell>
          <cell r="AX594">
            <v>0</v>
          </cell>
          <cell r="AY594">
            <v>314.223007</v>
          </cell>
          <cell r="AZ594">
            <v>314.223007</v>
          </cell>
          <cell r="BA594">
            <v>0</v>
          </cell>
          <cell r="BB594">
            <v>0</v>
          </cell>
          <cell r="BC594">
            <v>0</v>
          </cell>
          <cell r="BD594" t="e">
            <v>#DIV/0!</v>
          </cell>
          <cell r="BE594">
            <v>0</v>
          </cell>
          <cell r="BF594">
            <v>314.223007</v>
          </cell>
          <cell r="BG594">
            <v>314.223007</v>
          </cell>
          <cell r="BH594">
            <v>0</v>
          </cell>
          <cell r="BI594">
            <v>0</v>
          </cell>
          <cell r="BJ594">
            <v>0</v>
          </cell>
          <cell r="BK594" t="e">
            <v>#DIV/0!</v>
          </cell>
          <cell r="BL594">
            <v>0</v>
          </cell>
          <cell r="BM594">
            <v>314.223007</v>
          </cell>
          <cell r="BN594">
            <v>314.223007</v>
          </cell>
          <cell r="BO594">
            <v>0</v>
          </cell>
          <cell r="BP594">
            <v>0</v>
          </cell>
          <cell r="BQ594">
            <v>0</v>
          </cell>
          <cell r="BR594" t="e">
            <v>#DIV/0!</v>
          </cell>
          <cell r="BS594">
            <v>0</v>
          </cell>
          <cell r="BT594">
            <v>314.223007</v>
          </cell>
          <cell r="BU594">
            <v>314.223007</v>
          </cell>
          <cell r="BV594">
            <v>0</v>
          </cell>
          <cell r="BW594">
            <v>0</v>
          </cell>
          <cell r="BX594">
            <v>0</v>
          </cell>
          <cell r="BY594" t="e">
            <v>#DIV/0!</v>
          </cell>
          <cell r="BZ594">
            <v>0</v>
          </cell>
          <cell r="CA594">
            <v>314.223007</v>
          </cell>
          <cell r="CB594">
            <v>314.223007</v>
          </cell>
          <cell r="CC594">
            <v>0</v>
          </cell>
          <cell r="CD594">
            <v>0</v>
          </cell>
          <cell r="CE594">
            <v>0</v>
          </cell>
          <cell r="CF594" t="e">
            <v>#DIV/0!</v>
          </cell>
          <cell r="CG594">
            <v>0</v>
          </cell>
          <cell r="CH594">
            <v>314.223007</v>
          </cell>
        </row>
        <row r="595">
          <cell r="A595" t="str">
            <v>Plano de Saúde</v>
          </cell>
          <cell r="B595">
            <v>2.8231496503919682E-3</v>
          </cell>
          <cell r="C595">
            <v>1103.4726654411766</v>
          </cell>
          <cell r="D595">
            <v>2547.9934134590658</v>
          </cell>
          <cell r="E595">
            <v>1.4209858515205736E-2</v>
          </cell>
          <cell r="F595">
            <v>492.397924012158</v>
          </cell>
          <cell r="G595">
            <v>2.8811037881183691E-3</v>
          </cell>
          <cell r="H595">
            <v>2547.9934134590658</v>
          </cell>
          <cell r="I595">
            <v>492.397924012158</v>
          </cell>
          <cell r="J595">
            <v>-2055.5954894469078</v>
          </cell>
          <cell r="K595">
            <v>2547.9934134590658</v>
          </cell>
          <cell r="L595">
            <v>1.4209858515205736E-2</v>
          </cell>
          <cell r="M595">
            <v>2719.0804142011802</v>
          </cell>
          <cell r="N595">
            <v>0.11434316291846847</v>
          </cell>
          <cell r="O595">
            <v>5095.9868269181316</v>
          </cell>
          <cell r="P595">
            <v>3211.4783382133382</v>
          </cell>
          <cell r="Q595">
            <v>-1884.5084887047933</v>
          </cell>
          <cell r="R595">
            <v>2547.9934134590658</v>
          </cell>
          <cell r="S595">
            <v>1.4209858515205736E-2</v>
          </cell>
          <cell r="T595">
            <v>3672.041467333333</v>
          </cell>
          <cell r="U595">
            <v>5.3368975742343937E-3</v>
          </cell>
          <cell r="V595">
            <v>7643.9802403771973</v>
          </cell>
          <cell r="W595">
            <v>6883.5198055466717</v>
          </cell>
          <cell r="X595">
            <v>-760.46043483052563</v>
          </cell>
          <cell r="Y595">
            <v>2547.9934134590658</v>
          </cell>
          <cell r="Z595">
            <v>1.4209858515205736E-2</v>
          </cell>
          <cell r="AA595">
            <v>0</v>
          </cell>
          <cell r="AB595">
            <v>0</v>
          </cell>
          <cell r="AC595">
            <v>10191.973653836263</v>
          </cell>
          <cell r="AD595">
            <v>6883.5198055466717</v>
          </cell>
          <cell r="AE595">
            <v>-3308.4538482895914</v>
          </cell>
          <cell r="AF595">
            <v>2547.9934134590658</v>
          </cell>
          <cell r="AG595">
            <v>1.4209858515205736E-2</v>
          </cell>
          <cell r="AH595">
            <v>0</v>
          </cell>
          <cell r="AI595">
            <v>0</v>
          </cell>
          <cell r="AJ595">
            <v>12739.967067295329</v>
          </cell>
          <cell r="AK595">
            <v>6883.5198055466717</v>
          </cell>
          <cell r="AL595">
            <v>-5856.4472617486572</v>
          </cell>
          <cell r="AM595">
            <v>2547.9934134590658</v>
          </cell>
          <cell r="AN595">
            <v>1.4209858515205736E-2</v>
          </cell>
          <cell r="AO595">
            <v>0</v>
          </cell>
          <cell r="AP595" t="e">
            <v>#DIV/0!</v>
          </cell>
          <cell r="AQ595">
            <v>15287.960480754395</v>
          </cell>
          <cell r="AR595">
            <v>6883.5198055466717</v>
          </cell>
          <cell r="AS595">
            <v>-8404.440675207723</v>
          </cell>
          <cell r="AT595">
            <v>2547.9934134590658</v>
          </cell>
          <cell r="AU595">
            <v>1.4209858515205736E-2</v>
          </cell>
          <cell r="AV595">
            <v>0</v>
          </cell>
          <cell r="AW595" t="e">
            <v>#DIV/0!</v>
          </cell>
          <cell r="AX595">
            <v>17835.95389421346</v>
          </cell>
          <cell r="AY595">
            <v>6883.5198055466717</v>
          </cell>
          <cell r="AZ595">
            <v>-10952.434088666789</v>
          </cell>
          <cell r="BA595">
            <v>2547.9934134590658</v>
          </cell>
          <cell r="BB595">
            <v>1.4209858515205736E-2</v>
          </cell>
          <cell r="BC595">
            <v>0</v>
          </cell>
          <cell r="BD595" t="e">
            <v>#DIV/0!</v>
          </cell>
          <cell r="BE595">
            <v>20383.947307672526</v>
          </cell>
          <cell r="BF595">
            <v>6883.5198055466717</v>
          </cell>
          <cell r="BG595">
            <v>-13500.427502125855</v>
          </cell>
          <cell r="BH595">
            <v>2547.9934134590658</v>
          </cell>
          <cell r="BI595">
            <v>1.4209858515205736E-2</v>
          </cell>
          <cell r="BJ595">
            <v>0</v>
          </cell>
          <cell r="BK595" t="e">
            <v>#DIV/0!</v>
          </cell>
          <cell r="BL595">
            <v>22931.940721131592</v>
          </cell>
          <cell r="BM595">
            <v>6883.5198055466717</v>
          </cell>
          <cell r="BN595">
            <v>-16048.42091558492</v>
          </cell>
          <cell r="BO595">
            <v>2547.9934134590658</v>
          </cell>
          <cell r="BP595">
            <v>1.4209858515205736E-2</v>
          </cell>
          <cell r="BQ595">
            <v>0</v>
          </cell>
          <cell r="BR595" t="e">
            <v>#DIV/0!</v>
          </cell>
          <cell r="BS595">
            <v>25479.934134590658</v>
          </cell>
          <cell r="BT595">
            <v>6883.5198055466717</v>
          </cell>
          <cell r="BU595">
            <v>-18596.414329043986</v>
          </cell>
          <cell r="BV595">
            <v>2547.9934134590658</v>
          </cell>
          <cell r="BW595">
            <v>1.4209858515205736E-2</v>
          </cell>
          <cell r="BX595">
            <v>0</v>
          </cell>
          <cell r="BY595" t="e">
            <v>#DIV/0!</v>
          </cell>
          <cell r="BZ595">
            <v>28027.927548049724</v>
          </cell>
          <cell r="CA595">
            <v>6883.5198055466717</v>
          </cell>
          <cell r="CB595">
            <v>-21144.407742503052</v>
          </cell>
          <cell r="CC595">
            <v>2547.9934134590658</v>
          </cell>
          <cell r="CD595">
            <v>1.4209858515205736E-2</v>
          </cell>
          <cell r="CE595">
            <v>0</v>
          </cell>
          <cell r="CF595" t="e">
            <v>#DIV/0!</v>
          </cell>
          <cell r="CG595">
            <v>30575.920961508789</v>
          </cell>
          <cell r="CH595">
            <v>6883.5198055466717</v>
          </cell>
        </row>
        <row r="596">
          <cell r="A596" t="str">
            <v>Plano Odontológico</v>
          </cell>
          <cell r="B596">
            <v>1.78194149531729E-5</v>
          </cell>
          <cell r="C596">
            <v>6.9649999999999999</v>
          </cell>
          <cell r="D596">
            <v>13.93</v>
          </cell>
          <cell r="E596">
            <v>7.7685965776534346E-5</v>
          </cell>
          <cell r="F596">
            <v>14.66</v>
          </cell>
          <cell r="G596">
            <v>8.5778147051595609E-5</v>
          </cell>
          <cell r="H596">
            <v>13.93</v>
          </cell>
          <cell r="I596">
            <v>14.66</v>
          </cell>
          <cell r="J596">
            <v>0.73000000000000043</v>
          </cell>
          <cell r="K596">
            <v>13.93</v>
          </cell>
          <cell r="L596">
            <v>7.7685965776534346E-5</v>
          </cell>
          <cell r="M596">
            <v>36.409999999999997</v>
          </cell>
          <cell r="N596">
            <v>1.5311185870479393E-3</v>
          </cell>
          <cell r="O596">
            <v>27.86</v>
          </cell>
          <cell r="P596">
            <v>51.069999999999993</v>
          </cell>
          <cell r="Q596">
            <v>23.209999999999994</v>
          </cell>
          <cell r="R596">
            <v>13.93</v>
          </cell>
          <cell r="S596">
            <v>7.7685965776534346E-5</v>
          </cell>
          <cell r="T596">
            <v>29.32</v>
          </cell>
          <cell r="U596">
            <v>4.261330877349485E-5</v>
          </cell>
          <cell r="V596">
            <v>41.79</v>
          </cell>
          <cell r="W596">
            <v>80.389999999999986</v>
          </cell>
          <cell r="X596">
            <v>38.599999999999987</v>
          </cell>
          <cell r="Y596">
            <v>13.93</v>
          </cell>
          <cell r="Z596">
            <v>7.7685965776534346E-5</v>
          </cell>
          <cell r="AA596">
            <v>0</v>
          </cell>
          <cell r="AB596">
            <v>0</v>
          </cell>
          <cell r="AC596">
            <v>55.72</v>
          </cell>
          <cell r="AD596">
            <v>80.389999999999986</v>
          </cell>
          <cell r="AE596">
            <v>24.669999999999987</v>
          </cell>
          <cell r="AF596">
            <v>13.93</v>
          </cell>
          <cell r="AG596">
            <v>7.7685965776534346E-5</v>
          </cell>
          <cell r="AH596">
            <v>0</v>
          </cell>
          <cell r="AI596">
            <v>0</v>
          </cell>
          <cell r="AJ596">
            <v>69.650000000000006</v>
          </cell>
          <cell r="AK596">
            <v>80.389999999999986</v>
          </cell>
          <cell r="AL596">
            <v>10.739999999999981</v>
          </cell>
          <cell r="AM596">
            <v>13.93</v>
          </cell>
          <cell r="AN596">
            <v>7.7685965776534346E-5</v>
          </cell>
          <cell r="AO596">
            <v>0</v>
          </cell>
          <cell r="AP596" t="e">
            <v>#DIV/0!</v>
          </cell>
          <cell r="AQ596">
            <v>83.580000000000013</v>
          </cell>
          <cell r="AR596">
            <v>80.389999999999986</v>
          </cell>
          <cell r="AS596">
            <v>-3.1900000000000261</v>
          </cell>
          <cell r="AT596">
            <v>13.93</v>
          </cell>
          <cell r="AU596">
            <v>7.7685965776534346E-5</v>
          </cell>
          <cell r="AV596">
            <v>0</v>
          </cell>
          <cell r="AW596" t="e">
            <v>#DIV/0!</v>
          </cell>
          <cell r="AX596">
            <v>97.510000000000019</v>
          </cell>
          <cell r="AY596">
            <v>80.389999999999986</v>
          </cell>
          <cell r="AZ596">
            <v>-17.120000000000033</v>
          </cell>
          <cell r="BA596">
            <v>13.93</v>
          </cell>
          <cell r="BB596">
            <v>7.7685965776534346E-5</v>
          </cell>
          <cell r="BC596">
            <v>0</v>
          </cell>
          <cell r="BD596" t="e">
            <v>#DIV/0!</v>
          </cell>
          <cell r="BE596">
            <v>111.44000000000003</v>
          </cell>
          <cell r="BF596">
            <v>80.389999999999986</v>
          </cell>
          <cell r="BG596">
            <v>-31.05000000000004</v>
          </cell>
          <cell r="BH596">
            <v>13.93</v>
          </cell>
          <cell r="BI596">
            <v>7.7685965776534346E-5</v>
          </cell>
          <cell r="BJ596">
            <v>0</v>
          </cell>
          <cell r="BK596" t="e">
            <v>#DIV/0!</v>
          </cell>
          <cell r="BL596">
            <v>125.37000000000003</v>
          </cell>
          <cell r="BM596">
            <v>80.389999999999986</v>
          </cell>
          <cell r="BN596">
            <v>-44.980000000000047</v>
          </cell>
          <cell r="BO596">
            <v>13.93</v>
          </cell>
          <cell r="BP596">
            <v>7.7685965776534346E-5</v>
          </cell>
          <cell r="BQ596">
            <v>0</v>
          </cell>
          <cell r="BR596" t="e">
            <v>#DIV/0!</v>
          </cell>
          <cell r="BS596">
            <v>139.30000000000004</v>
          </cell>
          <cell r="BT596">
            <v>80.389999999999986</v>
          </cell>
          <cell r="BU596">
            <v>-58.910000000000053</v>
          </cell>
          <cell r="BV596">
            <v>13.93</v>
          </cell>
          <cell r="BW596">
            <v>7.7685965776534346E-5</v>
          </cell>
          <cell r="BX596">
            <v>0</v>
          </cell>
          <cell r="BY596" t="e">
            <v>#DIV/0!</v>
          </cell>
          <cell r="BZ596">
            <v>153.23000000000005</v>
          </cell>
          <cell r="CA596">
            <v>80.389999999999986</v>
          </cell>
          <cell r="CB596">
            <v>-72.84000000000006</v>
          </cell>
          <cell r="CC596">
            <v>13.93</v>
          </cell>
          <cell r="CD596">
            <v>7.7685965776534346E-5</v>
          </cell>
          <cell r="CE596">
            <v>0</v>
          </cell>
          <cell r="CF596" t="e">
            <v>#DIV/0!</v>
          </cell>
          <cell r="CG596">
            <v>167.16000000000005</v>
          </cell>
          <cell r="CH596">
            <v>80.389999999999986</v>
          </cell>
        </row>
        <row r="597">
          <cell r="A597" t="str">
            <v>Saneamento Gestão</v>
          </cell>
          <cell r="B597">
            <v>7.1842025750068006E-3</v>
          </cell>
          <cell r="C597">
            <v>2808.0591347367817</v>
          </cell>
          <cell r="D597">
            <v>7008.45</v>
          </cell>
          <cell r="E597">
            <v>3.9085298409659158E-2</v>
          </cell>
          <cell r="F597">
            <v>5797.2353390049329</v>
          </cell>
          <cell r="G597">
            <v>3.3920607462610636E-2</v>
          </cell>
          <cell r="H597">
            <v>7008.45</v>
          </cell>
          <cell r="I597">
            <v>5797.2353390049329</v>
          </cell>
          <cell r="J597">
            <v>-1211.2146609950669</v>
          </cell>
          <cell r="K597">
            <v>4008.45</v>
          </cell>
          <cell r="L597">
            <v>2.2354652513779546E-2</v>
          </cell>
          <cell r="M597">
            <v>0</v>
          </cell>
          <cell r="N597">
            <v>0</v>
          </cell>
          <cell r="O597">
            <v>11016.9</v>
          </cell>
          <cell r="P597">
            <v>5797.2353390049329</v>
          </cell>
          <cell r="Q597">
            <v>-5219.6646609950667</v>
          </cell>
          <cell r="R597">
            <v>4008.45</v>
          </cell>
          <cell r="S597">
            <v>2.2354652513779546E-2</v>
          </cell>
          <cell r="T597">
            <v>-1.233167213547163E-5</v>
          </cell>
          <cell r="U597">
            <v>-1.7922692783163548E-11</v>
          </cell>
          <cell r="V597">
            <v>15025.349999999999</v>
          </cell>
          <cell r="W597">
            <v>5797.2353266732607</v>
          </cell>
          <cell r="X597">
            <v>-9228.1146733267378</v>
          </cell>
          <cell r="Y597">
            <v>4008.45</v>
          </cell>
          <cell r="Z597">
            <v>2.2354652513779546E-2</v>
          </cell>
          <cell r="AA597">
            <v>0</v>
          </cell>
          <cell r="AB597">
            <v>0</v>
          </cell>
          <cell r="AC597">
            <v>19033.8</v>
          </cell>
          <cell r="AD597">
            <v>5797.2353266732607</v>
          </cell>
          <cell r="AE597">
            <v>-13236.564673326739</v>
          </cell>
          <cell r="AF597">
            <v>4008.45</v>
          </cell>
          <cell r="AG597">
            <v>2.2354652513779546E-2</v>
          </cell>
          <cell r="AH597">
            <v>0</v>
          </cell>
          <cell r="AI597">
            <v>0</v>
          </cell>
          <cell r="AJ597">
            <v>23042.25</v>
          </cell>
          <cell r="AK597">
            <v>5797.2353266732607</v>
          </cell>
          <cell r="AL597">
            <v>-17245.014673326739</v>
          </cell>
          <cell r="AM597">
            <v>4008.45</v>
          </cell>
          <cell r="AN597">
            <v>2.2354652513779546E-2</v>
          </cell>
          <cell r="AO597">
            <v>0</v>
          </cell>
          <cell r="AP597" t="e">
            <v>#DIV/0!</v>
          </cell>
          <cell r="AQ597">
            <v>27050.7</v>
          </cell>
          <cell r="AR597">
            <v>5797.2353266732607</v>
          </cell>
          <cell r="AS597">
            <v>-21253.46467332674</v>
          </cell>
          <cell r="AT597">
            <v>4008.45</v>
          </cell>
          <cell r="AU597">
            <v>2.2354652513779546E-2</v>
          </cell>
          <cell r="AV597">
            <v>0</v>
          </cell>
          <cell r="AW597" t="e">
            <v>#DIV/0!</v>
          </cell>
          <cell r="AX597">
            <v>31059.15</v>
          </cell>
          <cell r="AY597">
            <v>5797.2353266732607</v>
          </cell>
          <cell r="AZ597">
            <v>-25261.914673326741</v>
          </cell>
          <cell r="BA597">
            <v>4008.45</v>
          </cell>
          <cell r="BB597">
            <v>2.2354652513779546E-2</v>
          </cell>
          <cell r="BC597">
            <v>0</v>
          </cell>
          <cell r="BD597" t="e">
            <v>#DIV/0!</v>
          </cell>
          <cell r="BE597">
            <v>35067.599999999999</v>
          </cell>
          <cell r="BF597">
            <v>5797.2353266732607</v>
          </cell>
          <cell r="BG597">
            <v>-29270.364673326738</v>
          </cell>
          <cell r="BH597">
            <v>4008.45</v>
          </cell>
          <cell r="BI597">
            <v>2.2354652513779546E-2</v>
          </cell>
          <cell r="BJ597">
            <v>0</v>
          </cell>
          <cell r="BK597" t="e">
            <v>#DIV/0!</v>
          </cell>
          <cell r="BL597">
            <v>39076.049999999996</v>
          </cell>
          <cell r="BM597">
            <v>5797.2353266732607</v>
          </cell>
          <cell r="BN597">
            <v>-33278.814673326735</v>
          </cell>
          <cell r="BO597">
            <v>4008.45</v>
          </cell>
          <cell r="BP597">
            <v>2.2354652513779546E-2</v>
          </cell>
          <cell r="BQ597">
            <v>0</v>
          </cell>
          <cell r="BR597" t="e">
            <v>#DIV/0!</v>
          </cell>
          <cell r="BS597">
            <v>43084.499999999993</v>
          </cell>
          <cell r="BT597">
            <v>5797.2353266732607</v>
          </cell>
          <cell r="BU597">
            <v>-37287.264673326732</v>
          </cell>
          <cell r="BV597">
            <v>4008.45</v>
          </cell>
          <cell r="BW597">
            <v>2.2354652513779546E-2</v>
          </cell>
          <cell r="BX597">
            <v>0</v>
          </cell>
          <cell r="BY597" t="e">
            <v>#DIV/0!</v>
          </cell>
          <cell r="BZ597">
            <v>47092.94999999999</v>
          </cell>
          <cell r="CA597">
            <v>5797.2353266732607</v>
          </cell>
          <cell r="CB597">
            <v>-41295.714673326729</v>
          </cell>
          <cell r="CC597">
            <v>4008.45</v>
          </cell>
          <cell r="CD597">
            <v>2.2354652513779546E-2</v>
          </cell>
          <cell r="CE597">
            <v>0</v>
          </cell>
          <cell r="CF597" t="e">
            <v>#DIV/0!</v>
          </cell>
          <cell r="CG597">
            <v>51101.399999999987</v>
          </cell>
          <cell r="CH597">
            <v>5797.2353266732607</v>
          </cell>
        </row>
        <row r="598">
          <cell r="A598" t="str">
            <v>Remuneração</v>
          </cell>
          <cell r="B598">
            <v>2.1940387477570909E-2</v>
          </cell>
          <cell r="C598">
            <v>8575.7472500000003</v>
          </cell>
          <cell r="D598">
            <v>21111.190000000002</v>
          </cell>
          <cell r="E598">
            <v>0.11773461477687827</v>
          </cell>
          <cell r="F598">
            <v>26428.87224016443</v>
          </cell>
          <cell r="G598">
            <v>0.15463981510400121</v>
          </cell>
          <cell r="H598">
            <v>21111.190000000002</v>
          </cell>
          <cell r="I598">
            <v>26428.87224016443</v>
          </cell>
          <cell r="J598">
            <v>5317.6822401644276</v>
          </cell>
          <cell r="K598">
            <v>21111.190000000002</v>
          </cell>
          <cell r="L598">
            <v>0.11773461477687827</v>
          </cell>
          <cell r="M598">
            <v>28152.70007300466</v>
          </cell>
          <cell r="N598">
            <v>1.183881416022063</v>
          </cell>
          <cell r="O598">
            <v>42222.380000000005</v>
          </cell>
          <cell r="P598">
            <v>54581.57231316909</v>
          </cell>
          <cell r="Q598">
            <v>12359.192313169086</v>
          </cell>
          <cell r="R598">
            <v>21111.190000000002</v>
          </cell>
          <cell r="S598">
            <v>0.11773461477687827</v>
          </cell>
          <cell r="T598">
            <v>37819.036240164423</v>
          </cell>
          <cell r="U598">
            <v>5.4965698117944009E-2</v>
          </cell>
          <cell r="V598">
            <v>63333.570000000007</v>
          </cell>
          <cell r="W598">
            <v>92400.608553333514</v>
          </cell>
          <cell r="X598">
            <v>29067.038553333507</v>
          </cell>
          <cell r="Y598">
            <v>21111.190000000002</v>
          </cell>
          <cell r="Z598">
            <v>0.11773461477687827</v>
          </cell>
          <cell r="AA598">
            <v>0</v>
          </cell>
          <cell r="AB598">
            <v>0</v>
          </cell>
          <cell r="AC598">
            <v>84444.760000000009</v>
          </cell>
          <cell r="AD598">
            <v>92400.608553333514</v>
          </cell>
          <cell r="AE598">
            <v>7955.8485533335042</v>
          </cell>
          <cell r="AF598">
            <v>21111.190000000002</v>
          </cell>
          <cell r="AG598">
            <v>0.11773461477687827</v>
          </cell>
          <cell r="AH598">
            <v>0</v>
          </cell>
          <cell r="AI598">
            <v>0</v>
          </cell>
          <cell r="AJ598">
            <v>105555.95000000001</v>
          </cell>
          <cell r="AK598">
            <v>92400.608553333514</v>
          </cell>
          <cell r="AL598">
            <v>-13155.341446666498</v>
          </cell>
          <cell r="AM598">
            <v>21111.190000000002</v>
          </cell>
          <cell r="AN598">
            <v>0.11773461477687827</v>
          </cell>
          <cell r="AO598">
            <v>0</v>
          </cell>
          <cell r="AP598" t="e">
            <v>#DIV/0!</v>
          </cell>
          <cell r="AQ598">
            <v>126667.14000000001</v>
          </cell>
          <cell r="AR598">
            <v>92400.608553333514</v>
          </cell>
          <cell r="AS598">
            <v>-34266.5314466665</v>
          </cell>
          <cell r="AT598">
            <v>21111.190000000002</v>
          </cell>
          <cell r="AU598">
            <v>0.11773461477687827</v>
          </cell>
          <cell r="AV598">
            <v>0</v>
          </cell>
          <cell r="AW598" t="e">
            <v>#DIV/0!</v>
          </cell>
          <cell r="AX598">
            <v>147778.33000000002</v>
          </cell>
          <cell r="AY598">
            <v>92400.608553333514</v>
          </cell>
          <cell r="AZ598">
            <v>-55377.721446666503</v>
          </cell>
          <cell r="BA598">
            <v>21111.190000000002</v>
          </cell>
          <cell r="BB598">
            <v>0.11773461477687827</v>
          </cell>
          <cell r="BC598">
            <v>0</v>
          </cell>
          <cell r="BD598" t="e">
            <v>#DIV/0!</v>
          </cell>
          <cell r="BE598">
            <v>168889.52000000002</v>
          </cell>
          <cell r="BF598">
            <v>92400.608553333514</v>
          </cell>
          <cell r="BG598">
            <v>-76488.911446666505</v>
          </cell>
          <cell r="BH598">
            <v>21111.190000000002</v>
          </cell>
          <cell r="BI598">
            <v>0.11773461477687827</v>
          </cell>
          <cell r="BJ598">
            <v>0</v>
          </cell>
          <cell r="BK598" t="e">
            <v>#DIV/0!</v>
          </cell>
          <cell r="BL598">
            <v>190000.71000000002</v>
          </cell>
          <cell r="BM598">
            <v>92400.608553333514</v>
          </cell>
          <cell r="BN598">
            <v>-97600.101446666507</v>
          </cell>
          <cell r="BO598">
            <v>21111.190000000002</v>
          </cell>
          <cell r="BP598">
            <v>0.11773461477687827</v>
          </cell>
          <cell r="BQ598">
            <v>0</v>
          </cell>
          <cell r="BR598" t="e">
            <v>#DIV/0!</v>
          </cell>
          <cell r="BS598">
            <v>211111.90000000002</v>
          </cell>
          <cell r="BT598">
            <v>92400.608553333514</v>
          </cell>
          <cell r="BU598">
            <v>-118711.29144666651</v>
          </cell>
          <cell r="BV598">
            <v>21111.190000000002</v>
          </cell>
          <cell r="BW598">
            <v>0.11773461477687827</v>
          </cell>
          <cell r="BX598">
            <v>0</v>
          </cell>
          <cell r="BY598" t="e">
            <v>#DIV/0!</v>
          </cell>
          <cell r="BZ598">
            <v>232223.09000000003</v>
          </cell>
          <cell r="CA598">
            <v>92400.608553333514</v>
          </cell>
          <cell r="CB598">
            <v>-139822.48144666653</v>
          </cell>
          <cell r="CC598">
            <v>21111.190000000002</v>
          </cell>
          <cell r="CD598">
            <v>0.11773461477687827</v>
          </cell>
          <cell r="CE598">
            <v>0</v>
          </cell>
          <cell r="CF598" t="e">
            <v>#DIV/0!</v>
          </cell>
          <cell r="CG598">
            <v>253334.28000000003</v>
          </cell>
          <cell r="CH598">
            <v>92400.608553333514</v>
          </cell>
        </row>
        <row r="599">
          <cell r="A599" t="str">
            <v>Pesquisas/Consultas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 t="e">
            <v>#DIV/0!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 t="e">
            <v>#DIV/0!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 t="e">
            <v>#DIV/0!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 t="e">
            <v>#DIV/0!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 t="e">
            <v>#DIV/0!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 t="e">
            <v>#DIV/0!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 t="e">
            <v>#DIV/0!</v>
          </cell>
          <cell r="CG599">
            <v>0</v>
          </cell>
          <cell r="CH599">
            <v>0</v>
          </cell>
        </row>
        <row r="600">
          <cell r="A600" t="str">
            <v>Sistemas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 t="e">
            <v>#DIV/0!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 t="e">
            <v>#DIV/0!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 t="e">
            <v>#DIV/0!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 t="e">
            <v>#DIV/0!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 t="e">
            <v>#DIV/0!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 t="e">
            <v>#DIV/0!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 t="e">
            <v>#DIV/0!</v>
          </cell>
          <cell r="CG600">
            <v>0</v>
          </cell>
          <cell r="CH600">
            <v>0</v>
          </cell>
        </row>
        <row r="601">
          <cell r="A601" t="str">
            <v>Indenização por Ruptura de Contrato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7098.36</v>
          </cell>
          <cell r="U601">
            <v>1.0316664613418312E-2</v>
          </cell>
          <cell r="V601">
            <v>0</v>
          </cell>
          <cell r="W601">
            <v>7098.36</v>
          </cell>
          <cell r="X601">
            <v>7098.36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7098.36</v>
          </cell>
          <cell r="AE601">
            <v>7098.36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7098.36</v>
          </cell>
          <cell r="AL601">
            <v>7098.36</v>
          </cell>
          <cell r="AM601">
            <v>0</v>
          </cell>
          <cell r="AN601">
            <v>0</v>
          </cell>
          <cell r="AO601">
            <v>0</v>
          </cell>
          <cell r="AP601" t="e">
            <v>#DIV/0!</v>
          </cell>
          <cell r="AQ601">
            <v>0</v>
          </cell>
          <cell r="AR601">
            <v>7098.36</v>
          </cell>
          <cell r="AS601">
            <v>7098.36</v>
          </cell>
          <cell r="AT601">
            <v>0</v>
          </cell>
          <cell r="AU601">
            <v>0</v>
          </cell>
          <cell r="AV601">
            <v>0</v>
          </cell>
          <cell r="AW601" t="e">
            <v>#DIV/0!</v>
          </cell>
          <cell r="AX601">
            <v>0</v>
          </cell>
          <cell r="AY601">
            <v>7098.36</v>
          </cell>
          <cell r="AZ601">
            <v>7098.36</v>
          </cell>
          <cell r="BA601">
            <v>0</v>
          </cell>
          <cell r="BB601">
            <v>0</v>
          </cell>
          <cell r="BC601">
            <v>0</v>
          </cell>
          <cell r="BD601" t="e">
            <v>#DIV/0!</v>
          </cell>
          <cell r="BE601">
            <v>0</v>
          </cell>
          <cell r="BF601">
            <v>7098.36</v>
          </cell>
          <cell r="BG601">
            <v>7098.36</v>
          </cell>
          <cell r="BH601">
            <v>0</v>
          </cell>
          <cell r="BI601">
            <v>0</v>
          </cell>
          <cell r="BJ601">
            <v>0</v>
          </cell>
          <cell r="BK601" t="e">
            <v>#DIV/0!</v>
          </cell>
          <cell r="BL601">
            <v>0</v>
          </cell>
          <cell r="BM601">
            <v>7098.36</v>
          </cell>
          <cell r="BN601">
            <v>7098.36</v>
          </cell>
          <cell r="BO601">
            <v>0</v>
          </cell>
          <cell r="BP601">
            <v>0</v>
          </cell>
          <cell r="BQ601">
            <v>0</v>
          </cell>
          <cell r="BR601" t="e">
            <v>#DIV/0!</v>
          </cell>
          <cell r="BS601">
            <v>0</v>
          </cell>
          <cell r="BT601">
            <v>7098.36</v>
          </cell>
          <cell r="BU601">
            <v>7098.36</v>
          </cell>
          <cell r="BV601">
            <v>0</v>
          </cell>
          <cell r="BW601">
            <v>0</v>
          </cell>
          <cell r="BX601">
            <v>0</v>
          </cell>
          <cell r="BY601" t="e">
            <v>#DIV/0!</v>
          </cell>
          <cell r="BZ601">
            <v>0</v>
          </cell>
          <cell r="CA601">
            <v>7098.36</v>
          </cell>
          <cell r="CB601">
            <v>7098.36</v>
          </cell>
          <cell r="CC601">
            <v>0</v>
          </cell>
          <cell r="CD601">
            <v>0</v>
          </cell>
          <cell r="CE601">
            <v>0</v>
          </cell>
          <cell r="CF601" t="e">
            <v>#DIV/0!</v>
          </cell>
          <cell r="CG601">
            <v>0</v>
          </cell>
          <cell r="CH601">
            <v>7098.36</v>
          </cell>
        </row>
        <row r="602">
          <cell r="A602" t="str">
            <v>Vale Alimentação / Refeição</v>
          </cell>
          <cell r="B602">
            <v>0</v>
          </cell>
          <cell r="C602">
            <v>0</v>
          </cell>
          <cell r="D602">
            <v>78.4317525773196</v>
          </cell>
          <cell r="E602">
            <v>4.3740462645479252E-4</v>
          </cell>
          <cell r="F602">
            <v>43.991142857142897</v>
          </cell>
          <cell r="G602">
            <v>2.5739963990230243E-4</v>
          </cell>
          <cell r="H602">
            <v>78.4317525773196</v>
          </cell>
          <cell r="I602">
            <v>43.991142857142897</v>
          </cell>
          <cell r="J602">
            <v>-34.440609720176703</v>
          </cell>
          <cell r="K602">
            <v>78.4317525773196</v>
          </cell>
          <cell r="L602">
            <v>4.3740462645479252E-4</v>
          </cell>
          <cell r="M602">
            <v>86.461301775147902</v>
          </cell>
          <cell r="N602">
            <v>3.6358831696866232E-3</v>
          </cell>
          <cell r="O602">
            <v>156.8635051546392</v>
          </cell>
          <cell r="P602">
            <v>130.45244463229079</v>
          </cell>
          <cell r="Q602">
            <v>-26.411060522348407</v>
          </cell>
          <cell r="R602">
            <v>78.4317525773196</v>
          </cell>
          <cell r="S602">
            <v>4.3740462645479252E-4</v>
          </cell>
          <cell r="T602">
            <v>0</v>
          </cell>
          <cell r="U602">
            <v>0</v>
          </cell>
          <cell r="V602">
            <v>235.2952577319588</v>
          </cell>
          <cell r="W602">
            <v>130.45244463229079</v>
          </cell>
          <cell r="X602">
            <v>-104.84281309966801</v>
          </cell>
          <cell r="Y602">
            <v>78.4317525773196</v>
          </cell>
          <cell r="Z602">
            <v>4.3740462645479252E-4</v>
          </cell>
          <cell r="AA602">
            <v>0</v>
          </cell>
          <cell r="AB602">
            <v>0</v>
          </cell>
          <cell r="AC602">
            <v>313.7270103092784</v>
          </cell>
          <cell r="AD602">
            <v>130.45244463229079</v>
          </cell>
          <cell r="AE602">
            <v>-183.27456567698761</v>
          </cell>
          <cell r="AF602">
            <v>78.4317525773196</v>
          </cell>
          <cell r="AG602">
            <v>4.3740462645479252E-4</v>
          </cell>
          <cell r="AH602">
            <v>0</v>
          </cell>
          <cell r="AI602">
            <v>0</v>
          </cell>
          <cell r="AJ602">
            <v>392.15876288659797</v>
          </cell>
          <cell r="AK602">
            <v>130.45244463229079</v>
          </cell>
          <cell r="AL602">
            <v>-261.70631825430718</v>
          </cell>
          <cell r="AM602">
            <v>78.4317525773196</v>
          </cell>
          <cell r="AN602">
            <v>4.3740462645479252E-4</v>
          </cell>
          <cell r="AO602">
            <v>0</v>
          </cell>
          <cell r="AP602" t="e">
            <v>#DIV/0!</v>
          </cell>
          <cell r="AQ602">
            <v>470.59051546391754</v>
          </cell>
          <cell r="AR602">
            <v>130.45244463229079</v>
          </cell>
          <cell r="AS602">
            <v>-340.13807083162675</v>
          </cell>
          <cell r="AT602">
            <v>78.4317525773196</v>
          </cell>
          <cell r="AU602">
            <v>4.3740462645479252E-4</v>
          </cell>
          <cell r="AV602">
            <v>0</v>
          </cell>
          <cell r="AW602" t="e">
            <v>#DIV/0!</v>
          </cell>
          <cell r="AX602">
            <v>549.02226804123711</v>
          </cell>
          <cell r="AY602">
            <v>130.45244463229079</v>
          </cell>
          <cell r="AZ602">
            <v>-418.56982340894632</v>
          </cell>
          <cell r="BA602">
            <v>78.4317525773196</v>
          </cell>
          <cell r="BB602">
            <v>4.3740462645479252E-4</v>
          </cell>
          <cell r="BC602">
            <v>0</v>
          </cell>
          <cell r="BD602" t="e">
            <v>#DIV/0!</v>
          </cell>
          <cell r="BE602">
            <v>627.45402061855668</v>
          </cell>
          <cell r="BF602">
            <v>130.45244463229079</v>
          </cell>
          <cell r="BG602">
            <v>-497.00157598626589</v>
          </cell>
          <cell r="BH602">
            <v>78.4317525773196</v>
          </cell>
          <cell r="BI602">
            <v>4.3740462645479252E-4</v>
          </cell>
          <cell r="BJ602">
            <v>0</v>
          </cell>
          <cell r="BK602" t="e">
            <v>#DIV/0!</v>
          </cell>
          <cell r="BL602">
            <v>705.88577319587625</v>
          </cell>
          <cell r="BM602">
            <v>130.45244463229079</v>
          </cell>
          <cell r="BN602">
            <v>-575.43332856358552</v>
          </cell>
          <cell r="BO602">
            <v>78.4317525773196</v>
          </cell>
          <cell r="BP602">
            <v>4.3740462645479252E-4</v>
          </cell>
          <cell r="BQ602">
            <v>0</v>
          </cell>
          <cell r="BR602" t="e">
            <v>#DIV/0!</v>
          </cell>
          <cell r="BS602">
            <v>784.31752577319583</v>
          </cell>
          <cell r="BT602">
            <v>130.45244463229079</v>
          </cell>
          <cell r="BU602">
            <v>-653.86508114090498</v>
          </cell>
          <cell r="BV602">
            <v>78.4317525773196</v>
          </cell>
          <cell r="BW602">
            <v>4.3740462645479252E-4</v>
          </cell>
          <cell r="BX602">
            <v>0</v>
          </cell>
          <cell r="BY602" t="e">
            <v>#DIV/0!</v>
          </cell>
          <cell r="BZ602">
            <v>862.7492783505154</v>
          </cell>
          <cell r="CA602">
            <v>130.45244463229079</v>
          </cell>
          <cell r="CB602">
            <v>-732.29683371822466</v>
          </cell>
          <cell r="CC602">
            <v>78.4317525773196</v>
          </cell>
          <cell r="CD602">
            <v>4.3740462645479252E-4</v>
          </cell>
          <cell r="CE602">
            <v>0</v>
          </cell>
          <cell r="CF602" t="e">
            <v>#DIV/0!</v>
          </cell>
          <cell r="CG602">
            <v>941.18103092783497</v>
          </cell>
          <cell r="CH602">
            <v>130.45244463229079</v>
          </cell>
        </row>
        <row r="603">
          <cell r="A603" t="str">
            <v>Vale Transporte</v>
          </cell>
          <cell r="B603">
            <v>0</v>
          </cell>
          <cell r="C603">
            <v>0</v>
          </cell>
          <cell r="D603">
            <v>23.505154639175299</v>
          </cell>
          <cell r="E603">
            <v>1.3108547299864464E-4</v>
          </cell>
          <cell r="F603">
            <v>12.8571425142857</v>
          </cell>
          <cell r="G603">
            <v>7.5229322050049152E-5</v>
          </cell>
          <cell r="H603">
            <v>23.505154639175299</v>
          </cell>
          <cell r="I603">
            <v>12.8571425142857</v>
          </cell>
          <cell r="J603">
            <v>-10.648012124889599</v>
          </cell>
          <cell r="K603">
            <v>23.505154639175299</v>
          </cell>
          <cell r="L603">
            <v>1.3108547299864464E-4</v>
          </cell>
          <cell r="M603">
            <v>57.277990520710098</v>
          </cell>
          <cell r="N603">
            <v>2.4086623431753616E-3</v>
          </cell>
          <cell r="O603">
            <v>47.010309278350597</v>
          </cell>
          <cell r="P603">
            <v>70.135133034995803</v>
          </cell>
          <cell r="Q603">
            <v>23.124823756645206</v>
          </cell>
          <cell r="R603">
            <v>23.505154639175299</v>
          </cell>
          <cell r="S603">
            <v>1.3108547299864464E-4</v>
          </cell>
          <cell r="T603">
            <v>0</v>
          </cell>
          <cell r="U603">
            <v>0</v>
          </cell>
          <cell r="V603">
            <v>70.515463917525892</v>
          </cell>
          <cell r="W603">
            <v>70.135133034995803</v>
          </cell>
          <cell r="X603">
            <v>-0.38033088253008884</v>
          </cell>
          <cell r="Y603">
            <v>23.505154639175299</v>
          </cell>
          <cell r="Z603">
            <v>1.3108547299864464E-4</v>
          </cell>
          <cell r="AA603">
            <v>0</v>
          </cell>
          <cell r="AB603">
            <v>0</v>
          </cell>
          <cell r="AC603">
            <v>94.020618556701194</v>
          </cell>
          <cell r="AD603">
            <v>70.135133034995803</v>
          </cell>
          <cell r="AE603">
            <v>-23.885485521705391</v>
          </cell>
          <cell r="AF603">
            <v>23.505154639175299</v>
          </cell>
          <cell r="AG603">
            <v>1.3108547299864464E-4</v>
          </cell>
          <cell r="AH603">
            <v>0</v>
          </cell>
          <cell r="AI603">
            <v>0</v>
          </cell>
          <cell r="AJ603">
            <v>117.5257731958765</v>
          </cell>
          <cell r="AK603">
            <v>70.135133034995803</v>
          </cell>
          <cell r="AL603">
            <v>-47.390640160880693</v>
          </cell>
          <cell r="AM603">
            <v>23.505154639175299</v>
          </cell>
          <cell r="AN603">
            <v>1.3108547299864464E-4</v>
          </cell>
          <cell r="AO603">
            <v>0</v>
          </cell>
          <cell r="AP603" t="e">
            <v>#DIV/0!</v>
          </cell>
          <cell r="AQ603">
            <v>141.03092783505178</v>
          </cell>
          <cell r="AR603">
            <v>70.135133034995803</v>
          </cell>
          <cell r="AS603">
            <v>-70.895794800055981</v>
          </cell>
          <cell r="AT603">
            <v>23.505154639175299</v>
          </cell>
          <cell r="AU603">
            <v>1.3108547299864464E-4</v>
          </cell>
          <cell r="AV603">
            <v>0</v>
          </cell>
          <cell r="AW603" t="e">
            <v>#DIV/0!</v>
          </cell>
          <cell r="AX603">
            <v>164.53608247422707</v>
          </cell>
          <cell r="AY603">
            <v>70.135133034995803</v>
          </cell>
          <cell r="AZ603">
            <v>-94.400949439231269</v>
          </cell>
          <cell r="BA603">
            <v>23.505154639175299</v>
          </cell>
          <cell r="BB603">
            <v>1.3108547299864464E-4</v>
          </cell>
          <cell r="BC603">
            <v>0</v>
          </cell>
          <cell r="BD603" t="e">
            <v>#DIV/0!</v>
          </cell>
          <cell r="BE603">
            <v>188.04123711340236</v>
          </cell>
          <cell r="BF603">
            <v>70.135133034995803</v>
          </cell>
          <cell r="BG603">
            <v>-117.90610407840656</v>
          </cell>
          <cell r="BH603">
            <v>23.505154639175299</v>
          </cell>
          <cell r="BI603">
            <v>1.3108547299864464E-4</v>
          </cell>
          <cell r="BJ603">
            <v>0</v>
          </cell>
          <cell r="BK603" t="e">
            <v>#DIV/0!</v>
          </cell>
          <cell r="BL603">
            <v>211.54639175257765</v>
          </cell>
          <cell r="BM603">
            <v>70.135133034995803</v>
          </cell>
          <cell r="BN603">
            <v>-141.41125871758186</v>
          </cell>
          <cell r="BO603">
            <v>23.505154639175299</v>
          </cell>
          <cell r="BP603">
            <v>1.3108547299864464E-4</v>
          </cell>
          <cell r="BQ603">
            <v>0</v>
          </cell>
          <cell r="BR603" t="e">
            <v>#DIV/0!</v>
          </cell>
          <cell r="BS603">
            <v>235.05154639175294</v>
          </cell>
          <cell r="BT603">
            <v>70.135133034995803</v>
          </cell>
          <cell r="BU603">
            <v>-164.91641335675712</v>
          </cell>
          <cell r="BV603">
            <v>23.505154639175299</v>
          </cell>
          <cell r="BW603">
            <v>1.3108547299864464E-4</v>
          </cell>
          <cell r="BX603">
            <v>0</v>
          </cell>
          <cell r="BY603" t="e">
            <v>#DIV/0!</v>
          </cell>
          <cell r="BZ603">
            <v>258.55670103092825</v>
          </cell>
          <cell r="CA603">
            <v>70.135133034995803</v>
          </cell>
          <cell r="CB603">
            <v>-188.42156799593243</v>
          </cell>
          <cell r="CC603">
            <v>23.505154639175299</v>
          </cell>
          <cell r="CD603">
            <v>1.3108547299864464E-4</v>
          </cell>
          <cell r="CE603">
            <v>0</v>
          </cell>
          <cell r="CF603" t="e">
            <v>#DIV/0!</v>
          </cell>
          <cell r="CG603">
            <v>282.06185567010357</v>
          </cell>
          <cell r="CH603">
            <v>70.135133034995803</v>
          </cell>
        </row>
        <row r="604">
          <cell r="A604" t="str">
            <v>Viagens - Alimentação / Hospedagem</v>
          </cell>
          <cell r="B604">
            <v>0</v>
          </cell>
          <cell r="C604">
            <v>0</v>
          </cell>
          <cell r="D604">
            <v>2840.43</v>
          </cell>
          <cell r="E604">
            <v>1.5840742840677775E-2</v>
          </cell>
          <cell r="F604">
            <v>0</v>
          </cell>
          <cell r="G604">
            <v>0</v>
          </cell>
          <cell r="H604">
            <v>2840.43</v>
          </cell>
          <cell r="I604">
            <v>0</v>
          </cell>
          <cell r="J604">
            <v>-2840.43</v>
          </cell>
          <cell r="K604">
            <v>2840.43</v>
          </cell>
          <cell r="L604">
            <v>1.5840742840677775E-2</v>
          </cell>
          <cell r="M604">
            <v>0</v>
          </cell>
          <cell r="N604">
            <v>0</v>
          </cell>
          <cell r="O604">
            <v>5680.86</v>
          </cell>
          <cell r="P604">
            <v>0</v>
          </cell>
          <cell r="Q604">
            <v>-5680.86</v>
          </cell>
          <cell r="R604">
            <v>2840.43</v>
          </cell>
          <cell r="S604">
            <v>1.5840742840677775E-2</v>
          </cell>
          <cell r="T604">
            <v>0</v>
          </cell>
          <cell r="U604">
            <v>0</v>
          </cell>
          <cell r="V604">
            <v>8521.2899999999991</v>
          </cell>
          <cell r="W604">
            <v>0</v>
          </cell>
          <cell r="X604">
            <v>-8521.2899999999991</v>
          </cell>
          <cell r="Y604">
            <v>2840.43</v>
          </cell>
          <cell r="Z604">
            <v>1.5840742840677775E-2</v>
          </cell>
          <cell r="AA604">
            <v>0</v>
          </cell>
          <cell r="AB604">
            <v>0</v>
          </cell>
          <cell r="AC604">
            <v>11361.72</v>
          </cell>
          <cell r="AD604">
            <v>0</v>
          </cell>
          <cell r="AE604">
            <v>-11361.72</v>
          </cell>
          <cell r="AF604">
            <v>2840.43</v>
          </cell>
          <cell r="AG604">
            <v>1.5840742840677775E-2</v>
          </cell>
          <cell r="AH604">
            <v>0</v>
          </cell>
          <cell r="AI604">
            <v>0</v>
          </cell>
          <cell r="AJ604">
            <v>14202.15</v>
          </cell>
          <cell r="AK604">
            <v>0</v>
          </cell>
          <cell r="AL604">
            <v>-14202.15</v>
          </cell>
          <cell r="AM604">
            <v>2840.43</v>
          </cell>
          <cell r="AN604">
            <v>1.5840742840677775E-2</v>
          </cell>
          <cell r="AO604">
            <v>0</v>
          </cell>
          <cell r="AP604" t="e">
            <v>#DIV/0!</v>
          </cell>
          <cell r="AQ604">
            <v>17042.579999999998</v>
          </cell>
          <cell r="AR604">
            <v>0</v>
          </cell>
          <cell r="AS604">
            <v>-17042.579999999998</v>
          </cell>
          <cell r="AT604">
            <v>2840.43</v>
          </cell>
          <cell r="AU604">
            <v>1.5840742840677775E-2</v>
          </cell>
          <cell r="AV604">
            <v>0</v>
          </cell>
          <cell r="AW604" t="e">
            <v>#DIV/0!</v>
          </cell>
          <cell r="AX604">
            <v>19883.009999999998</v>
          </cell>
          <cell r="AY604">
            <v>0</v>
          </cell>
          <cell r="AZ604">
            <v>-19883.009999999998</v>
          </cell>
          <cell r="BA604">
            <v>2840.43</v>
          </cell>
          <cell r="BB604">
            <v>1.5840742840677775E-2</v>
          </cell>
          <cell r="BC604">
            <v>0</v>
          </cell>
          <cell r="BD604" t="e">
            <v>#DIV/0!</v>
          </cell>
          <cell r="BE604">
            <v>22723.439999999999</v>
          </cell>
          <cell r="BF604">
            <v>0</v>
          </cell>
          <cell r="BG604">
            <v>-22723.439999999999</v>
          </cell>
          <cell r="BH604">
            <v>2840.43</v>
          </cell>
          <cell r="BI604">
            <v>1.5840742840677775E-2</v>
          </cell>
          <cell r="BJ604">
            <v>0</v>
          </cell>
          <cell r="BK604" t="e">
            <v>#DIV/0!</v>
          </cell>
          <cell r="BL604">
            <v>25563.87</v>
          </cell>
          <cell r="BM604">
            <v>0</v>
          </cell>
          <cell r="BN604">
            <v>-25563.87</v>
          </cell>
          <cell r="BO604">
            <v>2840.43</v>
          </cell>
          <cell r="BP604">
            <v>1.5840742840677775E-2</v>
          </cell>
          <cell r="BQ604">
            <v>0</v>
          </cell>
          <cell r="BR604" t="e">
            <v>#DIV/0!</v>
          </cell>
          <cell r="BS604">
            <v>28404.3</v>
          </cell>
          <cell r="BT604">
            <v>0</v>
          </cell>
          <cell r="BU604">
            <v>-28404.3</v>
          </cell>
          <cell r="BV604">
            <v>2840.43</v>
          </cell>
          <cell r="BW604">
            <v>1.5840742840677775E-2</v>
          </cell>
          <cell r="BX604">
            <v>0</v>
          </cell>
          <cell r="BY604" t="e">
            <v>#DIV/0!</v>
          </cell>
          <cell r="BZ604">
            <v>31244.73</v>
          </cell>
          <cell r="CA604">
            <v>0</v>
          </cell>
          <cell r="CB604">
            <v>-31244.73</v>
          </cell>
          <cell r="CC604">
            <v>2840.43</v>
          </cell>
          <cell r="CD604">
            <v>1.5840742840677775E-2</v>
          </cell>
          <cell r="CE604">
            <v>0</v>
          </cell>
          <cell r="CF604" t="e">
            <v>#DIV/0!</v>
          </cell>
          <cell r="CG604">
            <v>34085.159999999996</v>
          </cell>
          <cell r="CH604">
            <v>0</v>
          </cell>
        </row>
        <row r="605">
          <cell r="A605" t="str">
            <v>Viagens - Passagens / Traslados</v>
          </cell>
          <cell r="B605">
            <v>3.27222278896025E-3</v>
          </cell>
          <cell r="C605">
            <v>1279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 t="e">
            <v>#DIV/0!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 t="e">
            <v>#DIV/0!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 t="e">
            <v>#DIV/0!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  <cell r="BK605" t="e">
            <v>#DIV/0!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 t="e">
            <v>#DIV/0!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 t="e">
            <v>#DIV/0!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 t="e">
            <v>#DIV/0!</v>
          </cell>
          <cell r="CG605">
            <v>0</v>
          </cell>
          <cell r="CH605">
            <v>0</v>
          </cell>
        </row>
      </sheetData>
      <sheetData sheetId="20">
        <row r="12">
          <cell r="A12" t="str">
            <v>13º (+ Encargos)</v>
          </cell>
          <cell r="B12">
            <v>1.2263754823013577E-3</v>
          </cell>
          <cell r="C12">
            <v>437.5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4093.74</v>
          </cell>
          <cell r="BW12">
            <v>1.5281535567102669E-2</v>
          </cell>
          <cell r="BX12">
            <v>0</v>
          </cell>
          <cell r="BY12" t="e">
            <v>#DIV/0!</v>
          </cell>
          <cell r="BZ12">
            <v>4093.74</v>
          </cell>
          <cell r="CA12">
            <v>0</v>
          </cell>
          <cell r="CB12">
            <v>-4093.74</v>
          </cell>
          <cell r="CC12">
            <v>4093.74</v>
          </cell>
          <cell r="CD12">
            <v>1.5281535567102669E-2</v>
          </cell>
          <cell r="CE12">
            <v>0</v>
          </cell>
          <cell r="CF12" t="e">
            <v>#DIV/0!</v>
          </cell>
          <cell r="CG12">
            <v>8187.48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5.642599925198671E-3</v>
          </cell>
          <cell r="C14">
            <v>2012.9540282735359</v>
          </cell>
          <cell r="D14">
            <v>2089.3904425873611</v>
          </cell>
          <cell r="E14">
            <v>6.7775737725034417E-3</v>
          </cell>
          <cell r="F14">
            <v>1986.5048320000001</v>
          </cell>
          <cell r="G14">
            <v>6.4438329830024659E-3</v>
          </cell>
          <cell r="H14">
            <v>2089.3904425873611</v>
          </cell>
          <cell r="I14">
            <v>1986.5048320000001</v>
          </cell>
          <cell r="J14">
            <v>-102.88561058736104</v>
          </cell>
          <cell r="K14">
            <v>2089.3904425873611</v>
          </cell>
          <cell r="L14">
            <v>6.8062754661129751E-3</v>
          </cell>
          <cell r="M14">
            <v>2011.110997</v>
          </cell>
          <cell r="N14">
            <v>6.5236505676657588E-3</v>
          </cell>
          <cell r="O14">
            <v>4178.7808851747222</v>
          </cell>
          <cell r="P14">
            <v>3997.6158290000003</v>
          </cell>
          <cell r="Q14">
            <v>-181.16505617472194</v>
          </cell>
          <cell r="R14">
            <v>2089.3904425873611</v>
          </cell>
          <cell r="S14">
            <v>7.79949248412531E-3</v>
          </cell>
          <cell r="T14">
            <v>1971.0943159999999</v>
          </cell>
          <cell r="U14">
            <v>6.397995053232926E-3</v>
          </cell>
          <cell r="V14">
            <v>6268.1713277620838</v>
          </cell>
          <cell r="W14">
            <v>5968.710145</v>
          </cell>
          <cell r="X14">
            <v>-299.46118276208381</v>
          </cell>
          <cell r="Y14">
            <v>2089.3904425873611</v>
          </cell>
          <cell r="Z14">
            <v>7.79949248412531E-3</v>
          </cell>
          <cell r="AA14">
            <v>0</v>
          </cell>
          <cell r="AB14" t="e">
            <v>#DIV/0!</v>
          </cell>
          <cell r="AC14">
            <v>8357.5617703494445</v>
          </cell>
          <cell r="AD14">
            <v>5968.710145</v>
          </cell>
          <cell r="AE14">
            <v>-2388.8516253494445</v>
          </cell>
          <cell r="AF14">
            <v>2089.3904425873611</v>
          </cell>
          <cell r="AG14">
            <v>7.79949248412531E-3</v>
          </cell>
          <cell r="AH14">
            <v>0</v>
          </cell>
          <cell r="AI14" t="e">
            <v>#DIV/0!</v>
          </cell>
          <cell r="AJ14">
            <v>10446.952212936805</v>
          </cell>
          <cell r="AK14">
            <v>5968.710145</v>
          </cell>
          <cell r="AL14">
            <v>-4478.2420679368051</v>
          </cell>
          <cell r="AM14">
            <v>2089.3904425873611</v>
          </cell>
          <cell r="AN14">
            <v>7.79949248412531E-3</v>
          </cell>
          <cell r="AO14">
            <v>0</v>
          </cell>
          <cell r="AP14" t="e">
            <v>#DIV/0!</v>
          </cell>
          <cell r="AQ14">
            <v>12536.342655524166</v>
          </cell>
          <cell r="AR14">
            <v>5968.710145</v>
          </cell>
          <cell r="AS14">
            <v>-6567.6325105241658</v>
          </cell>
          <cell r="AT14">
            <v>2089.3904425873611</v>
          </cell>
          <cell r="AU14">
            <v>7.79949248412531E-3</v>
          </cell>
          <cell r="AV14">
            <v>0</v>
          </cell>
          <cell r="AW14" t="e">
            <v>#DIV/0!</v>
          </cell>
          <cell r="AX14">
            <v>14625.733098111526</v>
          </cell>
          <cell r="AY14">
            <v>5968.710145</v>
          </cell>
          <cell r="AZ14">
            <v>-8657.0229531115256</v>
          </cell>
          <cell r="BA14">
            <v>2089.3904425873611</v>
          </cell>
          <cell r="BB14">
            <v>7.79949248412531E-3</v>
          </cell>
          <cell r="BC14">
            <v>0</v>
          </cell>
          <cell r="BD14" t="e">
            <v>#DIV/0!</v>
          </cell>
          <cell r="BE14">
            <v>16715.123540698889</v>
          </cell>
          <cell r="BF14">
            <v>5968.710145</v>
          </cell>
          <cell r="BG14">
            <v>-10746.413395698888</v>
          </cell>
          <cell r="BH14">
            <v>2089.3904425873611</v>
          </cell>
          <cell r="BI14">
            <v>7.79949248412531E-3</v>
          </cell>
          <cell r="BJ14">
            <v>0</v>
          </cell>
          <cell r="BK14" t="e">
            <v>#DIV/0!</v>
          </cell>
          <cell r="BL14">
            <v>18804.513983286251</v>
          </cell>
          <cell r="BM14">
            <v>5968.710145</v>
          </cell>
          <cell r="BN14">
            <v>-12835.803838286251</v>
          </cell>
          <cell r="BO14">
            <v>2170.358021137703</v>
          </cell>
          <cell r="BP14">
            <v>8.1017366255214975E-3</v>
          </cell>
          <cell r="BQ14">
            <v>0</v>
          </cell>
          <cell r="BR14" t="e">
            <v>#DIV/0!</v>
          </cell>
          <cell r="BS14">
            <v>20974.872004423953</v>
          </cell>
          <cell r="BT14">
            <v>5968.710145</v>
          </cell>
          <cell r="BU14">
            <v>-15006.161859423952</v>
          </cell>
          <cell r="BV14">
            <v>2170.358021137703</v>
          </cell>
          <cell r="BW14">
            <v>8.1017366255214975E-3</v>
          </cell>
          <cell r="BX14">
            <v>0</v>
          </cell>
          <cell r="BY14" t="e">
            <v>#DIV/0!</v>
          </cell>
          <cell r="BZ14">
            <v>23145.230025561657</v>
          </cell>
          <cell r="CA14">
            <v>5968.710145</v>
          </cell>
          <cell r="CB14">
            <v>-17176.519880561656</v>
          </cell>
          <cell r="CC14">
            <v>2170.358021137703</v>
          </cell>
          <cell r="CD14">
            <v>8.1017366255214975E-3</v>
          </cell>
          <cell r="CE14">
            <v>0</v>
          </cell>
          <cell r="CF14" t="e">
            <v>#DIV/0!</v>
          </cell>
          <cell r="CG14">
            <v>25315.588046699362</v>
          </cell>
          <cell r="CH14">
            <v>5968.710145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8.5569439423767036E-3</v>
          </cell>
          <cell r="C16">
            <v>3052.6237916666669</v>
          </cell>
          <cell r="D16">
            <v>2727</v>
          </cell>
          <cell r="E16">
            <v>8.8458544180615023E-3</v>
          </cell>
          <cell r="F16">
            <v>445.67</v>
          </cell>
          <cell r="G16">
            <v>1.4456662774101467E-3</v>
          </cell>
          <cell r="H16">
            <v>2727</v>
          </cell>
          <cell r="I16">
            <v>445.67</v>
          </cell>
          <cell r="J16">
            <v>-2281.33</v>
          </cell>
          <cell r="K16">
            <v>2727</v>
          </cell>
          <cell r="L16">
            <v>8.8833148739331548E-3</v>
          </cell>
          <cell r="M16">
            <v>445.67</v>
          </cell>
          <cell r="N16">
            <v>1.4456662774101467E-3</v>
          </cell>
          <cell r="O16">
            <v>5454</v>
          </cell>
          <cell r="P16">
            <v>891.34</v>
          </cell>
          <cell r="Q16">
            <v>-4562.66</v>
          </cell>
          <cell r="R16">
            <v>2727</v>
          </cell>
          <cell r="S16">
            <v>1.0179627306934242E-2</v>
          </cell>
          <cell r="T16">
            <v>445.67</v>
          </cell>
          <cell r="U16">
            <v>1.4466047779797455E-3</v>
          </cell>
          <cell r="V16">
            <v>8181</v>
          </cell>
          <cell r="W16">
            <v>1337.01</v>
          </cell>
          <cell r="X16">
            <v>-6843.99</v>
          </cell>
          <cell r="Y16">
            <v>2727</v>
          </cell>
          <cell r="Z16">
            <v>1.0179627306934242E-2</v>
          </cell>
          <cell r="AA16">
            <v>0</v>
          </cell>
          <cell r="AB16" t="e">
            <v>#DIV/0!</v>
          </cell>
          <cell r="AC16">
            <v>10908</v>
          </cell>
          <cell r="AD16">
            <v>1337.01</v>
          </cell>
          <cell r="AE16">
            <v>-9570.99</v>
          </cell>
          <cell r="AF16">
            <v>2727</v>
          </cell>
          <cell r="AG16">
            <v>1.0179627306934242E-2</v>
          </cell>
          <cell r="AH16">
            <v>0</v>
          </cell>
          <cell r="AI16" t="e">
            <v>#DIV/0!</v>
          </cell>
          <cell r="AJ16">
            <v>13635</v>
          </cell>
          <cell r="AK16">
            <v>1337.01</v>
          </cell>
          <cell r="AL16">
            <v>-12297.99</v>
          </cell>
          <cell r="AM16">
            <v>2727</v>
          </cell>
          <cell r="AN16">
            <v>1.0179627306934242E-2</v>
          </cell>
          <cell r="AO16">
            <v>0</v>
          </cell>
          <cell r="AP16" t="e">
            <v>#DIV/0!</v>
          </cell>
          <cell r="AQ16">
            <v>16362</v>
          </cell>
          <cell r="AR16">
            <v>1337.01</v>
          </cell>
          <cell r="AS16">
            <v>-15024.99</v>
          </cell>
          <cell r="AT16">
            <v>2727</v>
          </cell>
          <cell r="AU16">
            <v>1.0179627306934242E-2</v>
          </cell>
          <cell r="AV16">
            <v>0</v>
          </cell>
          <cell r="AW16" t="e">
            <v>#DIV/0!</v>
          </cell>
          <cell r="AX16">
            <v>19089</v>
          </cell>
          <cell r="AY16">
            <v>1337.01</v>
          </cell>
          <cell r="AZ16">
            <v>-17751.990000000002</v>
          </cell>
          <cell r="BA16">
            <v>2727</v>
          </cell>
          <cell r="BB16">
            <v>1.0179627306934242E-2</v>
          </cell>
          <cell r="BC16">
            <v>0</v>
          </cell>
          <cell r="BD16" t="e">
            <v>#DIV/0!</v>
          </cell>
          <cell r="BE16">
            <v>21816</v>
          </cell>
          <cell r="BF16">
            <v>1337.01</v>
          </cell>
          <cell r="BG16">
            <v>-20478.990000000002</v>
          </cell>
          <cell r="BH16">
            <v>2727</v>
          </cell>
          <cell r="BI16">
            <v>1.0179627306934242E-2</v>
          </cell>
          <cell r="BJ16">
            <v>0</v>
          </cell>
          <cell r="BK16" t="e">
            <v>#DIV/0!</v>
          </cell>
          <cell r="BL16">
            <v>24543</v>
          </cell>
          <cell r="BM16">
            <v>1337.01</v>
          </cell>
          <cell r="BN16">
            <v>-23205.99</v>
          </cell>
          <cell r="BO16">
            <v>2727</v>
          </cell>
          <cell r="BP16">
            <v>1.0179627306934242E-2</v>
          </cell>
          <cell r="BQ16">
            <v>0</v>
          </cell>
          <cell r="BR16" t="e">
            <v>#DIV/0!</v>
          </cell>
          <cell r="BS16">
            <v>27270</v>
          </cell>
          <cell r="BT16">
            <v>1337.01</v>
          </cell>
          <cell r="BU16">
            <v>-25932.99</v>
          </cell>
          <cell r="BV16">
            <v>2727</v>
          </cell>
          <cell r="BW16">
            <v>1.0179627306934242E-2</v>
          </cell>
          <cell r="BX16">
            <v>0</v>
          </cell>
          <cell r="BY16" t="e">
            <v>#DIV/0!</v>
          </cell>
          <cell r="BZ16">
            <v>29997</v>
          </cell>
          <cell r="CA16">
            <v>1337.01</v>
          </cell>
          <cell r="CB16">
            <v>-28659.99</v>
          </cell>
          <cell r="CC16">
            <v>2727</v>
          </cell>
          <cell r="CD16">
            <v>1.0179627306934242E-2</v>
          </cell>
          <cell r="CE16">
            <v>0</v>
          </cell>
          <cell r="CF16" t="e">
            <v>#DIV/0!</v>
          </cell>
          <cell r="CG16">
            <v>32724</v>
          </cell>
          <cell r="CH16">
            <v>1337.01</v>
          </cell>
        </row>
        <row r="17">
          <cell r="A17" t="str">
            <v>Back Office / Encerramento</v>
          </cell>
          <cell r="B17">
            <v>5.5002406379625474E-3</v>
          </cell>
          <cell r="C17">
            <v>1962.1684499048879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6.7292921649426529E-3</v>
          </cell>
          <cell r="C19">
            <v>2400.6231082161867</v>
          </cell>
          <cell r="D19">
            <v>2500</v>
          </cell>
          <cell r="E19">
            <v>8.1095108343064749E-3</v>
          </cell>
          <cell r="F19">
            <v>3150.2761037697501</v>
          </cell>
          <cell r="G19">
            <v>1.0218879277831031E-2</v>
          </cell>
          <cell r="H19">
            <v>2500</v>
          </cell>
          <cell r="I19">
            <v>3150.2761037697501</v>
          </cell>
          <cell r="J19">
            <v>650.27610376975008</v>
          </cell>
          <cell r="K19">
            <v>2500</v>
          </cell>
          <cell r="L19">
            <v>8.1438530197406999E-3</v>
          </cell>
          <cell r="M19">
            <v>2935.3508236089447</v>
          </cell>
          <cell r="N19">
            <v>9.5217037226188687E-3</v>
          </cell>
          <cell r="O19">
            <v>5000</v>
          </cell>
          <cell r="P19">
            <v>6085.6269273786947</v>
          </cell>
          <cell r="Q19">
            <v>1085.6269273786947</v>
          </cell>
          <cell r="R19">
            <v>2500</v>
          </cell>
          <cell r="S19">
            <v>9.3322582571821067E-3</v>
          </cell>
          <cell r="T19">
            <v>3526.8304128359091</v>
          </cell>
          <cell r="U19">
            <v>1.144777464566317E-2</v>
          </cell>
          <cell r="V19">
            <v>7500</v>
          </cell>
          <cell r="W19">
            <v>9612.4573402146034</v>
          </cell>
          <cell r="X19">
            <v>2112.4573402146034</v>
          </cell>
          <cell r="Y19">
            <v>2500</v>
          </cell>
          <cell r="Z19">
            <v>9.3322582571821067E-3</v>
          </cell>
          <cell r="AA19">
            <v>0</v>
          </cell>
          <cell r="AB19" t="e">
            <v>#DIV/0!</v>
          </cell>
          <cell r="AC19">
            <v>10000</v>
          </cell>
          <cell r="AD19">
            <v>9612.4573402146034</v>
          </cell>
          <cell r="AE19">
            <v>-387.54265978539661</v>
          </cell>
          <cell r="AF19">
            <v>2500</v>
          </cell>
          <cell r="AG19">
            <v>9.3322582571821067E-3</v>
          </cell>
          <cell r="AH19">
            <v>0</v>
          </cell>
          <cell r="AI19" t="e">
            <v>#DIV/0!</v>
          </cell>
          <cell r="AJ19">
            <v>12500</v>
          </cell>
          <cell r="AK19">
            <v>9612.4573402146034</v>
          </cell>
          <cell r="AL19">
            <v>-2887.5426597853966</v>
          </cell>
          <cell r="AM19">
            <v>2500</v>
          </cell>
          <cell r="AN19">
            <v>9.3322582571821067E-3</v>
          </cell>
          <cell r="AO19">
            <v>0</v>
          </cell>
          <cell r="AP19" t="e">
            <v>#DIV/0!</v>
          </cell>
          <cell r="AQ19">
            <v>15000</v>
          </cell>
          <cell r="AR19">
            <v>9612.4573402146034</v>
          </cell>
          <cell r="AS19">
            <v>-5387.5426597853966</v>
          </cell>
          <cell r="AT19">
            <v>2500</v>
          </cell>
          <cell r="AU19">
            <v>9.3322582571821067E-3</v>
          </cell>
          <cell r="AV19">
            <v>0</v>
          </cell>
          <cell r="AW19" t="e">
            <v>#DIV/0!</v>
          </cell>
          <cell r="AX19">
            <v>17500</v>
          </cell>
          <cell r="AY19">
            <v>9612.4573402146034</v>
          </cell>
          <cell r="AZ19">
            <v>6462.1812364448533</v>
          </cell>
          <cell r="BA19">
            <v>2500</v>
          </cell>
          <cell r="BB19">
            <v>9.3322582571821067E-3</v>
          </cell>
          <cell r="BC19">
            <v>0</v>
          </cell>
          <cell r="BD19" t="e">
            <v>#DIV/0!</v>
          </cell>
          <cell r="BE19">
            <v>20000</v>
          </cell>
          <cell r="BF19">
            <v>9612.4573402146034</v>
          </cell>
          <cell r="BG19">
            <v>-10387.542659785397</v>
          </cell>
          <cell r="BH19">
            <v>2500</v>
          </cell>
          <cell r="BI19">
            <v>9.3322582571821067E-3</v>
          </cell>
          <cell r="BJ19">
            <v>0</v>
          </cell>
          <cell r="BK19" t="e">
            <v>#DIV/0!</v>
          </cell>
          <cell r="BL19">
            <v>22500</v>
          </cell>
          <cell r="BM19">
            <v>9612.4573402146034</v>
          </cell>
          <cell r="BN19">
            <v>-12887.542659785397</v>
          </cell>
          <cell r="BO19">
            <v>2500</v>
          </cell>
          <cell r="BP19">
            <v>9.3322582571821067E-3</v>
          </cell>
          <cell r="BQ19">
            <v>0</v>
          </cell>
          <cell r="BR19" t="e">
            <v>#DIV/0!</v>
          </cell>
          <cell r="BS19">
            <v>25000</v>
          </cell>
          <cell r="BT19">
            <v>9612.4573402146034</v>
          </cell>
          <cell r="BU19">
            <v>-15387.542659785397</v>
          </cell>
          <cell r="BV19">
            <v>2500</v>
          </cell>
          <cell r="BW19">
            <v>9.3322582571821067E-3</v>
          </cell>
          <cell r="BX19">
            <v>0</v>
          </cell>
          <cell r="BY19" t="e">
            <v>#DIV/0!</v>
          </cell>
          <cell r="BZ19">
            <v>27500</v>
          </cell>
          <cell r="CA19">
            <v>9612.4573402146034</v>
          </cell>
          <cell r="CB19">
            <v>-17887.542659785395</v>
          </cell>
          <cell r="CC19">
            <v>2500</v>
          </cell>
          <cell r="CD19">
            <v>9.3322582571821067E-3</v>
          </cell>
          <cell r="CE19">
            <v>0</v>
          </cell>
          <cell r="CF19" t="e">
            <v>#DIV/0!</v>
          </cell>
          <cell r="CG19">
            <v>30000</v>
          </cell>
          <cell r="CH19">
            <v>9612.4573402146034</v>
          </cell>
        </row>
        <row r="20">
          <cell r="A20" t="str">
            <v>Cartório</v>
          </cell>
          <cell r="B20">
            <v>5.658613249643913E-5</v>
          </cell>
          <cell r="C20">
            <v>20.186666583333334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2.8024665330890708E-4</v>
          </cell>
          <cell r="C21">
            <v>99.975833333333341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230</v>
          </cell>
          <cell r="N21">
            <v>7.460749967561957E-4</v>
          </cell>
          <cell r="O21">
            <v>0</v>
          </cell>
          <cell r="P21">
            <v>230</v>
          </cell>
          <cell r="Q21">
            <v>230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230</v>
          </cell>
          <cell r="X21">
            <v>230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230</v>
          </cell>
          <cell r="AE21">
            <v>230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230</v>
          </cell>
          <cell r="AL21">
            <v>230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230</v>
          </cell>
          <cell r="AS21">
            <v>230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230</v>
          </cell>
          <cell r="AZ21">
            <v>230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230</v>
          </cell>
          <cell r="BG21">
            <v>230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230</v>
          </cell>
          <cell r="BN21">
            <v>230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230</v>
          </cell>
          <cell r="BU21">
            <v>230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230</v>
          </cell>
          <cell r="CB21">
            <v>230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230</v>
          </cell>
        </row>
        <row r="22">
          <cell r="A22" t="str">
            <v>Penalidades/Irregularidades</v>
          </cell>
          <cell r="B22">
            <v>2.4802965259118539E-3</v>
          </cell>
          <cell r="C22">
            <v>884.82666666666671</v>
          </cell>
          <cell r="D22">
            <v>1100</v>
          </cell>
          <cell r="E22">
            <v>3.5681847670948489E-3</v>
          </cell>
          <cell r="F22">
            <v>0</v>
          </cell>
          <cell r="G22">
            <v>0</v>
          </cell>
          <cell r="H22">
            <v>1100</v>
          </cell>
          <cell r="I22">
            <v>0</v>
          </cell>
          <cell r="J22">
            <v>-1100</v>
          </cell>
          <cell r="K22">
            <v>1100</v>
          </cell>
          <cell r="L22">
            <v>3.5832953286859077E-3</v>
          </cell>
          <cell r="M22">
            <v>1300</v>
          </cell>
          <cell r="N22">
            <v>4.216945633839367E-3</v>
          </cell>
          <cell r="O22">
            <v>2200</v>
          </cell>
          <cell r="P22">
            <v>1300</v>
          </cell>
          <cell r="Q22">
            <v>-900</v>
          </cell>
          <cell r="R22">
            <v>1100</v>
          </cell>
          <cell r="S22">
            <v>4.1061936331601269E-3</v>
          </cell>
          <cell r="T22">
            <v>0</v>
          </cell>
          <cell r="U22">
            <v>0</v>
          </cell>
          <cell r="V22">
            <v>3300</v>
          </cell>
          <cell r="W22">
            <v>1300</v>
          </cell>
          <cell r="X22">
            <v>-2000</v>
          </cell>
          <cell r="Y22">
            <v>1100</v>
          </cell>
          <cell r="Z22">
            <v>4.1061936331601269E-3</v>
          </cell>
          <cell r="AA22">
            <v>0</v>
          </cell>
          <cell r="AB22" t="e">
            <v>#DIV/0!</v>
          </cell>
          <cell r="AC22">
            <v>4400</v>
          </cell>
          <cell r="AD22">
            <v>1300</v>
          </cell>
          <cell r="AE22">
            <v>-3100</v>
          </cell>
          <cell r="AF22">
            <v>1100</v>
          </cell>
          <cell r="AG22">
            <v>4.1061936331601269E-3</v>
          </cell>
          <cell r="AH22">
            <v>0</v>
          </cell>
          <cell r="AI22" t="e">
            <v>#DIV/0!</v>
          </cell>
          <cell r="AJ22">
            <v>5500</v>
          </cell>
          <cell r="AK22">
            <v>1300</v>
          </cell>
          <cell r="AL22">
            <v>-4200</v>
          </cell>
          <cell r="AM22">
            <v>1100</v>
          </cell>
          <cell r="AN22">
            <v>4.1061936331601269E-3</v>
          </cell>
          <cell r="AO22">
            <v>0</v>
          </cell>
          <cell r="AP22" t="e">
            <v>#DIV/0!</v>
          </cell>
          <cell r="AQ22">
            <v>6600</v>
          </cell>
          <cell r="AR22">
            <v>1300</v>
          </cell>
          <cell r="AS22">
            <v>-5300</v>
          </cell>
          <cell r="AT22">
            <v>1100</v>
          </cell>
          <cell r="AU22">
            <v>4.1061936331601269E-3</v>
          </cell>
          <cell r="AV22">
            <v>0</v>
          </cell>
          <cell r="AW22" t="e">
            <v>#DIV/0!</v>
          </cell>
          <cell r="AX22">
            <v>7700</v>
          </cell>
          <cell r="AY22">
            <v>1300</v>
          </cell>
          <cell r="AZ22">
            <v>-6400</v>
          </cell>
          <cell r="BA22">
            <v>1100</v>
          </cell>
          <cell r="BB22">
            <v>4.1061936331601269E-3</v>
          </cell>
          <cell r="BC22">
            <v>0</v>
          </cell>
          <cell r="BD22" t="e">
            <v>#DIV/0!</v>
          </cell>
          <cell r="BE22">
            <v>8800</v>
          </cell>
          <cell r="BF22">
            <v>1300</v>
          </cell>
          <cell r="BG22">
            <v>-7500</v>
          </cell>
          <cell r="BH22">
            <v>1100</v>
          </cell>
          <cell r="BI22">
            <v>4.1061936331601269E-3</v>
          </cell>
          <cell r="BJ22">
            <v>0</v>
          </cell>
          <cell r="BK22" t="e">
            <v>#DIV/0!</v>
          </cell>
          <cell r="BL22">
            <v>9900</v>
          </cell>
          <cell r="BM22">
            <v>1300</v>
          </cell>
          <cell r="BN22">
            <v>-8600</v>
          </cell>
          <cell r="BO22">
            <v>1100</v>
          </cell>
          <cell r="BP22">
            <v>4.1061936331601269E-3</v>
          </cell>
          <cell r="BQ22">
            <v>0</v>
          </cell>
          <cell r="BR22" t="e">
            <v>#DIV/0!</v>
          </cell>
          <cell r="BS22">
            <v>11000</v>
          </cell>
          <cell r="BT22">
            <v>1300</v>
          </cell>
          <cell r="BU22">
            <v>-9700</v>
          </cell>
          <cell r="BV22">
            <v>1100</v>
          </cell>
          <cell r="BW22">
            <v>4.1061936331601269E-3</v>
          </cell>
          <cell r="BX22">
            <v>0</v>
          </cell>
          <cell r="BY22" t="e">
            <v>#DIV/0!</v>
          </cell>
          <cell r="BZ22">
            <v>12100</v>
          </cell>
          <cell r="CA22">
            <v>1300</v>
          </cell>
          <cell r="CB22">
            <v>-10800</v>
          </cell>
          <cell r="CC22">
            <v>1100</v>
          </cell>
          <cell r="CD22">
            <v>4.1061936331601269E-3</v>
          </cell>
          <cell r="CE22">
            <v>0</v>
          </cell>
          <cell r="CF22" t="e">
            <v>#DIV/0!</v>
          </cell>
          <cell r="CG22">
            <v>13200</v>
          </cell>
          <cell r="CH22">
            <v>1300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GNA</v>
          </cell>
          <cell r="B24">
            <v>9.8198092634011625E-3</v>
          </cell>
          <cell r="C24">
            <v>3503.1412603552931</v>
          </cell>
          <cell r="D24">
            <v>3082.8</v>
          </cell>
          <cell r="E24">
            <v>0.01</v>
          </cell>
          <cell r="F24">
            <v>3980.2633735687336</v>
          </cell>
          <cell r="G24">
            <v>1.2911195580539554E-2</v>
          </cell>
          <cell r="H24">
            <v>3082.8</v>
          </cell>
          <cell r="I24">
            <v>3980.2633735687336</v>
          </cell>
          <cell r="J24">
            <v>897.46337356873346</v>
          </cell>
          <cell r="K24">
            <v>3069.8</v>
          </cell>
          <cell r="L24">
            <v>0.01</v>
          </cell>
          <cell r="M24">
            <v>4059.6665714689866</v>
          </cell>
          <cell r="N24">
            <v>1.3168764017999827E-2</v>
          </cell>
          <cell r="O24">
            <v>6152.6</v>
          </cell>
          <cell r="P24">
            <v>8039.9299450377202</v>
          </cell>
          <cell r="Q24">
            <v>1887.3299450377199</v>
          </cell>
          <cell r="R24">
            <v>2678.88</v>
          </cell>
          <cell r="S24">
            <v>0.01</v>
          </cell>
          <cell r="T24">
            <v>3169.1628152537487</v>
          </cell>
          <cell r="U24">
            <v>1.0286817759198093E-2</v>
          </cell>
          <cell r="V24">
            <v>8831.48</v>
          </cell>
          <cell r="W24">
            <v>11209.092760291469</v>
          </cell>
          <cell r="X24">
            <v>2377.6127602914694</v>
          </cell>
          <cell r="Y24">
            <v>2678.88</v>
          </cell>
          <cell r="Z24">
            <v>0.01</v>
          </cell>
          <cell r="AA24">
            <v>0</v>
          </cell>
          <cell r="AB24" t="e">
            <v>#DIV/0!</v>
          </cell>
          <cell r="AC24">
            <v>11510.36</v>
          </cell>
          <cell r="AD24">
            <v>11209.092760291469</v>
          </cell>
          <cell r="AE24">
            <v>-301.26723970853163</v>
          </cell>
          <cell r="AF24">
            <v>2678.88</v>
          </cell>
          <cell r="AG24">
            <v>0.01</v>
          </cell>
          <cell r="AH24">
            <v>0</v>
          </cell>
          <cell r="AI24" t="e">
            <v>#DIV/0!</v>
          </cell>
          <cell r="AJ24">
            <v>14189.240000000002</v>
          </cell>
          <cell r="AK24">
            <v>11209.092760291469</v>
          </cell>
          <cell r="AL24">
            <v>-2980.1472397085327</v>
          </cell>
          <cell r="AM24">
            <v>2678.88</v>
          </cell>
          <cell r="AN24">
            <v>0.01</v>
          </cell>
          <cell r="AO24">
            <v>0</v>
          </cell>
          <cell r="AP24" t="e">
            <v>#DIV/0!</v>
          </cell>
          <cell r="AQ24">
            <v>16868.120000000003</v>
          </cell>
          <cell r="AR24">
            <v>11209.092760291469</v>
          </cell>
          <cell r="AS24">
            <v>-5659.0272397085337</v>
          </cell>
          <cell r="AT24">
            <v>2678.88</v>
          </cell>
          <cell r="AU24">
            <v>0.01</v>
          </cell>
          <cell r="AV24">
            <v>0</v>
          </cell>
          <cell r="AW24" t="e">
            <v>#DIV/0!</v>
          </cell>
          <cell r="AX24">
            <v>19547.000000000004</v>
          </cell>
          <cell r="AY24">
            <v>11209.092760291469</v>
          </cell>
          <cell r="AZ24">
            <v>-8337.9072397085347</v>
          </cell>
          <cell r="BA24">
            <v>2678.88</v>
          </cell>
          <cell r="BB24">
            <v>0.01</v>
          </cell>
          <cell r="BC24">
            <v>0</v>
          </cell>
          <cell r="BD24" t="e">
            <v>#DIV/0!</v>
          </cell>
          <cell r="BE24">
            <v>22225.880000000005</v>
          </cell>
          <cell r="BF24">
            <v>11209.092760291469</v>
          </cell>
          <cell r="BG24">
            <v>-11016.787239708536</v>
          </cell>
          <cell r="BH24">
            <v>2678.88</v>
          </cell>
          <cell r="BI24">
            <v>0.01</v>
          </cell>
          <cell r="BJ24">
            <v>0</v>
          </cell>
          <cell r="BK24" t="e">
            <v>#DIV/0!</v>
          </cell>
          <cell r="BL24">
            <v>24904.760000000006</v>
          </cell>
          <cell r="BM24">
            <v>11209.092760291469</v>
          </cell>
          <cell r="BN24">
            <v>-13695.667239708537</v>
          </cell>
          <cell r="BO24">
            <v>2678.88</v>
          </cell>
          <cell r="BP24">
            <v>0.01</v>
          </cell>
          <cell r="BQ24">
            <v>0</v>
          </cell>
          <cell r="BR24" t="e">
            <v>#DIV/0!</v>
          </cell>
          <cell r="BS24">
            <v>27583.640000000007</v>
          </cell>
          <cell r="BT24">
            <v>11209.092760291469</v>
          </cell>
          <cell r="BU24">
            <v>-16374.547239708538</v>
          </cell>
          <cell r="BV24">
            <v>2678.88</v>
          </cell>
          <cell r="BW24">
            <v>0.01</v>
          </cell>
          <cell r="BX24">
            <v>0</v>
          </cell>
          <cell r="BY24" t="e">
            <v>#DIV/0!</v>
          </cell>
          <cell r="BZ24">
            <v>30262.520000000008</v>
          </cell>
          <cell r="CA24">
            <v>11209.092760291469</v>
          </cell>
          <cell r="CB24">
            <v>-19053.427239708537</v>
          </cell>
          <cell r="CC24">
            <v>2678.88</v>
          </cell>
          <cell r="CD24">
            <v>0.01</v>
          </cell>
          <cell r="CE24">
            <v>0</v>
          </cell>
          <cell r="CF24" t="e">
            <v>#DIV/0!</v>
          </cell>
          <cell r="CG24">
            <v>32941.400000000009</v>
          </cell>
          <cell r="CH24">
            <v>11209.092760291469</v>
          </cell>
        </row>
        <row r="25">
          <cell r="A25" t="str">
            <v>Correios</v>
          </cell>
          <cell r="B25">
            <v>1.363863503240843E-5</v>
          </cell>
          <cell r="C25">
            <v>4.8654779166666664</v>
          </cell>
          <cell r="D25">
            <v>5</v>
          </cell>
          <cell r="E25">
            <v>1.6219021668612951E-5</v>
          </cell>
          <cell r="F25">
            <v>0</v>
          </cell>
          <cell r="G25">
            <v>0</v>
          </cell>
          <cell r="H25">
            <v>5</v>
          </cell>
          <cell r="I25">
            <v>0</v>
          </cell>
          <cell r="J25">
            <v>-5</v>
          </cell>
          <cell r="K25">
            <v>5</v>
          </cell>
          <cell r="L25">
            <v>1.6287706039481398E-5</v>
          </cell>
          <cell r="M25">
            <v>0</v>
          </cell>
          <cell r="N25">
            <v>0</v>
          </cell>
          <cell r="O25">
            <v>10</v>
          </cell>
          <cell r="P25">
            <v>0</v>
          </cell>
          <cell r="Q25">
            <v>-10</v>
          </cell>
          <cell r="R25">
            <v>5</v>
          </cell>
          <cell r="S25">
            <v>1.8664516514364211E-5</v>
          </cell>
          <cell r="T25">
            <v>0</v>
          </cell>
          <cell r="U25">
            <v>0</v>
          </cell>
          <cell r="V25">
            <v>15</v>
          </cell>
          <cell r="W25">
            <v>0</v>
          </cell>
          <cell r="X25">
            <v>-15</v>
          </cell>
          <cell r="Y25">
            <v>5</v>
          </cell>
          <cell r="Z25">
            <v>1.8664516514364211E-5</v>
          </cell>
          <cell r="AA25">
            <v>0</v>
          </cell>
          <cell r="AB25" t="e">
            <v>#DIV/0!</v>
          </cell>
          <cell r="AC25">
            <v>20</v>
          </cell>
          <cell r="AD25">
            <v>0</v>
          </cell>
          <cell r="AE25">
            <v>-20</v>
          </cell>
          <cell r="AF25">
            <v>5</v>
          </cell>
          <cell r="AG25">
            <v>1.8664516514364211E-5</v>
          </cell>
          <cell r="AH25">
            <v>0</v>
          </cell>
          <cell r="AI25" t="e">
            <v>#DIV/0!</v>
          </cell>
          <cell r="AJ25">
            <v>25</v>
          </cell>
          <cell r="AK25">
            <v>0</v>
          </cell>
          <cell r="AL25">
            <v>-25</v>
          </cell>
          <cell r="AM25">
            <v>5</v>
          </cell>
          <cell r="AN25">
            <v>1.8664516514364211E-5</v>
          </cell>
          <cell r="AO25">
            <v>0</v>
          </cell>
          <cell r="AP25" t="e">
            <v>#DIV/0!</v>
          </cell>
          <cell r="AQ25">
            <v>30</v>
          </cell>
          <cell r="AR25">
            <v>0</v>
          </cell>
          <cell r="AS25">
            <v>-30</v>
          </cell>
          <cell r="AT25">
            <v>5</v>
          </cell>
          <cell r="AU25">
            <v>1.8664516514364211E-5</v>
          </cell>
          <cell r="AV25">
            <v>0</v>
          </cell>
          <cell r="AW25" t="e">
            <v>#DIV/0!</v>
          </cell>
          <cell r="AX25">
            <v>35</v>
          </cell>
          <cell r="AY25">
            <v>0</v>
          </cell>
          <cell r="AZ25">
            <v>-35</v>
          </cell>
          <cell r="BA25">
            <v>5</v>
          </cell>
          <cell r="BB25">
            <v>1.8664516514364211E-5</v>
          </cell>
          <cell r="BC25">
            <v>0</v>
          </cell>
          <cell r="BD25" t="e">
            <v>#DIV/0!</v>
          </cell>
          <cell r="BE25">
            <v>40</v>
          </cell>
          <cell r="BF25">
            <v>0</v>
          </cell>
          <cell r="BG25">
            <v>-40</v>
          </cell>
          <cell r="BH25">
            <v>5</v>
          </cell>
          <cell r="BI25">
            <v>1.8664516514364211E-5</v>
          </cell>
          <cell r="BJ25">
            <v>0</v>
          </cell>
          <cell r="BK25" t="e">
            <v>#DIV/0!</v>
          </cell>
          <cell r="BL25">
            <v>45</v>
          </cell>
          <cell r="BM25">
            <v>0</v>
          </cell>
          <cell r="BN25">
            <v>-45</v>
          </cell>
          <cell r="BO25">
            <v>5</v>
          </cell>
          <cell r="BP25">
            <v>1.8664516514364211E-5</v>
          </cell>
          <cell r="BQ25">
            <v>0</v>
          </cell>
          <cell r="BR25" t="e">
            <v>#DIV/0!</v>
          </cell>
          <cell r="BS25">
            <v>50</v>
          </cell>
          <cell r="BT25">
            <v>0</v>
          </cell>
          <cell r="BU25">
            <v>-50</v>
          </cell>
          <cell r="BV25">
            <v>5</v>
          </cell>
          <cell r="BW25">
            <v>1.8664516514364211E-5</v>
          </cell>
          <cell r="BX25">
            <v>0</v>
          </cell>
          <cell r="BY25" t="e">
            <v>#DIV/0!</v>
          </cell>
          <cell r="BZ25">
            <v>55</v>
          </cell>
          <cell r="CA25">
            <v>0</v>
          </cell>
          <cell r="CB25">
            <v>-55</v>
          </cell>
          <cell r="CC25">
            <v>5</v>
          </cell>
          <cell r="CD25">
            <v>1.8664516514364211E-5</v>
          </cell>
          <cell r="CE25">
            <v>0</v>
          </cell>
          <cell r="CF25" t="e">
            <v>#DIV/0!</v>
          </cell>
          <cell r="CG25">
            <v>60</v>
          </cell>
          <cell r="CH25">
            <v>0</v>
          </cell>
        </row>
        <row r="26">
          <cell r="A26" t="str">
            <v xml:space="preserve">Correspondentes </v>
          </cell>
          <cell r="B26">
            <v>1.8994725333588734E-2</v>
          </cell>
          <cell r="C26">
            <v>6776.2218450833343</v>
          </cell>
          <cell r="D26">
            <v>6200</v>
          </cell>
          <cell r="E26">
            <v>2.0111586869080059E-2</v>
          </cell>
          <cell r="F26">
            <v>6175.799653</v>
          </cell>
          <cell r="G26">
            <v>2.0033085678603867E-2</v>
          </cell>
          <cell r="H26">
            <v>6200</v>
          </cell>
          <cell r="I26">
            <v>6175.799653</v>
          </cell>
          <cell r="J26">
            <v>-24.200346999999965</v>
          </cell>
          <cell r="K26">
            <v>6200</v>
          </cell>
          <cell r="L26">
            <v>2.0196755488956934E-2</v>
          </cell>
          <cell r="M26">
            <v>3962.724874</v>
          </cell>
          <cell r="N26">
            <v>1.2854304119631503E-2</v>
          </cell>
          <cell r="O26">
            <v>12400</v>
          </cell>
          <cell r="P26">
            <v>10138.524527</v>
          </cell>
          <cell r="Q26">
            <v>-2261.4754730000004</v>
          </cell>
          <cell r="R26">
            <v>6200</v>
          </cell>
          <cell r="S26">
            <v>2.3144000477811622E-2</v>
          </cell>
          <cell r="T26">
            <v>3514.0336320000001</v>
          </cell>
          <cell r="U26">
            <v>1.1406237444819528E-2</v>
          </cell>
          <cell r="V26">
            <v>18600</v>
          </cell>
          <cell r="W26">
            <v>13652.558159</v>
          </cell>
          <cell r="X26">
            <v>-4947.4418409999998</v>
          </cell>
          <cell r="Y26">
            <v>6200</v>
          </cell>
          <cell r="Z26">
            <v>2.3144000477811622E-2</v>
          </cell>
          <cell r="AA26">
            <v>0</v>
          </cell>
          <cell r="AB26" t="e">
            <v>#DIV/0!</v>
          </cell>
          <cell r="AC26">
            <v>24800</v>
          </cell>
          <cell r="AD26">
            <v>13652.558159</v>
          </cell>
          <cell r="AE26">
            <v>-11147.441841</v>
          </cell>
          <cell r="AF26">
            <v>6200</v>
          </cell>
          <cell r="AG26">
            <v>2.3144000477811622E-2</v>
          </cell>
          <cell r="AH26">
            <v>0</v>
          </cell>
          <cell r="AI26" t="e">
            <v>#DIV/0!</v>
          </cell>
          <cell r="AJ26">
            <v>31000</v>
          </cell>
          <cell r="AK26">
            <v>13652.558159</v>
          </cell>
          <cell r="AL26">
            <v>-17347.441841</v>
          </cell>
          <cell r="AM26">
            <v>6200</v>
          </cell>
          <cell r="AN26">
            <v>2.3144000477811622E-2</v>
          </cell>
          <cell r="AO26">
            <v>0</v>
          </cell>
          <cell r="AP26" t="e">
            <v>#DIV/0!</v>
          </cell>
          <cell r="AQ26">
            <v>37200</v>
          </cell>
          <cell r="AR26">
            <v>13652.558159</v>
          </cell>
          <cell r="AS26">
            <v>-23547.441841</v>
          </cell>
          <cell r="AT26">
            <v>6200</v>
          </cell>
          <cell r="AU26">
            <v>2.3144000477811622E-2</v>
          </cell>
          <cell r="AV26">
            <v>0</v>
          </cell>
          <cell r="AW26" t="e">
            <v>#DIV/0!</v>
          </cell>
          <cell r="AX26">
            <v>43400</v>
          </cell>
          <cell r="AY26">
            <v>13652.558159</v>
          </cell>
          <cell r="AZ26">
            <v>-29747.441841</v>
          </cell>
          <cell r="BA26">
            <v>6200</v>
          </cell>
          <cell r="BB26">
            <v>2.3144000477811622E-2</v>
          </cell>
          <cell r="BC26">
            <v>0</v>
          </cell>
          <cell r="BD26" t="e">
            <v>#DIV/0!</v>
          </cell>
          <cell r="BE26">
            <v>49600</v>
          </cell>
          <cell r="BF26">
            <v>13652.558159</v>
          </cell>
          <cell r="BG26">
            <v>-35947.441841</v>
          </cell>
          <cell r="BH26">
            <v>6200</v>
          </cell>
          <cell r="BI26">
            <v>2.3144000477811622E-2</v>
          </cell>
          <cell r="BJ26">
            <v>0</v>
          </cell>
          <cell r="BK26" t="e">
            <v>#DIV/0!</v>
          </cell>
          <cell r="BL26">
            <v>55800</v>
          </cell>
          <cell r="BM26">
            <v>13652.558159</v>
          </cell>
          <cell r="BN26">
            <v>-42147.441841</v>
          </cell>
          <cell r="BO26">
            <v>6200</v>
          </cell>
          <cell r="BP26">
            <v>2.3144000477811622E-2</v>
          </cell>
          <cell r="BQ26">
            <v>0</v>
          </cell>
          <cell r="BR26" t="e">
            <v>#DIV/0!</v>
          </cell>
          <cell r="BS26">
            <v>62000</v>
          </cell>
          <cell r="BT26">
            <v>13652.558159</v>
          </cell>
          <cell r="BU26">
            <v>-48347.441841</v>
          </cell>
          <cell r="BV26">
            <v>6200</v>
          </cell>
          <cell r="BW26">
            <v>2.3144000477811622E-2</v>
          </cell>
          <cell r="BX26">
            <v>0</v>
          </cell>
          <cell r="BY26" t="e">
            <v>#DIV/0!</v>
          </cell>
          <cell r="BZ26">
            <v>68200</v>
          </cell>
          <cell r="CA26">
            <v>13652.558159</v>
          </cell>
          <cell r="CB26">
            <v>-54547.441841</v>
          </cell>
          <cell r="CC26">
            <v>6200</v>
          </cell>
          <cell r="CD26">
            <v>2.3144000477811622E-2</v>
          </cell>
          <cell r="CE26">
            <v>0</v>
          </cell>
          <cell r="CF26" t="e">
            <v>#DIV/0!</v>
          </cell>
          <cell r="CG26">
            <v>74400</v>
          </cell>
          <cell r="CH26">
            <v>13652.558159</v>
          </cell>
        </row>
        <row r="27">
          <cell r="A27" t="str">
            <v>Custas/Guias/Despesas</v>
          </cell>
          <cell r="B27">
            <v>2.485968220523335E-4</v>
          </cell>
          <cell r="C27">
            <v>88.684999999999988</v>
          </cell>
          <cell r="D27">
            <v>100</v>
          </cell>
          <cell r="E27">
            <v>3.2438043337225901E-4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3.2575412078962801E-4</v>
          </cell>
          <cell r="M27">
            <v>4215.3</v>
          </cell>
          <cell r="N27">
            <v>1.3673608407940834E-2</v>
          </cell>
          <cell r="O27">
            <v>200</v>
          </cell>
          <cell r="P27">
            <v>4215.3</v>
          </cell>
          <cell r="Q27">
            <v>4015.3</v>
          </cell>
          <cell r="R27">
            <v>100</v>
          </cell>
          <cell r="S27">
            <v>3.7329033028728426E-4</v>
          </cell>
          <cell r="T27">
            <v>0</v>
          </cell>
          <cell r="U27">
            <v>0</v>
          </cell>
          <cell r="V27">
            <v>300</v>
          </cell>
          <cell r="W27">
            <v>4215.3</v>
          </cell>
          <cell r="X27">
            <v>3915.3</v>
          </cell>
          <cell r="Y27">
            <v>100</v>
          </cell>
          <cell r="Z27">
            <v>3.7329033028728426E-4</v>
          </cell>
          <cell r="AA27">
            <v>0</v>
          </cell>
          <cell r="AB27" t="e">
            <v>#DIV/0!</v>
          </cell>
          <cell r="AC27">
            <v>400</v>
          </cell>
          <cell r="AD27">
            <v>4215.3</v>
          </cell>
          <cell r="AE27">
            <v>3815.3</v>
          </cell>
          <cell r="AF27">
            <v>100</v>
          </cell>
          <cell r="AG27">
            <v>3.7329033028728426E-4</v>
          </cell>
          <cell r="AH27">
            <v>0</v>
          </cell>
          <cell r="AI27" t="e">
            <v>#DIV/0!</v>
          </cell>
          <cell r="AJ27">
            <v>500</v>
          </cell>
          <cell r="AK27">
            <v>4215.3</v>
          </cell>
          <cell r="AL27">
            <v>3715.3</v>
          </cell>
          <cell r="AM27">
            <v>100</v>
          </cell>
          <cell r="AN27">
            <v>3.7329033028728426E-4</v>
          </cell>
          <cell r="AO27">
            <v>0</v>
          </cell>
          <cell r="AP27" t="e">
            <v>#DIV/0!</v>
          </cell>
          <cell r="AQ27">
            <v>600</v>
          </cell>
          <cell r="AR27">
            <v>4215.3</v>
          </cell>
          <cell r="AS27">
            <v>3615.3</v>
          </cell>
          <cell r="AT27">
            <v>100</v>
          </cell>
          <cell r="AU27">
            <v>3.7329033028728426E-4</v>
          </cell>
          <cell r="AV27">
            <v>0</v>
          </cell>
          <cell r="AW27" t="e">
            <v>#DIV/0!</v>
          </cell>
          <cell r="AX27">
            <v>700</v>
          </cell>
          <cell r="AY27">
            <v>4215.3</v>
          </cell>
          <cell r="AZ27">
            <v>3515.3</v>
          </cell>
          <cell r="BA27">
            <v>100</v>
          </cell>
          <cell r="BB27">
            <v>3.7329033028728426E-4</v>
          </cell>
          <cell r="BC27">
            <v>0</v>
          </cell>
          <cell r="BD27" t="e">
            <v>#DIV/0!</v>
          </cell>
          <cell r="BE27">
            <v>800</v>
          </cell>
          <cell r="BF27">
            <v>4215.3</v>
          </cell>
          <cell r="BG27">
            <v>3415.3</v>
          </cell>
          <cell r="BH27">
            <v>100</v>
          </cell>
          <cell r="BI27">
            <v>3.7329033028728426E-4</v>
          </cell>
          <cell r="BJ27">
            <v>0</v>
          </cell>
          <cell r="BK27" t="e">
            <v>#DIV/0!</v>
          </cell>
          <cell r="BL27">
            <v>900</v>
          </cell>
          <cell r="BM27">
            <v>4215.3</v>
          </cell>
          <cell r="BN27">
            <v>3315.3</v>
          </cell>
          <cell r="BO27">
            <v>100</v>
          </cell>
          <cell r="BP27">
            <v>3.7329033028728426E-4</v>
          </cell>
          <cell r="BQ27">
            <v>0</v>
          </cell>
          <cell r="BR27" t="e">
            <v>#DIV/0!</v>
          </cell>
          <cell r="BS27">
            <v>1000</v>
          </cell>
          <cell r="BT27">
            <v>4215.3</v>
          </cell>
          <cell r="BU27">
            <v>3215.3</v>
          </cell>
          <cell r="BV27">
            <v>100</v>
          </cell>
          <cell r="BW27">
            <v>3.7329033028728426E-4</v>
          </cell>
          <cell r="BX27">
            <v>0</v>
          </cell>
          <cell r="BY27" t="e">
            <v>#DIV/0!</v>
          </cell>
          <cell r="BZ27">
            <v>1100</v>
          </cell>
          <cell r="CA27">
            <v>4215.3</v>
          </cell>
          <cell r="CB27">
            <v>3115.3</v>
          </cell>
          <cell r="CC27">
            <v>100</v>
          </cell>
          <cell r="CD27">
            <v>3.7329033028728426E-4</v>
          </cell>
          <cell r="CE27">
            <v>0</v>
          </cell>
          <cell r="CF27" t="e">
            <v>#DIV/0!</v>
          </cell>
          <cell r="CG27">
            <v>1200</v>
          </cell>
          <cell r="CH27">
            <v>4215.3</v>
          </cell>
        </row>
        <row r="28">
          <cell r="A28" t="str">
            <v>Deslocamento</v>
          </cell>
          <cell r="B28">
            <v>2.6847111973337428E-5</v>
          </cell>
          <cell r="C28">
            <v>9.5775002499999999</v>
          </cell>
          <cell r="D28">
            <v>20</v>
          </cell>
          <cell r="E28">
            <v>6.4876086674451802E-5</v>
          </cell>
          <cell r="F28">
            <v>284.41079999999999</v>
          </cell>
          <cell r="G28">
            <v>9.2257298559750875E-4</v>
          </cell>
          <cell r="H28">
            <v>20</v>
          </cell>
          <cell r="I28">
            <v>284.41079999999999</v>
          </cell>
          <cell r="J28">
            <v>264.41079999999999</v>
          </cell>
          <cell r="K28">
            <v>20</v>
          </cell>
          <cell r="L28">
            <v>6.5150824157925592E-5</v>
          </cell>
          <cell r="M28">
            <v>0</v>
          </cell>
          <cell r="N28">
            <v>0</v>
          </cell>
          <cell r="O28">
            <v>40</v>
          </cell>
          <cell r="P28">
            <v>284.41079999999999</v>
          </cell>
          <cell r="Q28">
            <v>244.41079999999999</v>
          </cell>
          <cell r="R28">
            <v>20</v>
          </cell>
          <cell r="S28">
            <v>7.4658066057456843E-5</v>
          </cell>
          <cell r="T28">
            <v>0</v>
          </cell>
          <cell r="U28">
            <v>0</v>
          </cell>
          <cell r="V28">
            <v>60</v>
          </cell>
          <cell r="W28">
            <v>284.41079999999999</v>
          </cell>
          <cell r="X28">
            <v>224.41079999999999</v>
          </cell>
          <cell r="Y28">
            <v>20</v>
          </cell>
          <cell r="Z28">
            <v>7.4658066057456843E-5</v>
          </cell>
          <cell r="AA28">
            <v>0</v>
          </cell>
          <cell r="AB28" t="e">
            <v>#DIV/0!</v>
          </cell>
          <cell r="AC28">
            <v>80</v>
          </cell>
          <cell r="AD28">
            <v>284.41079999999999</v>
          </cell>
          <cell r="AE28">
            <v>204.41079999999999</v>
          </cell>
          <cell r="AF28">
            <v>20</v>
          </cell>
          <cell r="AG28">
            <v>7.4658066057456843E-5</v>
          </cell>
          <cell r="AH28">
            <v>0</v>
          </cell>
          <cell r="AI28" t="e">
            <v>#DIV/0!</v>
          </cell>
          <cell r="AJ28">
            <v>100</v>
          </cell>
          <cell r="AK28">
            <v>284.41079999999999</v>
          </cell>
          <cell r="AL28">
            <v>184.41079999999999</v>
          </cell>
          <cell r="AM28">
            <v>20</v>
          </cell>
          <cell r="AN28">
            <v>7.4658066057456843E-5</v>
          </cell>
          <cell r="AO28">
            <v>0</v>
          </cell>
          <cell r="AP28" t="e">
            <v>#DIV/0!</v>
          </cell>
          <cell r="AQ28">
            <v>120</v>
          </cell>
          <cell r="AR28">
            <v>284.41079999999999</v>
          </cell>
          <cell r="AS28">
            <v>164.41079999999999</v>
          </cell>
          <cell r="AT28">
            <v>20</v>
          </cell>
          <cell r="AU28">
            <v>7.4658066057456843E-5</v>
          </cell>
          <cell r="AV28">
            <v>0</v>
          </cell>
          <cell r="AW28" t="e">
            <v>#DIV/0!</v>
          </cell>
          <cell r="AX28">
            <v>140</v>
          </cell>
          <cell r="AY28">
            <v>284.41079999999999</v>
          </cell>
          <cell r="AZ28">
            <v>144.41079999999999</v>
          </cell>
          <cell r="BA28">
            <v>20</v>
          </cell>
          <cell r="BB28">
            <v>7.4658066057456843E-5</v>
          </cell>
          <cell r="BC28">
            <v>0</v>
          </cell>
          <cell r="BD28" t="e">
            <v>#DIV/0!</v>
          </cell>
          <cell r="BE28">
            <v>160</v>
          </cell>
          <cell r="BF28">
            <v>284.41079999999999</v>
          </cell>
          <cell r="BG28">
            <v>124.41079999999999</v>
          </cell>
          <cell r="BH28">
            <v>20</v>
          </cell>
          <cell r="BI28">
            <v>7.4658066057456843E-5</v>
          </cell>
          <cell r="BJ28">
            <v>0</v>
          </cell>
          <cell r="BK28" t="e">
            <v>#DIV/0!</v>
          </cell>
          <cell r="BL28">
            <v>180</v>
          </cell>
          <cell r="BM28">
            <v>284.41079999999999</v>
          </cell>
          <cell r="BN28">
            <v>104.41079999999999</v>
          </cell>
          <cell r="BO28">
            <v>20</v>
          </cell>
          <cell r="BP28">
            <v>7.4658066057456843E-5</v>
          </cell>
          <cell r="BQ28">
            <v>0</v>
          </cell>
          <cell r="BR28" t="e">
            <v>#DIV/0!</v>
          </cell>
          <cell r="BS28">
            <v>200</v>
          </cell>
          <cell r="BT28">
            <v>284.41079999999999</v>
          </cell>
          <cell r="BU28">
            <v>84.410799999999995</v>
          </cell>
          <cell r="BV28">
            <v>20</v>
          </cell>
          <cell r="BW28">
            <v>7.4658066057456843E-5</v>
          </cell>
          <cell r="BX28">
            <v>0</v>
          </cell>
          <cell r="BY28" t="e">
            <v>#DIV/0!</v>
          </cell>
          <cell r="BZ28">
            <v>220</v>
          </cell>
          <cell r="CA28">
            <v>284.41079999999999</v>
          </cell>
          <cell r="CB28">
            <v>64.410799999999995</v>
          </cell>
          <cell r="CC28">
            <v>20</v>
          </cell>
          <cell r="CD28">
            <v>7.4658066057456843E-5</v>
          </cell>
          <cell r="CE28">
            <v>0</v>
          </cell>
          <cell r="CF28" t="e">
            <v>#DIV/0!</v>
          </cell>
          <cell r="CG28">
            <v>240</v>
          </cell>
          <cell r="CH28">
            <v>284.41079999999999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4.2614803702436341E-3</v>
          </cell>
          <cell r="C31">
            <v>1520.2502731732293</v>
          </cell>
          <cell r="D31">
            <v>3696.409862129764</v>
          </cell>
          <cell r="E31">
            <v>1.1990430329991449E-2</v>
          </cell>
          <cell r="F31">
            <v>3886.175475696351</v>
          </cell>
          <cell r="G31">
            <v>1.260599284967027E-2</v>
          </cell>
          <cell r="H31">
            <v>3696.409862129764</v>
          </cell>
          <cell r="I31">
            <v>3886.175475696351</v>
          </cell>
          <cell r="J31">
            <v>189.76561356658704</v>
          </cell>
          <cell r="K31">
            <v>3696.409862129764</v>
          </cell>
          <cell r="L31">
            <v>1.2041207447161913E-2</v>
          </cell>
          <cell r="M31">
            <v>3696.409862129764</v>
          </cell>
          <cell r="N31">
            <v>1.1990430329991449E-2</v>
          </cell>
          <cell r="O31">
            <v>7392.8197242595279</v>
          </cell>
          <cell r="P31">
            <v>7582.5853378261145</v>
          </cell>
          <cell r="Q31">
            <v>189.76561356658658</v>
          </cell>
          <cell r="R31">
            <v>3696.409862129764</v>
          </cell>
          <cell r="S31">
            <v>1.3798340583115944E-2</v>
          </cell>
          <cell r="T31">
            <v>3977.5261573653838</v>
          </cell>
          <cell r="U31">
            <v>1.291069253883856E-2</v>
          </cell>
          <cell r="V31">
            <v>11089.229586389292</v>
          </cell>
          <cell r="W31">
            <v>11560.111495191499</v>
          </cell>
          <cell r="X31">
            <v>470.88190880220645</v>
          </cell>
          <cell r="Y31">
            <v>3696.409862129764</v>
          </cell>
          <cell r="Z31">
            <v>1.3798340583115944E-2</v>
          </cell>
          <cell r="AA31">
            <v>0</v>
          </cell>
          <cell r="AB31" t="e">
            <v>#DIV/0!</v>
          </cell>
          <cell r="AC31">
            <v>14785.639448519056</v>
          </cell>
          <cell r="AD31">
            <v>11560.111495191499</v>
          </cell>
          <cell r="AE31">
            <v>-3225.527953327557</v>
          </cell>
          <cell r="AF31">
            <v>3696.409862129764</v>
          </cell>
          <cell r="AG31">
            <v>1.3798340583115944E-2</v>
          </cell>
          <cell r="AH31">
            <v>0</v>
          </cell>
          <cell r="AI31" t="e">
            <v>#DIV/0!</v>
          </cell>
          <cell r="AJ31">
            <v>18482.049310648821</v>
          </cell>
          <cell r="AK31">
            <v>11560.111495191499</v>
          </cell>
          <cell r="AL31">
            <v>-6921.9378154573224</v>
          </cell>
          <cell r="AM31">
            <v>3696.409862129764</v>
          </cell>
          <cell r="AN31">
            <v>1.3798340583115944E-2</v>
          </cell>
          <cell r="AO31">
            <v>0</v>
          </cell>
          <cell r="AP31" t="e">
            <v>#DIV/0!</v>
          </cell>
          <cell r="AQ31">
            <v>22178.459172778585</v>
          </cell>
          <cell r="AR31">
            <v>11560.111495191499</v>
          </cell>
          <cell r="AS31">
            <v>-10618.347677587086</v>
          </cell>
          <cell r="AT31">
            <v>3696.409862129764</v>
          </cell>
          <cell r="AU31">
            <v>1.3798340583115944E-2</v>
          </cell>
          <cell r="AV31">
            <v>0</v>
          </cell>
          <cell r="AW31" t="e">
            <v>#DIV/0!</v>
          </cell>
          <cell r="AX31">
            <v>25874.869034908348</v>
          </cell>
          <cell r="AY31">
            <v>11560.111495191499</v>
          </cell>
          <cell r="AZ31">
            <v>-14314.757539716849</v>
          </cell>
          <cell r="BA31">
            <v>3696.409862129764</v>
          </cell>
          <cell r="BB31">
            <v>1.3798340583115944E-2</v>
          </cell>
          <cell r="BC31">
            <v>0</v>
          </cell>
          <cell r="BD31" t="e">
            <v>#DIV/0!</v>
          </cell>
          <cell r="BE31">
            <v>29571.278897038112</v>
          </cell>
          <cell r="BF31">
            <v>11560.111495191499</v>
          </cell>
          <cell r="BG31">
            <v>-18011.167401846615</v>
          </cell>
          <cell r="BH31">
            <v>3696.409862129764</v>
          </cell>
          <cell r="BI31">
            <v>1.3798340583115944E-2</v>
          </cell>
          <cell r="BJ31">
            <v>0</v>
          </cell>
          <cell r="BK31" t="e">
            <v>#DIV/0!</v>
          </cell>
          <cell r="BL31">
            <v>33267.688759167875</v>
          </cell>
          <cell r="BM31">
            <v>11560.111495191499</v>
          </cell>
          <cell r="BN31">
            <v>-21707.577263976375</v>
          </cell>
          <cell r="BO31">
            <v>3696.409862129764</v>
          </cell>
          <cell r="BP31">
            <v>1.3798340583115944E-2</v>
          </cell>
          <cell r="BQ31">
            <v>0</v>
          </cell>
          <cell r="BR31" t="e">
            <v>#DIV/0!</v>
          </cell>
          <cell r="BS31">
            <v>36964.098621297642</v>
          </cell>
          <cell r="BT31">
            <v>11560.111495191499</v>
          </cell>
          <cell r="BU31">
            <v>-25403.987126106142</v>
          </cell>
          <cell r="BV31">
            <v>3696.409862129764</v>
          </cell>
          <cell r="BW31">
            <v>1.3798340583115944E-2</v>
          </cell>
          <cell r="BX31">
            <v>0</v>
          </cell>
          <cell r="BY31" t="e">
            <v>#DIV/0!</v>
          </cell>
          <cell r="BZ31">
            <v>40660.508483427409</v>
          </cell>
          <cell r="CA31">
            <v>11560.111495191499</v>
          </cell>
          <cell r="CB31">
            <v>-29100.396988235909</v>
          </cell>
          <cell r="CC31">
            <v>3696.409862129764</v>
          </cell>
          <cell r="CD31">
            <v>1.3798340583115944E-2</v>
          </cell>
          <cell r="CE31">
            <v>0</v>
          </cell>
          <cell r="CF31" t="e">
            <v>#DIV/0!</v>
          </cell>
          <cell r="CG31">
            <v>44356.918345557177</v>
          </cell>
          <cell r="CH31">
            <v>11560.111495191499</v>
          </cell>
        </row>
        <row r="32">
          <cell r="A32" t="str">
            <v>Encargos Rescisórios</v>
          </cell>
          <cell r="B32">
            <v>3.2021481426543316E-4</v>
          </cell>
          <cell r="C32">
            <v>114.23416666666667</v>
          </cell>
          <cell r="D32">
            <v>200</v>
          </cell>
          <cell r="E32">
            <v>6.4876086674451802E-4</v>
          </cell>
          <cell r="F32">
            <v>0</v>
          </cell>
          <cell r="G32">
            <v>0</v>
          </cell>
          <cell r="H32">
            <v>200</v>
          </cell>
          <cell r="I32">
            <v>0</v>
          </cell>
          <cell r="J32">
            <v>-200</v>
          </cell>
          <cell r="K32">
            <v>200</v>
          </cell>
          <cell r="L32">
            <v>6.5150824157925603E-4</v>
          </cell>
          <cell r="M32">
            <v>0</v>
          </cell>
          <cell r="N32">
            <v>0</v>
          </cell>
          <cell r="O32">
            <v>400</v>
          </cell>
          <cell r="P32">
            <v>0</v>
          </cell>
          <cell r="Q32">
            <v>-400</v>
          </cell>
          <cell r="R32">
            <v>200</v>
          </cell>
          <cell r="S32">
            <v>7.4658066057456851E-4</v>
          </cell>
          <cell r="T32">
            <v>0</v>
          </cell>
          <cell r="U32">
            <v>0</v>
          </cell>
          <cell r="V32">
            <v>600</v>
          </cell>
          <cell r="W32">
            <v>0</v>
          </cell>
          <cell r="X32">
            <v>-600</v>
          </cell>
          <cell r="Y32">
            <v>200</v>
          </cell>
          <cell r="Z32">
            <v>7.4658066057456851E-4</v>
          </cell>
          <cell r="AA32">
            <v>0</v>
          </cell>
          <cell r="AB32" t="e">
            <v>#DIV/0!</v>
          </cell>
          <cell r="AC32">
            <v>800</v>
          </cell>
          <cell r="AD32">
            <v>0</v>
          </cell>
          <cell r="AE32">
            <v>-800</v>
          </cell>
          <cell r="AF32">
            <v>200</v>
          </cell>
          <cell r="AG32">
            <v>7.4658066057456851E-4</v>
          </cell>
          <cell r="AH32">
            <v>0</v>
          </cell>
          <cell r="AI32" t="e">
            <v>#DIV/0!</v>
          </cell>
          <cell r="AJ32">
            <v>1000</v>
          </cell>
          <cell r="AK32">
            <v>0</v>
          </cell>
          <cell r="AL32">
            <v>-1000</v>
          </cell>
          <cell r="AM32">
            <v>200</v>
          </cell>
          <cell r="AN32">
            <v>7.4658066057456851E-4</v>
          </cell>
          <cell r="AO32">
            <v>0</v>
          </cell>
          <cell r="AP32" t="e">
            <v>#DIV/0!</v>
          </cell>
          <cell r="AQ32">
            <v>1200</v>
          </cell>
          <cell r="AR32">
            <v>0</v>
          </cell>
          <cell r="AS32">
            <v>-1200</v>
          </cell>
          <cell r="AT32">
            <v>200</v>
          </cell>
          <cell r="AU32">
            <v>7.4658066057456851E-4</v>
          </cell>
          <cell r="AV32">
            <v>0</v>
          </cell>
          <cell r="AW32" t="e">
            <v>#DIV/0!</v>
          </cell>
          <cell r="AX32">
            <v>1400</v>
          </cell>
          <cell r="AY32">
            <v>0</v>
          </cell>
          <cell r="AZ32">
            <v>-1400</v>
          </cell>
          <cell r="BA32">
            <v>200</v>
          </cell>
          <cell r="BB32">
            <v>7.4658066057456851E-4</v>
          </cell>
          <cell r="BC32">
            <v>0</v>
          </cell>
          <cell r="BD32" t="e">
            <v>#DIV/0!</v>
          </cell>
          <cell r="BE32">
            <v>1600</v>
          </cell>
          <cell r="BF32">
            <v>0</v>
          </cell>
          <cell r="BG32">
            <v>-1600</v>
          </cell>
          <cell r="BH32">
            <v>200</v>
          </cell>
          <cell r="BI32">
            <v>7.4658066057456851E-4</v>
          </cell>
          <cell r="BJ32">
            <v>0</v>
          </cell>
          <cell r="BK32" t="e">
            <v>#DIV/0!</v>
          </cell>
          <cell r="BL32">
            <v>1800</v>
          </cell>
          <cell r="BM32">
            <v>0</v>
          </cell>
          <cell r="BN32">
            <v>-1800</v>
          </cell>
          <cell r="BO32">
            <v>200</v>
          </cell>
          <cell r="BP32">
            <v>7.4658066057456851E-4</v>
          </cell>
          <cell r="BQ32">
            <v>0</v>
          </cell>
          <cell r="BR32" t="e">
            <v>#DIV/0!</v>
          </cell>
          <cell r="BS32">
            <v>2000</v>
          </cell>
          <cell r="BT32">
            <v>0</v>
          </cell>
          <cell r="BU32">
            <v>-2000</v>
          </cell>
          <cell r="BV32">
            <v>200</v>
          </cell>
          <cell r="BW32">
            <v>7.4658066057456851E-4</v>
          </cell>
          <cell r="BX32">
            <v>0</v>
          </cell>
          <cell r="BY32" t="e">
            <v>#DIV/0!</v>
          </cell>
          <cell r="BZ32">
            <v>2200</v>
          </cell>
          <cell r="CA32">
            <v>0</v>
          </cell>
          <cell r="CB32">
            <v>-2200</v>
          </cell>
          <cell r="CC32">
            <v>200</v>
          </cell>
          <cell r="CD32">
            <v>7.4658066057456851E-4</v>
          </cell>
          <cell r="CE32">
            <v>0</v>
          </cell>
          <cell r="CF32" t="e">
            <v>#DIV/0!</v>
          </cell>
          <cell r="CG32">
            <v>2400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1.0665962766072379E-3</v>
          </cell>
          <cell r="C34">
            <v>380.5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5.4544042355505226E-4</v>
          </cell>
          <cell r="C35">
            <v>194.58166666666668</v>
          </cell>
          <cell r="D35">
            <v>227.43</v>
          </cell>
          <cell r="E35">
            <v>7.3773841961852866E-4</v>
          </cell>
          <cell r="F35">
            <v>0</v>
          </cell>
          <cell r="G35">
            <v>0</v>
          </cell>
          <cell r="H35">
            <v>227.43</v>
          </cell>
          <cell r="I35">
            <v>0</v>
          </cell>
          <cell r="J35">
            <v>-227.43</v>
          </cell>
          <cell r="K35">
            <v>227.43</v>
          </cell>
          <cell r="L35">
            <v>7.408625969118509E-4</v>
          </cell>
          <cell r="M35">
            <v>1226.18</v>
          </cell>
          <cell r="N35">
            <v>3.9774879979239657E-3</v>
          </cell>
          <cell r="O35">
            <v>454.86</v>
          </cell>
          <cell r="P35">
            <v>1226.18</v>
          </cell>
          <cell r="Q35">
            <v>771.32</v>
          </cell>
          <cell r="R35">
            <v>227.43</v>
          </cell>
          <cell r="S35">
            <v>8.4897419817237061E-4</v>
          </cell>
          <cell r="T35">
            <v>0</v>
          </cell>
          <cell r="U35">
            <v>0</v>
          </cell>
          <cell r="V35">
            <v>682.29</v>
          </cell>
          <cell r="W35">
            <v>1226.18</v>
          </cell>
          <cell r="X35">
            <v>543.8900000000001</v>
          </cell>
          <cell r="Y35">
            <v>227.43</v>
          </cell>
          <cell r="Z35">
            <v>8.4897419817237061E-4</v>
          </cell>
          <cell r="AA35">
            <v>0</v>
          </cell>
          <cell r="AB35" t="e">
            <v>#DIV/0!</v>
          </cell>
          <cell r="AC35">
            <v>909.72</v>
          </cell>
          <cell r="AD35">
            <v>1226.18</v>
          </cell>
          <cell r="AE35">
            <v>316.46000000000004</v>
          </cell>
          <cell r="AF35">
            <v>227.43</v>
          </cell>
          <cell r="AG35">
            <v>8.4897419817237061E-4</v>
          </cell>
          <cell r="AH35">
            <v>0</v>
          </cell>
          <cell r="AI35" t="e">
            <v>#DIV/0!</v>
          </cell>
          <cell r="AJ35">
            <v>1137.1500000000001</v>
          </cell>
          <cell r="AK35">
            <v>1226.18</v>
          </cell>
          <cell r="AL35">
            <v>89.029999999999973</v>
          </cell>
          <cell r="AM35">
            <v>227.43</v>
          </cell>
          <cell r="AN35">
            <v>8.4897419817237061E-4</v>
          </cell>
          <cell r="AO35">
            <v>0</v>
          </cell>
          <cell r="AP35" t="e">
            <v>#DIV/0!</v>
          </cell>
          <cell r="AQ35">
            <v>1364.5800000000002</v>
          </cell>
          <cell r="AR35">
            <v>1226.18</v>
          </cell>
          <cell r="AS35">
            <v>-138.40000000000009</v>
          </cell>
          <cell r="AT35">
            <v>227.43</v>
          </cell>
          <cell r="AU35">
            <v>8.4897419817237061E-4</v>
          </cell>
          <cell r="AV35">
            <v>0</v>
          </cell>
          <cell r="AW35" t="e">
            <v>#DIV/0!</v>
          </cell>
          <cell r="AX35">
            <v>1592.0100000000002</v>
          </cell>
          <cell r="AY35">
            <v>1226.18</v>
          </cell>
          <cell r="AZ35">
            <v>-365.83000000000015</v>
          </cell>
          <cell r="BA35">
            <v>227.43</v>
          </cell>
          <cell r="BB35">
            <v>8.4897419817237061E-4</v>
          </cell>
          <cell r="BC35">
            <v>0</v>
          </cell>
          <cell r="BD35" t="e">
            <v>#DIV/0!</v>
          </cell>
          <cell r="BE35">
            <v>1819.4400000000003</v>
          </cell>
          <cell r="BF35">
            <v>1226.18</v>
          </cell>
          <cell r="BG35">
            <v>-593.26000000000022</v>
          </cell>
          <cell r="BH35">
            <v>227.43</v>
          </cell>
          <cell r="BI35">
            <v>8.4897419817237061E-4</v>
          </cell>
          <cell r="BJ35">
            <v>0</v>
          </cell>
          <cell r="BK35" t="e">
            <v>#DIV/0!</v>
          </cell>
          <cell r="BL35">
            <v>2046.8700000000003</v>
          </cell>
          <cell r="BM35">
            <v>1226.18</v>
          </cell>
          <cell r="BN35">
            <v>-820.69000000000028</v>
          </cell>
          <cell r="BO35">
            <v>227.43</v>
          </cell>
          <cell r="BP35">
            <v>8.4897419817237061E-4</v>
          </cell>
          <cell r="BQ35">
            <v>0</v>
          </cell>
          <cell r="BR35" t="e">
            <v>#DIV/0!</v>
          </cell>
          <cell r="BS35">
            <v>2274.3000000000002</v>
          </cell>
          <cell r="BT35">
            <v>1226.18</v>
          </cell>
          <cell r="BU35">
            <v>-1048.1200000000001</v>
          </cell>
          <cell r="BV35">
            <v>227.43</v>
          </cell>
          <cell r="BW35">
            <v>8.4897419817237061E-4</v>
          </cell>
          <cell r="BX35">
            <v>0</v>
          </cell>
          <cell r="BY35" t="e">
            <v>#DIV/0!</v>
          </cell>
          <cell r="BZ35">
            <v>2501.73</v>
          </cell>
          <cell r="CA35">
            <v>1226.18</v>
          </cell>
          <cell r="CB35">
            <v>-1275.55</v>
          </cell>
          <cell r="CC35">
            <v>227.43</v>
          </cell>
          <cell r="CD35">
            <v>8.4897419817237061E-4</v>
          </cell>
          <cell r="CE35">
            <v>0</v>
          </cell>
          <cell r="CF35" t="e">
            <v>#DIV/0!</v>
          </cell>
          <cell r="CG35">
            <v>2729.16</v>
          </cell>
          <cell r="CH35">
            <v>1226.18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2.4064056511382219E-4</v>
          </cell>
          <cell r="C38">
            <v>85.84666666666665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1.4132944278642938E-2</v>
          </cell>
          <cell r="C41">
            <v>5041.8189299603873</v>
          </cell>
          <cell r="D41">
            <v>5000</v>
          </cell>
          <cell r="E41">
            <v>1.621902166861295E-2</v>
          </cell>
          <cell r="F41">
            <v>4518.3716734696764</v>
          </cell>
          <cell r="G41">
            <v>1.4656713615770327E-2</v>
          </cell>
          <cell r="H41">
            <v>5000</v>
          </cell>
          <cell r="I41">
            <v>4518.3716734696764</v>
          </cell>
          <cell r="J41">
            <v>-481.62832653032365</v>
          </cell>
          <cell r="K41">
            <v>5000</v>
          </cell>
          <cell r="L41">
            <v>1.62877060394814E-2</v>
          </cell>
          <cell r="M41">
            <v>4518.5093990697678</v>
          </cell>
          <cell r="N41">
            <v>1.4657160370668769E-2</v>
          </cell>
          <cell r="O41">
            <v>10000</v>
          </cell>
          <cell r="P41">
            <v>9036.8810725394433</v>
          </cell>
          <cell r="Q41">
            <v>-963.11892746055673</v>
          </cell>
          <cell r="R41">
            <v>5000</v>
          </cell>
          <cell r="S41">
            <v>1.8664516514364213E-2</v>
          </cell>
          <cell r="T41">
            <v>3991.8437344026975</v>
          </cell>
          <cell r="U41">
            <v>1.2957166107513299E-2</v>
          </cell>
          <cell r="V41">
            <v>15000</v>
          </cell>
          <cell r="W41">
            <v>13028.72480694214</v>
          </cell>
          <cell r="X41">
            <v>-1971.2751930578597</v>
          </cell>
          <cell r="Y41">
            <v>5000</v>
          </cell>
          <cell r="Z41">
            <v>1.8664516514364213E-2</v>
          </cell>
          <cell r="AA41">
            <v>0</v>
          </cell>
          <cell r="AB41" t="e">
            <v>#DIV/0!</v>
          </cell>
          <cell r="AC41">
            <v>20000</v>
          </cell>
          <cell r="AD41">
            <v>13028.72480694214</v>
          </cell>
          <cell r="AE41">
            <v>-6971.2751930578597</v>
          </cell>
          <cell r="AF41">
            <v>5000</v>
          </cell>
          <cell r="AG41">
            <v>1.8664516514364213E-2</v>
          </cell>
          <cell r="AH41">
            <v>0</v>
          </cell>
          <cell r="AI41" t="e">
            <v>#DIV/0!</v>
          </cell>
          <cell r="AJ41">
            <v>25000</v>
          </cell>
          <cell r="AK41">
            <v>13028.72480694214</v>
          </cell>
          <cell r="AL41">
            <v>-11971.27519305786</v>
          </cell>
          <cell r="AM41">
            <v>5000</v>
          </cell>
          <cell r="AN41">
            <v>1.8664516514364213E-2</v>
          </cell>
          <cell r="AO41">
            <v>0</v>
          </cell>
          <cell r="AP41" t="e">
            <v>#DIV/0!</v>
          </cell>
          <cell r="AQ41">
            <v>30000</v>
          </cell>
          <cell r="AR41">
            <v>13028.72480694214</v>
          </cell>
          <cell r="AS41">
            <v>-16971.27519305786</v>
          </cell>
          <cell r="AT41">
            <v>5000</v>
          </cell>
          <cell r="AU41">
            <v>1.8664516514364213E-2</v>
          </cell>
          <cell r="AV41">
            <v>0</v>
          </cell>
          <cell r="AW41" t="e">
            <v>#DIV/0!</v>
          </cell>
          <cell r="AX41">
            <v>35000</v>
          </cell>
          <cell r="AY41">
            <v>13028.72480694214</v>
          </cell>
          <cell r="AZ41">
            <v>-21971.27519305786</v>
          </cell>
          <cell r="BA41">
            <v>5000</v>
          </cell>
          <cell r="BB41">
            <v>1.8664516514364213E-2</v>
          </cell>
          <cell r="BC41">
            <v>0</v>
          </cell>
          <cell r="BD41" t="e">
            <v>#DIV/0!</v>
          </cell>
          <cell r="BE41">
            <v>40000</v>
          </cell>
          <cell r="BF41">
            <v>13028.72480694214</v>
          </cell>
          <cell r="BG41">
            <v>-26971.27519305786</v>
          </cell>
          <cell r="BH41">
            <v>5000</v>
          </cell>
          <cell r="BI41">
            <v>1.8664516514364213E-2</v>
          </cell>
          <cell r="BJ41">
            <v>0</v>
          </cell>
          <cell r="BK41" t="e">
            <v>#DIV/0!</v>
          </cell>
          <cell r="BL41">
            <v>45000</v>
          </cell>
          <cell r="BM41">
            <v>13028.72480694214</v>
          </cell>
          <cell r="BN41">
            <v>-31971.27519305786</v>
          </cell>
          <cell r="BO41">
            <v>5000</v>
          </cell>
          <cell r="BP41">
            <v>1.8664516514364213E-2</v>
          </cell>
          <cell r="BQ41">
            <v>0</v>
          </cell>
          <cell r="BR41" t="e">
            <v>#DIV/0!</v>
          </cell>
          <cell r="BS41">
            <v>50000</v>
          </cell>
          <cell r="BT41">
            <v>13028.72480694214</v>
          </cell>
          <cell r="BU41">
            <v>-36971.27519305786</v>
          </cell>
          <cell r="BV41">
            <v>5000</v>
          </cell>
          <cell r="BW41">
            <v>1.8664516514364213E-2</v>
          </cell>
          <cell r="BX41">
            <v>0</v>
          </cell>
          <cell r="BY41" t="e">
            <v>#DIV/0!</v>
          </cell>
          <cell r="BZ41">
            <v>55000</v>
          </cell>
          <cell r="CA41">
            <v>13028.72480694214</v>
          </cell>
          <cell r="CB41">
            <v>-41971.27519305786</v>
          </cell>
          <cell r="CC41">
            <v>5000</v>
          </cell>
          <cell r="CD41">
            <v>1.8664516514364213E-2</v>
          </cell>
          <cell r="CE41">
            <v>0</v>
          </cell>
          <cell r="CF41" t="e">
            <v>#DIV/0!</v>
          </cell>
          <cell r="CG41">
            <v>60000</v>
          </cell>
          <cell r="CH41">
            <v>13028.72480694214</v>
          </cell>
        </row>
        <row r="42">
          <cell r="A42" t="str">
            <v>Pauta - Gestão de Pauta</v>
          </cell>
          <cell r="B42">
            <v>6.6430940682864299E-3</v>
          </cell>
          <cell r="C42">
            <v>2369.8726016777409</v>
          </cell>
          <cell r="D42">
            <v>2400</v>
          </cell>
          <cell r="E42">
            <v>7.7851304009342159E-3</v>
          </cell>
          <cell r="F42">
            <v>2831.7085381508464</v>
          </cell>
          <cell r="G42">
            <v>9.1855084278929747E-3</v>
          </cell>
          <cell r="H42">
            <v>2400</v>
          </cell>
          <cell r="I42">
            <v>2831.7085381508464</v>
          </cell>
          <cell r="J42">
            <v>431.70853815084638</v>
          </cell>
          <cell r="K42">
            <v>2400</v>
          </cell>
          <cell r="L42">
            <v>7.8180988989510723E-3</v>
          </cell>
          <cell r="M42">
            <v>1859.9348494528365</v>
          </cell>
          <cell r="N42">
            <v>6.0332647250967838E-3</v>
          </cell>
          <cell r="O42">
            <v>4800</v>
          </cell>
          <cell r="P42">
            <v>4691.6433876036826</v>
          </cell>
          <cell r="Q42">
            <v>-108.35661239631736</v>
          </cell>
          <cell r="R42">
            <v>2400</v>
          </cell>
          <cell r="S42">
            <v>8.9589679268948213E-3</v>
          </cell>
          <cell r="T42">
            <v>1946.9525998617073</v>
          </cell>
          <cell r="U42">
            <v>6.3196332117038019E-3</v>
          </cell>
          <cell r="V42">
            <v>7200</v>
          </cell>
          <cell r="W42">
            <v>6638.59598746539</v>
          </cell>
          <cell r="X42">
            <v>-561.40401253461005</v>
          </cell>
          <cell r="Y42">
            <v>2400</v>
          </cell>
          <cell r="Z42">
            <v>8.9589679268948213E-3</v>
          </cell>
          <cell r="AA42">
            <v>0</v>
          </cell>
          <cell r="AB42" t="e">
            <v>#DIV/0!</v>
          </cell>
          <cell r="AC42">
            <v>9600</v>
          </cell>
          <cell r="AD42">
            <v>6638.59598746539</v>
          </cell>
          <cell r="AE42">
            <v>-2961.40401253461</v>
          </cell>
          <cell r="AF42">
            <v>2400</v>
          </cell>
          <cell r="AG42">
            <v>8.9589679268948213E-3</v>
          </cell>
          <cell r="AH42">
            <v>0</v>
          </cell>
          <cell r="AI42" t="e">
            <v>#DIV/0!</v>
          </cell>
          <cell r="AJ42">
            <v>12000</v>
          </cell>
          <cell r="AK42">
            <v>6638.59598746539</v>
          </cell>
          <cell r="AL42">
            <v>-5361.40401253461</v>
          </cell>
          <cell r="AM42">
            <v>2400</v>
          </cell>
          <cell r="AN42">
            <v>8.9589679268948213E-3</v>
          </cell>
          <cell r="AO42">
            <v>0</v>
          </cell>
          <cell r="AP42" t="e">
            <v>#DIV/0!</v>
          </cell>
          <cell r="AQ42">
            <v>14400</v>
          </cell>
          <cell r="AR42">
            <v>6638.59598746539</v>
          </cell>
          <cell r="AS42">
            <v>-7761.40401253461</v>
          </cell>
          <cell r="AT42">
            <v>2400</v>
          </cell>
          <cell r="AU42">
            <v>8.9589679268948213E-3</v>
          </cell>
          <cell r="AV42">
            <v>0</v>
          </cell>
          <cell r="AW42" t="e">
            <v>#DIV/0!</v>
          </cell>
          <cell r="AX42">
            <v>16800</v>
          </cell>
          <cell r="AY42">
            <v>6638.59598746539</v>
          </cell>
          <cell r="AZ42">
            <v>-10161.404012534611</v>
          </cell>
          <cell r="BA42">
            <v>2400</v>
          </cell>
          <cell r="BB42">
            <v>8.9589679268948213E-3</v>
          </cell>
          <cell r="BC42">
            <v>0</v>
          </cell>
          <cell r="BD42" t="e">
            <v>#DIV/0!</v>
          </cell>
          <cell r="BE42">
            <v>19200</v>
          </cell>
          <cell r="BF42">
            <v>6638.59598746539</v>
          </cell>
          <cell r="BG42">
            <v>-12561.404012534611</v>
          </cell>
          <cell r="BH42">
            <v>2400</v>
          </cell>
          <cell r="BI42">
            <v>8.9589679268948213E-3</v>
          </cell>
          <cell r="BJ42">
            <v>0</v>
          </cell>
          <cell r="BK42" t="e">
            <v>#DIV/0!</v>
          </cell>
          <cell r="BL42">
            <v>21600</v>
          </cell>
          <cell r="BM42">
            <v>6638.59598746539</v>
          </cell>
          <cell r="BN42">
            <v>-14961.404012534611</v>
          </cell>
          <cell r="BO42">
            <v>2400</v>
          </cell>
          <cell r="BP42">
            <v>8.9589679268948213E-3</v>
          </cell>
          <cell r="BQ42">
            <v>0</v>
          </cell>
          <cell r="BR42" t="e">
            <v>#DIV/0!</v>
          </cell>
          <cell r="BS42">
            <v>24000</v>
          </cell>
          <cell r="BT42">
            <v>6638.59598746539</v>
          </cell>
          <cell r="BU42">
            <v>-17361.404012534611</v>
          </cell>
          <cell r="BV42">
            <v>2400</v>
          </cell>
          <cell r="BW42">
            <v>8.9589679268948213E-3</v>
          </cell>
          <cell r="BX42">
            <v>0</v>
          </cell>
          <cell r="BY42" t="e">
            <v>#DIV/0!</v>
          </cell>
          <cell r="BZ42">
            <v>26400</v>
          </cell>
          <cell r="CA42">
            <v>6638.59598746539</v>
          </cell>
          <cell r="CB42">
            <v>-19761.404012534611</v>
          </cell>
          <cell r="CC42">
            <v>2400</v>
          </cell>
          <cell r="CD42">
            <v>8.9589679268948213E-3</v>
          </cell>
          <cell r="CE42">
            <v>0</v>
          </cell>
          <cell r="CF42" t="e">
            <v>#DIV/0!</v>
          </cell>
          <cell r="CG42">
            <v>28800</v>
          </cell>
          <cell r="CH42">
            <v>6638.59598746539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2.0760347735824576E-4</v>
          </cell>
          <cell r="F43">
            <v>0</v>
          </cell>
          <cell r="G43">
            <v>0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1.1326885128912503E-3</v>
          </cell>
          <cell r="C44">
            <v>404.07789583333334</v>
          </cell>
          <cell r="D44">
            <v>331.9</v>
          </cell>
          <cell r="E44">
            <v>1.0766186583625276E-3</v>
          </cell>
          <cell r="F44">
            <v>315.61998699999998</v>
          </cell>
          <cell r="G44">
            <v>1.0238094816400673E-3</v>
          </cell>
          <cell r="H44">
            <v>331.9</v>
          </cell>
          <cell r="I44">
            <v>315.61998699999998</v>
          </cell>
          <cell r="J44">
            <v>-16.280012999999997</v>
          </cell>
          <cell r="K44">
            <v>331.9</v>
          </cell>
          <cell r="L44">
            <v>1.0811779269007753E-3</v>
          </cell>
          <cell r="M44">
            <v>314.59989100000001</v>
          </cell>
          <cell r="N44">
            <v>1.0205004898144545E-3</v>
          </cell>
          <cell r="O44">
            <v>663.8</v>
          </cell>
          <cell r="P44">
            <v>630.21987799999999</v>
          </cell>
          <cell r="Q44">
            <v>-33.58012199999996</v>
          </cell>
          <cell r="R44">
            <v>331.9</v>
          </cell>
          <cell r="S44">
            <v>1.2389506062234963E-3</v>
          </cell>
          <cell r="T44">
            <v>315.65594800000002</v>
          </cell>
          <cell r="U44">
            <v>1.0245908465333681E-3</v>
          </cell>
          <cell r="V44">
            <v>995.69999999999993</v>
          </cell>
          <cell r="W44">
            <v>945.87582599999996</v>
          </cell>
          <cell r="X44">
            <v>-49.824173999999971</v>
          </cell>
          <cell r="Y44">
            <v>331.9</v>
          </cell>
          <cell r="Z44">
            <v>1.2389506062234963E-3</v>
          </cell>
          <cell r="AA44">
            <v>0</v>
          </cell>
          <cell r="AB44" t="e">
            <v>#DIV/0!</v>
          </cell>
          <cell r="AC44">
            <v>1327.6</v>
          </cell>
          <cell r="AD44">
            <v>945.87582599999996</v>
          </cell>
          <cell r="AE44">
            <v>-381.72417399999995</v>
          </cell>
          <cell r="AF44">
            <v>331.9</v>
          </cell>
          <cell r="AG44">
            <v>1.2389506062234963E-3</v>
          </cell>
          <cell r="AH44">
            <v>0</v>
          </cell>
          <cell r="AI44" t="e">
            <v>#DIV/0!</v>
          </cell>
          <cell r="AJ44">
            <v>1659.5</v>
          </cell>
          <cell r="AK44">
            <v>945.87582599999996</v>
          </cell>
          <cell r="AL44">
            <v>-713.62417400000004</v>
          </cell>
          <cell r="AM44">
            <v>331.9</v>
          </cell>
          <cell r="AN44">
            <v>1.2389506062234963E-3</v>
          </cell>
          <cell r="AO44">
            <v>0</v>
          </cell>
          <cell r="AP44" t="e">
            <v>#DIV/0!</v>
          </cell>
          <cell r="AQ44">
            <v>1991.4</v>
          </cell>
          <cell r="AR44">
            <v>945.87582599999996</v>
          </cell>
          <cell r="AS44">
            <v>-1045.5241740000001</v>
          </cell>
          <cell r="AT44">
            <v>331.9</v>
          </cell>
          <cell r="AU44">
            <v>1.2389506062234963E-3</v>
          </cell>
          <cell r="AV44">
            <v>0</v>
          </cell>
          <cell r="AW44" t="e">
            <v>#DIV/0!</v>
          </cell>
          <cell r="AX44">
            <v>2323.3000000000002</v>
          </cell>
          <cell r="AY44">
            <v>945.87582599999996</v>
          </cell>
          <cell r="AZ44">
            <v>-1377.4241740000002</v>
          </cell>
          <cell r="BA44">
            <v>331.9</v>
          </cell>
          <cell r="BB44">
            <v>1.2389506062234963E-3</v>
          </cell>
          <cell r="BC44">
            <v>0</v>
          </cell>
          <cell r="BD44" t="e">
            <v>#DIV/0!</v>
          </cell>
          <cell r="BE44">
            <v>2655.2000000000003</v>
          </cell>
          <cell r="BF44">
            <v>945.87582599999996</v>
          </cell>
          <cell r="BG44">
            <v>-1709.3241740000003</v>
          </cell>
          <cell r="BH44">
            <v>331.9</v>
          </cell>
          <cell r="BI44">
            <v>1.2389506062234963E-3</v>
          </cell>
          <cell r="BJ44">
            <v>0</v>
          </cell>
          <cell r="BK44" t="e">
            <v>#DIV/0!</v>
          </cell>
          <cell r="BL44">
            <v>2987.1000000000004</v>
          </cell>
          <cell r="BM44">
            <v>945.87582599999996</v>
          </cell>
          <cell r="BN44">
            <v>-2041.2241740000004</v>
          </cell>
          <cell r="BO44">
            <v>331.9</v>
          </cell>
          <cell r="BP44">
            <v>1.2389506062234963E-3</v>
          </cell>
          <cell r="BQ44">
            <v>0</v>
          </cell>
          <cell r="BR44" t="e">
            <v>#DIV/0!</v>
          </cell>
          <cell r="BS44">
            <v>3319.0000000000005</v>
          </cell>
          <cell r="BT44">
            <v>945.87582599999996</v>
          </cell>
          <cell r="BU44">
            <v>-2373.1241740000005</v>
          </cell>
          <cell r="BV44">
            <v>331.9</v>
          </cell>
          <cell r="BW44">
            <v>1.2389506062234963E-3</v>
          </cell>
          <cell r="BX44">
            <v>0</v>
          </cell>
          <cell r="BY44" t="e">
            <v>#DIV/0!</v>
          </cell>
          <cell r="BZ44">
            <v>3650.9000000000005</v>
          </cell>
          <cell r="CA44">
            <v>945.87582599999996</v>
          </cell>
          <cell r="CB44">
            <v>-2705.0241740000006</v>
          </cell>
          <cell r="CC44">
            <v>331.9</v>
          </cell>
          <cell r="CD44">
            <v>1.2389506062234963E-3</v>
          </cell>
          <cell r="CE44">
            <v>0</v>
          </cell>
          <cell r="CF44" t="e">
            <v>#DIV/0!</v>
          </cell>
          <cell r="CG44">
            <v>3982.8000000000006</v>
          </cell>
          <cell r="CH44">
            <v>945.87582599999996</v>
          </cell>
        </row>
        <row r="45">
          <cell r="A45" t="str">
            <v>Plano de Saúde</v>
          </cell>
          <cell r="B45">
            <v>3.7753172068305613E-2</v>
          </cell>
          <cell r="C45">
            <v>13468.153121333335</v>
          </cell>
          <cell r="D45">
            <v>13550.71</v>
          </cell>
          <cell r="E45">
            <v>4.3955851823018033E-2</v>
          </cell>
          <cell r="F45">
            <v>16409.994042999999</v>
          </cell>
          <cell r="G45">
            <v>5.3230809793045279E-2</v>
          </cell>
          <cell r="H45">
            <v>13550.71</v>
          </cell>
          <cell r="I45">
            <v>16409.994042999999</v>
          </cell>
          <cell r="J45">
            <v>2859.2840429999997</v>
          </cell>
          <cell r="K45">
            <v>13550.71</v>
          </cell>
          <cell r="L45">
            <v>4.4141996221252193E-2</v>
          </cell>
          <cell r="M45">
            <v>14190.536257</v>
          </cell>
          <cell r="N45">
            <v>4.6031323008304141E-2</v>
          </cell>
          <cell r="O45">
            <v>27101.42</v>
          </cell>
          <cell r="P45">
            <v>30600.530299999999</v>
          </cell>
          <cell r="Q45">
            <v>3499.1103000000003</v>
          </cell>
          <cell r="R45">
            <v>13550.71</v>
          </cell>
          <cell r="S45">
            <v>5.0583490115272051E-2</v>
          </cell>
          <cell r="T45">
            <v>15843.655382000001</v>
          </cell>
          <cell r="U45">
            <v>5.1427081868345888E-2</v>
          </cell>
          <cell r="V45">
            <v>40652.129999999997</v>
          </cell>
          <cell r="W45">
            <v>46444.185681999996</v>
          </cell>
          <cell r="X45">
            <v>5792.0556819999983</v>
          </cell>
          <cell r="Y45">
            <v>13550.71</v>
          </cell>
          <cell r="Z45">
            <v>5.0583490115272051E-2</v>
          </cell>
          <cell r="AA45">
            <v>0</v>
          </cell>
          <cell r="AB45" t="e">
            <v>#DIV/0!</v>
          </cell>
          <cell r="AC45">
            <v>54202.84</v>
          </cell>
          <cell r="AD45">
            <v>46444.185681999996</v>
          </cell>
          <cell r="AE45">
            <v>-7758.6543180000008</v>
          </cell>
          <cell r="AF45">
            <v>13550.71</v>
          </cell>
          <cell r="AG45">
            <v>5.0583490115272051E-2</v>
          </cell>
          <cell r="AH45">
            <v>0</v>
          </cell>
          <cell r="AI45" t="e">
            <v>#DIV/0!</v>
          </cell>
          <cell r="AJ45">
            <v>67753.549999999988</v>
          </cell>
          <cell r="AK45">
            <v>46444.185681999996</v>
          </cell>
          <cell r="AL45">
            <v>-21309.364317999993</v>
          </cell>
          <cell r="AM45">
            <v>13550.71</v>
          </cell>
          <cell r="AN45">
            <v>5.0583490115272051E-2</v>
          </cell>
          <cell r="AO45">
            <v>0</v>
          </cell>
          <cell r="AP45" t="e">
            <v>#DIV/0!</v>
          </cell>
          <cell r="AQ45">
            <v>81304.25999999998</v>
          </cell>
          <cell r="AR45">
            <v>46444.185681999996</v>
          </cell>
          <cell r="AS45">
            <v>-34860.074317999984</v>
          </cell>
          <cell r="AT45">
            <v>13550.71</v>
          </cell>
          <cell r="AU45">
            <v>5.0583490115272051E-2</v>
          </cell>
          <cell r="AV45">
            <v>0</v>
          </cell>
          <cell r="AW45" t="e">
            <v>#DIV/0!</v>
          </cell>
          <cell r="AX45">
            <v>94854.969999999972</v>
          </cell>
          <cell r="AY45">
            <v>46444.185681999996</v>
          </cell>
          <cell r="AZ45">
            <v>-48410.784317999976</v>
          </cell>
          <cell r="BA45">
            <v>13550.71</v>
          </cell>
          <cell r="BB45">
            <v>5.0583490115272051E-2</v>
          </cell>
          <cell r="BC45">
            <v>0</v>
          </cell>
          <cell r="BD45" t="e">
            <v>#DIV/0!</v>
          </cell>
          <cell r="BE45">
            <v>108405.67999999996</v>
          </cell>
          <cell r="BF45">
            <v>46444.185681999996</v>
          </cell>
          <cell r="BG45">
            <v>-61961.494317999968</v>
          </cell>
          <cell r="BH45">
            <v>13550.71</v>
          </cell>
          <cell r="BI45">
            <v>5.0583490115272051E-2</v>
          </cell>
          <cell r="BJ45">
            <v>0</v>
          </cell>
          <cell r="BK45" t="e">
            <v>#DIV/0!</v>
          </cell>
          <cell r="BL45">
            <v>121956.38999999996</v>
          </cell>
          <cell r="BM45">
            <v>46444.185681999996</v>
          </cell>
          <cell r="BN45">
            <v>-75512.20431799996</v>
          </cell>
          <cell r="BO45">
            <v>15583.316499999999</v>
          </cell>
          <cell r="BP45">
            <v>5.8171013632562857E-2</v>
          </cell>
          <cell r="BQ45">
            <v>0</v>
          </cell>
          <cell r="BR45" t="e">
            <v>#DIV/0!</v>
          </cell>
          <cell r="BS45">
            <v>137539.70649999994</v>
          </cell>
          <cell r="BT45">
            <v>46444.185681999996</v>
          </cell>
          <cell r="BU45">
            <v>-91095.520817999946</v>
          </cell>
          <cell r="BV45">
            <v>15583.316499999999</v>
          </cell>
          <cell r="BW45">
            <v>5.8171013632562857E-2</v>
          </cell>
          <cell r="BX45">
            <v>0</v>
          </cell>
          <cell r="BY45" t="e">
            <v>#DIV/0!</v>
          </cell>
          <cell r="BZ45">
            <v>153123.02299999993</v>
          </cell>
          <cell r="CA45">
            <v>46444.185681999996</v>
          </cell>
          <cell r="CB45">
            <v>-106678.83731799993</v>
          </cell>
          <cell r="CC45">
            <v>15583.316499999999</v>
          </cell>
          <cell r="CD45">
            <v>5.8171013632562857E-2</v>
          </cell>
          <cell r="CE45">
            <v>0</v>
          </cell>
          <cell r="CF45" t="e">
            <v>#DIV/0!</v>
          </cell>
          <cell r="CG45">
            <v>168706.33949999991</v>
          </cell>
          <cell r="CH45">
            <v>46444.185681999996</v>
          </cell>
        </row>
        <row r="46">
          <cell r="A46" t="str">
            <v>Plano Odontológico</v>
          </cell>
          <cell r="B46">
            <v>6.8265663670611894E-4</v>
          </cell>
          <cell r="C46">
            <v>243.53249300000002</v>
          </cell>
          <cell r="D46">
            <v>248.2</v>
          </cell>
          <cell r="E46">
            <v>8.0511223562994673E-4</v>
          </cell>
          <cell r="F46">
            <v>248.73997399999999</v>
          </cell>
          <cell r="G46">
            <v>8.0686380563124434E-4</v>
          </cell>
          <cell r="H46">
            <v>248.2</v>
          </cell>
          <cell r="I46">
            <v>248.73997399999999</v>
          </cell>
          <cell r="J46">
            <v>0.53997400000000084</v>
          </cell>
          <cell r="K46">
            <v>248.2</v>
          </cell>
          <cell r="L46">
            <v>8.085217277998566E-4</v>
          </cell>
          <cell r="M46">
            <v>248.73997399999999</v>
          </cell>
          <cell r="N46">
            <v>8.0686380563124434E-4</v>
          </cell>
          <cell r="O46">
            <v>496.4</v>
          </cell>
          <cell r="P46">
            <v>497.47994799999998</v>
          </cell>
          <cell r="Q46">
            <v>1.0799480000000017</v>
          </cell>
          <cell r="R46">
            <v>248.2</v>
          </cell>
          <cell r="S46">
            <v>9.265065997730394E-4</v>
          </cell>
          <cell r="T46">
            <v>248.74002100000001</v>
          </cell>
          <cell r="U46">
            <v>8.073877596728123E-4</v>
          </cell>
          <cell r="V46">
            <v>744.59999999999991</v>
          </cell>
          <cell r="W46">
            <v>746.21996899999999</v>
          </cell>
          <cell r="X46">
            <v>1.6199690000000828</v>
          </cell>
          <cell r="Y46">
            <v>248.2</v>
          </cell>
          <cell r="Z46">
            <v>9.265065997730394E-4</v>
          </cell>
          <cell r="AA46">
            <v>0</v>
          </cell>
          <cell r="AB46" t="e">
            <v>#DIV/0!</v>
          </cell>
          <cell r="AC46">
            <v>992.8</v>
          </cell>
          <cell r="AD46">
            <v>746.21996899999999</v>
          </cell>
          <cell r="AE46">
            <v>-246.58003099999996</v>
          </cell>
          <cell r="AF46">
            <v>248.2</v>
          </cell>
          <cell r="AG46">
            <v>9.265065997730394E-4</v>
          </cell>
          <cell r="AH46">
            <v>0</v>
          </cell>
          <cell r="AI46" t="e">
            <v>#DIV/0!</v>
          </cell>
          <cell r="AJ46">
            <v>1241</v>
          </cell>
          <cell r="AK46">
            <v>746.21996899999999</v>
          </cell>
          <cell r="AL46">
            <v>-494.78003100000001</v>
          </cell>
          <cell r="AM46">
            <v>248.2</v>
          </cell>
          <cell r="AN46">
            <v>9.265065997730394E-4</v>
          </cell>
          <cell r="AO46">
            <v>0</v>
          </cell>
          <cell r="AP46" t="e">
            <v>#DIV/0!</v>
          </cell>
          <cell r="AQ46">
            <v>1489.2</v>
          </cell>
          <cell r="AR46">
            <v>746.21996899999999</v>
          </cell>
          <cell r="AS46">
            <v>-742.98003100000005</v>
          </cell>
          <cell r="AT46">
            <v>248.2</v>
          </cell>
          <cell r="AU46">
            <v>9.265065997730394E-4</v>
          </cell>
          <cell r="AV46">
            <v>0</v>
          </cell>
          <cell r="AW46" t="e">
            <v>#DIV/0!</v>
          </cell>
          <cell r="AX46">
            <v>1737.4</v>
          </cell>
          <cell r="AY46">
            <v>746.21996899999999</v>
          </cell>
          <cell r="AZ46">
            <v>-991.1800310000001</v>
          </cell>
          <cell r="BA46">
            <v>248.2</v>
          </cell>
          <cell r="BB46">
            <v>9.265065997730394E-4</v>
          </cell>
          <cell r="BC46">
            <v>0</v>
          </cell>
          <cell r="BD46" t="e">
            <v>#DIV/0!</v>
          </cell>
          <cell r="BE46">
            <v>1985.6000000000001</v>
          </cell>
          <cell r="BF46">
            <v>746.21996899999999</v>
          </cell>
          <cell r="BG46">
            <v>-1239.3800310000001</v>
          </cell>
          <cell r="BH46">
            <v>248.2</v>
          </cell>
          <cell r="BI46">
            <v>9.265065997730394E-4</v>
          </cell>
          <cell r="BJ46">
            <v>0</v>
          </cell>
          <cell r="BK46" t="e">
            <v>#DIV/0!</v>
          </cell>
          <cell r="BL46">
            <v>2233.8000000000002</v>
          </cell>
          <cell r="BM46">
            <v>746.21996899999999</v>
          </cell>
          <cell r="BN46">
            <v>-1487.5800310000002</v>
          </cell>
          <cell r="BO46">
            <v>248.2</v>
          </cell>
          <cell r="BP46">
            <v>9.265065997730394E-4</v>
          </cell>
          <cell r="BQ46">
            <v>0</v>
          </cell>
          <cell r="BR46" t="e">
            <v>#DIV/0!</v>
          </cell>
          <cell r="BS46">
            <v>2482</v>
          </cell>
          <cell r="BT46">
            <v>746.21996899999999</v>
          </cell>
          <cell r="BU46">
            <v>-1735.780031</v>
          </cell>
          <cell r="BV46">
            <v>248.2</v>
          </cell>
          <cell r="BW46">
            <v>9.265065997730394E-4</v>
          </cell>
          <cell r="BX46">
            <v>0</v>
          </cell>
          <cell r="BY46" t="e">
            <v>#DIV/0!</v>
          </cell>
          <cell r="BZ46">
            <v>2730.2</v>
          </cell>
          <cell r="CA46">
            <v>746.21996899999999</v>
          </cell>
          <cell r="CB46">
            <v>-1983.9800309999998</v>
          </cell>
          <cell r="CC46">
            <v>248.2</v>
          </cell>
          <cell r="CD46">
            <v>9.265065997730394E-4</v>
          </cell>
          <cell r="CE46">
            <v>0</v>
          </cell>
          <cell r="CF46" t="e">
            <v>#DIV/0!</v>
          </cell>
          <cell r="CG46">
            <v>2978.3999999999996</v>
          </cell>
          <cell r="CH46">
            <v>746.21996899999999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0.27244031882258607</v>
          </cell>
          <cell r="C48">
            <v>97190.98367916666</v>
          </cell>
          <cell r="D48">
            <v>95204.07</v>
          </cell>
          <cell r="E48">
            <v>0.30882337485402883</v>
          </cell>
          <cell r="F48">
            <v>88976.74500000001</v>
          </cell>
          <cell r="G48">
            <v>0.2886231510315298</v>
          </cell>
          <cell r="H48">
            <v>95204.07</v>
          </cell>
          <cell r="I48">
            <v>88976.74500000001</v>
          </cell>
          <cell r="J48">
            <v>-6227.3249999999971</v>
          </cell>
          <cell r="K48">
            <v>95204.07</v>
          </cell>
          <cell r="L48">
            <v>0.310131181184442</v>
          </cell>
          <cell r="M48">
            <v>82418.145000000004</v>
          </cell>
          <cell r="N48">
            <v>0.26734833592837681</v>
          </cell>
          <cell r="O48">
            <v>190408.14</v>
          </cell>
          <cell r="P48">
            <v>171394.89</v>
          </cell>
          <cell r="Q48">
            <v>-19013.25</v>
          </cell>
          <cell r="R48">
            <v>95204.07</v>
          </cell>
          <cell r="S48">
            <v>0.35538758734993731</v>
          </cell>
          <cell r="T48">
            <v>92835.27</v>
          </cell>
          <cell r="U48">
            <v>0.30133494546870943</v>
          </cell>
          <cell r="V48">
            <v>285612.21000000002</v>
          </cell>
          <cell r="W48">
            <v>264230.16000000003</v>
          </cell>
          <cell r="X48">
            <v>-21382.049999999988</v>
          </cell>
          <cell r="Y48">
            <v>96204.07</v>
          </cell>
          <cell r="Z48">
            <v>0.35912049065281015</v>
          </cell>
          <cell r="AA48">
            <v>0</v>
          </cell>
          <cell r="AB48" t="e">
            <v>#DIV/0!</v>
          </cell>
          <cell r="AC48">
            <v>381816.28</v>
          </cell>
          <cell r="AD48">
            <v>264230.16000000003</v>
          </cell>
          <cell r="AE48">
            <v>-117586.12</v>
          </cell>
          <cell r="AF48">
            <v>96204.07</v>
          </cell>
          <cell r="AG48">
            <v>0.35912049065281015</v>
          </cell>
          <cell r="AH48">
            <v>0</v>
          </cell>
          <cell r="AI48" t="e">
            <v>#DIV/0!</v>
          </cell>
          <cell r="AJ48">
            <v>478020.35000000003</v>
          </cell>
          <cell r="AK48">
            <v>264230.16000000003</v>
          </cell>
          <cell r="AL48">
            <v>-213790.19</v>
          </cell>
          <cell r="AM48">
            <v>96204.07</v>
          </cell>
          <cell r="AN48">
            <v>0.35912049065281015</v>
          </cell>
          <cell r="AO48">
            <v>0</v>
          </cell>
          <cell r="AP48" t="e">
            <v>#DIV/0!</v>
          </cell>
          <cell r="AQ48">
            <v>574224.42000000004</v>
          </cell>
          <cell r="AR48">
            <v>264230.16000000003</v>
          </cell>
          <cell r="AS48">
            <v>-309994.26</v>
          </cell>
          <cell r="AT48">
            <v>96204.07</v>
          </cell>
          <cell r="AU48">
            <v>0.35912049065281015</v>
          </cell>
          <cell r="AV48">
            <v>0</v>
          </cell>
          <cell r="AW48" t="e">
            <v>#DIV/0!</v>
          </cell>
          <cell r="AX48">
            <v>670428.49</v>
          </cell>
          <cell r="AY48">
            <v>264230.16000000003</v>
          </cell>
          <cell r="AZ48">
            <v>-406198.32999999996</v>
          </cell>
          <cell r="BA48">
            <v>96204.07</v>
          </cell>
          <cell r="BB48">
            <v>0.35912049065281015</v>
          </cell>
          <cell r="BC48">
            <v>0</v>
          </cell>
          <cell r="BD48" t="e">
            <v>#DIV/0!</v>
          </cell>
          <cell r="BE48">
            <v>766632.56</v>
          </cell>
          <cell r="BF48">
            <v>264230.16000000003</v>
          </cell>
          <cell r="BG48">
            <v>-502402.4</v>
          </cell>
          <cell r="BH48">
            <v>96204.07</v>
          </cell>
          <cell r="BI48">
            <v>0.35912049065281015</v>
          </cell>
          <cell r="BJ48">
            <v>0</v>
          </cell>
          <cell r="BK48" t="e">
            <v>#DIV/0!</v>
          </cell>
          <cell r="BL48">
            <v>862836.63000000012</v>
          </cell>
          <cell r="BM48">
            <v>264230.16000000003</v>
          </cell>
          <cell r="BN48">
            <v>-598606.47000000009</v>
          </cell>
          <cell r="BO48">
            <v>96204.07</v>
          </cell>
          <cell r="BP48">
            <v>0.35912049065281015</v>
          </cell>
          <cell r="BQ48">
            <v>0</v>
          </cell>
          <cell r="BR48" t="e">
            <v>#DIV/0!</v>
          </cell>
          <cell r="BS48">
            <v>959040.70000000019</v>
          </cell>
          <cell r="BT48">
            <v>264230.16000000003</v>
          </cell>
          <cell r="BU48">
            <v>-694810.54000000015</v>
          </cell>
          <cell r="BV48">
            <v>96204.07</v>
          </cell>
          <cell r="BW48">
            <v>0.35912049065281015</v>
          </cell>
          <cell r="BX48">
            <v>0</v>
          </cell>
          <cell r="BY48" t="e">
            <v>#DIV/0!</v>
          </cell>
          <cell r="BZ48">
            <v>1055244.7700000003</v>
          </cell>
          <cell r="CA48">
            <v>264230.16000000003</v>
          </cell>
          <cell r="CB48">
            <v>-791014.61000000022</v>
          </cell>
          <cell r="CC48">
            <v>96204.07</v>
          </cell>
          <cell r="CD48">
            <v>0.35912049065281015</v>
          </cell>
          <cell r="CE48">
            <v>0</v>
          </cell>
          <cell r="CF48" t="e">
            <v>#DIV/0!</v>
          </cell>
          <cell r="CG48">
            <v>1151448.8400000003</v>
          </cell>
          <cell r="CH48">
            <v>264230.16000000003</v>
          </cell>
        </row>
        <row r="49">
          <cell r="A49" t="str">
            <v>Pesquisas/Consultas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7.5116656489307458E-3</v>
          </cell>
          <cell r="C51">
            <v>2679.7288178333333</v>
          </cell>
          <cell r="D51">
            <v>2814</v>
          </cell>
          <cell r="E51">
            <v>9.1280653950953673E-3</v>
          </cell>
          <cell r="F51">
            <v>2052.9199060000001</v>
          </cell>
          <cell r="G51">
            <v>6.6592704878681722E-3</v>
          </cell>
          <cell r="H51">
            <v>2814</v>
          </cell>
          <cell r="I51">
            <v>2052.9199060000001</v>
          </cell>
          <cell r="J51">
            <v>-761.08009399999992</v>
          </cell>
          <cell r="K51">
            <v>2814</v>
          </cell>
          <cell r="L51">
            <v>9.1667209590201321E-3</v>
          </cell>
          <cell r="M51">
            <v>2324.6304599999999</v>
          </cell>
          <cell r="N51">
            <v>7.5406463604515373E-3</v>
          </cell>
          <cell r="O51">
            <v>5628</v>
          </cell>
          <cell r="P51">
            <v>4377.5503659999995</v>
          </cell>
          <cell r="Q51">
            <v>-1250.4496340000005</v>
          </cell>
          <cell r="R51">
            <v>2814</v>
          </cell>
          <cell r="S51">
            <v>1.0504389894284179E-2</v>
          </cell>
          <cell r="T51">
            <v>2460.1204630000002</v>
          </cell>
          <cell r="U51">
            <v>7.9853299889639066E-3</v>
          </cell>
          <cell r="V51">
            <v>8442</v>
          </cell>
          <cell r="W51">
            <v>6837.6708289999997</v>
          </cell>
          <cell r="X51">
            <v>-1604.3291710000003</v>
          </cell>
          <cell r="Y51">
            <v>2814</v>
          </cell>
          <cell r="Z51">
            <v>1.0504389894284179E-2</v>
          </cell>
          <cell r="AA51">
            <v>0</v>
          </cell>
          <cell r="AB51" t="e">
            <v>#DIV/0!</v>
          </cell>
          <cell r="AC51">
            <v>11256</v>
          </cell>
          <cell r="AD51">
            <v>6837.6708289999997</v>
          </cell>
          <cell r="AE51">
            <v>-4418.3291710000003</v>
          </cell>
          <cell r="AF51">
            <v>2814</v>
          </cell>
          <cell r="AG51">
            <v>1.0504389894284179E-2</v>
          </cell>
          <cell r="AH51">
            <v>0</v>
          </cell>
          <cell r="AI51" t="e">
            <v>#DIV/0!</v>
          </cell>
          <cell r="AJ51">
            <v>14070</v>
          </cell>
          <cell r="AK51">
            <v>6837.6708289999997</v>
          </cell>
          <cell r="AL51">
            <v>-7232.3291710000003</v>
          </cell>
          <cell r="AM51">
            <v>2814</v>
          </cell>
          <cell r="AN51">
            <v>1.0504389894284179E-2</v>
          </cell>
          <cell r="AO51">
            <v>0</v>
          </cell>
          <cell r="AP51" t="e">
            <v>#DIV/0!</v>
          </cell>
          <cell r="AQ51">
            <v>16884</v>
          </cell>
          <cell r="AR51">
            <v>6837.6708289999997</v>
          </cell>
          <cell r="AS51">
            <v>-10046.329171000001</v>
          </cell>
          <cell r="AT51">
            <v>2814</v>
          </cell>
          <cell r="AU51">
            <v>1.0504389894284179E-2</v>
          </cell>
          <cell r="AV51">
            <v>0</v>
          </cell>
          <cell r="AW51" t="e">
            <v>#DIV/0!</v>
          </cell>
          <cell r="AX51">
            <v>19698</v>
          </cell>
          <cell r="AY51">
            <v>6837.6708289999997</v>
          </cell>
          <cell r="AZ51">
            <v>-12860.329171000001</v>
          </cell>
          <cell r="BA51">
            <v>2814</v>
          </cell>
          <cell r="BB51">
            <v>1.0504389894284179E-2</v>
          </cell>
          <cell r="BC51">
            <v>0</v>
          </cell>
          <cell r="BD51" t="e">
            <v>#DIV/0!</v>
          </cell>
          <cell r="BE51">
            <v>22512</v>
          </cell>
          <cell r="BF51">
            <v>6837.6708289999997</v>
          </cell>
          <cell r="BG51">
            <v>-15674.329171000001</v>
          </cell>
          <cell r="BH51">
            <v>2814</v>
          </cell>
          <cell r="BI51">
            <v>1.0504389894284179E-2</v>
          </cell>
          <cell r="BJ51">
            <v>0</v>
          </cell>
          <cell r="BK51" t="e">
            <v>#DIV/0!</v>
          </cell>
          <cell r="BL51">
            <v>25326</v>
          </cell>
          <cell r="BM51">
            <v>6837.6708289999997</v>
          </cell>
          <cell r="BN51">
            <v>-18488.329171000001</v>
          </cell>
          <cell r="BO51">
            <v>2814</v>
          </cell>
          <cell r="BP51">
            <v>1.0504389894284179E-2</v>
          </cell>
          <cell r="BQ51">
            <v>0</v>
          </cell>
          <cell r="BR51" t="e">
            <v>#DIV/0!</v>
          </cell>
          <cell r="BS51">
            <v>28140</v>
          </cell>
          <cell r="BT51">
            <v>6837.6708289999997</v>
          </cell>
          <cell r="BU51">
            <v>-21302.329171000001</v>
          </cell>
          <cell r="BV51">
            <v>2814</v>
          </cell>
          <cell r="BW51">
            <v>1.0504389894284179E-2</v>
          </cell>
          <cell r="BX51">
            <v>0</v>
          </cell>
          <cell r="BY51" t="e">
            <v>#DIV/0!</v>
          </cell>
          <cell r="BZ51">
            <v>30954</v>
          </cell>
          <cell r="CA51">
            <v>6837.6708289999997</v>
          </cell>
          <cell r="CB51">
            <v>-24116.329171000001</v>
          </cell>
          <cell r="CC51">
            <v>2814</v>
          </cell>
          <cell r="CD51">
            <v>1.0504389894284179E-2</v>
          </cell>
          <cell r="CE51">
            <v>0</v>
          </cell>
          <cell r="CF51" t="e">
            <v>#DIV/0!</v>
          </cell>
          <cell r="CG51">
            <v>33768</v>
          </cell>
          <cell r="CH51">
            <v>6837.6708289999997</v>
          </cell>
        </row>
        <row r="52">
          <cell r="A52" t="str">
            <v>Vale Transporte</v>
          </cell>
          <cell r="B52">
            <v>1.3077554235871717E-3</v>
          </cell>
          <cell r="C52">
            <v>466.53166675000006</v>
          </cell>
          <cell r="D52">
            <v>400</v>
          </cell>
          <cell r="E52">
            <v>1.297521733489036E-3</v>
          </cell>
          <cell r="F52">
            <v>171.00000199999999</v>
          </cell>
          <cell r="G52">
            <v>5.5469054755417154E-4</v>
          </cell>
          <cell r="H52">
            <v>400</v>
          </cell>
          <cell r="I52">
            <v>171.00000199999999</v>
          </cell>
          <cell r="J52">
            <v>-228.99999800000001</v>
          </cell>
          <cell r="K52">
            <v>400</v>
          </cell>
          <cell r="L52">
            <v>1.3030164831585121E-3</v>
          </cell>
          <cell r="M52">
            <v>249.60054299999999</v>
          </cell>
          <cell r="N52">
            <v>8.0965532308291161E-4</v>
          </cell>
          <cell r="O52">
            <v>800</v>
          </cell>
          <cell r="P52">
            <v>420.60054500000001</v>
          </cell>
          <cell r="Q52">
            <v>-379.39945499999999</v>
          </cell>
          <cell r="R52">
            <v>400</v>
          </cell>
          <cell r="S52">
            <v>1.493161321149137E-3</v>
          </cell>
          <cell r="T52">
            <v>268.8</v>
          </cell>
          <cell r="U52">
            <v>8.7250064918203063E-4</v>
          </cell>
          <cell r="V52">
            <v>1200</v>
          </cell>
          <cell r="W52">
            <v>689.40054499999997</v>
          </cell>
          <cell r="X52">
            <v>-510.59945500000003</v>
          </cell>
          <cell r="Y52">
            <v>400</v>
          </cell>
          <cell r="Z52">
            <v>1.493161321149137E-3</v>
          </cell>
          <cell r="AA52">
            <v>0</v>
          </cell>
          <cell r="AB52" t="e">
            <v>#DIV/0!</v>
          </cell>
          <cell r="AC52">
            <v>1600</v>
          </cell>
          <cell r="AD52">
            <v>689.40054499999997</v>
          </cell>
          <cell r="AE52">
            <v>-910.59945500000003</v>
          </cell>
          <cell r="AF52">
            <v>400</v>
          </cell>
          <cell r="AG52">
            <v>1.493161321149137E-3</v>
          </cell>
          <cell r="AH52">
            <v>0</v>
          </cell>
          <cell r="AI52" t="e">
            <v>#DIV/0!</v>
          </cell>
          <cell r="AJ52">
            <v>2000</v>
          </cell>
          <cell r="AK52">
            <v>689.40054499999997</v>
          </cell>
          <cell r="AL52">
            <v>-1310.599455</v>
          </cell>
          <cell r="AM52">
            <v>400</v>
          </cell>
          <cell r="AN52">
            <v>1.493161321149137E-3</v>
          </cell>
          <cell r="AO52">
            <v>0</v>
          </cell>
          <cell r="AP52" t="e">
            <v>#DIV/0!</v>
          </cell>
          <cell r="AQ52">
            <v>2400</v>
          </cell>
          <cell r="AR52">
            <v>689.40054499999997</v>
          </cell>
          <cell r="AS52">
            <v>-1710.599455</v>
          </cell>
          <cell r="AT52">
            <v>400</v>
          </cell>
          <cell r="AU52">
            <v>1.493161321149137E-3</v>
          </cell>
          <cell r="AV52">
            <v>0</v>
          </cell>
          <cell r="AW52" t="e">
            <v>#DIV/0!</v>
          </cell>
          <cell r="AX52">
            <v>2800</v>
          </cell>
          <cell r="AY52">
            <v>689.40054499999997</v>
          </cell>
          <cell r="AZ52">
            <v>-2110.599455</v>
          </cell>
          <cell r="BA52">
            <v>400</v>
          </cell>
          <cell r="BB52">
            <v>1.493161321149137E-3</v>
          </cell>
          <cell r="BC52">
            <v>0</v>
          </cell>
          <cell r="BD52" t="e">
            <v>#DIV/0!</v>
          </cell>
          <cell r="BE52">
            <v>3200</v>
          </cell>
          <cell r="BF52">
            <v>689.40054499999997</v>
          </cell>
          <cell r="BG52">
            <v>-2510.599455</v>
          </cell>
          <cell r="BH52">
            <v>400</v>
          </cell>
          <cell r="BI52">
            <v>1.493161321149137E-3</v>
          </cell>
          <cell r="BJ52">
            <v>0</v>
          </cell>
          <cell r="BK52" t="e">
            <v>#DIV/0!</v>
          </cell>
          <cell r="BL52">
            <v>3600</v>
          </cell>
          <cell r="BM52">
            <v>689.40054499999997</v>
          </cell>
          <cell r="BN52">
            <v>-2910.599455</v>
          </cell>
          <cell r="BO52">
            <v>400</v>
          </cell>
          <cell r="BP52">
            <v>1.493161321149137E-3</v>
          </cell>
          <cell r="BQ52">
            <v>0</v>
          </cell>
          <cell r="BR52" t="e">
            <v>#DIV/0!</v>
          </cell>
          <cell r="BS52">
            <v>4000</v>
          </cell>
          <cell r="BT52">
            <v>689.40054499999997</v>
          </cell>
          <cell r="BU52">
            <v>-3310.599455</v>
          </cell>
          <cell r="BV52">
            <v>400</v>
          </cell>
          <cell r="BW52">
            <v>1.493161321149137E-3</v>
          </cell>
          <cell r="BX52">
            <v>0</v>
          </cell>
          <cell r="BY52" t="e">
            <v>#DIV/0!</v>
          </cell>
          <cell r="BZ52">
            <v>4400</v>
          </cell>
          <cell r="CA52">
            <v>689.40054499999997</v>
          </cell>
          <cell r="CB52">
            <v>-3710.599455</v>
          </cell>
          <cell r="CC52">
            <v>400</v>
          </cell>
          <cell r="CD52">
            <v>1.493161321149137E-3</v>
          </cell>
          <cell r="CE52">
            <v>0</v>
          </cell>
          <cell r="CF52" t="e">
            <v>#DIV/0!</v>
          </cell>
          <cell r="CG52">
            <v>4800</v>
          </cell>
          <cell r="CH52">
            <v>689.40054499999997</v>
          </cell>
        </row>
        <row r="53">
          <cell r="A53" t="str">
            <v>Viagens - Alimentação / Hospedagem</v>
          </cell>
          <cell r="B53">
            <v>8.9137641960261924E-5</v>
          </cell>
          <cell r="C53">
            <v>31.799166666666665</v>
          </cell>
          <cell r="D53">
            <v>392</v>
          </cell>
          <cell r="E53">
            <v>1.2715712988192551E-3</v>
          </cell>
          <cell r="F53">
            <v>0</v>
          </cell>
          <cell r="G53">
            <v>0</v>
          </cell>
          <cell r="H53">
            <v>392</v>
          </cell>
          <cell r="I53">
            <v>0</v>
          </cell>
          <cell r="J53">
            <v>-392</v>
          </cell>
          <cell r="K53">
            <v>392</v>
          </cell>
          <cell r="L53">
            <v>1.2769561534953418E-3</v>
          </cell>
          <cell r="M53">
            <v>0</v>
          </cell>
          <cell r="N53">
            <v>0</v>
          </cell>
          <cell r="O53">
            <v>784</v>
          </cell>
          <cell r="P53">
            <v>0</v>
          </cell>
          <cell r="Q53">
            <v>-784</v>
          </cell>
          <cell r="R53">
            <v>392</v>
          </cell>
          <cell r="S53">
            <v>1.4632980947261543E-3</v>
          </cell>
          <cell r="T53">
            <v>693.28</v>
          </cell>
          <cell r="U53">
            <v>2.2503245910153206E-3</v>
          </cell>
          <cell r="V53">
            <v>1176</v>
          </cell>
          <cell r="W53">
            <v>693.28</v>
          </cell>
          <cell r="X53">
            <v>-482.72</v>
          </cell>
          <cell r="Y53">
            <v>392</v>
          </cell>
          <cell r="Z53">
            <v>1.4632980947261543E-3</v>
          </cell>
          <cell r="AA53">
            <v>0</v>
          </cell>
          <cell r="AB53" t="e">
            <v>#DIV/0!</v>
          </cell>
          <cell r="AC53">
            <v>1568</v>
          </cell>
          <cell r="AD53">
            <v>693.28</v>
          </cell>
          <cell r="AE53">
            <v>-874.72</v>
          </cell>
          <cell r="AF53">
            <v>392</v>
          </cell>
          <cell r="AG53">
            <v>1.4632980947261543E-3</v>
          </cell>
          <cell r="AH53">
            <v>0</v>
          </cell>
          <cell r="AI53" t="e">
            <v>#DIV/0!</v>
          </cell>
          <cell r="AJ53">
            <v>1960</v>
          </cell>
          <cell r="AK53">
            <v>693.28</v>
          </cell>
          <cell r="AL53">
            <v>-1266.72</v>
          </cell>
          <cell r="AM53">
            <v>392</v>
          </cell>
          <cell r="AN53">
            <v>1.4632980947261543E-3</v>
          </cell>
          <cell r="AO53">
            <v>0</v>
          </cell>
          <cell r="AP53" t="e">
            <v>#DIV/0!</v>
          </cell>
          <cell r="AQ53">
            <v>2352</v>
          </cell>
          <cell r="AR53">
            <v>693.28</v>
          </cell>
          <cell r="AS53">
            <v>-1658.72</v>
          </cell>
          <cell r="AT53">
            <v>392</v>
          </cell>
          <cell r="AU53">
            <v>1.4632980947261543E-3</v>
          </cell>
          <cell r="AV53">
            <v>0</v>
          </cell>
          <cell r="AW53" t="e">
            <v>#DIV/0!</v>
          </cell>
          <cell r="AX53">
            <v>2744</v>
          </cell>
          <cell r="AY53">
            <v>693.28</v>
          </cell>
          <cell r="AZ53">
            <v>-2050.7200000000003</v>
          </cell>
          <cell r="BA53">
            <v>392</v>
          </cell>
          <cell r="BB53">
            <v>1.4632980947261543E-3</v>
          </cell>
          <cell r="BC53">
            <v>0</v>
          </cell>
          <cell r="BD53" t="e">
            <v>#DIV/0!</v>
          </cell>
          <cell r="BE53">
            <v>3136</v>
          </cell>
          <cell r="BF53">
            <v>693.28</v>
          </cell>
          <cell r="BG53">
            <v>-2442.7200000000003</v>
          </cell>
          <cell r="BH53">
            <v>392</v>
          </cell>
          <cell r="BI53">
            <v>1.4632980947261543E-3</v>
          </cell>
          <cell r="BJ53">
            <v>0</v>
          </cell>
          <cell r="BK53" t="e">
            <v>#DIV/0!</v>
          </cell>
          <cell r="BL53">
            <v>3528</v>
          </cell>
          <cell r="BM53">
            <v>693.28</v>
          </cell>
          <cell r="BN53">
            <v>-2834.7200000000003</v>
          </cell>
          <cell r="BO53">
            <v>392</v>
          </cell>
          <cell r="BP53">
            <v>1.4632980947261543E-3</v>
          </cell>
          <cell r="BQ53">
            <v>0</v>
          </cell>
          <cell r="BR53" t="e">
            <v>#DIV/0!</v>
          </cell>
          <cell r="BS53">
            <v>3920</v>
          </cell>
          <cell r="BT53">
            <v>693.28</v>
          </cell>
          <cell r="BU53">
            <v>-3226.7200000000003</v>
          </cell>
          <cell r="BV53">
            <v>392</v>
          </cell>
          <cell r="BW53">
            <v>1.4632980947261543E-3</v>
          </cell>
          <cell r="BX53">
            <v>0</v>
          </cell>
          <cell r="BY53" t="e">
            <v>#DIV/0!</v>
          </cell>
          <cell r="BZ53">
            <v>4312</v>
          </cell>
          <cell r="CA53">
            <v>693.28</v>
          </cell>
          <cell r="CB53">
            <v>-3618.7200000000003</v>
          </cell>
          <cell r="CC53">
            <v>392</v>
          </cell>
          <cell r="CD53">
            <v>1.4632980947261543E-3</v>
          </cell>
          <cell r="CE53">
            <v>0</v>
          </cell>
          <cell r="CF53" t="e">
            <v>#DIV/0!</v>
          </cell>
          <cell r="CG53">
            <v>4704</v>
          </cell>
          <cell r="CH53">
            <v>693.28</v>
          </cell>
        </row>
        <row r="54">
          <cell r="A54" t="str">
            <v>Viagens - Passagens / Traslados</v>
          </cell>
          <cell r="B54">
            <v>3.5039299494324508E-4</v>
          </cell>
          <cell r="C54">
            <v>125</v>
          </cell>
          <cell r="D54">
            <v>750</v>
          </cell>
          <cell r="E54">
            <v>2.4328532502919426E-3</v>
          </cell>
          <cell r="F54">
            <v>1121.74</v>
          </cell>
          <cell r="G54">
            <v>3.6387050733099778E-3</v>
          </cell>
          <cell r="H54">
            <v>750</v>
          </cell>
          <cell r="I54">
            <v>1121.74</v>
          </cell>
          <cell r="J54">
            <v>371.74</v>
          </cell>
          <cell r="K54">
            <v>750</v>
          </cell>
          <cell r="L54">
            <v>2.4431559059222099E-3</v>
          </cell>
          <cell r="M54">
            <v>1121.74</v>
          </cell>
          <cell r="N54">
            <v>3.6387050733099778E-3</v>
          </cell>
          <cell r="O54">
            <v>1500</v>
          </cell>
          <cell r="P54">
            <v>2243.48</v>
          </cell>
          <cell r="Q54">
            <v>743.48</v>
          </cell>
          <cell r="R54">
            <v>750</v>
          </cell>
          <cell r="S54">
            <v>2.7996774771546318E-3</v>
          </cell>
          <cell r="T54">
            <v>0</v>
          </cell>
          <cell r="U54">
            <v>0</v>
          </cell>
          <cell r="V54">
            <v>2250</v>
          </cell>
          <cell r="W54">
            <v>2243.48</v>
          </cell>
          <cell r="X54">
            <v>-6.5199999999999818</v>
          </cell>
          <cell r="Y54">
            <v>750</v>
          </cell>
          <cell r="Z54">
            <v>2.7996774771546318E-3</v>
          </cell>
          <cell r="AA54">
            <v>0</v>
          </cell>
          <cell r="AB54" t="e">
            <v>#DIV/0!</v>
          </cell>
          <cell r="AC54">
            <v>3000</v>
          </cell>
          <cell r="AD54">
            <v>2243.48</v>
          </cell>
          <cell r="AE54">
            <v>-756.52</v>
          </cell>
          <cell r="AF54">
            <v>750</v>
          </cell>
          <cell r="AG54">
            <v>2.7996774771546318E-3</v>
          </cell>
          <cell r="AH54">
            <v>0</v>
          </cell>
          <cell r="AI54" t="e">
            <v>#DIV/0!</v>
          </cell>
          <cell r="AJ54">
            <v>3750</v>
          </cell>
          <cell r="AK54">
            <v>2243.48</v>
          </cell>
          <cell r="AL54">
            <v>-1506.52</v>
          </cell>
          <cell r="AM54">
            <v>750</v>
          </cell>
          <cell r="AN54">
            <v>2.7996774771546318E-3</v>
          </cell>
          <cell r="AO54">
            <v>0</v>
          </cell>
          <cell r="AP54" t="e">
            <v>#DIV/0!</v>
          </cell>
          <cell r="AQ54">
            <v>4500</v>
          </cell>
          <cell r="AR54">
            <v>2243.48</v>
          </cell>
          <cell r="AS54">
            <v>-2256.52</v>
          </cell>
          <cell r="AT54">
            <v>750</v>
          </cell>
          <cell r="AU54">
            <v>2.7996774771546318E-3</v>
          </cell>
          <cell r="AV54">
            <v>0</v>
          </cell>
          <cell r="AW54" t="e">
            <v>#DIV/0!</v>
          </cell>
          <cell r="AX54">
            <v>5250</v>
          </cell>
          <cell r="AY54">
            <v>2243.48</v>
          </cell>
          <cell r="AZ54">
            <v>-3006.52</v>
          </cell>
          <cell r="BA54">
            <v>750</v>
          </cell>
          <cell r="BB54">
            <v>2.7996774771546318E-3</v>
          </cell>
          <cell r="BC54">
            <v>0</v>
          </cell>
          <cell r="BD54" t="e">
            <v>#DIV/0!</v>
          </cell>
          <cell r="BE54">
            <v>6000</v>
          </cell>
          <cell r="BF54">
            <v>2243.48</v>
          </cell>
          <cell r="BG54">
            <v>-3756.52</v>
          </cell>
          <cell r="BH54">
            <v>750</v>
          </cell>
          <cell r="BI54">
            <v>2.7996774771546318E-3</v>
          </cell>
          <cell r="BJ54">
            <v>0</v>
          </cell>
          <cell r="BK54" t="e">
            <v>#DIV/0!</v>
          </cell>
          <cell r="BL54">
            <v>6750</v>
          </cell>
          <cell r="BM54">
            <v>2243.48</v>
          </cell>
          <cell r="BN54">
            <v>-4506.5200000000004</v>
          </cell>
          <cell r="BO54">
            <v>750</v>
          </cell>
          <cell r="BP54">
            <v>2.7996774771546318E-3</v>
          </cell>
          <cell r="BQ54">
            <v>0</v>
          </cell>
          <cell r="BR54" t="e">
            <v>#DIV/0!</v>
          </cell>
          <cell r="BS54">
            <v>7500</v>
          </cell>
          <cell r="BT54">
            <v>2243.48</v>
          </cell>
          <cell r="BU54">
            <v>-5256.52</v>
          </cell>
          <cell r="BV54">
            <v>750</v>
          </cell>
          <cell r="BW54">
            <v>2.7996774771546318E-3</v>
          </cell>
          <cell r="BX54">
            <v>0</v>
          </cell>
          <cell r="BY54" t="e">
            <v>#DIV/0!</v>
          </cell>
          <cell r="BZ54">
            <v>8250</v>
          </cell>
          <cell r="CA54">
            <v>2243.48</v>
          </cell>
          <cell r="CB54">
            <v>-6006.52</v>
          </cell>
          <cell r="CC54">
            <v>750</v>
          </cell>
          <cell r="CD54">
            <v>2.7996774771546318E-3</v>
          </cell>
          <cell r="CE54">
            <v>0</v>
          </cell>
          <cell r="CF54" t="e">
            <v>#DIV/0!</v>
          </cell>
          <cell r="CG54">
            <v>9000</v>
          </cell>
          <cell r="CH54">
            <v>2243.48</v>
          </cell>
        </row>
        <row r="55">
          <cell r="A55" t="str">
            <v>VIVO - Total</v>
          </cell>
          <cell r="B55">
            <v>0.40805439717717218</v>
          </cell>
          <cell r="C55">
            <v>145570.26077364458</v>
          </cell>
          <cell r="D55">
            <v>143102.91030471714</v>
          </cell>
          <cell r="E55">
            <v>0.46419784061475655</v>
          </cell>
          <cell r="F55">
            <v>136555.93936165533</v>
          </cell>
          <cell r="G55">
            <v>0.44296074789689688</v>
          </cell>
          <cell r="H55">
            <v>143102.91030471714</v>
          </cell>
          <cell r="I55">
            <v>136555.93936165533</v>
          </cell>
          <cell r="J55">
            <v>-6546.970943061765</v>
          </cell>
          <cell r="K55">
            <v>143025.91030471714</v>
          </cell>
          <cell r="L55">
            <v>0.4659127966144932</v>
          </cell>
          <cell r="M55">
            <v>131328.84950173029</v>
          </cell>
          <cell r="N55">
            <v>0.42600509115651458</v>
          </cell>
          <cell r="O55">
            <v>286128.82060943427</v>
          </cell>
          <cell r="P55">
            <v>267884.78886338562</v>
          </cell>
          <cell r="Q55">
            <v>-18244.031746048593</v>
          </cell>
          <cell r="R55">
            <v>142634.99030471712</v>
          </cell>
          <cell r="S55">
            <v>0.53244262641371431</v>
          </cell>
          <cell r="T55">
            <v>135208.63548171942</v>
          </cell>
          <cell r="U55">
            <v>0.43887508271137188</v>
          </cell>
          <cell r="V55">
            <v>428763.81091415137</v>
          </cell>
          <cell r="W55">
            <v>403093.42434510513</v>
          </cell>
          <cell r="X55">
            <v>-25670.386569046266</v>
          </cell>
          <cell r="Y55">
            <v>143634.99030471712</v>
          </cell>
          <cell r="Z55">
            <v>0.53617552971658722</v>
          </cell>
          <cell r="AA55">
            <v>0</v>
          </cell>
          <cell r="AB55" t="e">
            <v>#DIV/0!</v>
          </cell>
          <cell r="AC55">
            <v>572398.80121886847</v>
          </cell>
          <cell r="AD55">
            <v>403093.42434510513</v>
          </cell>
          <cell r="AE55">
            <v>-169305.37687376337</v>
          </cell>
          <cell r="AF55">
            <v>143634.99030471712</v>
          </cell>
          <cell r="AG55">
            <v>0.53617552971658722</v>
          </cell>
          <cell r="AH55">
            <v>0</v>
          </cell>
          <cell r="AI55" t="e">
            <v>#DIV/0!</v>
          </cell>
          <cell r="AJ55">
            <v>716033.79152358568</v>
          </cell>
          <cell r="AK55">
            <v>403093.42434510513</v>
          </cell>
          <cell r="AL55">
            <v>-312940.36717848055</v>
          </cell>
          <cell r="AM55">
            <v>143634.99030471712</v>
          </cell>
          <cell r="AN55">
            <v>0.53617552971658722</v>
          </cell>
          <cell r="AO55">
            <v>0</v>
          </cell>
          <cell r="AP55" t="e">
            <v>#DIV/0!</v>
          </cell>
          <cell r="AQ55">
            <v>859668.78182830277</v>
          </cell>
          <cell r="AR55">
            <v>403093.42434510513</v>
          </cell>
          <cell r="AS55">
            <v>-456575.35748319764</v>
          </cell>
          <cell r="AT55">
            <v>143634.99030471712</v>
          </cell>
          <cell r="AU55">
            <v>0.53617552971658722</v>
          </cell>
          <cell r="AV55">
            <v>0</v>
          </cell>
          <cell r="AW55" t="e">
            <v>#DIV/0!</v>
          </cell>
          <cell r="AX55">
            <v>1003303.7721330199</v>
          </cell>
          <cell r="AY55">
            <v>403093.42434510513</v>
          </cell>
          <cell r="AZ55">
            <v>-585860.62389168458</v>
          </cell>
          <cell r="BA55">
            <v>143634.99030471712</v>
          </cell>
          <cell r="BB55">
            <v>0.53617552971658722</v>
          </cell>
          <cell r="BC55">
            <v>0</v>
          </cell>
          <cell r="BD55" t="e">
            <v>#DIV/0!</v>
          </cell>
          <cell r="BE55">
            <v>1146938.7624377371</v>
          </cell>
          <cell r="BF55">
            <v>403093.42434510513</v>
          </cell>
          <cell r="BG55">
            <v>-743845.33809263201</v>
          </cell>
          <cell r="BH55">
            <v>143634.99030471712</v>
          </cell>
          <cell r="BI55">
            <v>0.53617552971658722</v>
          </cell>
          <cell r="BJ55">
            <v>0</v>
          </cell>
          <cell r="BK55" t="e">
            <v>#DIV/0!</v>
          </cell>
          <cell r="BL55">
            <v>1290573.7527424542</v>
          </cell>
          <cell r="BM55">
            <v>403093.42434510513</v>
          </cell>
          <cell r="BN55">
            <v>-887480.32839734911</v>
          </cell>
          <cell r="BO55">
            <v>145748.56438326748</v>
          </cell>
          <cell r="BP55">
            <v>0.5440652973752742</v>
          </cell>
          <cell r="BQ55">
            <v>0</v>
          </cell>
          <cell r="BR55" t="e">
            <v>#DIV/0!</v>
          </cell>
          <cell r="BS55">
            <v>1436322.3171257218</v>
          </cell>
          <cell r="BT55">
            <v>403093.42434510513</v>
          </cell>
          <cell r="BU55">
            <v>-1033228.8927806166</v>
          </cell>
          <cell r="BV55">
            <v>149842.30438326747</v>
          </cell>
          <cell r="BW55">
            <v>0.55934683294237686</v>
          </cell>
          <cell r="BX55">
            <v>0</v>
          </cell>
          <cell r="BY55" t="e">
            <v>#DIV/0!</v>
          </cell>
          <cell r="BZ55">
            <v>1586164.6215089893</v>
          </cell>
          <cell r="CA55">
            <v>403093.42434510513</v>
          </cell>
          <cell r="CB55">
            <v>-1183071.1971638841</v>
          </cell>
          <cell r="CC55">
            <v>149842.30438326747</v>
          </cell>
          <cell r="CD55">
            <v>0.55934683294237686</v>
          </cell>
          <cell r="CE55">
            <v>0</v>
          </cell>
          <cell r="CF55" t="e">
            <v>#DIV/0!</v>
          </cell>
          <cell r="CG55">
            <v>1736006.9258922567</v>
          </cell>
          <cell r="CH55">
            <v>403093.42434510513</v>
          </cell>
        </row>
        <row r="56">
          <cell r="A56" t="str">
            <v>Distribuição Anual de Lucros</v>
          </cell>
          <cell r="F56">
            <v>30000</v>
          </cell>
          <cell r="M56">
            <v>259436.52</v>
          </cell>
          <cell r="T56">
            <v>1933.34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Ajuste Mensal de Lucros</v>
          </cell>
          <cell r="F57">
            <v>5740.6049999999996</v>
          </cell>
          <cell r="M57">
            <v>25428.354999999996</v>
          </cell>
          <cell r="T57">
            <v>0</v>
          </cell>
          <cell r="AA57">
            <v>0</v>
          </cell>
          <cell r="AH57">
            <v>0</v>
          </cell>
          <cell r="AO57">
            <v>0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61894.787604166668</v>
          </cell>
          <cell r="D58">
            <v>53486.579999999994</v>
          </cell>
          <cell r="F58">
            <v>76883.690672127312</v>
          </cell>
          <cell r="H58">
            <v>53486.579999999994</v>
          </cell>
          <cell r="I58">
            <v>76883.690672127312</v>
          </cell>
          <cell r="J58">
            <v>23397.110672127317</v>
          </cell>
          <cell r="K58">
            <v>53261.03</v>
          </cell>
          <cell r="M58">
            <v>72764.295278362319</v>
          </cell>
          <cell r="O58">
            <v>106747.60999999999</v>
          </cell>
          <cell r="P58">
            <v>149647.98595048964</v>
          </cell>
          <cell r="Q58">
            <v>42900.375950489659</v>
          </cell>
          <cell r="R58">
            <v>46478.567999999999</v>
          </cell>
          <cell r="T58">
            <v>58416.489934290053</v>
          </cell>
          <cell r="V58">
            <v>153226.17799999999</v>
          </cell>
          <cell r="W58">
            <v>208064.47588477971</v>
          </cell>
          <cell r="X58">
            <v>54838.29788477972</v>
          </cell>
          <cell r="Y58">
            <v>46478.567999999999</v>
          </cell>
          <cell r="AA58">
            <v>0</v>
          </cell>
          <cell r="AC58">
            <v>199704.74599999998</v>
          </cell>
          <cell r="AD58">
            <v>208064.47588477971</v>
          </cell>
          <cell r="AE58">
            <v>8359.729884779721</v>
          </cell>
          <cell r="AF58">
            <v>46478.567999999999</v>
          </cell>
          <cell r="AH58">
            <v>0</v>
          </cell>
          <cell r="AJ58">
            <v>246183.31399999998</v>
          </cell>
          <cell r="AK58">
            <v>208064.47588477971</v>
          </cell>
          <cell r="AL58">
            <v>-38118.838115220278</v>
          </cell>
          <cell r="AM58">
            <v>46478.567999999999</v>
          </cell>
          <cell r="AO58">
            <v>0</v>
          </cell>
          <cell r="AQ58">
            <v>292661.88199999998</v>
          </cell>
          <cell r="AR58">
            <v>208064.47588477971</v>
          </cell>
          <cell r="AS58">
            <v>-84597.406115220278</v>
          </cell>
          <cell r="AT58">
            <v>46478.567999999999</v>
          </cell>
          <cell r="AV58">
            <v>0</v>
          </cell>
          <cell r="AX58">
            <v>339140.44999999995</v>
          </cell>
          <cell r="AY58">
            <v>208064.47588477971</v>
          </cell>
          <cell r="AZ58">
            <v>-131075.97411522025</v>
          </cell>
          <cell r="BA58">
            <v>46478.567999999999</v>
          </cell>
          <cell r="BC58">
            <v>0</v>
          </cell>
          <cell r="BE58">
            <v>385619.01799999992</v>
          </cell>
          <cell r="BF58">
            <v>208064.47588477971</v>
          </cell>
          <cell r="BG58">
            <v>-177554.54211522022</v>
          </cell>
          <cell r="BH58">
            <v>46478.567999999999</v>
          </cell>
          <cell r="BJ58">
            <v>0</v>
          </cell>
          <cell r="BL58">
            <v>432097.58599999989</v>
          </cell>
          <cell r="BM58">
            <v>208064.47588477971</v>
          </cell>
          <cell r="BN58">
            <v>-224033.11011522019</v>
          </cell>
          <cell r="BO58">
            <v>46478.567999999999</v>
          </cell>
          <cell r="BQ58">
            <v>0</v>
          </cell>
          <cell r="BS58">
            <v>478576.15399999986</v>
          </cell>
          <cell r="BT58">
            <v>208064.47588477971</v>
          </cell>
          <cell r="BU58">
            <v>-270511.67811522016</v>
          </cell>
          <cell r="BV58">
            <v>46478.567999999999</v>
          </cell>
          <cell r="BX58">
            <v>0</v>
          </cell>
          <cell r="BZ58">
            <v>525054.72199999983</v>
          </cell>
          <cell r="CA58">
            <v>208064.47588477971</v>
          </cell>
          <cell r="CB58">
            <v>-316990.24611522013</v>
          </cell>
          <cell r="CC58">
            <v>46478.567999999999</v>
          </cell>
          <cell r="CE58">
            <v>0</v>
          </cell>
          <cell r="CG58">
            <v>571533.2899999998</v>
          </cell>
          <cell r="CH58">
            <v>208064.47588477971</v>
          </cell>
        </row>
        <row r="60">
          <cell r="A60" t="str">
            <v>Margem de Contribuição</v>
          </cell>
          <cell r="B60">
            <v>0.41844560282282794</v>
          </cell>
          <cell r="C60">
            <v>149277.24328885545</v>
          </cell>
          <cell r="D60">
            <v>0.36230215938524352</v>
          </cell>
          <cell r="F60">
            <v>0.30764360310826966</v>
          </cell>
          <cell r="H60">
            <v>0.36230215938524352</v>
          </cell>
          <cell r="I60">
            <v>0.3076436031082696</v>
          </cell>
          <cell r="K60">
            <v>0.36058720338550676</v>
          </cell>
          <cell r="M60">
            <v>0.33796177247926362</v>
          </cell>
          <cell r="O60">
            <v>0.36144649317453714</v>
          </cell>
          <cell r="P60">
            <v>0.32280268779376659</v>
          </cell>
          <cell r="R60">
            <v>0.29405737358628559</v>
          </cell>
          <cell r="T60">
            <v>0.37151023949620399</v>
          </cell>
          <cell r="V60">
            <v>0.34100514419536554</v>
          </cell>
          <cell r="W60">
            <v>0.33903151471936666</v>
          </cell>
          <cell r="Y60">
            <v>0.29032447028341274</v>
          </cell>
          <cell r="AA60">
            <v>0</v>
          </cell>
          <cell r="AC60">
            <v>0.32920990549481643</v>
          </cell>
          <cell r="AD60">
            <v>0.33903151471936666</v>
          </cell>
          <cell r="AF60">
            <v>0.29032447028341274</v>
          </cell>
          <cell r="AH60">
            <v>0</v>
          </cell>
          <cell r="AJ60">
            <v>0.32186846827343418</v>
          </cell>
          <cell r="AK60">
            <v>0.33903151471936666</v>
          </cell>
          <cell r="AM60">
            <v>0.29032447028341274</v>
          </cell>
          <cell r="AO60">
            <v>0</v>
          </cell>
          <cell r="AQ60">
            <v>0.3168588652272436</v>
          </cell>
          <cell r="AR60">
            <v>0.33903151471936666</v>
          </cell>
          <cell r="AT60">
            <v>0.29032447028341274</v>
          </cell>
          <cell r="AV60">
            <v>0</v>
          </cell>
          <cell r="AX60">
            <v>0.31322237574409384</v>
          </cell>
          <cell r="AY60">
            <v>0.33903151471936666</v>
          </cell>
          <cell r="BA60">
            <v>0.29032447028341274</v>
          </cell>
          <cell r="BC60">
            <v>0</v>
          </cell>
          <cell r="BE60">
            <v>0.31046249667606546</v>
          </cell>
          <cell r="BF60">
            <v>0.33903151471936666</v>
          </cell>
          <cell r="BH60">
            <v>0.29032447028341274</v>
          </cell>
          <cell r="BJ60">
            <v>0</v>
          </cell>
          <cell r="BL60">
            <v>0.3082963502790414</v>
          </cell>
          <cell r="BM60">
            <v>0.33903151471936666</v>
          </cell>
          <cell r="BO60">
            <v>0.2824347026247257</v>
          </cell>
          <cell r="BQ60">
            <v>0</v>
          </cell>
          <cell r="BS60">
            <v>0.30578470748395725</v>
          </cell>
          <cell r="BT60">
            <v>0.33903151471936666</v>
          </cell>
          <cell r="BV60">
            <v>0.26715316705762304</v>
          </cell>
          <cell r="BX60">
            <v>0</v>
          </cell>
          <cell r="BZ60">
            <v>0.30236499025560692</v>
          </cell>
          <cell r="CA60">
            <v>0.33903151471936666</v>
          </cell>
          <cell r="CC60">
            <v>0.26715316705762304</v>
          </cell>
          <cell r="CE60">
            <v>0</v>
          </cell>
          <cell r="CG60">
            <v>0.29950147355842299</v>
          </cell>
          <cell r="CH60">
            <v>0.33903151471936666</v>
          </cell>
        </row>
        <row r="62">
          <cell r="A62" t="str">
            <v>Rateio</v>
          </cell>
          <cell r="C62">
            <v>48698.54159006563</v>
          </cell>
          <cell r="F62">
            <v>67290.460885134788</v>
          </cell>
          <cell r="I62">
            <v>67290.460885134788</v>
          </cell>
          <cell r="M62">
            <v>67812.590958784567</v>
          </cell>
          <cell r="P62">
            <v>135103.05184391935</v>
          </cell>
          <cell r="T62">
            <v>66135.467181786138</v>
          </cell>
          <cell r="W62">
            <v>201238.51902570549</v>
          </cell>
          <cell r="AA62">
            <v>0</v>
          </cell>
          <cell r="AD62">
            <v>201238.51902570549</v>
          </cell>
          <cell r="AH62">
            <v>0</v>
          </cell>
          <cell r="AK62">
            <v>201238.51902570549</v>
          </cell>
          <cell r="AO62">
            <v>0</v>
          </cell>
          <cell r="AR62">
            <v>201238.51902570549</v>
          </cell>
          <cell r="AV62">
            <v>0</v>
          </cell>
          <cell r="AY62">
            <v>201238.51902570549</v>
          </cell>
          <cell r="BC62">
            <v>0</v>
          </cell>
          <cell r="BF62">
            <v>201238.51902570549</v>
          </cell>
          <cell r="BJ62">
            <v>0</v>
          </cell>
          <cell r="BM62">
            <v>201238.51902570549</v>
          </cell>
          <cell r="BQ62">
            <v>0</v>
          </cell>
          <cell r="BT62">
            <v>201238.51902570549</v>
          </cell>
          <cell r="BX62">
            <v>0</v>
          </cell>
          <cell r="CA62">
            <v>201238.51902570549</v>
          </cell>
          <cell r="CE62">
            <v>0</v>
          </cell>
          <cell r="CH62">
            <v>201238.51902570549</v>
          </cell>
        </row>
        <row r="64">
          <cell r="A64" t="str">
            <v>Resultado</v>
          </cell>
          <cell r="C64">
            <v>63814.967325339443</v>
          </cell>
          <cell r="F64">
            <v>27549.909081082573</v>
          </cell>
          <cell r="G64">
            <v>8.9366514470878983E-2</v>
          </cell>
          <cell r="I64">
            <v>27549.909081082573</v>
          </cell>
          <cell r="J64">
            <v>8.9366514470878983E-2</v>
          </cell>
          <cell r="M64">
            <v>36374.264261122822</v>
          </cell>
          <cell r="N64">
            <v>0.11799099604620093</v>
          </cell>
          <cell r="P64">
            <v>63924.173342205395</v>
          </cell>
          <cell r="Q64">
            <v>0.10367875525853995</v>
          </cell>
          <cell r="T64">
            <v>48319.407402204379</v>
          </cell>
          <cell r="U64">
            <v>0.15684045508375868</v>
          </cell>
          <cell r="W64">
            <v>112243.58074440977</v>
          </cell>
          <cell r="X64">
            <v>0.12139165593572609</v>
          </cell>
          <cell r="AA64">
            <v>0</v>
          </cell>
          <cell r="AB64" t="e">
            <v>#DIV/0!</v>
          </cell>
          <cell r="AD64">
            <v>112243.58074440977</v>
          </cell>
          <cell r="AE64">
            <v>0.12139165593572609</v>
          </cell>
          <cell r="AH64">
            <v>0</v>
          </cell>
          <cell r="AI64" t="e">
            <v>#DIV/0!</v>
          </cell>
          <cell r="AK64">
            <v>112243.58074440977</v>
          </cell>
          <cell r="AL64">
            <v>0.12139165593572609</v>
          </cell>
          <cell r="AO64">
            <v>0</v>
          </cell>
          <cell r="AP64" t="e">
            <v>#DIV/0!</v>
          </cell>
          <cell r="AR64">
            <v>112243.58074440977</v>
          </cell>
          <cell r="AS64">
            <v>0.12139165593572609</v>
          </cell>
          <cell r="AV64">
            <v>0</v>
          </cell>
          <cell r="AW64" t="e">
            <v>#DIV/0!</v>
          </cell>
          <cell r="AY64">
            <v>112243.58074440977</v>
          </cell>
          <cell r="AZ64">
            <v>0.12139165593572609</v>
          </cell>
          <cell r="BC64">
            <v>0</v>
          </cell>
          <cell r="BD64" t="e">
            <v>#DIV/0!</v>
          </cell>
          <cell r="BF64">
            <v>112243.58074440977</v>
          </cell>
          <cell r="BG64">
            <v>0.12139165593572609</v>
          </cell>
          <cell r="BJ64">
            <v>0</v>
          </cell>
          <cell r="BK64" t="e">
            <v>#DIV/0!</v>
          </cell>
          <cell r="BM64">
            <v>112243.58074440977</v>
          </cell>
          <cell r="BN64">
            <v>0.12139165593572609</v>
          </cell>
          <cell r="BQ64">
            <v>0</v>
          </cell>
          <cell r="BR64" t="e">
            <v>#DIV/0!</v>
          </cell>
          <cell r="BT64">
            <v>112243.58074440977</v>
          </cell>
          <cell r="BU64">
            <v>0.12139165593572609</v>
          </cell>
          <cell r="BX64">
            <v>0</v>
          </cell>
          <cell r="BY64" t="e">
            <v>#DIV/0!</v>
          </cell>
          <cell r="CA64">
            <v>112243.58074440977</v>
          </cell>
          <cell r="CB64">
            <v>0.12139165593572609</v>
          </cell>
          <cell r="CE64">
            <v>0</v>
          </cell>
          <cell r="CF64" t="e">
            <v>#DIV/0!</v>
          </cell>
          <cell r="CH64">
            <v>112243.58074440977</v>
          </cell>
        </row>
        <row r="66">
          <cell r="A66" t="str">
            <v>Vivo Pronto? N</v>
          </cell>
          <cell r="CG66" t="str">
            <v>Total Ano</v>
          </cell>
        </row>
        <row r="67">
          <cell r="CG67" t="str">
            <v>Receita</v>
          </cell>
          <cell r="CH67">
            <v>3294140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1736006.9258922567</v>
          </cell>
        </row>
        <row r="69">
          <cell r="CG69" t="str">
            <v>Imposto</v>
          </cell>
          <cell r="CH69">
            <v>571533.2899999998</v>
          </cell>
        </row>
        <row r="70">
          <cell r="CG70" t="str">
            <v>MC</v>
          </cell>
          <cell r="CH70">
            <v>986599.78410774353</v>
          </cell>
        </row>
        <row r="71">
          <cell r="CG71" t="str">
            <v>MC %</v>
          </cell>
          <cell r="CH71">
            <v>0.29950147355842299</v>
          </cell>
        </row>
        <row r="72">
          <cell r="CG72" t="str">
            <v>Rateio</v>
          </cell>
          <cell r="CH72">
            <v>728478.54006093089</v>
          </cell>
        </row>
        <row r="73">
          <cell r="CG73" t="str">
            <v>ML</v>
          </cell>
          <cell r="CH73">
            <v>258121.24404681264</v>
          </cell>
        </row>
        <row r="74">
          <cell r="CG74" t="str">
            <v>ML %</v>
          </cell>
          <cell r="CH74">
            <v>7.8357703086940039E-2</v>
          </cell>
        </row>
      </sheetData>
      <sheetData sheetId="21">
        <row r="11">
          <cell r="A11" t="str">
            <v>13º (+ Encargos)</v>
          </cell>
          <cell r="B11">
            <v>5.8541832531470031E-3</v>
          </cell>
          <cell r="C11">
            <v>163.83333333333334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1.4362821942802386E-2</v>
          </cell>
          <cell r="C13">
            <v>401.95342257137389</v>
          </cell>
          <cell r="D13">
            <v>417.87808851747218</v>
          </cell>
          <cell r="E13">
            <v>1.2530077616715807E-2</v>
          </cell>
          <cell r="F13">
            <v>395.92383999999998</v>
          </cell>
          <cell r="G13">
            <v>0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1.2530077616715807E-2</v>
          </cell>
          <cell r="M13">
            <v>400.82801499999999</v>
          </cell>
          <cell r="N13">
            <v>2.1334256706408344E-2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1.2530077616715807E-2</v>
          </cell>
          <cell r="T13">
            <v>392.85242</v>
          </cell>
          <cell r="U13">
            <v>9.1024449129961313E-3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1.2530077616715807E-2</v>
          </cell>
          <cell r="AA13">
            <v>0</v>
          </cell>
          <cell r="AB13" t="e">
            <v>#DIV/0!</v>
          </cell>
          <cell r="AC13">
            <v>1671.5123540698887</v>
          </cell>
          <cell r="AD13">
            <v>1189.6042749999999</v>
          </cell>
          <cell r="AE13">
            <v>-481.9080790698888</v>
          </cell>
          <cell r="AF13">
            <v>417.87808851747218</v>
          </cell>
          <cell r="AG13">
            <v>1.2530077616715807E-2</v>
          </cell>
          <cell r="AH13">
            <v>0</v>
          </cell>
          <cell r="AI13" t="e">
            <v>#DIV/0!</v>
          </cell>
          <cell r="AJ13">
            <v>2089.3904425873607</v>
          </cell>
          <cell r="AK13">
            <v>1189.6042749999999</v>
          </cell>
          <cell r="AL13">
            <v>-899.78616758736075</v>
          </cell>
          <cell r="AM13">
            <v>417.87808851747218</v>
          </cell>
          <cell r="AN13">
            <v>1.2530077616715807E-2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1189.6042749999999</v>
          </cell>
          <cell r="AS13">
            <v>-1317.6642561048327</v>
          </cell>
          <cell r="AT13">
            <v>417.87808851747218</v>
          </cell>
          <cell r="AU13">
            <v>1.2530077616715807E-2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1189.6042749999999</v>
          </cell>
          <cell r="AZ13">
            <v>-1735.5423446223047</v>
          </cell>
          <cell r="BA13">
            <v>417.87808851747218</v>
          </cell>
          <cell r="BB13">
            <v>1.2530077616715807E-2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1189.6042749999999</v>
          </cell>
          <cell r="BG13">
            <v>-2153.4204331397768</v>
          </cell>
          <cell r="BH13">
            <v>417.87808851747218</v>
          </cell>
          <cell r="BI13">
            <v>1.2530077616715807E-2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1189.6042749999999</v>
          </cell>
          <cell r="BN13">
            <v>-2571.2985216572488</v>
          </cell>
          <cell r="BO13">
            <v>434.07160422754055</v>
          </cell>
          <cell r="BP13">
            <v>1.301564030667288E-2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1189.6042749999999</v>
          </cell>
          <cell r="BU13">
            <v>-3005.3701258847896</v>
          </cell>
          <cell r="BV13">
            <v>434.07160422754055</v>
          </cell>
          <cell r="BW13">
            <v>1.301564030667288E-2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1189.6042749999999</v>
          </cell>
          <cell r="CB13">
            <v>-3439.4417301123303</v>
          </cell>
          <cell r="CC13">
            <v>434.07160422754055</v>
          </cell>
          <cell r="CD13">
            <v>1.301564030667288E-2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1189.6042749999999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1.6774319419186411E-2</v>
          </cell>
          <cell r="C15">
            <v>469.44083333333333</v>
          </cell>
          <cell r="D15">
            <v>303</v>
          </cell>
          <cell r="E15">
            <v>9.0854572713643181E-3</v>
          </cell>
          <cell r="F15">
            <v>0</v>
          </cell>
          <cell r="G15">
            <v>0</v>
          </cell>
          <cell r="H15">
            <v>303</v>
          </cell>
          <cell r="I15">
            <v>0</v>
          </cell>
          <cell r="J15">
            <v>-303</v>
          </cell>
          <cell r="K15">
            <v>303</v>
          </cell>
          <cell r="L15">
            <v>9.0854572713643181E-3</v>
          </cell>
          <cell r="M15">
            <v>0</v>
          </cell>
          <cell r="N15">
            <v>0</v>
          </cell>
          <cell r="O15">
            <v>606</v>
          </cell>
          <cell r="P15">
            <v>0</v>
          </cell>
          <cell r="Q15">
            <v>-606</v>
          </cell>
          <cell r="R15">
            <v>303</v>
          </cell>
          <cell r="S15">
            <v>9.0854572713643181E-3</v>
          </cell>
          <cell r="T15">
            <v>0</v>
          </cell>
          <cell r="U15">
            <v>0</v>
          </cell>
          <cell r="V15">
            <v>909</v>
          </cell>
          <cell r="W15">
            <v>0</v>
          </cell>
          <cell r="X15">
            <v>-909</v>
          </cell>
          <cell r="Y15">
            <v>303</v>
          </cell>
          <cell r="Z15">
            <v>9.0854572713643181E-3</v>
          </cell>
          <cell r="AA15">
            <v>0</v>
          </cell>
          <cell r="AB15" t="e">
            <v>#DIV/0!</v>
          </cell>
          <cell r="AC15">
            <v>1212</v>
          </cell>
          <cell r="AD15">
            <v>0</v>
          </cell>
          <cell r="AE15">
            <v>-1212</v>
          </cell>
          <cell r="AF15">
            <v>303</v>
          </cell>
          <cell r="AG15">
            <v>9.0854572713643181E-3</v>
          </cell>
          <cell r="AH15">
            <v>0</v>
          </cell>
          <cell r="AI15" t="e">
            <v>#DIV/0!</v>
          </cell>
          <cell r="AJ15">
            <v>1515</v>
          </cell>
          <cell r="AK15">
            <v>0</v>
          </cell>
          <cell r="AL15">
            <v>-1515</v>
          </cell>
          <cell r="AM15">
            <v>303</v>
          </cell>
          <cell r="AN15">
            <v>9.0854572713643181E-3</v>
          </cell>
          <cell r="AO15">
            <v>0</v>
          </cell>
          <cell r="AP15" t="e">
            <v>#DIV/0!</v>
          </cell>
          <cell r="AQ15">
            <v>1818</v>
          </cell>
          <cell r="AR15">
            <v>0</v>
          </cell>
          <cell r="AS15">
            <v>-1818</v>
          </cell>
          <cell r="AT15">
            <v>303</v>
          </cell>
          <cell r="AU15">
            <v>9.0854572713643181E-3</v>
          </cell>
          <cell r="AV15">
            <v>0</v>
          </cell>
          <cell r="AW15" t="e">
            <v>#DIV/0!</v>
          </cell>
          <cell r="AX15">
            <v>2121</v>
          </cell>
          <cell r="AY15">
            <v>0</v>
          </cell>
          <cell r="AZ15">
            <v>-2121</v>
          </cell>
          <cell r="BA15">
            <v>303</v>
          </cell>
          <cell r="BB15">
            <v>9.0854572713643181E-3</v>
          </cell>
          <cell r="BC15">
            <v>0</v>
          </cell>
          <cell r="BD15" t="e">
            <v>#DIV/0!</v>
          </cell>
          <cell r="BE15">
            <v>2424</v>
          </cell>
          <cell r="BF15">
            <v>0</v>
          </cell>
          <cell r="BG15">
            <v>-2424</v>
          </cell>
          <cell r="BH15">
            <v>303</v>
          </cell>
          <cell r="BI15">
            <v>9.0854572713643181E-3</v>
          </cell>
          <cell r="BJ15">
            <v>0</v>
          </cell>
          <cell r="BK15" t="e">
            <v>#DIV/0!</v>
          </cell>
          <cell r="BL15">
            <v>2727</v>
          </cell>
          <cell r="BM15">
            <v>0</v>
          </cell>
          <cell r="BN15">
            <v>-2727</v>
          </cell>
          <cell r="BO15">
            <v>303</v>
          </cell>
          <cell r="BP15">
            <v>9.0854572713643181E-3</v>
          </cell>
          <cell r="BQ15">
            <v>0</v>
          </cell>
          <cell r="BR15" t="e">
            <v>#DIV/0!</v>
          </cell>
          <cell r="BS15">
            <v>3030</v>
          </cell>
          <cell r="BT15">
            <v>0</v>
          </cell>
          <cell r="BU15">
            <v>-3030</v>
          </cell>
          <cell r="BV15">
            <v>303</v>
          </cell>
          <cell r="BW15">
            <v>9.0854572713643181E-3</v>
          </cell>
          <cell r="BX15">
            <v>0</v>
          </cell>
          <cell r="BY15" t="e">
            <v>#DIV/0!</v>
          </cell>
          <cell r="BZ15">
            <v>3333</v>
          </cell>
          <cell r="CA15">
            <v>0</v>
          </cell>
          <cell r="CB15">
            <v>-3333</v>
          </cell>
          <cell r="CC15">
            <v>303</v>
          </cell>
          <cell r="CD15">
            <v>9.0854572713643181E-3</v>
          </cell>
          <cell r="CE15">
            <v>0</v>
          </cell>
          <cell r="CF15" t="e">
            <v>#DIV/0!</v>
          </cell>
          <cell r="CG15">
            <v>3636</v>
          </cell>
          <cell r="CH15">
            <v>0</v>
          </cell>
        </row>
        <row r="16">
          <cell r="A16" t="str">
            <v>Back Office / Encerramento</v>
          </cell>
          <cell r="B16">
            <v>3.6789483068085686E-3</v>
          </cell>
          <cell r="C16">
            <v>102.95789151141821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8.9871641681526643E-3</v>
          </cell>
          <cell r="C18">
            <v>251.51195294251099</v>
          </cell>
          <cell r="D18">
            <v>300</v>
          </cell>
          <cell r="E18">
            <v>8.9955022488755615E-3</v>
          </cell>
          <cell r="F18">
            <v>286.87168567211887</v>
          </cell>
          <cell r="G18">
            <v>9.0623530475167791E-3</v>
          </cell>
          <cell r="H18">
            <v>300</v>
          </cell>
          <cell r="I18">
            <v>286.87168567211887</v>
          </cell>
          <cell r="J18">
            <v>-13.128314327881128</v>
          </cell>
          <cell r="K18">
            <v>300</v>
          </cell>
          <cell r="L18">
            <v>8.9955022488755615E-3</v>
          </cell>
          <cell r="M18">
            <v>307.73839279771198</v>
          </cell>
          <cell r="N18">
            <v>1.6379518458468807E-2</v>
          </cell>
          <cell r="O18">
            <v>600</v>
          </cell>
          <cell r="P18">
            <v>594.6100784698308</v>
          </cell>
          <cell r="Q18">
            <v>-5.3899215301692038</v>
          </cell>
          <cell r="R18">
            <v>300</v>
          </cell>
          <cell r="S18">
            <v>8.9955022488755615E-3</v>
          </cell>
          <cell r="T18">
            <v>294.6699039445146</v>
          </cell>
          <cell r="U18">
            <v>6.8275424348227393E-3</v>
          </cell>
          <cell r="V18">
            <v>900</v>
          </cell>
          <cell r="W18">
            <v>889.27998241434534</v>
          </cell>
          <cell r="X18">
            <v>-10.720017585654659</v>
          </cell>
          <cell r="Y18">
            <v>300</v>
          </cell>
          <cell r="Z18">
            <v>8.9955022488755615E-3</v>
          </cell>
          <cell r="AA18">
            <v>0</v>
          </cell>
          <cell r="AB18" t="e">
            <v>#DIV/0!</v>
          </cell>
          <cell r="AC18">
            <v>1200</v>
          </cell>
          <cell r="AD18">
            <v>889.27998241434534</v>
          </cell>
          <cell r="AE18">
            <v>-310.72001758565466</v>
          </cell>
          <cell r="AF18">
            <v>300</v>
          </cell>
          <cell r="AG18">
            <v>8.9955022488755615E-3</v>
          </cell>
          <cell r="AH18">
            <v>0</v>
          </cell>
          <cell r="AI18" t="e">
            <v>#DIV/0!</v>
          </cell>
          <cell r="AJ18">
            <v>1500</v>
          </cell>
          <cell r="AK18">
            <v>889.27998241434534</v>
          </cell>
          <cell r="AL18">
            <v>-610.72001758565466</v>
          </cell>
          <cell r="AM18">
            <v>300</v>
          </cell>
          <cell r="AN18">
            <v>8.9955022488755615E-3</v>
          </cell>
          <cell r="AO18">
            <v>0</v>
          </cell>
          <cell r="AP18" t="e">
            <v>#DIV/0!</v>
          </cell>
          <cell r="AQ18">
            <v>1800</v>
          </cell>
          <cell r="AR18">
            <v>889.27998241434534</v>
          </cell>
          <cell r="AS18">
            <v>-910.72001758565466</v>
          </cell>
          <cell r="AT18">
            <v>300</v>
          </cell>
          <cell r="AU18">
            <v>8.9955022488755615E-3</v>
          </cell>
          <cell r="AV18">
            <v>0</v>
          </cell>
          <cell r="AW18" t="e">
            <v>#DIV/0!</v>
          </cell>
          <cell r="AX18">
            <v>2100</v>
          </cell>
          <cell r="AY18">
            <v>889.27998241434534</v>
          </cell>
          <cell r="AZ18">
            <v>-1210.7200175856547</v>
          </cell>
          <cell r="BA18">
            <v>300</v>
          </cell>
          <cell r="BB18">
            <v>8.9955022488755615E-3</v>
          </cell>
          <cell r="BC18">
            <v>0</v>
          </cell>
          <cell r="BD18" t="e">
            <v>#DIV/0!</v>
          </cell>
          <cell r="BE18">
            <v>2400</v>
          </cell>
          <cell r="BF18">
            <v>889.27998241434534</v>
          </cell>
          <cell r="BG18">
            <v>-1510.7200175856547</v>
          </cell>
          <cell r="BH18">
            <v>300</v>
          </cell>
          <cell r="BI18">
            <v>8.9955022488755615E-3</v>
          </cell>
          <cell r="BJ18">
            <v>0</v>
          </cell>
          <cell r="BK18" t="e">
            <v>#DIV/0!</v>
          </cell>
          <cell r="BL18">
            <v>2700</v>
          </cell>
          <cell r="BM18">
            <v>889.27998241434534</v>
          </cell>
          <cell r="BN18">
            <v>-1810.7200175856547</v>
          </cell>
          <cell r="BO18">
            <v>300</v>
          </cell>
          <cell r="BP18">
            <v>8.9955022488755615E-3</v>
          </cell>
          <cell r="BQ18">
            <v>0</v>
          </cell>
          <cell r="BR18" t="e">
            <v>#DIV/0!</v>
          </cell>
          <cell r="BS18">
            <v>3000</v>
          </cell>
          <cell r="BT18">
            <v>889.27998241434534</v>
          </cell>
          <cell r="BU18">
            <v>-2110.7200175856547</v>
          </cell>
          <cell r="BV18">
            <v>300</v>
          </cell>
          <cell r="BW18">
            <v>8.9955022488755615E-3</v>
          </cell>
          <cell r="BX18">
            <v>0</v>
          </cell>
          <cell r="BY18" t="e">
            <v>#DIV/0!</v>
          </cell>
          <cell r="BZ18">
            <v>3300</v>
          </cell>
          <cell r="CA18">
            <v>889.27998241434534</v>
          </cell>
          <cell r="CB18">
            <v>-2410.7200175856547</v>
          </cell>
          <cell r="CC18">
            <v>300</v>
          </cell>
          <cell r="CD18">
            <v>8.9955022488755615E-3</v>
          </cell>
          <cell r="CE18">
            <v>0</v>
          </cell>
          <cell r="CF18" t="e">
            <v>#DIV/0!</v>
          </cell>
          <cell r="CG18">
            <v>3600</v>
          </cell>
          <cell r="CH18">
            <v>889.27998241434534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8.9331382296241151E-3</v>
          </cell>
          <cell r="C20">
            <v>250</v>
          </cell>
          <cell r="D20">
            <v>250</v>
          </cell>
          <cell r="E20">
            <v>7.4962518740629685E-3</v>
          </cell>
          <cell r="F20">
            <v>0</v>
          </cell>
          <cell r="G20">
            <v>0</v>
          </cell>
          <cell r="H20">
            <v>250</v>
          </cell>
          <cell r="I20">
            <v>0</v>
          </cell>
          <cell r="J20">
            <v>-250</v>
          </cell>
          <cell r="K20">
            <v>250</v>
          </cell>
          <cell r="L20">
            <v>7.4962518740629685E-3</v>
          </cell>
          <cell r="M20">
            <v>0</v>
          </cell>
          <cell r="N20">
            <v>0</v>
          </cell>
          <cell r="O20">
            <v>500</v>
          </cell>
          <cell r="P20">
            <v>0</v>
          </cell>
          <cell r="Q20">
            <v>-500</v>
          </cell>
          <cell r="R20">
            <v>250</v>
          </cell>
          <cell r="S20">
            <v>7.4962518740629685E-3</v>
          </cell>
          <cell r="T20">
            <v>0</v>
          </cell>
          <cell r="U20">
            <v>0</v>
          </cell>
          <cell r="V20">
            <v>750</v>
          </cell>
          <cell r="W20">
            <v>0</v>
          </cell>
          <cell r="X20">
            <v>-750</v>
          </cell>
          <cell r="Y20">
            <v>250</v>
          </cell>
          <cell r="Z20">
            <v>7.4962518740629685E-3</v>
          </cell>
          <cell r="AA20">
            <v>0</v>
          </cell>
          <cell r="AB20" t="e">
            <v>#DIV/0!</v>
          </cell>
          <cell r="AC20">
            <v>1000</v>
          </cell>
          <cell r="AD20">
            <v>0</v>
          </cell>
          <cell r="AE20">
            <v>-1000</v>
          </cell>
          <cell r="AF20">
            <v>250</v>
          </cell>
          <cell r="AG20">
            <v>7.4962518740629685E-3</v>
          </cell>
          <cell r="AH20">
            <v>0</v>
          </cell>
          <cell r="AI20" t="e">
            <v>#DIV/0!</v>
          </cell>
          <cell r="AJ20">
            <v>1250</v>
          </cell>
          <cell r="AK20">
            <v>0</v>
          </cell>
          <cell r="AL20">
            <v>-1250</v>
          </cell>
          <cell r="AM20">
            <v>250</v>
          </cell>
          <cell r="AN20">
            <v>7.4962518740629685E-3</v>
          </cell>
          <cell r="AO20">
            <v>0</v>
          </cell>
          <cell r="AP20" t="e">
            <v>#DIV/0!</v>
          </cell>
          <cell r="AQ20">
            <v>1500</v>
          </cell>
          <cell r="AR20">
            <v>0</v>
          </cell>
          <cell r="AS20">
            <v>-1500</v>
          </cell>
          <cell r="AT20">
            <v>250</v>
          </cell>
          <cell r="AU20">
            <v>7.4962518740629685E-3</v>
          </cell>
          <cell r="AV20">
            <v>0</v>
          </cell>
          <cell r="AW20" t="e">
            <v>#DIV/0!</v>
          </cell>
          <cell r="AX20">
            <v>1750</v>
          </cell>
          <cell r="AY20">
            <v>0</v>
          </cell>
          <cell r="AZ20">
            <v>-1750</v>
          </cell>
          <cell r="BA20">
            <v>250</v>
          </cell>
          <cell r="BB20">
            <v>7.4962518740629685E-3</v>
          </cell>
          <cell r="BC20">
            <v>0</v>
          </cell>
          <cell r="BD20" t="e">
            <v>#DIV/0!</v>
          </cell>
          <cell r="BE20">
            <v>2000</v>
          </cell>
          <cell r="BF20">
            <v>0</v>
          </cell>
          <cell r="BG20">
            <v>-2000</v>
          </cell>
          <cell r="BH20">
            <v>250</v>
          </cell>
          <cell r="BI20">
            <v>7.4962518740629685E-3</v>
          </cell>
          <cell r="BJ20">
            <v>0</v>
          </cell>
          <cell r="BK20" t="e">
            <v>#DIV/0!</v>
          </cell>
          <cell r="BL20">
            <v>2250</v>
          </cell>
          <cell r="BM20">
            <v>0</v>
          </cell>
          <cell r="BN20">
            <v>-2250</v>
          </cell>
          <cell r="BO20">
            <v>250</v>
          </cell>
          <cell r="BP20">
            <v>7.4962518740629685E-3</v>
          </cell>
          <cell r="BQ20">
            <v>0</v>
          </cell>
          <cell r="BR20" t="e">
            <v>#DIV/0!</v>
          </cell>
          <cell r="BS20">
            <v>2500</v>
          </cell>
          <cell r="BT20">
            <v>0</v>
          </cell>
          <cell r="BU20">
            <v>-2500</v>
          </cell>
          <cell r="BV20">
            <v>250</v>
          </cell>
          <cell r="BW20">
            <v>7.4962518740629685E-3</v>
          </cell>
          <cell r="BX20">
            <v>0</v>
          </cell>
          <cell r="BY20" t="e">
            <v>#DIV/0!</v>
          </cell>
          <cell r="BZ20">
            <v>2750</v>
          </cell>
          <cell r="CA20">
            <v>0</v>
          </cell>
          <cell r="CB20">
            <v>-2750</v>
          </cell>
          <cell r="CC20">
            <v>250</v>
          </cell>
          <cell r="CD20">
            <v>7.4962518740629685E-3</v>
          </cell>
          <cell r="CE20">
            <v>0</v>
          </cell>
          <cell r="CF20" t="e">
            <v>#DIV/0!</v>
          </cell>
          <cell r="CG20">
            <v>3000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9.0078758902588916E-4</v>
          </cell>
          <cell r="C22">
            <v>25.209158469044315</v>
          </cell>
          <cell r="D22">
            <v>200</v>
          </cell>
          <cell r="E22">
            <v>5.9970014992503746E-3</v>
          </cell>
          <cell r="F22">
            <v>179.30106317956495</v>
          </cell>
          <cell r="G22">
            <v>5.66416839822074E-3</v>
          </cell>
          <cell r="H22">
            <v>200</v>
          </cell>
          <cell r="I22">
            <v>179.30106317956495</v>
          </cell>
          <cell r="J22">
            <v>-20.698936820435051</v>
          </cell>
          <cell r="K22">
            <v>200</v>
          </cell>
          <cell r="L22">
            <v>5.9970014992503746E-3</v>
          </cell>
          <cell r="M22">
            <v>343.66500544742962</v>
          </cell>
          <cell r="N22">
            <v>1.8291729052982202E-2</v>
          </cell>
          <cell r="O22">
            <v>400</v>
          </cell>
          <cell r="P22">
            <v>522.96606862699457</v>
          </cell>
          <cell r="Q22">
            <v>122.96606862699457</v>
          </cell>
          <cell r="R22">
            <v>200</v>
          </cell>
          <cell r="S22">
            <v>5.9970014992503746E-3</v>
          </cell>
          <cell r="T22">
            <v>356.00968639025393</v>
          </cell>
          <cell r="U22">
            <v>8.2487936789604477E-3</v>
          </cell>
          <cell r="V22">
            <v>600</v>
          </cell>
          <cell r="W22">
            <v>878.9757550172485</v>
          </cell>
          <cell r="X22">
            <v>278.9757550172485</v>
          </cell>
          <cell r="Y22">
            <v>200</v>
          </cell>
          <cell r="Z22">
            <v>5.9970014992503746E-3</v>
          </cell>
          <cell r="AA22">
            <v>0</v>
          </cell>
          <cell r="AB22" t="e">
            <v>#DIV/0!</v>
          </cell>
          <cell r="AC22">
            <v>800</v>
          </cell>
          <cell r="AD22">
            <v>878.9757550172485</v>
          </cell>
          <cell r="AE22">
            <v>78.975755017248503</v>
          </cell>
          <cell r="AF22">
            <v>200</v>
          </cell>
          <cell r="AG22">
            <v>5.9970014992503746E-3</v>
          </cell>
          <cell r="AH22">
            <v>0</v>
          </cell>
          <cell r="AI22" t="e">
            <v>#DIV/0!</v>
          </cell>
          <cell r="AJ22">
            <v>1000</v>
          </cell>
          <cell r="AK22">
            <v>878.9757550172485</v>
          </cell>
          <cell r="AL22">
            <v>-121.0242449827515</v>
          </cell>
          <cell r="AM22">
            <v>200</v>
          </cell>
          <cell r="AN22">
            <v>5.9970014992503746E-3</v>
          </cell>
          <cell r="AO22">
            <v>0</v>
          </cell>
          <cell r="AP22" t="e">
            <v>#DIV/0!</v>
          </cell>
          <cell r="AQ22">
            <v>1200</v>
          </cell>
          <cell r="AR22">
            <v>878.9757550172485</v>
          </cell>
          <cell r="AS22">
            <v>-321.0242449827515</v>
          </cell>
          <cell r="AT22">
            <v>200</v>
          </cell>
          <cell r="AU22">
            <v>5.9970014992503746E-3</v>
          </cell>
          <cell r="AV22">
            <v>0</v>
          </cell>
          <cell r="AW22" t="e">
            <v>#DIV/0!</v>
          </cell>
          <cell r="AX22">
            <v>1400</v>
          </cell>
          <cell r="AY22">
            <v>878.9757550172485</v>
          </cell>
          <cell r="AZ22">
            <v>-521.0242449827515</v>
          </cell>
          <cell r="BA22">
            <v>200</v>
          </cell>
          <cell r="BB22">
            <v>5.9970014992503746E-3</v>
          </cell>
          <cell r="BC22">
            <v>0</v>
          </cell>
          <cell r="BD22" t="e">
            <v>#DIV/0!</v>
          </cell>
          <cell r="BE22">
            <v>1600</v>
          </cell>
          <cell r="BF22">
            <v>878.9757550172485</v>
          </cell>
          <cell r="BG22">
            <v>-721.0242449827515</v>
          </cell>
          <cell r="BH22">
            <v>200</v>
          </cell>
          <cell r="BI22">
            <v>5.9970014992503746E-3</v>
          </cell>
          <cell r="BJ22">
            <v>0</v>
          </cell>
          <cell r="BK22" t="e">
            <v>#DIV/0!</v>
          </cell>
          <cell r="BL22">
            <v>1800</v>
          </cell>
          <cell r="BM22">
            <v>878.9757550172485</v>
          </cell>
          <cell r="BN22">
            <v>-921.0242449827515</v>
          </cell>
          <cell r="BO22">
            <v>200</v>
          </cell>
          <cell r="BP22">
            <v>5.9970014992503746E-3</v>
          </cell>
          <cell r="BQ22">
            <v>0</v>
          </cell>
          <cell r="BR22" t="e">
            <v>#DIV/0!</v>
          </cell>
          <cell r="BS22">
            <v>2000</v>
          </cell>
          <cell r="BT22">
            <v>878.9757550172485</v>
          </cell>
          <cell r="BU22">
            <v>-1121.0242449827515</v>
          </cell>
          <cell r="BV22">
            <v>200</v>
          </cell>
          <cell r="BW22">
            <v>5.9970014992503746E-3</v>
          </cell>
          <cell r="BX22">
            <v>0</v>
          </cell>
          <cell r="BY22" t="e">
            <v>#DIV/0!</v>
          </cell>
          <cell r="BZ22">
            <v>2200</v>
          </cell>
          <cell r="CA22">
            <v>878.9757550172485</v>
          </cell>
          <cell r="CB22">
            <v>-1321.0242449827515</v>
          </cell>
          <cell r="CC22">
            <v>200</v>
          </cell>
          <cell r="CD22">
            <v>5.9970014992503746E-3</v>
          </cell>
          <cell r="CE22">
            <v>0</v>
          </cell>
          <cell r="CF22" t="e">
            <v>#DIV/0!</v>
          </cell>
          <cell r="CG22">
            <v>2400</v>
          </cell>
          <cell r="CH22">
            <v>878.9757550172485</v>
          </cell>
        </row>
        <row r="23">
          <cell r="A23" t="str">
            <v>GNA</v>
          </cell>
          <cell r="B23">
            <v>3.4948735629735606E-2</v>
          </cell>
          <cell r="C23">
            <v>978.06433560600362</v>
          </cell>
          <cell r="D23">
            <v>333.5</v>
          </cell>
          <cell r="E23">
            <v>0.01</v>
          </cell>
          <cell r="F23">
            <v>408.70802768456537</v>
          </cell>
          <cell r="G23">
            <v>1.2911195580539554E-2</v>
          </cell>
          <cell r="H23">
            <v>333.5</v>
          </cell>
          <cell r="I23">
            <v>408.70802768456537</v>
          </cell>
          <cell r="J23">
            <v>75.208027684565366</v>
          </cell>
          <cell r="K23">
            <v>333.5</v>
          </cell>
          <cell r="L23">
            <v>0.01</v>
          </cell>
          <cell r="M23">
            <v>247.41473837018074</v>
          </cell>
          <cell r="N23">
            <v>1.3168764017999827E-2</v>
          </cell>
          <cell r="O23">
            <v>667</v>
          </cell>
          <cell r="P23">
            <v>656.12276605474608</v>
          </cell>
          <cell r="Q23">
            <v>-10.87723394525392</v>
          </cell>
          <cell r="R23">
            <v>333.5</v>
          </cell>
          <cell r="S23">
            <v>0.01</v>
          </cell>
          <cell r="T23">
            <v>443.96876766923049</v>
          </cell>
          <cell r="U23">
            <v>1.0286817759198093E-2</v>
          </cell>
          <cell r="V23">
            <v>1000.5</v>
          </cell>
          <cell r="W23">
            <v>1100.0915337239767</v>
          </cell>
          <cell r="X23">
            <v>99.591533723976681</v>
          </cell>
          <cell r="Y23">
            <v>333.5</v>
          </cell>
          <cell r="Z23">
            <v>0.01</v>
          </cell>
          <cell r="AA23">
            <v>0</v>
          </cell>
          <cell r="AB23" t="e">
            <v>#DIV/0!</v>
          </cell>
          <cell r="AC23">
            <v>1334</v>
          </cell>
          <cell r="AD23">
            <v>1100.0915337239767</v>
          </cell>
          <cell r="AE23">
            <v>-233.90846627602332</v>
          </cell>
          <cell r="AF23">
            <v>333.5</v>
          </cell>
          <cell r="AG23">
            <v>0.01</v>
          </cell>
          <cell r="AH23">
            <v>0</v>
          </cell>
          <cell r="AI23" t="e">
            <v>#DIV/0!</v>
          </cell>
          <cell r="AJ23">
            <v>1667.5</v>
          </cell>
          <cell r="AK23">
            <v>1100.0915337239767</v>
          </cell>
          <cell r="AL23">
            <v>-567.40846627602332</v>
          </cell>
          <cell r="AM23">
            <v>333.5</v>
          </cell>
          <cell r="AN23">
            <v>0.01</v>
          </cell>
          <cell r="AO23">
            <v>0</v>
          </cell>
          <cell r="AP23" t="e">
            <v>#DIV/0!</v>
          </cell>
          <cell r="AQ23">
            <v>2001</v>
          </cell>
          <cell r="AR23">
            <v>1100.0915337239767</v>
          </cell>
          <cell r="AS23">
            <v>-900.90846627602332</v>
          </cell>
          <cell r="AT23">
            <v>333.5</v>
          </cell>
          <cell r="AU23">
            <v>0.01</v>
          </cell>
          <cell r="AV23">
            <v>0</v>
          </cell>
          <cell r="AW23" t="e">
            <v>#DIV/0!</v>
          </cell>
          <cell r="AX23">
            <v>2334.5</v>
          </cell>
          <cell r="AY23">
            <v>1100.0915337239767</v>
          </cell>
          <cell r="AZ23">
            <v>-1234.4084662760233</v>
          </cell>
          <cell r="BA23">
            <v>333.5</v>
          </cell>
          <cell r="BB23">
            <v>0.01</v>
          </cell>
          <cell r="BC23">
            <v>0</v>
          </cell>
          <cell r="BD23" t="e">
            <v>#DIV/0!</v>
          </cell>
          <cell r="BE23">
            <v>2668</v>
          </cell>
          <cell r="BF23">
            <v>1100.0915337239767</v>
          </cell>
          <cell r="BG23">
            <v>-1567.9084662760233</v>
          </cell>
          <cell r="BH23">
            <v>333.5</v>
          </cell>
          <cell r="BI23">
            <v>0.01</v>
          </cell>
          <cell r="BJ23">
            <v>0</v>
          </cell>
          <cell r="BK23" t="e">
            <v>#DIV/0!</v>
          </cell>
          <cell r="BL23">
            <v>3001.5</v>
          </cell>
          <cell r="BM23">
            <v>1100.0915337239767</v>
          </cell>
          <cell r="BN23">
            <v>-1901.4084662760233</v>
          </cell>
          <cell r="BO23">
            <v>333.5</v>
          </cell>
          <cell r="BP23">
            <v>0.01</v>
          </cell>
          <cell r="BQ23">
            <v>0</v>
          </cell>
          <cell r="BR23" t="e">
            <v>#DIV/0!</v>
          </cell>
          <cell r="BS23">
            <v>3335</v>
          </cell>
          <cell r="BT23">
            <v>1100.0915337239767</v>
          </cell>
          <cell r="BU23">
            <v>-2234.9084662760233</v>
          </cell>
          <cell r="BV23">
            <v>333.5</v>
          </cell>
          <cell r="BW23">
            <v>0.01</v>
          </cell>
          <cell r="BX23">
            <v>0</v>
          </cell>
          <cell r="BY23" t="e">
            <v>#DIV/0!</v>
          </cell>
          <cell r="BZ23">
            <v>3668.5</v>
          </cell>
          <cell r="CA23">
            <v>1100.0915337239767</v>
          </cell>
          <cell r="CB23">
            <v>-2568.4084662760233</v>
          </cell>
          <cell r="CC23">
            <v>333.5</v>
          </cell>
          <cell r="CD23">
            <v>0.01</v>
          </cell>
          <cell r="CE23">
            <v>0</v>
          </cell>
          <cell r="CF23" t="e">
            <v>#DIV/0!</v>
          </cell>
          <cell r="CG23">
            <v>4002</v>
          </cell>
          <cell r="CH23">
            <v>1100.0915337239767</v>
          </cell>
        </row>
        <row r="24">
          <cell r="A24" t="str">
            <v>Correios</v>
          </cell>
          <cell r="B24">
            <v>1.5179580011601855E-3</v>
          </cell>
          <cell r="C24">
            <v>42.481095728663583</v>
          </cell>
          <cell r="D24">
            <v>50</v>
          </cell>
          <cell r="E24">
            <v>1.4992503748125937E-3</v>
          </cell>
          <cell r="F24">
            <v>0</v>
          </cell>
          <cell r="G24">
            <v>0</v>
          </cell>
          <cell r="H24">
            <v>50</v>
          </cell>
          <cell r="I24">
            <v>0</v>
          </cell>
          <cell r="J24">
            <v>-50</v>
          </cell>
          <cell r="K24">
            <v>50</v>
          </cell>
          <cell r="L24">
            <v>1.4992503748125937E-3</v>
          </cell>
          <cell r="M24">
            <v>0</v>
          </cell>
          <cell r="N24">
            <v>0</v>
          </cell>
          <cell r="O24">
            <v>100</v>
          </cell>
          <cell r="P24">
            <v>0</v>
          </cell>
          <cell r="Q24">
            <v>-100</v>
          </cell>
          <cell r="R24">
            <v>50</v>
          </cell>
          <cell r="S24">
            <v>1.4992503748125937E-3</v>
          </cell>
          <cell r="T24">
            <v>65.050270999999995</v>
          </cell>
          <cell r="U24">
            <v>1.5072237771959498E-3</v>
          </cell>
          <cell r="V24">
            <v>150</v>
          </cell>
          <cell r="W24">
            <v>65.050270999999995</v>
          </cell>
          <cell r="X24">
            <v>-84.949729000000005</v>
          </cell>
          <cell r="Y24">
            <v>50</v>
          </cell>
          <cell r="Z24">
            <v>1.4992503748125937E-3</v>
          </cell>
          <cell r="AA24">
            <v>0</v>
          </cell>
          <cell r="AB24" t="e">
            <v>#DIV/0!</v>
          </cell>
          <cell r="AC24">
            <v>200</v>
          </cell>
          <cell r="AD24">
            <v>65.050270999999995</v>
          </cell>
          <cell r="AE24">
            <v>-134.94972899999999</v>
          </cell>
          <cell r="AF24">
            <v>50</v>
          </cell>
          <cell r="AG24">
            <v>1.4992503748125937E-3</v>
          </cell>
          <cell r="AH24">
            <v>0</v>
          </cell>
          <cell r="AI24" t="e">
            <v>#DIV/0!</v>
          </cell>
          <cell r="AJ24">
            <v>250</v>
          </cell>
          <cell r="AK24">
            <v>65.050270999999995</v>
          </cell>
          <cell r="AL24">
            <v>-184.94972899999999</v>
          </cell>
          <cell r="AM24">
            <v>50</v>
          </cell>
          <cell r="AN24">
            <v>1.4992503748125937E-3</v>
          </cell>
          <cell r="AO24">
            <v>0</v>
          </cell>
          <cell r="AP24" t="e">
            <v>#DIV/0!</v>
          </cell>
          <cell r="AQ24">
            <v>300</v>
          </cell>
          <cell r="AR24">
            <v>65.050270999999995</v>
          </cell>
          <cell r="AS24">
            <v>-234.94972899999999</v>
          </cell>
          <cell r="AT24">
            <v>50</v>
          </cell>
          <cell r="AU24">
            <v>1.4992503748125937E-3</v>
          </cell>
          <cell r="AV24">
            <v>0</v>
          </cell>
          <cell r="AW24" t="e">
            <v>#DIV/0!</v>
          </cell>
          <cell r="AX24">
            <v>350</v>
          </cell>
          <cell r="AY24">
            <v>65.050270999999995</v>
          </cell>
          <cell r="AZ24">
            <v>-284.94972899999999</v>
          </cell>
          <cell r="BA24">
            <v>50</v>
          </cell>
          <cell r="BB24">
            <v>1.4992503748125937E-3</v>
          </cell>
          <cell r="BC24">
            <v>0</v>
          </cell>
          <cell r="BD24" t="e">
            <v>#DIV/0!</v>
          </cell>
          <cell r="BE24">
            <v>400</v>
          </cell>
          <cell r="BF24">
            <v>65.050270999999995</v>
          </cell>
          <cell r="BG24">
            <v>-334.94972899999999</v>
          </cell>
          <cell r="BH24">
            <v>50</v>
          </cell>
          <cell r="BI24">
            <v>1.4992503748125937E-3</v>
          </cell>
          <cell r="BJ24">
            <v>0</v>
          </cell>
          <cell r="BK24" t="e">
            <v>#DIV/0!</v>
          </cell>
          <cell r="BL24">
            <v>450</v>
          </cell>
          <cell r="BM24">
            <v>65.050270999999995</v>
          </cell>
          <cell r="BN24">
            <v>-384.94972899999999</v>
          </cell>
          <cell r="BO24">
            <v>50</v>
          </cell>
          <cell r="BP24">
            <v>1.4992503748125937E-3</v>
          </cell>
          <cell r="BQ24">
            <v>0</v>
          </cell>
          <cell r="BR24" t="e">
            <v>#DIV/0!</v>
          </cell>
          <cell r="BS24">
            <v>500</v>
          </cell>
          <cell r="BT24">
            <v>65.050270999999995</v>
          </cell>
          <cell r="BU24">
            <v>-434.94972899999999</v>
          </cell>
          <cell r="BV24">
            <v>50</v>
          </cell>
          <cell r="BW24">
            <v>1.4992503748125937E-3</v>
          </cell>
          <cell r="BX24">
            <v>0</v>
          </cell>
          <cell r="BY24" t="e">
            <v>#DIV/0!</v>
          </cell>
          <cell r="BZ24">
            <v>550</v>
          </cell>
          <cell r="CA24">
            <v>65.050270999999995</v>
          </cell>
          <cell r="CB24">
            <v>-484.94972899999999</v>
          </cell>
          <cell r="CC24">
            <v>50</v>
          </cell>
          <cell r="CD24">
            <v>1.4992503748125937E-3</v>
          </cell>
          <cell r="CE24">
            <v>0</v>
          </cell>
          <cell r="CF24" t="e">
            <v>#DIV/0!</v>
          </cell>
          <cell r="CG24">
            <v>600</v>
          </cell>
          <cell r="CH24">
            <v>65.050270999999995</v>
          </cell>
        </row>
        <row r="25">
          <cell r="A25" t="str">
            <v xml:space="preserve">Correspondentes </v>
          </cell>
          <cell r="B25">
            <v>2.1533210677375157E-2</v>
          </cell>
          <cell r="C25">
            <v>602.621669</v>
          </cell>
          <cell r="D25">
            <v>500</v>
          </cell>
          <cell r="E25">
            <v>1.4992503748125937E-2</v>
          </cell>
          <cell r="F25">
            <v>885.60097499999995</v>
          </cell>
          <cell r="G25">
            <v>2.7976370954392499E-2</v>
          </cell>
          <cell r="H25">
            <v>500</v>
          </cell>
          <cell r="I25">
            <v>885.60097499999995</v>
          </cell>
          <cell r="J25">
            <v>385.60097499999995</v>
          </cell>
          <cell r="K25">
            <v>500</v>
          </cell>
          <cell r="L25">
            <v>1.4992503748125937E-2</v>
          </cell>
          <cell r="M25">
            <v>1473.3579179999999</v>
          </cell>
          <cell r="N25">
            <v>7.8420157440919736E-2</v>
          </cell>
          <cell r="O25">
            <v>1000</v>
          </cell>
          <cell r="P25">
            <v>2358.958893</v>
          </cell>
          <cell r="Q25">
            <v>1358.958893</v>
          </cell>
          <cell r="R25">
            <v>500</v>
          </cell>
          <cell r="S25">
            <v>1.4992503748125937E-2</v>
          </cell>
          <cell r="T25">
            <v>747.72763600000019</v>
          </cell>
          <cell r="U25">
            <v>1.7324952756087957E-2</v>
          </cell>
          <cell r="V25">
            <v>1500</v>
          </cell>
          <cell r="W25">
            <v>3106.6865290000001</v>
          </cell>
          <cell r="X25">
            <v>1606.6865290000001</v>
          </cell>
          <cell r="Y25">
            <v>500</v>
          </cell>
          <cell r="Z25">
            <v>1.4992503748125937E-2</v>
          </cell>
          <cell r="AA25">
            <v>0</v>
          </cell>
          <cell r="AB25" t="e">
            <v>#DIV/0!</v>
          </cell>
          <cell r="AC25">
            <v>2000</v>
          </cell>
          <cell r="AD25">
            <v>3106.6865290000001</v>
          </cell>
          <cell r="AE25">
            <v>1106.6865290000001</v>
          </cell>
          <cell r="AF25">
            <v>500</v>
          </cell>
          <cell r="AG25">
            <v>1.4992503748125937E-2</v>
          </cell>
          <cell r="AH25">
            <v>0</v>
          </cell>
          <cell r="AI25" t="e">
            <v>#DIV/0!</v>
          </cell>
          <cell r="AJ25">
            <v>2500</v>
          </cell>
          <cell r="AK25">
            <v>3106.6865290000001</v>
          </cell>
          <cell r="AL25">
            <v>606.68652900000006</v>
          </cell>
          <cell r="AM25">
            <v>500</v>
          </cell>
          <cell r="AN25">
            <v>1.4992503748125937E-2</v>
          </cell>
          <cell r="AO25">
            <v>0</v>
          </cell>
          <cell r="AP25" t="e">
            <v>#DIV/0!</v>
          </cell>
          <cell r="AQ25">
            <v>3000</v>
          </cell>
          <cell r="AR25">
            <v>3106.6865290000001</v>
          </cell>
          <cell r="AS25">
            <v>106.68652900000006</v>
          </cell>
          <cell r="AT25">
            <v>500</v>
          </cell>
          <cell r="AU25">
            <v>1.4992503748125937E-2</v>
          </cell>
          <cell r="AV25">
            <v>0</v>
          </cell>
          <cell r="AW25" t="e">
            <v>#DIV/0!</v>
          </cell>
          <cell r="AX25">
            <v>3500</v>
          </cell>
          <cell r="AY25">
            <v>3106.6865290000001</v>
          </cell>
          <cell r="AZ25">
            <v>-393.31347099999994</v>
          </cell>
          <cell r="BA25">
            <v>500</v>
          </cell>
          <cell r="BB25">
            <v>1.4992503748125937E-2</v>
          </cell>
          <cell r="BC25">
            <v>0</v>
          </cell>
          <cell r="BD25" t="e">
            <v>#DIV/0!</v>
          </cell>
          <cell r="BE25">
            <v>4000</v>
          </cell>
          <cell r="BF25">
            <v>3106.6865290000001</v>
          </cell>
          <cell r="BG25">
            <v>-893.31347099999994</v>
          </cell>
          <cell r="BH25">
            <v>500</v>
          </cell>
          <cell r="BI25">
            <v>1.4992503748125937E-2</v>
          </cell>
          <cell r="BJ25">
            <v>0</v>
          </cell>
          <cell r="BK25" t="e">
            <v>#DIV/0!</v>
          </cell>
          <cell r="BL25">
            <v>4500</v>
          </cell>
          <cell r="BM25">
            <v>3106.6865290000001</v>
          </cell>
          <cell r="BN25">
            <v>-1393.3134709999999</v>
          </cell>
          <cell r="BO25">
            <v>500</v>
          </cell>
          <cell r="BP25">
            <v>1.4992503748125937E-2</v>
          </cell>
          <cell r="BQ25">
            <v>0</v>
          </cell>
          <cell r="BR25" t="e">
            <v>#DIV/0!</v>
          </cell>
          <cell r="BS25">
            <v>5000</v>
          </cell>
          <cell r="BT25">
            <v>3106.6865290000001</v>
          </cell>
          <cell r="BU25">
            <v>-1893.3134709999999</v>
          </cell>
          <cell r="BV25">
            <v>500</v>
          </cell>
          <cell r="BW25">
            <v>1.4992503748125937E-2</v>
          </cell>
          <cell r="BX25">
            <v>0</v>
          </cell>
          <cell r="BY25" t="e">
            <v>#DIV/0!</v>
          </cell>
          <cell r="BZ25">
            <v>5500</v>
          </cell>
          <cell r="CA25">
            <v>3106.6865290000001</v>
          </cell>
          <cell r="CB25">
            <v>-2393.3134709999999</v>
          </cell>
          <cell r="CC25">
            <v>500</v>
          </cell>
          <cell r="CD25">
            <v>1.4992503748125937E-2</v>
          </cell>
          <cell r="CE25">
            <v>0</v>
          </cell>
          <cell r="CF25" t="e">
            <v>#DIV/0!</v>
          </cell>
          <cell r="CG25">
            <v>6000</v>
          </cell>
          <cell r="CH25">
            <v>3106.6865290000001</v>
          </cell>
        </row>
        <row r="26">
          <cell r="A26" t="str">
            <v>Custas/Guias/Despesas</v>
          </cell>
          <cell r="B26">
            <v>7.5755692128681388E-3</v>
          </cell>
          <cell r="C26">
            <v>212.00750000000002</v>
          </cell>
          <cell r="D26">
            <v>200</v>
          </cell>
          <cell r="E26">
            <v>5.9970014992503746E-3</v>
          </cell>
          <cell r="F26">
            <v>38.42</v>
          </cell>
          <cell r="G26">
            <v>1.2136980450679381E-3</v>
          </cell>
          <cell r="H26">
            <v>200</v>
          </cell>
          <cell r="I26">
            <v>38.42</v>
          </cell>
          <cell r="J26">
            <v>-161.57999999999998</v>
          </cell>
          <cell r="K26">
            <v>200</v>
          </cell>
          <cell r="L26">
            <v>5.9970014992503746E-3</v>
          </cell>
          <cell r="M26">
            <v>0</v>
          </cell>
          <cell r="N26">
            <v>0</v>
          </cell>
          <cell r="O26">
            <v>400</v>
          </cell>
          <cell r="P26">
            <v>38.42</v>
          </cell>
          <cell r="Q26">
            <v>-361.58</v>
          </cell>
          <cell r="R26">
            <v>200</v>
          </cell>
          <cell r="S26">
            <v>5.9970014992503746E-3</v>
          </cell>
          <cell r="T26">
            <v>384.2</v>
          </cell>
          <cell r="U26">
            <v>8.9019671447438543E-3</v>
          </cell>
          <cell r="V26">
            <v>600</v>
          </cell>
          <cell r="W26">
            <v>422.62</v>
          </cell>
          <cell r="X26">
            <v>-177.38</v>
          </cell>
          <cell r="Y26">
            <v>200</v>
          </cell>
          <cell r="Z26">
            <v>5.9970014992503746E-3</v>
          </cell>
          <cell r="AA26">
            <v>0</v>
          </cell>
          <cell r="AB26" t="e">
            <v>#DIV/0!</v>
          </cell>
          <cell r="AC26">
            <v>800</v>
          </cell>
          <cell r="AD26">
            <v>422.62</v>
          </cell>
          <cell r="AE26">
            <v>-377.38</v>
          </cell>
          <cell r="AF26">
            <v>200</v>
          </cell>
          <cell r="AG26">
            <v>5.9970014992503746E-3</v>
          </cell>
          <cell r="AH26">
            <v>0</v>
          </cell>
          <cell r="AI26" t="e">
            <v>#DIV/0!</v>
          </cell>
          <cell r="AJ26">
            <v>1000</v>
          </cell>
          <cell r="AK26">
            <v>422.62</v>
          </cell>
          <cell r="AL26">
            <v>-577.38</v>
          </cell>
          <cell r="AM26">
            <v>200</v>
          </cell>
          <cell r="AN26">
            <v>5.9970014992503746E-3</v>
          </cell>
          <cell r="AO26">
            <v>0</v>
          </cell>
          <cell r="AP26" t="e">
            <v>#DIV/0!</v>
          </cell>
          <cell r="AQ26">
            <v>1200</v>
          </cell>
          <cell r="AR26">
            <v>422.62</v>
          </cell>
          <cell r="AS26">
            <v>-777.38</v>
          </cell>
          <cell r="AT26">
            <v>200</v>
          </cell>
          <cell r="AU26">
            <v>5.9970014992503746E-3</v>
          </cell>
          <cell r="AV26">
            <v>0</v>
          </cell>
          <cell r="AW26" t="e">
            <v>#DIV/0!</v>
          </cell>
          <cell r="AX26">
            <v>1400</v>
          </cell>
          <cell r="AY26">
            <v>422.62</v>
          </cell>
          <cell r="AZ26">
            <v>-977.38</v>
          </cell>
          <cell r="BA26">
            <v>200</v>
          </cell>
          <cell r="BB26">
            <v>5.9970014992503746E-3</v>
          </cell>
          <cell r="BC26">
            <v>0</v>
          </cell>
          <cell r="BD26" t="e">
            <v>#DIV/0!</v>
          </cell>
          <cell r="BE26">
            <v>1600</v>
          </cell>
          <cell r="BF26">
            <v>422.62</v>
          </cell>
          <cell r="BG26">
            <v>-1177.3800000000001</v>
          </cell>
          <cell r="BH26">
            <v>200</v>
          </cell>
          <cell r="BI26">
            <v>5.9970014992503746E-3</v>
          </cell>
          <cell r="BJ26">
            <v>0</v>
          </cell>
          <cell r="BK26" t="e">
            <v>#DIV/0!</v>
          </cell>
          <cell r="BL26">
            <v>1800</v>
          </cell>
          <cell r="BM26">
            <v>422.62</v>
          </cell>
          <cell r="BN26">
            <v>-1377.38</v>
          </cell>
          <cell r="BO26">
            <v>200</v>
          </cell>
          <cell r="BP26">
            <v>5.9970014992503746E-3</v>
          </cell>
          <cell r="BQ26">
            <v>0</v>
          </cell>
          <cell r="BR26" t="e">
            <v>#DIV/0!</v>
          </cell>
          <cell r="BS26">
            <v>2000</v>
          </cell>
          <cell r="BT26">
            <v>422.62</v>
          </cell>
          <cell r="BU26">
            <v>-1577.38</v>
          </cell>
          <cell r="BV26">
            <v>200</v>
          </cell>
          <cell r="BW26">
            <v>5.9970014992503746E-3</v>
          </cell>
          <cell r="BX26">
            <v>0</v>
          </cell>
          <cell r="BY26" t="e">
            <v>#DIV/0!</v>
          </cell>
          <cell r="BZ26">
            <v>2200</v>
          </cell>
          <cell r="CA26">
            <v>422.62</v>
          </cell>
          <cell r="CB26">
            <v>-1777.38</v>
          </cell>
          <cell r="CC26">
            <v>200</v>
          </cell>
          <cell r="CD26">
            <v>5.9970014992503746E-3</v>
          </cell>
          <cell r="CE26">
            <v>0</v>
          </cell>
          <cell r="CF26" t="e">
            <v>#DIV/0!</v>
          </cell>
          <cell r="CG26">
            <v>2400</v>
          </cell>
          <cell r="CH26">
            <v>422.62</v>
          </cell>
        </row>
        <row r="27">
          <cell r="A27" t="str">
            <v>Deslocamento</v>
          </cell>
          <cell r="B27">
            <v>1.2263412161627985E-3</v>
          </cell>
          <cell r="C27">
            <v>34.32</v>
          </cell>
          <cell r="D27">
            <v>30</v>
          </cell>
          <cell r="E27">
            <v>8.9955022488755621E-4</v>
          </cell>
          <cell r="F27">
            <v>120.199826</v>
          </cell>
          <cell r="G27">
            <v>3.7971445557966246E-3</v>
          </cell>
          <cell r="H27">
            <v>30</v>
          </cell>
          <cell r="I27">
            <v>120.199826</v>
          </cell>
          <cell r="J27">
            <v>90.199826000000002</v>
          </cell>
          <cell r="K27">
            <v>30</v>
          </cell>
          <cell r="L27">
            <v>8.9955022488755621E-4</v>
          </cell>
          <cell r="M27">
            <v>0</v>
          </cell>
          <cell r="N27">
            <v>0</v>
          </cell>
          <cell r="O27">
            <v>60</v>
          </cell>
          <cell r="P27">
            <v>120.199826</v>
          </cell>
          <cell r="Q27">
            <v>60.199826000000002</v>
          </cell>
          <cell r="R27">
            <v>30</v>
          </cell>
          <cell r="S27">
            <v>8.9955022488755621E-4</v>
          </cell>
          <cell r="T27">
            <v>0</v>
          </cell>
          <cell r="U27">
            <v>0</v>
          </cell>
          <cell r="V27">
            <v>90</v>
          </cell>
          <cell r="W27">
            <v>120.199826</v>
          </cell>
          <cell r="X27">
            <v>30.199826000000002</v>
          </cell>
          <cell r="Y27">
            <v>30</v>
          </cell>
          <cell r="Z27">
            <v>8.9955022488755621E-4</v>
          </cell>
          <cell r="AA27">
            <v>0</v>
          </cell>
          <cell r="AB27" t="e">
            <v>#DIV/0!</v>
          </cell>
          <cell r="AC27">
            <v>120</v>
          </cell>
          <cell r="AD27">
            <v>120.199826</v>
          </cell>
          <cell r="AE27">
            <v>0.19982600000000161</v>
          </cell>
          <cell r="AF27">
            <v>30</v>
          </cell>
          <cell r="AG27">
            <v>8.9955022488755621E-4</v>
          </cell>
          <cell r="AH27">
            <v>0</v>
          </cell>
          <cell r="AI27" t="e">
            <v>#DIV/0!</v>
          </cell>
          <cell r="AJ27">
            <v>150</v>
          </cell>
          <cell r="AK27">
            <v>120.199826</v>
          </cell>
          <cell r="AL27">
            <v>-29.800173999999998</v>
          </cell>
          <cell r="AM27">
            <v>30</v>
          </cell>
          <cell r="AN27">
            <v>8.9955022488755621E-4</v>
          </cell>
          <cell r="AO27">
            <v>0</v>
          </cell>
          <cell r="AP27" t="e">
            <v>#DIV/0!</v>
          </cell>
          <cell r="AQ27">
            <v>180</v>
          </cell>
          <cell r="AR27">
            <v>120.199826</v>
          </cell>
          <cell r="AS27">
            <v>-59.800173999999998</v>
          </cell>
          <cell r="AT27">
            <v>30</v>
          </cell>
          <cell r="AU27">
            <v>8.9955022488755621E-4</v>
          </cell>
          <cell r="AV27">
            <v>0</v>
          </cell>
          <cell r="AW27" t="e">
            <v>#DIV/0!</v>
          </cell>
          <cell r="AX27">
            <v>210</v>
          </cell>
          <cell r="AY27">
            <v>120.199826</v>
          </cell>
          <cell r="AZ27">
            <v>-89.800173999999998</v>
          </cell>
          <cell r="BA27">
            <v>30</v>
          </cell>
          <cell r="BB27">
            <v>8.9955022488755621E-4</v>
          </cell>
          <cell r="BC27">
            <v>0</v>
          </cell>
          <cell r="BD27" t="e">
            <v>#DIV/0!</v>
          </cell>
          <cell r="BE27">
            <v>240</v>
          </cell>
          <cell r="BF27">
            <v>120.199826</v>
          </cell>
          <cell r="BG27">
            <v>-119.800174</v>
          </cell>
          <cell r="BH27">
            <v>30</v>
          </cell>
          <cell r="BI27">
            <v>8.9955022488755621E-4</v>
          </cell>
          <cell r="BJ27">
            <v>0</v>
          </cell>
          <cell r="BK27" t="e">
            <v>#DIV/0!</v>
          </cell>
          <cell r="BL27">
            <v>270</v>
          </cell>
          <cell r="BM27">
            <v>120.199826</v>
          </cell>
          <cell r="BN27">
            <v>-149.800174</v>
          </cell>
          <cell r="BO27">
            <v>30</v>
          </cell>
          <cell r="BP27">
            <v>8.9955022488755621E-4</v>
          </cell>
          <cell r="BQ27">
            <v>0</v>
          </cell>
          <cell r="BR27" t="e">
            <v>#DIV/0!</v>
          </cell>
          <cell r="BS27">
            <v>300</v>
          </cell>
          <cell r="BT27">
            <v>120.199826</v>
          </cell>
          <cell r="BU27">
            <v>-179.800174</v>
          </cell>
          <cell r="BV27">
            <v>30</v>
          </cell>
          <cell r="BW27">
            <v>8.9955022488755621E-4</v>
          </cell>
          <cell r="BX27">
            <v>0</v>
          </cell>
          <cell r="BY27" t="e">
            <v>#DIV/0!</v>
          </cell>
          <cell r="BZ27">
            <v>330</v>
          </cell>
          <cell r="CA27">
            <v>120.199826</v>
          </cell>
          <cell r="CB27">
            <v>-209.800174</v>
          </cell>
          <cell r="CC27">
            <v>30</v>
          </cell>
          <cell r="CD27">
            <v>8.9955022488755621E-4</v>
          </cell>
          <cell r="CE27">
            <v>0</v>
          </cell>
          <cell r="CF27" t="e">
            <v>#DIV/0!</v>
          </cell>
          <cell r="CG27">
            <v>360</v>
          </cell>
          <cell r="CH27">
            <v>120.199826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5.959208674860393E-3</v>
          </cell>
          <cell r="C30">
            <v>166.7725417899176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4.8760046170031631E-4</v>
          </cell>
          <cell r="C34">
            <v>13.645833333333334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Parcerias - Unidade Vitória / Unidade Pará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Consultoria de Projetos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</v>
          </cell>
          <cell r="B40">
            <v>5.6919056662126655E-3</v>
          </cell>
          <cell r="C40">
            <v>159.29188376759751</v>
          </cell>
          <cell r="D40">
            <v>200</v>
          </cell>
          <cell r="E40">
            <v>5.9970014992503746E-3</v>
          </cell>
          <cell r="F40">
            <v>145.75392495063471</v>
          </cell>
          <cell r="G40">
            <v>4.6044053558970408E-3</v>
          </cell>
          <cell r="H40">
            <v>200</v>
          </cell>
          <cell r="I40">
            <v>145.75392495063471</v>
          </cell>
          <cell r="J40">
            <v>-54.246075049365288</v>
          </cell>
          <cell r="K40">
            <v>200</v>
          </cell>
          <cell r="L40">
            <v>5.9970014992503746E-3</v>
          </cell>
          <cell r="M40">
            <v>0</v>
          </cell>
          <cell r="N40">
            <v>0</v>
          </cell>
          <cell r="O40">
            <v>400</v>
          </cell>
          <cell r="P40">
            <v>145.75392495063471</v>
          </cell>
          <cell r="Q40">
            <v>-254.24607504936529</v>
          </cell>
          <cell r="R40">
            <v>200</v>
          </cell>
          <cell r="S40">
            <v>5.9970014992503746E-3</v>
          </cell>
          <cell r="T40">
            <v>227.17809870584455</v>
          </cell>
          <cell r="U40">
            <v>5.2637479715898087E-3</v>
          </cell>
          <cell r="V40">
            <v>600</v>
          </cell>
          <cell r="W40">
            <v>372.93202365647926</v>
          </cell>
          <cell r="X40">
            <v>-227.06797634352074</v>
          </cell>
          <cell r="Y40">
            <v>200</v>
          </cell>
          <cell r="Z40">
            <v>5.9970014992503746E-3</v>
          </cell>
          <cell r="AA40">
            <v>0</v>
          </cell>
          <cell r="AB40" t="e">
            <v>#DIV/0!</v>
          </cell>
          <cell r="AC40">
            <v>800</v>
          </cell>
          <cell r="AD40">
            <v>372.93202365647926</v>
          </cell>
          <cell r="AE40">
            <v>-427.06797634352074</v>
          </cell>
          <cell r="AF40">
            <v>200</v>
          </cell>
          <cell r="AG40">
            <v>5.9970014992503746E-3</v>
          </cell>
          <cell r="AH40">
            <v>0</v>
          </cell>
          <cell r="AI40" t="e">
            <v>#DIV/0!</v>
          </cell>
          <cell r="AJ40">
            <v>1000</v>
          </cell>
          <cell r="AK40">
            <v>372.93202365647926</v>
          </cell>
          <cell r="AL40">
            <v>-627.06797634352074</v>
          </cell>
          <cell r="AM40">
            <v>200</v>
          </cell>
          <cell r="AN40">
            <v>5.9970014992503746E-3</v>
          </cell>
          <cell r="AO40">
            <v>0</v>
          </cell>
          <cell r="AP40" t="e">
            <v>#DIV/0!</v>
          </cell>
          <cell r="AQ40">
            <v>1200</v>
          </cell>
          <cell r="AR40">
            <v>372.93202365647926</v>
          </cell>
          <cell r="AS40">
            <v>-827.06797634352074</v>
          </cell>
          <cell r="AT40">
            <v>200</v>
          </cell>
          <cell r="AU40">
            <v>5.9970014992503746E-3</v>
          </cell>
          <cell r="AV40">
            <v>0</v>
          </cell>
          <cell r="AW40" t="e">
            <v>#DIV/0!</v>
          </cell>
          <cell r="AX40">
            <v>1400</v>
          </cell>
          <cell r="AY40">
            <v>372.93202365647926</v>
          </cell>
          <cell r="AZ40">
            <v>-1027.0679763435207</v>
          </cell>
          <cell r="BA40">
            <v>200</v>
          </cell>
          <cell r="BB40">
            <v>5.9970014992503746E-3</v>
          </cell>
          <cell r="BC40">
            <v>0</v>
          </cell>
          <cell r="BD40" t="e">
            <v>#DIV/0!</v>
          </cell>
          <cell r="BE40">
            <v>1600</v>
          </cell>
          <cell r="BF40">
            <v>372.93202365647926</v>
          </cell>
          <cell r="BG40">
            <v>-1227.0679763435207</v>
          </cell>
          <cell r="BH40">
            <v>200</v>
          </cell>
          <cell r="BI40">
            <v>5.9970014992503746E-3</v>
          </cell>
          <cell r="BJ40">
            <v>0</v>
          </cell>
          <cell r="BK40" t="e">
            <v>#DIV/0!</v>
          </cell>
          <cell r="BL40">
            <v>1800</v>
          </cell>
          <cell r="BM40">
            <v>372.93202365647926</v>
          </cell>
          <cell r="BN40">
            <v>-1427.0679763435207</v>
          </cell>
          <cell r="BO40">
            <v>200</v>
          </cell>
          <cell r="BP40">
            <v>5.9970014992503746E-3</v>
          </cell>
          <cell r="BQ40">
            <v>0</v>
          </cell>
          <cell r="BR40" t="e">
            <v>#DIV/0!</v>
          </cell>
          <cell r="BS40">
            <v>2000</v>
          </cell>
          <cell r="BT40">
            <v>372.93202365647926</v>
          </cell>
          <cell r="BU40">
            <v>-1627.0679763435207</v>
          </cell>
          <cell r="BV40">
            <v>200</v>
          </cell>
          <cell r="BW40">
            <v>5.9970014992503746E-3</v>
          </cell>
          <cell r="BX40">
            <v>0</v>
          </cell>
          <cell r="BY40" t="e">
            <v>#DIV/0!</v>
          </cell>
          <cell r="BZ40">
            <v>2200</v>
          </cell>
          <cell r="CA40">
            <v>372.93202365647926</v>
          </cell>
          <cell r="CB40">
            <v>-1827.0679763435207</v>
          </cell>
          <cell r="CC40">
            <v>200</v>
          </cell>
          <cell r="CD40">
            <v>5.9970014992503746E-3</v>
          </cell>
          <cell r="CE40">
            <v>0</v>
          </cell>
          <cell r="CF40" t="e">
            <v>#DIV/0!</v>
          </cell>
          <cell r="CG40">
            <v>2400</v>
          </cell>
          <cell r="CH40">
            <v>372.93202365647926</v>
          </cell>
        </row>
        <row r="41">
          <cell r="A41" t="str">
            <v>Pauta - Gestão de Pauta</v>
          </cell>
          <cell r="B41">
            <v>2.1341719796059058E-3</v>
          </cell>
          <cell r="C41">
            <v>59.726266535553947</v>
          </cell>
          <cell r="D41">
            <v>80</v>
          </cell>
          <cell r="E41">
            <v>2.3988005997001498E-3</v>
          </cell>
          <cell r="F41">
            <v>30.613065277306443</v>
          </cell>
          <cell r="G41">
            <v>9.6707489538271746E-4</v>
          </cell>
          <cell r="H41">
            <v>80</v>
          </cell>
          <cell r="I41">
            <v>30.613065277306443</v>
          </cell>
          <cell r="J41">
            <v>-49.386934722693553</v>
          </cell>
          <cell r="K41">
            <v>80</v>
          </cell>
          <cell r="L41">
            <v>2.3988005997001498E-3</v>
          </cell>
          <cell r="M41">
            <v>39.333969625890809</v>
          </cell>
          <cell r="N41">
            <v>2.0935687473861405E-3</v>
          </cell>
          <cell r="O41">
            <v>160</v>
          </cell>
          <cell r="P41">
            <v>69.947034903197249</v>
          </cell>
          <cell r="Q41">
            <v>-90.052965096802751</v>
          </cell>
          <cell r="R41">
            <v>80</v>
          </cell>
          <cell r="S41">
            <v>2.3988005997001498E-3</v>
          </cell>
          <cell r="T41">
            <v>82.95286766328077</v>
          </cell>
          <cell r="U41">
            <v>1.9220294182738424E-3</v>
          </cell>
          <cell r="V41">
            <v>240</v>
          </cell>
          <cell r="W41">
            <v>152.89990256647803</v>
          </cell>
          <cell r="X41">
            <v>-87.100097433521967</v>
          </cell>
          <cell r="Y41">
            <v>80</v>
          </cell>
          <cell r="Z41">
            <v>2.3988005997001498E-3</v>
          </cell>
          <cell r="AA41">
            <v>0</v>
          </cell>
          <cell r="AB41" t="e">
            <v>#DIV/0!</v>
          </cell>
          <cell r="AC41">
            <v>320</v>
          </cell>
          <cell r="AD41">
            <v>152.89990256647803</v>
          </cell>
          <cell r="AE41">
            <v>-167.10009743352197</v>
          </cell>
          <cell r="AF41">
            <v>80</v>
          </cell>
          <cell r="AG41">
            <v>2.3988005997001498E-3</v>
          </cell>
          <cell r="AH41">
            <v>0</v>
          </cell>
          <cell r="AI41" t="e">
            <v>#DIV/0!</v>
          </cell>
          <cell r="AJ41">
            <v>400</v>
          </cell>
          <cell r="AK41">
            <v>152.89990256647803</v>
          </cell>
          <cell r="AL41">
            <v>-247.10009743352197</v>
          </cell>
          <cell r="AM41">
            <v>80</v>
          </cell>
          <cell r="AN41">
            <v>2.3988005997001498E-3</v>
          </cell>
          <cell r="AO41">
            <v>0</v>
          </cell>
          <cell r="AP41" t="e">
            <v>#DIV/0!</v>
          </cell>
          <cell r="AQ41">
            <v>480</v>
          </cell>
          <cell r="AR41">
            <v>152.89990256647803</v>
          </cell>
          <cell r="AS41">
            <v>-327.10009743352197</v>
          </cell>
          <cell r="AT41">
            <v>80</v>
          </cell>
          <cell r="AU41">
            <v>2.3988005997001498E-3</v>
          </cell>
          <cell r="AV41">
            <v>0</v>
          </cell>
          <cell r="AW41" t="e">
            <v>#DIV/0!</v>
          </cell>
          <cell r="AX41">
            <v>560</v>
          </cell>
          <cell r="AY41">
            <v>152.89990256647803</v>
          </cell>
          <cell r="AZ41">
            <v>-407.10009743352197</v>
          </cell>
          <cell r="BA41">
            <v>80</v>
          </cell>
          <cell r="BB41">
            <v>2.3988005997001498E-3</v>
          </cell>
          <cell r="BC41">
            <v>0</v>
          </cell>
          <cell r="BD41" t="e">
            <v>#DIV/0!</v>
          </cell>
          <cell r="BE41">
            <v>640</v>
          </cell>
          <cell r="BF41">
            <v>152.89990256647803</v>
          </cell>
          <cell r="BG41">
            <v>-487.10009743352197</v>
          </cell>
          <cell r="BH41">
            <v>80</v>
          </cell>
          <cell r="BI41">
            <v>2.3988005997001498E-3</v>
          </cell>
          <cell r="BJ41">
            <v>0</v>
          </cell>
          <cell r="BK41" t="e">
            <v>#DIV/0!</v>
          </cell>
          <cell r="BL41">
            <v>720</v>
          </cell>
          <cell r="BM41">
            <v>152.89990256647803</v>
          </cell>
          <cell r="BN41">
            <v>-567.10009743352202</v>
          </cell>
          <cell r="BO41">
            <v>80</v>
          </cell>
          <cell r="BP41">
            <v>2.3988005997001498E-3</v>
          </cell>
          <cell r="BQ41">
            <v>0</v>
          </cell>
          <cell r="BR41" t="e">
            <v>#DIV/0!</v>
          </cell>
          <cell r="BS41">
            <v>800</v>
          </cell>
          <cell r="BT41">
            <v>152.89990256647803</v>
          </cell>
          <cell r="BU41">
            <v>-647.10009743352202</v>
          </cell>
          <cell r="BV41">
            <v>80</v>
          </cell>
          <cell r="BW41">
            <v>2.3988005997001498E-3</v>
          </cell>
          <cell r="BX41">
            <v>0</v>
          </cell>
          <cell r="BY41" t="e">
            <v>#DIV/0!</v>
          </cell>
          <cell r="BZ41">
            <v>880</v>
          </cell>
          <cell r="CA41">
            <v>152.89990256647803</v>
          </cell>
          <cell r="CB41">
            <v>-727.10009743352202</v>
          </cell>
          <cell r="CC41">
            <v>80</v>
          </cell>
          <cell r="CD41">
            <v>2.3988005997001498E-3</v>
          </cell>
          <cell r="CE41">
            <v>0</v>
          </cell>
          <cell r="CF41" t="e">
            <v>#DIV/0!</v>
          </cell>
          <cell r="CG41">
            <v>960</v>
          </cell>
          <cell r="CH41">
            <v>152.89990256647803</v>
          </cell>
        </row>
        <row r="42">
          <cell r="A42" t="str">
            <v>Seguro de Vida</v>
          </cell>
          <cell r="B42">
            <v>1.8081286972211961E-3</v>
          </cell>
          <cell r="C42">
            <v>50.601721666666684</v>
          </cell>
          <cell r="D42">
            <v>36.42</v>
          </cell>
          <cell r="E42">
            <v>1.0920539730134933E-3</v>
          </cell>
          <cell r="F42">
            <v>46.040021000000003</v>
          </cell>
          <cell r="G42">
            <v>1.454416540410901E-3</v>
          </cell>
          <cell r="H42">
            <v>36.42</v>
          </cell>
          <cell r="I42">
            <v>46.040021000000003</v>
          </cell>
          <cell r="J42">
            <v>9.6200210000000013</v>
          </cell>
          <cell r="K42">
            <v>36.42</v>
          </cell>
          <cell r="L42">
            <v>1.0920539730134933E-3</v>
          </cell>
          <cell r="M42">
            <v>46.040028</v>
          </cell>
          <cell r="N42">
            <v>2.4505018096657441E-3</v>
          </cell>
          <cell r="O42">
            <v>72.84</v>
          </cell>
          <cell r="P42">
            <v>92.080049000000002</v>
          </cell>
          <cell r="Q42">
            <v>19.240048999999999</v>
          </cell>
          <cell r="R42">
            <v>36.42</v>
          </cell>
          <cell r="S42">
            <v>1.0920539730134933E-3</v>
          </cell>
          <cell r="T42">
            <v>57.544857</v>
          </cell>
          <cell r="U42">
            <v>1.3333222966241108E-3</v>
          </cell>
          <cell r="V42">
            <v>109.26</v>
          </cell>
          <cell r="W42">
            <v>149.62490600000001</v>
          </cell>
          <cell r="X42">
            <v>40.364906000000005</v>
          </cell>
          <cell r="Y42">
            <v>36.42</v>
          </cell>
          <cell r="Z42">
            <v>1.0920539730134933E-3</v>
          </cell>
          <cell r="AA42">
            <v>0</v>
          </cell>
          <cell r="AB42" t="e">
            <v>#DIV/0!</v>
          </cell>
          <cell r="AC42">
            <v>145.68</v>
          </cell>
          <cell r="AD42">
            <v>149.62490600000001</v>
          </cell>
          <cell r="AE42">
            <v>3.9449060000000031</v>
          </cell>
          <cell r="AF42">
            <v>36.42</v>
          </cell>
          <cell r="AG42">
            <v>1.0920539730134933E-3</v>
          </cell>
          <cell r="AH42">
            <v>0</v>
          </cell>
          <cell r="AI42" t="e">
            <v>#DIV/0!</v>
          </cell>
          <cell r="AJ42">
            <v>182.10000000000002</v>
          </cell>
          <cell r="AK42">
            <v>149.62490600000001</v>
          </cell>
          <cell r="AL42">
            <v>-32.475094000000013</v>
          </cell>
          <cell r="AM42">
            <v>36.42</v>
          </cell>
          <cell r="AN42">
            <v>1.0920539730134933E-3</v>
          </cell>
          <cell r="AO42">
            <v>0</v>
          </cell>
          <cell r="AP42" t="e">
            <v>#DIV/0!</v>
          </cell>
          <cell r="AQ42">
            <v>218.52000000000004</v>
          </cell>
          <cell r="AR42">
            <v>149.62490600000001</v>
          </cell>
          <cell r="AS42">
            <v>-68.895094000000029</v>
          </cell>
          <cell r="AT42">
            <v>36.42</v>
          </cell>
          <cell r="AU42">
            <v>1.0920539730134933E-3</v>
          </cell>
          <cell r="AV42">
            <v>0</v>
          </cell>
          <cell r="AW42" t="e">
            <v>#DIV/0!</v>
          </cell>
          <cell r="AX42">
            <v>254.94000000000005</v>
          </cell>
          <cell r="AY42">
            <v>149.62490600000001</v>
          </cell>
          <cell r="AZ42">
            <v>-105.31509400000004</v>
          </cell>
          <cell r="BA42">
            <v>36.42</v>
          </cell>
          <cell r="BB42">
            <v>1.0920539730134933E-3</v>
          </cell>
          <cell r="BC42">
            <v>0</v>
          </cell>
          <cell r="BD42" t="e">
            <v>#DIV/0!</v>
          </cell>
          <cell r="BE42">
            <v>291.36000000000007</v>
          </cell>
          <cell r="BF42">
            <v>149.62490600000001</v>
          </cell>
          <cell r="BG42">
            <v>-141.73509400000006</v>
          </cell>
          <cell r="BH42">
            <v>36.42</v>
          </cell>
          <cell r="BI42">
            <v>1.0920539730134933E-3</v>
          </cell>
          <cell r="BJ42">
            <v>0</v>
          </cell>
          <cell r="BK42" t="e">
            <v>#DIV/0!</v>
          </cell>
          <cell r="BL42">
            <v>327.78000000000009</v>
          </cell>
          <cell r="BM42">
            <v>149.62490600000001</v>
          </cell>
          <cell r="BN42">
            <v>-178.15509400000008</v>
          </cell>
          <cell r="BO42">
            <v>36.42</v>
          </cell>
          <cell r="BP42">
            <v>1.0920539730134933E-3</v>
          </cell>
          <cell r="BQ42">
            <v>0</v>
          </cell>
          <cell r="BR42" t="e">
            <v>#DIV/0!</v>
          </cell>
          <cell r="BS42">
            <v>364.2000000000001</v>
          </cell>
          <cell r="BT42">
            <v>149.62490600000001</v>
          </cell>
          <cell r="BU42">
            <v>-214.57509400000009</v>
          </cell>
          <cell r="BV42">
            <v>36.42</v>
          </cell>
          <cell r="BW42">
            <v>1.0920539730134933E-3</v>
          </cell>
          <cell r="BX42">
            <v>0</v>
          </cell>
          <cell r="BY42" t="e">
            <v>#DIV/0!</v>
          </cell>
          <cell r="BZ42">
            <v>400.62000000000012</v>
          </cell>
          <cell r="CA42">
            <v>149.62490600000001</v>
          </cell>
          <cell r="CB42">
            <v>-250.99509400000011</v>
          </cell>
          <cell r="CC42">
            <v>36.42</v>
          </cell>
          <cell r="CD42">
            <v>1.0920539730134933E-3</v>
          </cell>
          <cell r="CE42">
            <v>0</v>
          </cell>
          <cell r="CF42" t="e">
            <v>#DIV/0!</v>
          </cell>
          <cell r="CG42">
            <v>437.04000000000013</v>
          </cell>
          <cell r="CH42">
            <v>149.62490600000001</v>
          </cell>
        </row>
        <row r="43">
          <cell r="A43" t="str">
            <v>Plano de Saúde</v>
          </cell>
          <cell r="B43">
            <v>9.7570410879395109E-2</v>
          </cell>
          <cell r="C43">
            <v>2730.5748655000002</v>
          </cell>
          <cell r="D43">
            <v>2600</v>
          </cell>
          <cell r="E43">
            <v>7.7961019490254871E-2</v>
          </cell>
          <cell r="F43">
            <v>2603.5896550000002</v>
          </cell>
          <cell r="G43">
            <v>8.2248091474039761E-2</v>
          </cell>
          <cell r="H43">
            <v>2600</v>
          </cell>
          <cell r="I43">
            <v>2603.5896550000002</v>
          </cell>
          <cell r="J43">
            <v>3.5896550000002208</v>
          </cell>
          <cell r="K43">
            <v>2600</v>
          </cell>
          <cell r="L43">
            <v>7.7961019490254871E-2</v>
          </cell>
          <cell r="M43">
            <v>2597.700405</v>
          </cell>
          <cell r="N43">
            <v>0.13826380695124549</v>
          </cell>
          <cell r="O43">
            <v>5200</v>
          </cell>
          <cell r="P43">
            <v>5201.2900600000003</v>
          </cell>
          <cell r="Q43">
            <v>1.2900600000002669</v>
          </cell>
          <cell r="R43">
            <v>2600</v>
          </cell>
          <cell r="S43">
            <v>7.7961019490254871E-2</v>
          </cell>
          <cell r="T43">
            <v>2596.919065</v>
          </cell>
          <cell r="U43">
            <v>6.0170973956764524E-2</v>
          </cell>
          <cell r="V43">
            <v>7800</v>
          </cell>
          <cell r="W43">
            <v>7798.2091250000003</v>
          </cell>
          <cell r="X43">
            <v>-1.7908749999996871</v>
          </cell>
          <cell r="Y43">
            <v>2600</v>
          </cell>
          <cell r="Z43">
            <v>7.7961019490254871E-2</v>
          </cell>
          <cell r="AA43">
            <v>0</v>
          </cell>
          <cell r="AB43" t="e">
            <v>#DIV/0!</v>
          </cell>
          <cell r="AC43">
            <v>10400</v>
          </cell>
          <cell r="AD43">
            <v>7798.2091250000003</v>
          </cell>
          <cell r="AE43">
            <v>-2601.7908749999997</v>
          </cell>
          <cell r="AF43">
            <v>2600</v>
          </cell>
          <cell r="AG43">
            <v>7.7961019490254871E-2</v>
          </cell>
          <cell r="AH43">
            <v>0</v>
          </cell>
          <cell r="AI43" t="e">
            <v>#DIV/0!</v>
          </cell>
          <cell r="AJ43">
            <v>13000</v>
          </cell>
          <cell r="AK43">
            <v>7798.2091250000003</v>
          </cell>
          <cell r="AL43">
            <v>-5201.7908749999997</v>
          </cell>
          <cell r="AM43">
            <v>2600</v>
          </cell>
          <cell r="AN43">
            <v>7.7961019490254871E-2</v>
          </cell>
          <cell r="AO43">
            <v>0</v>
          </cell>
          <cell r="AP43" t="e">
            <v>#DIV/0!</v>
          </cell>
          <cell r="AQ43">
            <v>15600</v>
          </cell>
          <cell r="AR43">
            <v>7798.2091250000003</v>
          </cell>
          <cell r="AS43">
            <v>-7801.7908749999997</v>
          </cell>
          <cell r="AT43">
            <v>2600</v>
          </cell>
          <cell r="AU43">
            <v>7.7961019490254871E-2</v>
          </cell>
          <cell r="AV43">
            <v>0</v>
          </cell>
          <cell r="AW43" t="e">
            <v>#DIV/0!</v>
          </cell>
          <cell r="AX43">
            <v>18200</v>
          </cell>
          <cell r="AY43">
            <v>7798.2091250000003</v>
          </cell>
          <cell r="AZ43">
            <v>-10401.790874999999</v>
          </cell>
          <cell r="BA43">
            <v>2600</v>
          </cell>
          <cell r="BB43">
            <v>7.7961019490254871E-2</v>
          </cell>
          <cell r="BC43">
            <v>0</v>
          </cell>
          <cell r="BD43" t="e">
            <v>#DIV/0!</v>
          </cell>
          <cell r="BE43">
            <v>20800</v>
          </cell>
          <cell r="BF43">
            <v>7798.2091250000003</v>
          </cell>
          <cell r="BG43">
            <v>-13001.790874999999</v>
          </cell>
          <cell r="BH43">
            <v>2600</v>
          </cell>
          <cell r="BI43">
            <v>7.7961019490254871E-2</v>
          </cell>
          <cell r="BJ43">
            <v>0</v>
          </cell>
          <cell r="BK43" t="e">
            <v>#DIV/0!</v>
          </cell>
          <cell r="BL43">
            <v>23400</v>
          </cell>
          <cell r="BM43">
            <v>7798.2091250000003</v>
          </cell>
          <cell r="BN43">
            <v>-15601.790874999999</v>
          </cell>
          <cell r="BO43">
            <v>2990</v>
          </cell>
          <cell r="BP43">
            <v>8.9655172413793102E-2</v>
          </cell>
          <cell r="BQ43">
            <v>0</v>
          </cell>
          <cell r="BR43" t="e">
            <v>#DIV/0!</v>
          </cell>
          <cell r="BS43">
            <v>26390</v>
          </cell>
          <cell r="BT43">
            <v>7798.2091250000003</v>
          </cell>
          <cell r="BU43">
            <v>-18591.790874999999</v>
          </cell>
          <cell r="BV43">
            <v>2990</v>
          </cell>
          <cell r="BW43">
            <v>8.9655172413793102E-2</v>
          </cell>
          <cell r="BX43">
            <v>0</v>
          </cell>
          <cell r="BY43" t="e">
            <v>#DIV/0!</v>
          </cell>
          <cell r="BZ43">
            <v>29380</v>
          </cell>
          <cell r="CA43">
            <v>7798.2091250000003</v>
          </cell>
          <cell r="CB43">
            <v>-21581.790874999999</v>
          </cell>
          <cell r="CC43">
            <v>2990</v>
          </cell>
          <cell r="CD43">
            <v>8.9655172413793102E-2</v>
          </cell>
          <cell r="CE43">
            <v>0</v>
          </cell>
          <cell r="CF43" t="e">
            <v>#DIV/0!</v>
          </cell>
          <cell r="CG43">
            <v>32370</v>
          </cell>
          <cell r="CH43">
            <v>7798.2091250000003</v>
          </cell>
        </row>
        <row r="44">
          <cell r="A44" t="str">
            <v>Plano Odontológico</v>
          </cell>
          <cell r="B44">
            <v>2.0802301819593908E-4</v>
          </cell>
          <cell r="C44">
            <v>5.8216668333333343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0.50933534533413116</v>
          </cell>
          <cell r="C46">
            <v>14254.098958333334</v>
          </cell>
          <cell r="D46">
            <v>13200</v>
          </cell>
          <cell r="E46">
            <v>0.39580209895052476</v>
          </cell>
          <cell r="F46">
            <v>12956.965</v>
          </cell>
          <cell r="G46">
            <v>0.40931397945116338</v>
          </cell>
          <cell r="H46">
            <v>13200</v>
          </cell>
          <cell r="I46">
            <v>12956.965</v>
          </cell>
          <cell r="J46">
            <v>-243.03499999999985</v>
          </cell>
          <cell r="K46">
            <v>13925</v>
          </cell>
          <cell r="L46">
            <v>0.41754122938530736</v>
          </cell>
          <cell r="M46">
            <v>12956.965</v>
          </cell>
          <cell r="N46">
            <v>0.68964046199701934</v>
          </cell>
          <cell r="O46">
            <v>27125</v>
          </cell>
          <cell r="P46">
            <v>25913.93</v>
          </cell>
          <cell r="Q46">
            <v>-1211.0699999999997</v>
          </cell>
          <cell r="R46">
            <v>13925</v>
          </cell>
          <cell r="S46">
            <v>0.41754122938530736</v>
          </cell>
          <cell r="T46">
            <v>13326.960000000001</v>
          </cell>
          <cell r="U46">
            <v>0.3087875066614148</v>
          </cell>
          <cell r="V46">
            <v>41050</v>
          </cell>
          <cell r="W46">
            <v>39240.89</v>
          </cell>
          <cell r="X46">
            <v>-1809.1100000000006</v>
          </cell>
          <cell r="Y46">
            <v>13925</v>
          </cell>
          <cell r="Z46">
            <v>0.41754122938530736</v>
          </cell>
          <cell r="AA46">
            <v>0</v>
          </cell>
          <cell r="AB46" t="e">
            <v>#DIV/0!</v>
          </cell>
          <cell r="AC46">
            <v>54975</v>
          </cell>
          <cell r="AD46">
            <v>39240.89</v>
          </cell>
          <cell r="AE46">
            <v>-15734.11</v>
          </cell>
          <cell r="AF46">
            <v>13925</v>
          </cell>
          <cell r="AG46">
            <v>0.41754122938530736</v>
          </cell>
          <cell r="AH46">
            <v>0</v>
          </cell>
          <cell r="AI46" t="e">
            <v>#DIV/0!</v>
          </cell>
          <cell r="AJ46">
            <v>68900</v>
          </cell>
          <cell r="AK46">
            <v>39240.89</v>
          </cell>
          <cell r="AL46">
            <v>-29659.11</v>
          </cell>
          <cell r="AM46">
            <v>13925</v>
          </cell>
          <cell r="AN46">
            <v>0.41754122938530736</v>
          </cell>
          <cell r="AO46">
            <v>0</v>
          </cell>
          <cell r="AP46" t="e">
            <v>#DIV/0!</v>
          </cell>
          <cell r="AQ46">
            <v>82825</v>
          </cell>
          <cell r="AR46">
            <v>39240.89</v>
          </cell>
          <cell r="AS46">
            <v>-43584.11</v>
          </cell>
          <cell r="AT46">
            <v>13925</v>
          </cell>
          <cell r="AU46">
            <v>0.41754122938530736</v>
          </cell>
          <cell r="AV46">
            <v>0</v>
          </cell>
          <cell r="AW46" t="e">
            <v>#DIV/0!</v>
          </cell>
          <cell r="AX46">
            <v>96750</v>
          </cell>
          <cell r="AY46">
            <v>39240.89</v>
          </cell>
          <cell r="AZ46">
            <v>-57509.11</v>
          </cell>
          <cell r="BA46">
            <v>13925</v>
          </cell>
          <cell r="BB46">
            <v>0.41754122938530736</v>
          </cell>
          <cell r="BC46">
            <v>0</v>
          </cell>
          <cell r="BD46" t="e">
            <v>#DIV/0!</v>
          </cell>
          <cell r="BE46">
            <v>110675</v>
          </cell>
          <cell r="BF46">
            <v>39240.89</v>
          </cell>
          <cell r="BG46">
            <v>-71434.11</v>
          </cell>
          <cell r="BH46">
            <v>13925</v>
          </cell>
          <cell r="BI46">
            <v>0.41754122938530736</v>
          </cell>
          <cell r="BJ46">
            <v>0</v>
          </cell>
          <cell r="BK46" t="e">
            <v>#DIV/0!</v>
          </cell>
          <cell r="BL46">
            <v>124600</v>
          </cell>
          <cell r="BM46">
            <v>39240.89</v>
          </cell>
          <cell r="BN46">
            <v>-85359.11</v>
          </cell>
          <cell r="BO46">
            <v>13925</v>
          </cell>
          <cell r="BP46">
            <v>0.41754122938530736</v>
          </cell>
          <cell r="BQ46">
            <v>0</v>
          </cell>
          <cell r="BR46" t="e">
            <v>#DIV/0!</v>
          </cell>
          <cell r="BS46">
            <v>138525</v>
          </cell>
          <cell r="BT46">
            <v>39240.89</v>
          </cell>
          <cell r="BU46">
            <v>-99284.11</v>
          </cell>
          <cell r="BV46">
            <v>13925</v>
          </cell>
          <cell r="BW46">
            <v>0.41754122938530736</v>
          </cell>
          <cell r="BX46">
            <v>0</v>
          </cell>
          <cell r="BY46" t="e">
            <v>#DIV/0!</v>
          </cell>
          <cell r="BZ46">
            <v>152450</v>
          </cell>
          <cell r="CA46">
            <v>39240.89</v>
          </cell>
          <cell r="CB46">
            <v>-113209.11</v>
          </cell>
          <cell r="CC46">
            <v>13925</v>
          </cell>
          <cell r="CD46">
            <v>0.41754122938530736</v>
          </cell>
          <cell r="CE46">
            <v>0</v>
          </cell>
          <cell r="CF46" t="e">
            <v>#DIV/0!</v>
          </cell>
          <cell r="CG46">
            <v>166375</v>
          </cell>
          <cell r="CH46">
            <v>39240.89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Alimentação / Refeição</v>
          </cell>
          <cell r="B50">
            <v>6.762117550391758E-3</v>
          </cell>
          <cell r="C50">
            <v>189.24249733333332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Transporte</v>
          </cell>
          <cell r="B51">
            <v>4.9054839731609221E-3</v>
          </cell>
          <cell r="C51">
            <v>137.28333333333333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Alimentação / Hospedagem</v>
          </cell>
          <cell r="B52">
            <v>8.1708437673628554E-4</v>
          </cell>
          <cell r="C52">
            <v>22.866666666666664</v>
          </cell>
          <cell r="D52">
            <v>20</v>
          </cell>
          <cell r="E52">
            <v>5.9970014992503744E-4</v>
          </cell>
          <cell r="F52">
            <v>0</v>
          </cell>
          <cell r="G52">
            <v>0</v>
          </cell>
          <cell r="H52">
            <v>20</v>
          </cell>
          <cell r="I52">
            <v>0</v>
          </cell>
          <cell r="J52">
            <v>-20</v>
          </cell>
          <cell r="K52">
            <v>20</v>
          </cell>
          <cell r="L52">
            <v>5.9970014992503744E-4</v>
          </cell>
          <cell r="M52">
            <v>0</v>
          </cell>
          <cell r="N52">
            <v>0</v>
          </cell>
          <cell r="O52">
            <v>40</v>
          </cell>
          <cell r="P52">
            <v>0</v>
          </cell>
          <cell r="Q52">
            <v>-40</v>
          </cell>
          <cell r="R52">
            <v>20</v>
          </cell>
          <cell r="S52">
            <v>5.9970014992503744E-4</v>
          </cell>
          <cell r="T52">
            <v>0</v>
          </cell>
          <cell r="U52">
            <v>0</v>
          </cell>
          <cell r="V52">
            <v>60</v>
          </cell>
          <cell r="W52">
            <v>0</v>
          </cell>
          <cell r="X52">
            <v>-60</v>
          </cell>
          <cell r="Y52">
            <v>20</v>
          </cell>
          <cell r="Z52">
            <v>5.9970014992503744E-4</v>
          </cell>
          <cell r="AA52">
            <v>0</v>
          </cell>
          <cell r="AB52" t="e">
            <v>#DIV/0!</v>
          </cell>
          <cell r="AC52">
            <v>80</v>
          </cell>
          <cell r="AD52">
            <v>0</v>
          </cell>
          <cell r="AE52">
            <v>-80</v>
          </cell>
          <cell r="AF52">
            <v>20</v>
          </cell>
          <cell r="AG52">
            <v>5.9970014992503744E-4</v>
          </cell>
          <cell r="AH52">
            <v>0</v>
          </cell>
          <cell r="AI52" t="e">
            <v>#DIV/0!</v>
          </cell>
          <cell r="AJ52">
            <v>100</v>
          </cell>
          <cell r="AK52">
            <v>0</v>
          </cell>
          <cell r="AL52">
            <v>-100</v>
          </cell>
          <cell r="AM52">
            <v>20</v>
          </cell>
          <cell r="AN52">
            <v>5.9970014992503744E-4</v>
          </cell>
          <cell r="AO52">
            <v>0</v>
          </cell>
          <cell r="AP52" t="e">
            <v>#DIV/0!</v>
          </cell>
          <cell r="AQ52">
            <v>120</v>
          </cell>
          <cell r="AR52">
            <v>0</v>
          </cell>
          <cell r="AS52">
            <v>-120</v>
          </cell>
          <cell r="AT52">
            <v>20</v>
          </cell>
          <cell r="AU52">
            <v>5.9970014992503744E-4</v>
          </cell>
          <cell r="AV52">
            <v>0</v>
          </cell>
          <cell r="AW52" t="e">
            <v>#DIV/0!</v>
          </cell>
          <cell r="AX52">
            <v>140</v>
          </cell>
          <cell r="AY52">
            <v>0</v>
          </cell>
          <cell r="AZ52">
            <v>-140</v>
          </cell>
          <cell r="BA52">
            <v>20</v>
          </cell>
          <cell r="BB52">
            <v>5.9970014992503744E-4</v>
          </cell>
          <cell r="BC52">
            <v>0</v>
          </cell>
          <cell r="BD52" t="e">
            <v>#DIV/0!</v>
          </cell>
          <cell r="BE52">
            <v>160</v>
          </cell>
          <cell r="BF52">
            <v>0</v>
          </cell>
          <cell r="BG52">
            <v>-160</v>
          </cell>
          <cell r="BH52">
            <v>20</v>
          </cell>
          <cell r="BI52">
            <v>5.9970014992503744E-4</v>
          </cell>
          <cell r="BJ52">
            <v>0</v>
          </cell>
          <cell r="BK52" t="e">
            <v>#DIV/0!</v>
          </cell>
          <cell r="BL52">
            <v>180</v>
          </cell>
          <cell r="BM52">
            <v>0</v>
          </cell>
          <cell r="BN52">
            <v>-180</v>
          </cell>
          <cell r="BO52">
            <v>20</v>
          </cell>
          <cell r="BP52">
            <v>5.9970014992503744E-4</v>
          </cell>
          <cell r="BQ52">
            <v>0</v>
          </cell>
          <cell r="BR52" t="e">
            <v>#DIV/0!</v>
          </cell>
          <cell r="BS52">
            <v>200</v>
          </cell>
          <cell r="BT52">
            <v>0</v>
          </cell>
          <cell r="BU52">
            <v>-200</v>
          </cell>
          <cell r="BV52">
            <v>20</v>
          </cell>
          <cell r="BW52">
            <v>5.9970014992503744E-4</v>
          </cell>
          <cell r="BX52">
            <v>0</v>
          </cell>
          <cell r="BY52" t="e">
            <v>#DIV/0!</v>
          </cell>
          <cell r="BZ52">
            <v>220</v>
          </cell>
          <cell r="CA52">
            <v>0</v>
          </cell>
          <cell r="CB52">
            <v>-220</v>
          </cell>
          <cell r="CC52">
            <v>20</v>
          </cell>
          <cell r="CD52">
            <v>5.9970014992503744E-4</v>
          </cell>
          <cell r="CE52">
            <v>0</v>
          </cell>
          <cell r="CF52" t="e">
            <v>#DIV/0!</v>
          </cell>
          <cell r="CG52">
            <v>240</v>
          </cell>
          <cell r="CH52">
            <v>0</v>
          </cell>
        </row>
        <row r="53">
          <cell r="A53" t="str">
            <v>Viagens - Passagens / Traslados</v>
          </cell>
          <cell r="B53">
            <v>8.8753706024058791E-3</v>
          </cell>
          <cell r="C53">
            <v>248.38333333333333</v>
          </cell>
          <cell r="D53">
            <v>350</v>
          </cell>
          <cell r="E53">
            <v>1.0494752623688156E-2</v>
          </cell>
          <cell r="F53">
            <v>0</v>
          </cell>
          <cell r="G53">
            <v>0</v>
          </cell>
          <cell r="H53">
            <v>350</v>
          </cell>
          <cell r="I53">
            <v>0</v>
          </cell>
          <cell r="J53">
            <v>-350</v>
          </cell>
          <cell r="K53">
            <v>350</v>
          </cell>
          <cell r="L53">
            <v>1.0494752623688156E-2</v>
          </cell>
          <cell r="M53">
            <v>0</v>
          </cell>
          <cell r="N53">
            <v>0</v>
          </cell>
          <cell r="O53">
            <v>700</v>
          </cell>
          <cell r="P53">
            <v>0</v>
          </cell>
          <cell r="Q53">
            <v>-700</v>
          </cell>
          <cell r="R53">
            <v>350</v>
          </cell>
          <cell r="S53">
            <v>1.0494752623688156E-2</v>
          </cell>
          <cell r="T53">
            <v>0</v>
          </cell>
          <cell r="U53">
            <v>0</v>
          </cell>
          <cell r="V53">
            <v>1050</v>
          </cell>
          <cell r="W53">
            <v>0</v>
          </cell>
          <cell r="X53">
            <v>-1050</v>
          </cell>
          <cell r="Y53">
            <v>350</v>
          </cell>
          <cell r="Z53">
            <v>1.0494752623688156E-2</v>
          </cell>
          <cell r="AA53">
            <v>0</v>
          </cell>
          <cell r="AB53" t="e">
            <v>#DIV/0!</v>
          </cell>
          <cell r="AC53">
            <v>1400</v>
          </cell>
          <cell r="AD53">
            <v>0</v>
          </cell>
          <cell r="AE53">
            <v>-1400</v>
          </cell>
          <cell r="AF53">
            <v>350</v>
          </cell>
          <cell r="AG53">
            <v>1.0494752623688156E-2</v>
          </cell>
          <cell r="AH53">
            <v>0</v>
          </cell>
          <cell r="AI53" t="e">
            <v>#DIV/0!</v>
          </cell>
          <cell r="AJ53">
            <v>1750</v>
          </cell>
          <cell r="AK53">
            <v>0</v>
          </cell>
          <cell r="AL53">
            <v>-1750</v>
          </cell>
          <cell r="AM53">
            <v>350</v>
          </cell>
          <cell r="AN53">
            <v>1.0494752623688156E-2</v>
          </cell>
          <cell r="AO53">
            <v>0</v>
          </cell>
          <cell r="AP53" t="e">
            <v>#DIV/0!</v>
          </cell>
          <cell r="AQ53">
            <v>2100</v>
          </cell>
          <cell r="AR53">
            <v>0</v>
          </cell>
          <cell r="AS53">
            <v>-2100</v>
          </cell>
          <cell r="AT53">
            <v>350</v>
          </cell>
          <cell r="AU53">
            <v>1.0494752623688156E-2</v>
          </cell>
          <cell r="AV53">
            <v>0</v>
          </cell>
          <cell r="AW53" t="e">
            <v>#DIV/0!</v>
          </cell>
          <cell r="AX53">
            <v>2450</v>
          </cell>
          <cell r="AY53">
            <v>0</v>
          </cell>
          <cell r="AZ53">
            <v>-2450</v>
          </cell>
          <cell r="BA53">
            <v>350</v>
          </cell>
          <cell r="BB53">
            <v>1.0494752623688156E-2</v>
          </cell>
          <cell r="BC53">
            <v>0</v>
          </cell>
          <cell r="BD53" t="e">
            <v>#DIV/0!</v>
          </cell>
          <cell r="BE53">
            <v>2800</v>
          </cell>
          <cell r="BF53">
            <v>0</v>
          </cell>
          <cell r="BG53">
            <v>-2800</v>
          </cell>
          <cell r="BH53">
            <v>350</v>
          </cell>
          <cell r="BI53">
            <v>1.0494752623688156E-2</v>
          </cell>
          <cell r="BJ53">
            <v>0</v>
          </cell>
          <cell r="BK53" t="e">
            <v>#DIV/0!</v>
          </cell>
          <cell r="BL53">
            <v>3150</v>
          </cell>
          <cell r="BM53">
            <v>0</v>
          </cell>
          <cell r="BN53">
            <v>-3150</v>
          </cell>
          <cell r="BO53">
            <v>350</v>
          </cell>
          <cell r="BP53">
            <v>1.0494752623688156E-2</v>
          </cell>
          <cell r="BQ53">
            <v>0</v>
          </cell>
          <cell r="BR53" t="e">
            <v>#DIV/0!</v>
          </cell>
          <cell r="BS53">
            <v>3500</v>
          </cell>
          <cell r="BT53">
            <v>0</v>
          </cell>
          <cell r="BU53">
            <v>-3500</v>
          </cell>
          <cell r="BV53">
            <v>350</v>
          </cell>
          <cell r="BW53">
            <v>1.0494752623688156E-2</v>
          </cell>
          <cell r="BX53">
            <v>0</v>
          </cell>
          <cell r="BY53" t="e">
            <v>#DIV/0!</v>
          </cell>
          <cell r="BZ53">
            <v>3850</v>
          </cell>
          <cell r="CA53">
            <v>0</v>
          </cell>
          <cell r="CB53">
            <v>-3850</v>
          </cell>
          <cell r="CC53">
            <v>350</v>
          </cell>
          <cell r="CD53">
            <v>1.0494752623688156E-2</v>
          </cell>
          <cell r="CE53">
            <v>0</v>
          </cell>
          <cell r="CF53" t="e">
            <v>#DIV/0!</v>
          </cell>
          <cell r="CG53">
            <v>4200</v>
          </cell>
          <cell r="CH53">
            <v>0</v>
          </cell>
        </row>
        <row r="54">
          <cell r="A54" t="str">
            <v>BS2 - Total</v>
          </cell>
          <cell r="B54">
            <v>0.77084802886006654</v>
          </cell>
          <cell r="C54">
            <v>21572.710760922084</v>
          </cell>
          <cell r="D54">
            <v>19070.798088517473</v>
          </cell>
          <cell r="E54">
            <v>0.5718380236437024</v>
          </cell>
          <cell r="F54">
            <v>18097.98708376419</v>
          </cell>
          <cell r="G54">
            <v>0.55921289829842791</v>
          </cell>
          <cell r="H54">
            <v>19070.798088517473</v>
          </cell>
          <cell r="I54">
            <v>18097.98708376419</v>
          </cell>
          <cell r="J54">
            <v>-972.81100475328162</v>
          </cell>
          <cell r="K54">
            <v>19795.798088517473</v>
          </cell>
          <cell r="L54">
            <v>0.59357715407848488</v>
          </cell>
          <cell r="M54">
            <v>18413.043472241214</v>
          </cell>
          <cell r="N54">
            <v>0.98004276518209565</v>
          </cell>
          <cell r="O54">
            <v>38866.596177034946</v>
          </cell>
          <cell r="P54">
            <v>36511.030556005404</v>
          </cell>
          <cell r="Q54">
            <v>-2355.5656210295401</v>
          </cell>
          <cell r="R54">
            <v>19795.798088517473</v>
          </cell>
          <cell r="S54">
            <v>0.59357715407848488</v>
          </cell>
          <cell r="T54">
            <v>18976.033573373126</v>
          </cell>
          <cell r="U54">
            <v>0.43967732276867222</v>
          </cell>
          <cell r="V54">
            <v>58662.394265552415</v>
          </cell>
          <cell r="W54">
            <v>55487.06412937853</v>
          </cell>
          <cell r="X54">
            <v>-3175.3301361738891</v>
          </cell>
          <cell r="Y54">
            <v>19795.798088517473</v>
          </cell>
          <cell r="Z54">
            <v>0.59357715407848488</v>
          </cell>
          <cell r="AA54">
            <v>0</v>
          </cell>
          <cell r="AB54" t="e">
            <v>#DIV/0!</v>
          </cell>
          <cell r="AC54">
            <v>78458.192354069892</v>
          </cell>
          <cell r="AD54">
            <v>55487.06412937853</v>
          </cell>
          <cell r="AE54">
            <v>-22971.128224691362</v>
          </cell>
          <cell r="AF54">
            <v>19795.798088517473</v>
          </cell>
          <cell r="AG54">
            <v>0.59357715407848488</v>
          </cell>
          <cell r="AH54">
            <v>0</v>
          </cell>
          <cell r="AI54" t="e">
            <v>#DIV/0!</v>
          </cell>
          <cell r="AJ54">
            <v>98253.990442587354</v>
          </cell>
          <cell r="AK54">
            <v>55487.06412937853</v>
          </cell>
          <cell r="AL54">
            <v>-42766.926313208831</v>
          </cell>
          <cell r="AM54">
            <v>19795.798088517473</v>
          </cell>
          <cell r="AN54">
            <v>0.59357715407848488</v>
          </cell>
          <cell r="AO54">
            <v>0</v>
          </cell>
          <cell r="AP54" t="e">
            <v>#DIV/0!</v>
          </cell>
          <cell r="AQ54">
            <v>118049.78853110483</v>
          </cell>
          <cell r="AR54">
            <v>55487.06412937853</v>
          </cell>
          <cell r="AS54">
            <v>-62562.7244017263</v>
          </cell>
          <cell r="AT54">
            <v>19795.798088517473</v>
          </cell>
          <cell r="AU54">
            <v>0.59357715407848488</v>
          </cell>
          <cell r="AV54">
            <v>0</v>
          </cell>
          <cell r="AW54" t="e">
            <v>#DIV/0!</v>
          </cell>
          <cell r="AX54">
            <v>137845.58661962231</v>
          </cell>
          <cell r="AY54">
            <v>55487.06412937853</v>
          </cell>
          <cell r="AZ54">
            <v>-82358.522490243777</v>
          </cell>
          <cell r="BA54">
            <v>19795.798088517473</v>
          </cell>
          <cell r="BB54">
            <v>0.59357715407848488</v>
          </cell>
          <cell r="BC54">
            <v>0</v>
          </cell>
          <cell r="BD54" t="e">
            <v>#DIV/0!</v>
          </cell>
          <cell r="BE54">
            <v>157641.38470813978</v>
          </cell>
          <cell r="BF54">
            <v>55487.06412937853</v>
          </cell>
          <cell r="BG54">
            <v>-102154.32057876125</v>
          </cell>
          <cell r="BH54">
            <v>19795.798088517473</v>
          </cell>
          <cell r="BI54">
            <v>0.59357715407848488</v>
          </cell>
          <cell r="BJ54">
            <v>0</v>
          </cell>
          <cell r="BK54" t="e">
            <v>#DIV/0!</v>
          </cell>
          <cell r="BL54">
            <v>177437.18279665726</v>
          </cell>
          <cell r="BM54">
            <v>55487.06412937853</v>
          </cell>
          <cell r="BN54">
            <v>-121950.11866727873</v>
          </cell>
          <cell r="BO54">
            <v>20201.99160422754</v>
          </cell>
          <cell r="BP54">
            <v>0.60575686969198017</v>
          </cell>
          <cell r="BQ54">
            <v>0</v>
          </cell>
          <cell r="BR54" t="e">
            <v>#DIV/0!</v>
          </cell>
          <cell r="BS54">
            <v>197639.17440088477</v>
          </cell>
          <cell r="BT54">
            <v>55487.06412937853</v>
          </cell>
          <cell r="BU54">
            <v>-142152.11027150624</v>
          </cell>
          <cell r="BV54">
            <v>20201.99160422754</v>
          </cell>
          <cell r="BW54">
            <v>0.60575686969198017</v>
          </cell>
          <cell r="BX54">
            <v>0</v>
          </cell>
          <cell r="BY54" t="e">
            <v>#DIV/0!</v>
          </cell>
          <cell r="BZ54">
            <v>217841.16600511235</v>
          </cell>
          <cell r="CA54">
            <v>55487.06412937853</v>
          </cell>
          <cell r="CB54">
            <v>-162354.10187573382</v>
          </cell>
          <cell r="CC54">
            <v>20201.99160422754</v>
          </cell>
          <cell r="CD54">
            <v>0.60575686969198017</v>
          </cell>
          <cell r="CE54">
            <v>0</v>
          </cell>
          <cell r="CF54" t="e">
            <v>#DIV/0!</v>
          </cell>
          <cell r="CG54">
            <v>238043.15760933986</v>
          </cell>
          <cell r="CH54">
            <v>55487.06412937853</v>
          </cell>
        </row>
        <row r="55">
          <cell r="A55" t="str">
            <v>Distribuição Anual de Lucros</v>
          </cell>
          <cell r="F55">
            <v>30000</v>
          </cell>
          <cell r="M55">
            <v>46221.49</v>
          </cell>
          <cell r="T55">
            <v>1170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Ajuste Mensal de Lucros</v>
          </cell>
          <cell r="F56">
            <v>1586.4349999999999</v>
          </cell>
          <cell r="M56">
            <v>6987.3950000000004</v>
          </cell>
          <cell r="T56">
            <v>0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4855.5164920833331</v>
          </cell>
          <cell r="D57">
            <v>5786.2249999999995</v>
          </cell>
          <cell r="F57">
            <v>6894.2933208131808</v>
          </cell>
          <cell r="H57">
            <v>5786.2249999999995</v>
          </cell>
          <cell r="I57">
            <v>6894.2933208131808</v>
          </cell>
          <cell r="J57">
            <v>1108.0683208131813</v>
          </cell>
          <cell r="K57">
            <v>5786.2249999999995</v>
          </cell>
          <cell r="M57">
            <v>4453.3701859726079</v>
          </cell>
          <cell r="O57">
            <v>11572.449999999999</v>
          </cell>
          <cell r="P57">
            <v>11347.66350678579</v>
          </cell>
          <cell r="Q57">
            <v>-224.78649321420926</v>
          </cell>
          <cell r="R57">
            <v>5786.2249999999995</v>
          </cell>
          <cell r="T57">
            <v>8183.5798788432367</v>
          </cell>
          <cell r="V57">
            <v>17358.674999999999</v>
          </cell>
          <cell r="W57">
            <v>19531.243385629026</v>
          </cell>
          <cell r="X57">
            <v>2172.568385629027</v>
          </cell>
          <cell r="Y57">
            <v>5786.2249999999995</v>
          </cell>
          <cell r="AA57">
            <v>0</v>
          </cell>
          <cell r="AC57">
            <v>23144.899999999998</v>
          </cell>
          <cell r="AD57">
            <v>19531.243385629026</v>
          </cell>
          <cell r="AE57">
            <v>-3613.6566143709715</v>
          </cell>
          <cell r="AF57">
            <v>5786.2249999999995</v>
          </cell>
          <cell r="AH57">
            <v>0</v>
          </cell>
          <cell r="AJ57">
            <v>28931.124999999996</v>
          </cell>
          <cell r="AK57">
            <v>19531.243385629026</v>
          </cell>
          <cell r="AL57">
            <v>-9399.8816143709701</v>
          </cell>
          <cell r="AM57">
            <v>5786.2249999999995</v>
          </cell>
          <cell r="AO57">
            <v>0</v>
          </cell>
          <cell r="AQ57">
            <v>34717.35</v>
          </cell>
          <cell r="AR57">
            <v>19531.243385629026</v>
          </cell>
          <cell r="AS57">
            <v>-15186.106614370972</v>
          </cell>
          <cell r="AT57">
            <v>5786.2249999999995</v>
          </cell>
          <cell r="AV57">
            <v>0</v>
          </cell>
          <cell r="AX57">
            <v>40503.574999999997</v>
          </cell>
          <cell r="AY57">
            <v>19531.243385629026</v>
          </cell>
          <cell r="AZ57">
            <v>-20972.331614370971</v>
          </cell>
          <cell r="BA57">
            <v>5786.2249999999995</v>
          </cell>
          <cell r="BC57">
            <v>0</v>
          </cell>
          <cell r="BE57">
            <v>46289.799999999996</v>
          </cell>
          <cell r="BF57">
            <v>19531.243385629026</v>
          </cell>
          <cell r="BG57">
            <v>-26758.556614370969</v>
          </cell>
          <cell r="BH57">
            <v>5786.2249999999995</v>
          </cell>
          <cell r="BJ57">
            <v>0</v>
          </cell>
          <cell r="BL57">
            <v>52076.024999999994</v>
          </cell>
          <cell r="BM57">
            <v>19531.243385629026</v>
          </cell>
          <cell r="BN57">
            <v>-32544.781614370968</v>
          </cell>
          <cell r="BO57">
            <v>5786.2249999999995</v>
          </cell>
          <cell r="BQ57">
            <v>0</v>
          </cell>
          <cell r="BS57">
            <v>57862.249999999993</v>
          </cell>
          <cell r="BT57">
            <v>19531.243385629026</v>
          </cell>
          <cell r="BU57">
            <v>-38331.00661437097</v>
          </cell>
          <cell r="BV57">
            <v>5786.2249999999995</v>
          </cell>
          <cell r="BX57">
            <v>0</v>
          </cell>
          <cell r="BZ57">
            <v>63648.474999999991</v>
          </cell>
          <cell r="CA57">
            <v>19531.243385629026</v>
          </cell>
          <cell r="CB57">
            <v>-44117.231614370961</v>
          </cell>
          <cell r="CC57">
            <v>5786.2249999999995</v>
          </cell>
          <cell r="CE57">
            <v>0</v>
          </cell>
          <cell r="CG57">
            <v>69434.7</v>
          </cell>
          <cell r="CH57">
            <v>19531.243385629026</v>
          </cell>
        </row>
        <row r="59">
          <cell r="A59" t="str">
            <v>Margem de Contribuição</v>
          </cell>
          <cell r="B59">
            <v>5.5651971139933629E-2</v>
          </cell>
          <cell r="C59">
            <v>1557.458580327916</v>
          </cell>
          <cell r="D59">
            <v>0.25466197635629773</v>
          </cell>
          <cell r="F59">
            <v>0.21048719758393308</v>
          </cell>
          <cell r="H59">
            <v>0.25466197635629773</v>
          </cell>
          <cell r="I59">
            <v>0.21048719758393308</v>
          </cell>
          <cell r="K59">
            <v>0.23292284592151508</v>
          </cell>
          <cell r="M59">
            <v>-0.21707545551489363</v>
          </cell>
          <cell r="O59">
            <v>0.24379241113890637</v>
          </cell>
          <cell r="P59">
            <v>5.1238220188695074E-2</v>
          </cell>
          <cell r="R59">
            <v>0.23292284592151508</v>
          </cell>
          <cell r="T59">
            <v>0.37070799943890353</v>
          </cell>
          <cell r="V59">
            <v>0.24016922273310931</v>
          </cell>
          <cell r="W59">
            <v>0.19854222080171141</v>
          </cell>
          <cell r="Y59">
            <v>0.23292284592151508</v>
          </cell>
          <cell r="AA59">
            <v>0</v>
          </cell>
          <cell r="AC59">
            <v>0.23835762853021072</v>
          </cell>
          <cell r="AD59">
            <v>0.19854222080171141</v>
          </cell>
          <cell r="AF59">
            <v>0.23292284592151508</v>
          </cell>
          <cell r="AH59">
            <v>0</v>
          </cell>
          <cell r="AJ59">
            <v>0.23727067200847163</v>
          </cell>
          <cell r="AK59">
            <v>0.19854222080171141</v>
          </cell>
          <cell r="AM59">
            <v>0.23292284592151508</v>
          </cell>
          <cell r="AO59">
            <v>0</v>
          </cell>
          <cell r="AQ59">
            <v>0.23654603432731219</v>
          </cell>
          <cell r="AR59">
            <v>0.19854222080171141</v>
          </cell>
          <cell r="AT59">
            <v>0.23292284592151508</v>
          </cell>
          <cell r="AV59">
            <v>0</v>
          </cell>
          <cell r="AX59">
            <v>0.23602843598362688</v>
          </cell>
          <cell r="AY59">
            <v>0.19854222080171141</v>
          </cell>
          <cell r="BA59">
            <v>0.23292284592151508</v>
          </cell>
          <cell r="BC59">
            <v>0</v>
          </cell>
          <cell r="BE59">
            <v>0.23564023722586289</v>
          </cell>
          <cell r="BF59">
            <v>0.19854222080171141</v>
          </cell>
          <cell r="BH59">
            <v>0.23292284592151508</v>
          </cell>
          <cell r="BJ59">
            <v>0</v>
          </cell>
          <cell r="BL59">
            <v>0.23533830485871313</v>
          </cell>
          <cell r="BM59">
            <v>0.19854222080171141</v>
          </cell>
          <cell r="BO59">
            <v>0.22074313030801981</v>
          </cell>
          <cell r="BQ59">
            <v>0</v>
          </cell>
          <cell r="BS59">
            <v>0.23387878740364385</v>
          </cell>
          <cell r="BT59">
            <v>0.19854222080171141</v>
          </cell>
          <cell r="BV59">
            <v>0.22074313030801981</v>
          </cell>
          <cell r="BX59">
            <v>0</v>
          </cell>
          <cell r="BZ59">
            <v>0.23268463675858705</v>
          </cell>
          <cell r="CA59">
            <v>0.19854222080171141</v>
          </cell>
          <cell r="CC59">
            <v>0.22074313030801981</v>
          </cell>
          <cell r="CE59">
            <v>0</v>
          </cell>
          <cell r="CG59">
            <v>0.23168951122103984</v>
          </cell>
          <cell r="CH59">
            <v>0.19854222080171141</v>
          </cell>
        </row>
        <row r="61">
          <cell r="A61" t="str">
            <v>Rateio</v>
          </cell>
          <cell r="C61">
            <v>3842.5595961295853</v>
          </cell>
          <cell r="F61">
            <v>6909.6310894849639</v>
          </cell>
          <cell r="I61">
            <v>6909.6310894849639</v>
          </cell>
          <cell r="M61">
            <v>4132.8109476243817</v>
          </cell>
          <cell r="P61">
            <v>11042.442037109346</v>
          </cell>
          <cell r="T61">
            <v>9264.9332254567253</v>
          </cell>
          <cell r="W61">
            <v>20307.375262566071</v>
          </cell>
          <cell r="AA61">
            <v>0</v>
          </cell>
          <cell r="AD61">
            <v>20307.375262566071</v>
          </cell>
          <cell r="AH61">
            <v>0</v>
          </cell>
          <cell r="AK61">
            <v>20307.375262566071</v>
          </cell>
          <cell r="AO61">
            <v>0</v>
          </cell>
          <cell r="AR61">
            <v>20307.375262566071</v>
          </cell>
          <cell r="AV61">
            <v>0</v>
          </cell>
          <cell r="AY61">
            <v>20307.375262566071</v>
          </cell>
          <cell r="BC61">
            <v>0</v>
          </cell>
          <cell r="BF61">
            <v>20307.375262566071</v>
          </cell>
          <cell r="BJ61">
            <v>0</v>
          </cell>
          <cell r="BM61">
            <v>20307.375262566071</v>
          </cell>
          <cell r="BQ61">
            <v>0</v>
          </cell>
          <cell r="BT61">
            <v>20307.375262566071</v>
          </cell>
          <cell r="BX61">
            <v>0</v>
          </cell>
          <cell r="CA61">
            <v>20307.375262566071</v>
          </cell>
          <cell r="CE61">
            <v>0</v>
          </cell>
          <cell r="CH61">
            <v>20307.375262566071</v>
          </cell>
        </row>
        <row r="63">
          <cell r="A63" t="str">
            <v>Resultado</v>
          </cell>
          <cell r="C63">
            <v>-852.72295574855218</v>
          </cell>
          <cell r="F63">
            <v>-246.59149406233519</v>
          </cell>
          <cell r="G63">
            <v>-7.7898910534575294E-3</v>
          </cell>
          <cell r="I63">
            <v>-246.59149406233519</v>
          </cell>
          <cell r="J63">
            <v>-7.7898910534575294E-3</v>
          </cell>
          <cell r="M63">
            <v>-8211.2246058382043</v>
          </cell>
          <cell r="N63">
            <v>-0.43704623194795639</v>
          </cell>
          <cell r="P63">
            <v>-8457.8160999005395</v>
          </cell>
          <cell r="Q63">
            <v>-0.16766969541062204</v>
          </cell>
          <cell r="T63">
            <v>6734.4533223269118</v>
          </cell>
          <cell r="U63">
            <v>0.15603821502645826</v>
          </cell>
          <cell r="W63">
            <v>-1723.3627775736277</v>
          </cell>
          <cell r="X63">
            <v>-1.8411539132508977E-2</v>
          </cell>
          <cell r="AA63">
            <v>0</v>
          </cell>
          <cell r="AB63" t="e">
            <v>#DIV/0!</v>
          </cell>
          <cell r="AD63">
            <v>-1723.3627775736277</v>
          </cell>
          <cell r="AE63">
            <v>-1.8411539132508977E-2</v>
          </cell>
          <cell r="AH63">
            <v>0</v>
          </cell>
          <cell r="AI63" t="e">
            <v>#DIV/0!</v>
          </cell>
          <cell r="AK63">
            <v>-1723.3627775736277</v>
          </cell>
          <cell r="AL63">
            <v>-1.8411539132508977E-2</v>
          </cell>
          <cell r="AO63">
            <v>0</v>
          </cell>
          <cell r="AP63" t="e">
            <v>#DIV/0!</v>
          </cell>
          <cell r="AR63">
            <v>-1723.3627775736277</v>
          </cell>
          <cell r="AS63">
            <v>-1.8411539132508977E-2</v>
          </cell>
          <cell r="AV63">
            <v>0</v>
          </cell>
          <cell r="AW63" t="e">
            <v>#DIV/0!</v>
          </cell>
          <cell r="AY63">
            <v>-1723.3627775736277</v>
          </cell>
          <cell r="AZ63">
            <v>-1.8411539132508977E-2</v>
          </cell>
          <cell r="BC63">
            <v>0</v>
          </cell>
          <cell r="BD63" t="e">
            <v>#DIV/0!</v>
          </cell>
          <cell r="BF63">
            <v>-1723.3627775736277</v>
          </cell>
          <cell r="BG63">
            <v>-1.8411539132508977E-2</v>
          </cell>
          <cell r="BJ63">
            <v>0</v>
          </cell>
          <cell r="BK63" t="e">
            <v>#DIV/0!</v>
          </cell>
          <cell r="BM63">
            <v>-1723.3627775736277</v>
          </cell>
          <cell r="BN63">
            <v>-1.8411539132508977E-2</v>
          </cell>
          <cell r="BQ63">
            <v>0</v>
          </cell>
          <cell r="BR63" t="e">
            <v>#DIV/0!</v>
          </cell>
          <cell r="BT63">
            <v>-1723.3627775736277</v>
          </cell>
          <cell r="BU63">
            <v>-1.8411539132508977E-2</v>
          </cell>
          <cell r="BX63">
            <v>0</v>
          </cell>
          <cell r="BY63" t="e">
            <v>#DIV/0!</v>
          </cell>
          <cell r="CA63">
            <v>-1723.3627775736277</v>
          </cell>
          <cell r="CB63">
            <v>-1.8411539132508977E-2</v>
          </cell>
          <cell r="CE63">
            <v>0</v>
          </cell>
          <cell r="CF63" t="e">
            <v>#DIV/0!</v>
          </cell>
          <cell r="CH63">
            <v>-1723.3627775736277</v>
          </cell>
        </row>
        <row r="65">
          <cell r="A65" t="str">
            <v>BS2 Pronto? N</v>
          </cell>
          <cell r="D65">
            <v>4650.4173153529428</v>
          </cell>
          <cell r="CG65" t="str">
            <v>Total Ano</v>
          </cell>
        </row>
        <row r="66">
          <cell r="CG66" t="str">
            <v>Receita</v>
          </cell>
          <cell r="CH66">
            <v>400200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238043.15760933986</v>
          </cell>
        </row>
        <row r="68">
          <cell r="CG68" t="str">
            <v>Imposto</v>
          </cell>
          <cell r="CH68">
            <v>69434.7</v>
          </cell>
        </row>
        <row r="69">
          <cell r="CG69" t="str">
            <v>MC</v>
          </cell>
          <cell r="CH69">
            <v>92722.142390660141</v>
          </cell>
        </row>
        <row r="70">
          <cell r="CG70" t="str">
            <v>MC %</v>
          </cell>
          <cell r="CH70">
            <v>0.23168951122103984</v>
          </cell>
        </row>
        <row r="71">
          <cell r="CG71" t="str">
            <v>Rateio</v>
          </cell>
          <cell r="CH71">
            <v>88501.736942687479</v>
          </cell>
        </row>
        <row r="72">
          <cell r="CG72" t="str">
            <v>ML</v>
          </cell>
          <cell r="CH72">
            <v>4220.4054479726619</v>
          </cell>
        </row>
        <row r="73">
          <cell r="CG73" t="str">
            <v>ML %</v>
          </cell>
          <cell r="CH73">
            <v>1.0545740749556876E-2</v>
          </cell>
        </row>
      </sheetData>
      <sheetData sheetId="22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2.4192236783074439E-3</v>
          </cell>
          <cell r="C15">
            <v>25.25</v>
          </cell>
          <cell r="D15">
            <v>101</v>
          </cell>
          <cell r="E15">
            <v>8.416666666666666E-3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8.416666666666666E-3</v>
          </cell>
          <cell r="M15">
            <v>0</v>
          </cell>
          <cell r="N15">
            <v>0</v>
          </cell>
          <cell r="O15">
            <v>202</v>
          </cell>
          <cell r="P15">
            <v>0</v>
          </cell>
          <cell r="Q15">
            <v>-202</v>
          </cell>
          <cell r="R15">
            <v>101</v>
          </cell>
          <cell r="S15">
            <v>8.416666666666666E-3</v>
          </cell>
          <cell r="T15">
            <v>0</v>
          </cell>
          <cell r="U15">
            <v>0</v>
          </cell>
          <cell r="V15">
            <v>303</v>
          </cell>
          <cell r="W15">
            <v>0</v>
          </cell>
          <cell r="X15">
            <v>-303</v>
          </cell>
          <cell r="Y15">
            <v>101</v>
          </cell>
          <cell r="Z15">
            <v>8.416666666666666E-3</v>
          </cell>
          <cell r="AA15">
            <v>0</v>
          </cell>
          <cell r="AB15">
            <v>0</v>
          </cell>
          <cell r="AC15">
            <v>404</v>
          </cell>
          <cell r="AD15">
            <v>0</v>
          </cell>
          <cell r="AE15">
            <v>-404</v>
          </cell>
          <cell r="AF15">
            <v>101</v>
          </cell>
          <cell r="AG15">
            <v>8.416666666666666E-3</v>
          </cell>
          <cell r="AH15">
            <v>0</v>
          </cell>
          <cell r="AI15">
            <v>0</v>
          </cell>
          <cell r="AJ15">
            <v>505</v>
          </cell>
          <cell r="AK15">
            <v>0</v>
          </cell>
          <cell r="AL15">
            <v>-505</v>
          </cell>
          <cell r="AM15">
            <v>101</v>
          </cell>
          <cell r="AN15">
            <v>8.416666666666666E-3</v>
          </cell>
          <cell r="AO15">
            <v>0</v>
          </cell>
          <cell r="AP15" t="e">
            <v>#DIV/0!</v>
          </cell>
          <cell r="AQ15">
            <v>606</v>
          </cell>
          <cell r="AR15">
            <v>0</v>
          </cell>
          <cell r="AS15">
            <v>-606</v>
          </cell>
          <cell r="AT15">
            <v>101</v>
          </cell>
          <cell r="AU15">
            <v>8.416666666666666E-3</v>
          </cell>
          <cell r="AV15">
            <v>0</v>
          </cell>
          <cell r="AW15" t="e">
            <v>#DIV/0!</v>
          </cell>
          <cell r="AX15">
            <v>707</v>
          </cell>
          <cell r="AY15">
            <v>0</v>
          </cell>
          <cell r="AZ15">
            <v>-707</v>
          </cell>
          <cell r="BA15">
            <v>101</v>
          </cell>
          <cell r="BB15">
            <v>8.416666666666666E-3</v>
          </cell>
          <cell r="BC15">
            <v>0</v>
          </cell>
          <cell r="BD15" t="e">
            <v>#DIV/0!</v>
          </cell>
          <cell r="BE15">
            <v>808</v>
          </cell>
          <cell r="BF15">
            <v>0</v>
          </cell>
          <cell r="BG15">
            <v>-808</v>
          </cell>
          <cell r="BH15">
            <v>101</v>
          </cell>
          <cell r="BI15">
            <v>8.416666666666666E-3</v>
          </cell>
          <cell r="BJ15">
            <v>0</v>
          </cell>
          <cell r="BK15" t="e">
            <v>#DIV/0!</v>
          </cell>
          <cell r="BL15">
            <v>909</v>
          </cell>
          <cell r="BM15">
            <v>0</v>
          </cell>
          <cell r="BN15">
            <v>-909</v>
          </cell>
          <cell r="BO15">
            <v>101</v>
          </cell>
          <cell r="BP15">
            <v>8.416666666666666E-3</v>
          </cell>
          <cell r="BQ15">
            <v>0</v>
          </cell>
          <cell r="BR15" t="e">
            <v>#DIV/0!</v>
          </cell>
          <cell r="BS15">
            <v>1010</v>
          </cell>
          <cell r="BT15">
            <v>0</v>
          </cell>
          <cell r="BU15">
            <v>-1010</v>
          </cell>
          <cell r="BV15">
            <v>101</v>
          </cell>
          <cell r="BW15">
            <v>8.416666666666666E-3</v>
          </cell>
          <cell r="BX15">
            <v>0</v>
          </cell>
          <cell r="BY15" t="e">
            <v>#DIV/0!</v>
          </cell>
          <cell r="BZ15">
            <v>1111</v>
          </cell>
          <cell r="CA15">
            <v>0</v>
          </cell>
          <cell r="CB15">
            <v>-1111</v>
          </cell>
          <cell r="CC15">
            <v>101</v>
          </cell>
          <cell r="CD15">
            <v>8.416666666666666E-3</v>
          </cell>
          <cell r="CE15">
            <v>0</v>
          </cell>
          <cell r="CF15" t="e">
            <v>#DIV/0!</v>
          </cell>
          <cell r="CG15">
            <v>1212</v>
          </cell>
          <cell r="CH15">
            <v>0</v>
          </cell>
        </row>
        <row r="16">
          <cell r="A16" t="str">
            <v>Back Office / Encerramento</v>
          </cell>
          <cell r="B16">
            <v>1.8649757305572161E-2</v>
          </cell>
          <cell r="C16">
            <v>194.65185306683017</v>
          </cell>
          <cell r="D16">
            <v>195</v>
          </cell>
          <cell r="E16">
            <v>1.6250000000000001E-2</v>
          </cell>
          <cell r="F16">
            <v>343.4371071633833</v>
          </cell>
          <cell r="G16">
            <v>2.6500308429288189E-2</v>
          </cell>
          <cell r="H16">
            <v>195</v>
          </cell>
          <cell r="I16">
            <v>343.4371071633833</v>
          </cell>
          <cell r="J16">
            <v>148.4371071633833</v>
          </cell>
          <cell r="K16">
            <v>195</v>
          </cell>
          <cell r="L16">
            <v>1.6250000000000001E-2</v>
          </cell>
          <cell r="M16">
            <v>275.19442015824512</v>
          </cell>
          <cell r="N16">
            <v>3.3870165853730733E-2</v>
          </cell>
          <cell r="O16">
            <v>390</v>
          </cell>
          <cell r="P16">
            <v>618.63152732162848</v>
          </cell>
          <cell r="Q16">
            <v>228.63152732162848</v>
          </cell>
          <cell r="R16">
            <v>195</v>
          </cell>
          <cell r="S16">
            <v>1.6250000000000001E-2</v>
          </cell>
          <cell r="T16">
            <v>204.58464199675211</v>
          </cell>
          <cell r="U16">
            <v>2.0585932292429939E-2</v>
          </cell>
          <cell r="V16">
            <v>585</v>
          </cell>
          <cell r="W16">
            <v>823.21616931838059</v>
          </cell>
          <cell r="X16">
            <v>238.21616931838059</v>
          </cell>
          <cell r="Y16">
            <v>195</v>
          </cell>
          <cell r="Z16">
            <v>1.6250000000000001E-2</v>
          </cell>
          <cell r="AA16">
            <v>0</v>
          </cell>
          <cell r="AB16">
            <v>0</v>
          </cell>
          <cell r="AC16">
            <v>780</v>
          </cell>
          <cell r="AD16">
            <v>823.21616931838059</v>
          </cell>
          <cell r="AE16">
            <v>43.216169318380594</v>
          </cell>
          <cell r="AF16">
            <v>195</v>
          </cell>
          <cell r="AG16">
            <v>1.6250000000000001E-2</v>
          </cell>
          <cell r="AH16">
            <v>0</v>
          </cell>
          <cell r="AI16">
            <v>0</v>
          </cell>
          <cell r="AJ16">
            <v>975</v>
          </cell>
          <cell r="AK16">
            <v>823.21616931838059</v>
          </cell>
          <cell r="AL16">
            <v>-151.78383068161941</v>
          </cell>
          <cell r="AM16">
            <v>195</v>
          </cell>
          <cell r="AN16">
            <v>1.6250000000000001E-2</v>
          </cell>
          <cell r="AO16">
            <v>0</v>
          </cell>
          <cell r="AP16" t="e">
            <v>#DIV/0!</v>
          </cell>
          <cell r="AQ16">
            <v>1170</v>
          </cell>
          <cell r="AR16">
            <v>823.21616931838059</v>
          </cell>
          <cell r="AS16">
            <v>-346.78383068161941</v>
          </cell>
          <cell r="AT16">
            <v>195</v>
          </cell>
          <cell r="AU16">
            <v>1.6250000000000001E-2</v>
          </cell>
          <cell r="AV16">
            <v>0</v>
          </cell>
          <cell r="AW16" t="e">
            <v>#DIV/0!</v>
          </cell>
          <cell r="AX16">
            <v>1365</v>
          </cell>
          <cell r="AY16">
            <v>823.21616931838059</v>
          </cell>
          <cell r="AZ16">
            <v>-541.78383068161941</v>
          </cell>
          <cell r="BA16">
            <v>195</v>
          </cell>
          <cell r="BB16">
            <v>1.6250000000000001E-2</v>
          </cell>
          <cell r="BC16">
            <v>0</v>
          </cell>
          <cell r="BD16" t="e">
            <v>#DIV/0!</v>
          </cell>
          <cell r="BE16">
            <v>1560</v>
          </cell>
          <cell r="BF16">
            <v>823.21616931838059</v>
          </cell>
          <cell r="BG16">
            <v>-736.78383068161941</v>
          </cell>
          <cell r="BH16">
            <v>195</v>
          </cell>
          <cell r="BI16">
            <v>1.6250000000000001E-2</v>
          </cell>
          <cell r="BJ16">
            <v>0</v>
          </cell>
          <cell r="BK16" t="e">
            <v>#DIV/0!</v>
          </cell>
          <cell r="BL16">
            <v>1755</v>
          </cell>
          <cell r="BM16">
            <v>823.21616931838059</v>
          </cell>
          <cell r="BN16">
            <v>-931.78383068161941</v>
          </cell>
          <cell r="BO16">
            <v>195</v>
          </cell>
          <cell r="BP16">
            <v>1.6250000000000001E-2</v>
          </cell>
          <cell r="BQ16">
            <v>0</v>
          </cell>
          <cell r="BR16" t="e">
            <v>#DIV/0!</v>
          </cell>
          <cell r="BS16">
            <v>1950</v>
          </cell>
          <cell r="BT16">
            <v>823.21616931838059</v>
          </cell>
          <cell r="BU16">
            <v>-1126.7838306816193</v>
          </cell>
          <cell r="BV16">
            <v>195</v>
          </cell>
          <cell r="BW16">
            <v>1.6250000000000001E-2</v>
          </cell>
          <cell r="BX16">
            <v>0</v>
          </cell>
          <cell r="BY16" t="e">
            <v>#DIV/0!</v>
          </cell>
          <cell r="BZ16">
            <v>2145</v>
          </cell>
          <cell r="CA16">
            <v>823.21616931838059</v>
          </cell>
          <cell r="CB16">
            <v>-1321.7838306816193</v>
          </cell>
          <cell r="CC16">
            <v>195</v>
          </cell>
          <cell r="CD16">
            <v>1.6250000000000001E-2</v>
          </cell>
          <cell r="CE16">
            <v>0</v>
          </cell>
          <cell r="CF16" t="e">
            <v>#DIV/0!</v>
          </cell>
          <cell r="CG16">
            <v>2340</v>
          </cell>
          <cell r="CH16">
            <v>823.21616931838059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1.2850571400428088E-2</v>
          </cell>
          <cell r="C18">
            <v>134.12440146411856</v>
          </cell>
          <cell r="D18">
            <v>200</v>
          </cell>
          <cell r="E18">
            <v>1.6666666666666666E-2</v>
          </cell>
          <cell r="F18">
            <v>334.68363328413869</v>
          </cell>
          <cell r="G18">
            <v>2.5824872511650596E-2</v>
          </cell>
          <cell r="H18">
            <v>200</v>
          </cell>
          <cell r="I18">
            <v>334.68363328413869</v>
          </cell>
          <cell r="J18">
            <v>134.68363328413869</v>
          </cell>
          <cell r="K18">
            <v>200</v>
          </cell>
          <cell r="L18">
            <v>1.6666666666666666E-2</v>
          </cell>
          <cell r="M18">
            <v>220.94038457271628</v>
          </cell>
          <cell r="N18">
            <v>2.719272965259192E-2</v>
          </cell>
          <cell r="O18">
            <v>400</v>
          </cell>
          <cell r="P18">
            <v>555.62401785685495</v>
          </cell>
          <cell r="Q18">
            <v>155.62401785685495</v>
          </cell>
          <cell r="R18">
            <v>200</v>
          </cell>
          <cell r="S18">
            <v>1.6666666666666666E-2</v>
          </cell>
          <cell r="T18">
            <v>257.83616595145025</v>
          </cell>
          <cell r="U18">
            <v>2.5944263474579624E-2</v>
          </cell>
          <cell r="V18">
            <v>600</v>
          </cell>
          <cell r="W18">
            <v>813.46018380830515</v>
          </cell>
          <cell r="X18">
            <v>213.46018380830515</v>
          </cell>
          <cell r="Y18">
            <v>200</v>
          </cell>
          <cell r="Z18">
            <v>1.6666666666666666E-2</v>
          </cell>
          <cell r="AA18">
            <v>0</v>
          </cell>
          <cell r="AB18">
            <v>0</v>
          </cell>
          <cell r="AC18">
            <v>800</v>
          </cell>
          <cell r="AD18">
            <v>813.46018380830515</v>
          </cell>
          <cell r="AE18">
            <v>13.460183808305146</v>
          </cell>
          <cell r="AF18">
            <v>200</v>
          </cell>
          <cell r="AG18">
            <v>1.6666666666666666E-2</v>
          </cell>
          <cell r="AH18">
            <v>0</v>
          </cell>
          <cell r="AI18">
            <v>0</v>
          </cell>
          <cell r="AJ18">
            <v>1000</v>
          </cell>
          <cell r="AK18">
            <v>813.46018380830515</v>
          </cell>
          <cell r="AL18">
            <v>-186.53981619169485</v>
          </cell>
          <cell r="AM18">
            <v>200</v>
          </cell>
          <cell r="AN18">
            <v>1.6666666666666666E-2</v>
          </cell>
          <cell r="AO18">
            <v>0</v>
          </cell>
          <cell r="AP18" t="e">
            <v>#DIV/0!</v>
          </cell>
          <cell r="AQ18">
            <v>1200</v>
          </cell>
          <cell r="AR18">
            <v>813.46018380830515</v>
          </cell>
          <cell r="AS18">
            <v>-386.53981619169485</v>
          </cell>
          <cell r="AT18">
            <v>200</v>
          </cell>
          <cell r="AU18">
            <v>1.6666666666666666E-2</v>
          </cell>
          <cell r="AV18">
            <v>0</v>
          </cell>
          <cell r="AW18" t="e">
            <v>#DIV/0!</v>
          </cell>
          <cell r="AX18">
            <v>1400</v>
          </cell>
          <cell r="AY18">
            <v>813.46018380830515</v>
          </cell>
          <cell r="AZ18">
            <v>-586.53981619169485</v>
          </cell>
          <cell r="BA18">
            <v>200</v>
          </cell>
          <cell r="BB18">
            <v>1.6666666666666666E-2</v>
          </cell>
          <cell r="BC18">
            <v>0</v>
          </cell>
          <cell r="BD18" t="e">
            <v>#DIV/0!</v>
          </cell>
          <cell r="BE18">
            <v>1600</v>
          </cell>
          <cell r="BF18">
            <v>813.46018380830515</v>
          </cell>
          <cell r="BG18">
            <v>-786.53981619169485</v>
          </cell>
          <cell r="BH18">
            <v>200</v>
          </cell>
          <cell r="BI18">
            <v>1.6666666666666666E-2</v>
          </cell>
          <cell r="BJ18">
            <v>0</v>
          </cell>
          <cell r="BK18" t="e">
            <v>#DIV/0!</v>
          </cell>
          <cell r="BL18">
            <v>1800</v>
          </cell>
          <cell r="BM18">
            <v>813.46018380830515</v>
          </cell>
          <cell r="BN18">
            <v>-986.53981619169485</v>
          </cell>
          <cell r="BO18">
            <v>200</v>
          </cell>
          <cell r="BP18">
            <v>1.6666666666666666E-2</v>
          </cell>
          <cell r="BQ18">
            <v>0</v>
          </cell>
          <cell r="BR18" t="e">
            <v>#DIV/0!</v>
          </cell>
          <cell r="BS18">
            <v>2000</v>
          </cell>
          <cell r="BT18">
            <v>813.46018380830515</v>
          </cell>
          <cell r="BU18">
            <v>-1186.5398161916949</v>
          </cell>
          <cell r="BV18">
            <v>200</v>
          </cell>
          <cell r="BW18">
            <v>1.6666666666666666E-2</v>
          </cell>
          <cell r="BX18">
            <v>0</v>
          </cell>
          <cell r="BY18" t="e">
            <v>#DIV/0!</v>
          </cell>
          <cell r="BZ18">
            <v>2200</v>
          </cell>
          <cell r="CA18">
            <v>813.46018380830515</v>
          </cell>
          <cell r="CB18">
            <v>-1386.5398161916949</v>
          </cell>
          <cell r="CC18">
            <v>200</v>
          </cell>
          <cell r="CD18">
            <v>1.6666666666666666E-2</v>
          </cell>
          <cell r="CE18">
            <v>0</v>
          </cell>
          <cell r="CF18" t="e">
            <v>#DIV/0!</v>
          </cell>
          <cell r="CG18">
            <v>2400</v>
          </cell>
          <cell r="CH18">
            <v>813.46018380830515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1.3418392316505315E-4</v>
          </cell>
          <cell r="C22">
            <v>1.4005088038357956</v>
          </cell>
          <cell r="D22">
            <v>20</v>
          </cell>
          <cell r="E22">
            <v>1.6666666666666668E-3</v>
          </cell>
          <cell r="F22">
            <v>17.076291731387137</v>
          </cell>
          <cell r="G22">
            <v>1.3176415368971242E-3</v>
          </cell>
          <cell r="H22">
            <v>20</v>
          </cell>
          <cell r="I22">
            <v>17.076291731387137</v>
          </cell>
          <cell r="J22">
            <v>-2.923708268612863</v>
          </cell>
          <cell r="K22">
            <v>20</v>
          </cell>
          <cell r="L22">
            <v>1.6666666666666668E-3</v>
          </cell>
          <cell r="M22">
            <v>0</v>
          </cell>
          <cell r="N22">
            <v>0</v>
          </cell>
          <cell r="O22">
            <v>40</v>
          </cell>
          <cell r="P22">
            <v>17.076291731387137</v>
          </cell>
          <cell r="Q22">
            <v>-22.923708268612863</v>
          </cell>
          <cell r="R22">
            <v>20</v>
          </cell>
          <cell r="S22">
            <v>1.6666666666666668E-3</v>
          </cell>
          <cell r="T22">
            <v>39.556631821139327</v>
          </cell>
          <cell r="U22">
            <v>3.9803092570334844E-3</v>
          </cell>
          <cell r="V22">
            <v>60</v>
          </cell>
          <cell r="W22">
            <v>56.632923552526464</v>
          </cell>
          <cell r="X22">
            <v>-3.3670764474735364</v>
          </cell>
          <cell r="Y22">
            <v>20</v>
          </cell>
          <cell r="Z22">
            <v>1.6666666666666668E-3</v>
          </cell>
          <cell r="AA22">
            <v>0</v>
          </cell>
          <cell r="AB22">
            <v>0</v>
          </cell>
          <cell r="AC22">
            <v>80</v>
          </cell>
          <cell r="AD22">
            <v>56.632923552526464</v>
          </cell>
          <cell r="AE22">
            <v>-23.367076447473536</v>
          </cell>
          <cell r="AF22">
            <v>20</v>
          </cell>
          <cell r="AG22">
            <v>1.6666666666666668E-3</v>
          </cell>
          <cell r="AH22">
            <v>0</v>
          </cell>
          <cell r="AI22">
            <v>0</v>
          </cell>
          <cell r="AJ22">
            <v>100</v>
          </cell>
          <cell r="AK22">
            <v>56.632923552526464</v>
          </cell>
          <cell r="AL22">
            <v>-43.367076447473536</v>
          </cell>
          <cell r="AM22">
            <v>20</v>
          </cell>
          <cell r="AN22">
            <v>1.6666666666666668E-3</v>
          </cell>
          <cell r="AO22">
            <v>0</v>
          </cell>
          <cell r="AP22" t="e">
            <v>#DIV/0!</v>
          </cell>
          <cell r="AQ22">
            <v>120</v>
          </cell>
          <cell r="AR22">
            <v>56.632923552526464</v>
          </cell>
          <cell r="AS22">
            <v>-63.367076447473536</v>
          </cell>
          <cell r="AT22">
            <v>20</v>
          </cell>
          <cell r="AU22">
            <v>1.6666666666666668E-3</v>
          </cell>
          <cell r="AV22">
            <v>0</v>
          </cell>
          <cell r="AW22" t="e">
            <v>#DIV/0!</v>
          </cell>
          <cell r="AX22">
            <v>140</v>
          </cell>
          <cell r="AY22">
            <v>56.632923552526464</v>
          </cell>
          <cell r="AZ22">
            <v>-83.367076447473536</v>
          </cell>
          <cell r="BA22">
            <v>20</v>
          </cell>
          <cell r="BB22">
            <v>1.6666666666666668E-3</v>
          </cell>
          <cell r="BC22">
            <v>0</v>
          </cell>
          <cell r="BD22" t="e">
            <v>#DIV/0!</v>
          </cell>
          <cell r="BE22">
            <v>160</v>
          </cell>
          <cell r="BF22">
            <v>56.632923552526464</v>
          </cell>
          <cell r="BG22">
            <v>-103.36707644747354</v>
          </cell>
          <cell r="BH22">
            <v>20</v>
          </cell>
          <cell r="BI22">
            <v>1.6666666666666668E-3</v>
          </cell>
          <cell r="BJ22">
            <v>0</v>
          </cell>
          <cell r="BK22" t="e">
            <v>#DIV/0!</v>
          </cell>
          <cell r="BL22">
            <v>180</v>
          </cell>
          <cell r="BM22">
            <v>56.632923552526464</v>
          </cell>
          <cell r="BN22">
            <v>-123.36707644747354</v>
          </cell>
          <cell r="BO22">
            <v>20</v>
          </cell>
          <cell r="BP22">
            <v>1.6666666666666668E-3</v>
          </cell>
          <cell r="BQ22">
            <v>0</v>
          </cell>
          <cell r="BR22" t="e">
            <v>#DIV/0!</v>
          </cell>
          <cell r="BS22">
            <v>200</v>
          </cell>
          <cell r="BT22">
            <v>56.632923552526464</v>
          </cell>
          <cell r="BU22">
            <v>-143.36707644747355</v>
          </cell>
          <cell r="BV22">
            <v>20</v>
          </cell>
          <cell r="BW22">
            <v>1.6666666666666668E-3</v>
          </cell>
          <cell r="BX22">
            <v>0</v>
          </cell>
          <cell r="BY22" t="e">
            <v>#DIV/0!</v>
          </cell>
          <cell r="BZ22">
            <v>220</v>
          </cell>
          <cell r="CA22">
            <v>56.632923552526464</v>
          </cell>
          <cell r="CB22">
            <v>-163.36707644747355</v>
          </cell>
          <cell r="CC22">
            <v>20</v>
          </cell>
          <cell r="CD22">
            <v>1.6666666666666668E-3</v>
          </cell>
          <cell r="CE22">
            <v>0</v>
          </cell>
          <cell r="CF22" t="e">
            <v>#DIV/0!</v>
          </cell>
          <cell r="CG22">
            <v>240</v>
          </cell>
          <cell r="CH22">
            <v>56.632923552526464</v>
          </cell>
        </row>
        <row r="23">
          <cell r="A23" t="str">
            <v>GNA</v>
          </cell>
          <cell r="B23">
            <v>4.4587503650384906E-2</v>
          </cell>
          <cell r="C23">
            <v>465.37014219366597</v>
          </cell>
          <cell r="D23">
            <v>120</v>
          </cell>
          <cell r="E23">
            <v>0.01</v>
          </cell>
          <cell r="F23">
            <v>167.32573781294167</v>
          </cell>
          <cell r="G23">
            <v>1.2911195580539553E-2</v>
          </cell>
          <cell r="H23">
            <v>120</v>
          </cell>
          <cell r="I23">
            <v>167.32573781294167</v>
          </cell>
          <cell r="J23">
            <v>47.325737812941668</v>
          </cell>
          <cell r="K23">
            <v>120</v>
          </cell>
          <cell r="L23">
            <v>0.01</v>
          </cell>
          <cell r="M23">
            <v>106.99594427096822</v>
          </cell>
          <cell r="N23">
            <v>1.3168764017999827E-2</v>
          </cell>
          <cell r="O23">
            <v>240</v>
          </cell>
          <cell r="P23">
            <v>274.32168208390988</v>
          </cell>
          <cell r="Q23">
            <v>34.321682083909877</v>
          </cell>
          <cell r="R23">
            <v>120</v>
          </cell>
          <cell r="S23">
            <v>0.01</v>
          </cell>
          <cell r="T23">
            <v>102.23121783633138</v>
          </cell>
          <cell r="U23">
            <v>1.0286817759198093E-2</v>
          </cell>
          <cell r="V23">
            <v>360</v>
          </cell>
          <cell r="W23">
            <v>376.55289992024126</v>
          </cell>
          <cell r="X23">
            <v>16.552899920241259</v>
          </cell>
          <cell r="Y23">
            <v>120</v>
          </cell>
          <cell r="Z23">
            <v>0.01</v>
          </cell>
          <cell r="AA23">
            <v>0</v>
          </cell>
          <cell r="AB23">
            <v>0</v>
          </cell>
          <cell r="AC23">
            <v>480</v>
          </cell>
          <cell r="AD23">
            <v>376.55289992024126</v>
          </cell>
          <cell r="AE23">
            <v>-103.44710007975874</v>
          </cell>
          <cell r="AF23">
            <v>120</v>
          </cell>
          <cell r="AG23">
            <v>0.01</v>
          </cell>
          <cell r="AH23">
            <v>0</v>
          </cell>
          <cell r="AI23">
            <v>0</v>
          </cell>
          <cell r="AJ23">
            <v>600</v>
          </cell>
          <cell r="AK23">
            <v>376.55289992024126</v>
          </cell>
          <cell r="AL23">
            <v>-223.44710007975874</v>
          </cell>
          <cell r="AM23">
            <v>120</v>
          </cell>
          <cell r="AN23">
            <v>0.01</v>
          </cell>
          <cell r="AO23">
            <v>0</v>
          </cell>
          <cell r="AP23" t="e">
            <v>#DIV/0!</v>
          </cell>
          <cell r="AQ23">
            <v>720</v>
          </cell>
          <cell r="AR23">
            <v>376.55289992024126</v>
          </cell>
          <cell r="AS23">
            <v>-343.44710007975874</v>
          </cell>
          <cell r="AT23">
            <v>120</v>
          </cell>
          <cell r="AU23">
            <v>0.01</v>
          </cell>
          <cell r="AV23">
            <v>0</v>
          </cell>
          <cell r="AW23" t="e">
            <v>#DIV/0!</v>
          </cell>
          <cell r="AX23">
            <v>840</v>
          </cell>
          <cell r="AY23">
            <v>376.55289992024126</v>
          </cell>
          <cell r="AZ23">
            <v>-463.44710007975874</v>
          </cell>
          <cell r="BA23">
            <v>120</v>
          </cell>
          <cell r="BB23">
            <v>0.01</v>
          </cell>
          <cell r="BC23">
            <v>0</v>
          </cell>
          <cell r="BD23" t="e">
            <v>#DIV/0!</v>
          </cell>
          <cell r="BE23">
            <v>960</v>
          </cell>
          <cell r="BF23">
            <v>376.55289992024126</v>
          </cell>
          <cell r="BG23">
            <v>-583.44710007975868</v>
          </cell>
          <cell r="BH23">
            <v>120</v>
          </cell>
          <cell r="BI23">
            <v>0.01</v>
          </cell>
          <cell r="BJ23">
            <v>0</v>
          </cell>
          <cell r="BK23" t="e">
            <v>#DIV/0!</v>
          </cell>
          <cell r="BL23">
            <v>1080</v>
          </cell>
          <cell r="BM23">
            <v>376.55289992024126</v>
          </cell>
          <cell r="BN23">
            <v>-703.44710007975868</v>
          </cell>
          <cell r="BO23">
            <v>120</v>
          </cell>
          <cell r="BP23">
            <v>0.01</v>
          </cell>
          <cell r="BQ23">
            <v>0</v>
          </cell>
          <cell r="BR23" t="e">
            <v>#DIV/0!</v>
          </cell>
          <cell r="BS23">
            <v>1200</v>
          </cell>
          <cell r="BT23">
            <v>376.55289992024126</v>
          </cell>
          <cell r="BU23">
            <v>-823.44710007975868</v>
          </cell>
          <cell r="BV23">
            <v>120</v>
          </cell>
          <cell r="BW23">
            <v>0.01</v>
          </cell>
          <cell r="BX23">
            <v>0</v>
          </cell>
          <cell r="BY23" t="e">
            <v>#DIV/0!</v>
          </cell>
          <cell r="BZ23">
            <v>1320</v>
          </cell>
          <cell r="CA23">
            <v>376.55289992024126</v>
          </cell>
          <cell r="CB23">
            <v>-943.44710007975868</v>
          </cell>
          <cell r="CC23">
            <v>120</v>
          </cell>
          <cell r="CD23">
            <v>0.01</v>
          </cell>
          <cell r="CE23">
            <v>0</v>
          </cell>
          <cell r="CF23" t="e">
            <v>#DIV/0!</v>
          </cell>
          <cell r="CG23">
            <v>1440</v>
          </cell>
          <cell r="CH23">
            <v>376.55289992024126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3.3864676699498643E-2</v>
          </cell>
          <cell r="C25">
            <v>353.45350424999998</v>
          </cell>
          <cell r="D25">
            <v>400</v>
          </cell>
          <cell r="E25">
            <v>3.3333333333333333E-2</v>
          </cell>
          <cell r="F25">
            <v>446.39935000000003</v>
          </cell>
          <cell r="G25">
            <v>3.4445085318069654E-2</v>
          </cell>
          <cell r="H25">
            <v>400</v>
          </cell>
          <cell r="I25">
            <v>446.39935000000003</v>
          </cell>
          <cell r="J25">
            <v>46.399350000000027</v>
          </cell>
          <cell r="K25">
            <v>400</v>
          </cell>
          <cell r="L25">
            <v>3.3333333333333333E-2</v>
          </cell>
          <cell r="M25">
            <v>399.63206500000001</v>
          </cell>
          <cell r="N25">
            <v>4.918560599533784E-2</v>
          </cell>
          <cell r="O25">
            <v>800</v>
          </cell>
          <cell r="P25">
            <v>846.03141500000004</v>
          </cell>
          <cell r="Q25">
            <v>46.031415000000038</v>
          </cell>
          <cell r="R25">
            <v>400</v>
          </cell>
          <cell r="S25">
            <v>3.3333333333333333E-2</v>
          </cell>
          <cell r="T25">
            <v>381.83609999999999</v>
          </cell>
          <cell r="U25">
            <v>3.8421516027240671E-2</v>
          </cell>
          <cell r="V25">
            <v>1200</v>
          </cell>
          <cell r="W25">
            <v>1227.8675149999999</v>
          </cell>
          <cell r="X25">
            <v>27.867514999999912</v>
          </cell>
          <cell r="Y25">
            <v>400</v>
          </cell>
          <cell r="Z25">
            <v>3.3333333333333333E-2</v>
          </cell>
          <cell r="AA25">
            <v>0</v>
          </cell>
          <cell r="AB25">
            <v>0</v>
          </cell>
          <cell r="AC25">
            <v>1600</v>
          </cell>
          <cell r="AD25">
            <v>1227.8675149999999</v>
          </cell>
          <cell r="AE25">
            <v>-372.13248500000009</v>
          </cell>
          <cell r="AF25">
            <v>400</v>
          </cell>
          <cell r="AG25">
            <v>3.3333333333333333E-2</v>
          </cell>
          <cell r="AH25">
            <v>0</v>
          </cell>
          <cell r="AI25">
            <v>0</v>
          </cell>
          <cell r="AJ25">
            <v>2000</v>
          </cell>
          <cell r="AK25">
            <v>1227.8675149999999</v>
          </cell>
          <cell r="AL25">
            <v>-772.13248500000009</v>
          </cell>
          <cell r="AM25">
            <v>400</v>
          </cell>
          <cell r="AN25">
            <v>3.3333333333333333E-2</v>
          </cell>
          <cell r="AO25">
            <v>0</v>
          </cell>
          <cell r="AP25" t="e">
            <v>#DIV/0!</v>
          </cell>
          <cell r="AQ25">
            <v>2400</v>
          </cell>
          <cell r="AR25">
            <v>1227.8675149999999</v>
          </cell>
          <cell r="AS25">
            <v>-1172.1324850000001</v>
          </cell>
          <cell r="AT25">
            <v>400</v>
          </cell>
          <cell r="AU25">
            <v>3.3333333333333333E-2</v>
          </cell>
          <cell r="AV25">
            <v>0</v>
          </cell>
          <cell r="AW25" t="e">
            <v>#DIV/0!</v>
          </cell>
          <cell r="AX25">
            <v>2800</v>
          </cell>
          <cell r="AY25">
            <v>1227.8675149999999</v>
          </cell>
          <cell r="AZ25">
            <v>-1572.1324850000001</v>
          </cell>
          <cell r="BA25">
            <v>400</v>
          </cell>
          <cell r="BB25">
            <v>3.3333333333333333E-2</v>
          </cell>
          <cell r="BC25">
            <v>0</v>
          </cell>
          <cell r="BD25" t="e">
            <v>#DIV/0!</v>
          </cell>
          <cell r="BE25">
            <v>3200</v>
          </cell>
          <cell r="BF25">
            <v>1227.8675149999999</v>
          </cell>
          <cell r="BG25">
            <v>-1972.1324850000001</v>
          </cell>
          <cell r="BH25">
            <v>400</v>
          </cell>
          <cell r="BI25">
            <v>3.3333333333333333E-2</v>
          </cell>
          <cell r="BJ25">
            <v>0</v>
          </cell>
          <cell r="BK25" t="e">
            <v>#DIV/0!</v>
          </cell>
          <cell r="BL25">
            <v>3600</v>
          </cell>
          <cell r="BM25">
            <v>1227.8675149999999</v>
          </cell>
          <cell r="BN25">
            <v>-2372.1324850000001</v>
          </cell>
          <cell r="BO25">
            <v>400</v>
          </cell>
          <cell r="BP25">
            <v>3.3333333333333333E-2</v>
          </cell>
          <cell r="BQ25">
            <v>0</v>
          </cell>
          <cell r="BR25" t="e">
            <v>#DIV/0!</v>
          </cell>
          <cell r="BS25">
            <v>4000</v>
          </cell>
          <cell r="BT25">
            <v>1227.8675149999999</v>
          </cell>
          <cell r="BU25">
            <v>-2772.1324850000001</v>
          </cell>
          <cell r="BV25">
            <v>400</v>
          </cell>
          <cell r="BW25">
            <v>3.3333333333333333E-2</v>
          </cell>
          <cell r="BX25">
            <v>0</v>
          </cell>
          <cell r="BY25" t="e">
            <v>#DIV/0!</v>
          </cell>
          <cell r="BZ25">
            <v>4400</v>
          </cell>
          <cell r="CA25">
            <v>1227.8675149999999</v>
          </cell>
          <cell r="CB25">
            <v>-3172.1324850000001</v>
          </cell>
          <cell r="CC25">
            <v>400</v>
          </cell>
          <cell r="CD25">
            <v>3.3333333333333333E-2</v>
          </cell>
          <cell r="CE25">
            <v>0</v>
          </cell>
          <cell r="CF25" t="e">
            <v>#DIV/0!</v>
          </cell>
          <cell r="CG25">
            <v>4800</v>
          </cell>
          <cell r="CH25">
            <v>1227.8675149999999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1.2385808520410697E-2</v>
          </cell>
          <cell r="C39">
            <v>129.27356322800745</v>
          </cell>
          <cell r="D39">
            <v>230</v>
          </cell>
          <cell r="E39">
            <v>1.9166666666666665E-2</v>
          </cell>
          <cell r="F39">
            <v>291.50784990126942</v>
          </cell>
          <cell r="G39">
            <v>2.2493340908171726E-2</v>
          </cell>
          <cell r="H39">
            <v>230</v>
          </cell>
          <cell r="I39">
            <v>291.50784990126942</v>
          </cell>
          <cell r="J39">
            <v>61.507849901269424</v>
          </cell>
          <cell r="K39">
            <v>230</v>
          </cell>
          <cell r="L39">
            <v>1.9166666666666665E-2</v>
          </cell>
          <cell r="M39">
            <v>282.40683744186049</v>
          </cell>
          <cell r="N39">
            <v>3.4757850166014008E-2</v>
          </cell>
          <cell r="O39">
            <v>460</v>
          </cell>
          <cell r="P39">
            <v>573.91468734312991</v>
          </cell>
          <cell r="Q39">
            <v>113.91468734312991</v>
          </cell>
          <cell r="R39">
            <v>230</v>
          </cell>
          <cell r="S39">
            <v>1.9166666666666665E-2</v>
          </cell>
          <cell r="T39">
            <v>194.72408460500964</v>
          </cell>
          <cell r="U39">
            <v>1.9593732854335005E-2</v>
          </cell>
          <cell r="V39">
            <v>690</v>
          </cell>
          <cell r="W39">
            <v>768.63877194813949</v>
          </cell>
          <cell r="X39">
            <v>78.638771948139492</v>
          </cell>
          <cell r="Y39">
            <v>230</v>
          </cell>
          <cell r="Z39">
            <v>1.9166666666666665E-2</v>
          </cell>
          <cell r="AA39">
            <v>0</v>
          </cell>
          <cell r="AB39">
            <v>0</v>
          </cell>
          <cell r="AC39">
            <v>920</v>
          </cell>
          <cell r="AD39">
            <v>768.63877194813949</v>
          </cell>
          <cell r="AE39">
            <v>-151.36122805186051</v>
          </cell>
          <cell r="AF39">
            <v>230</v>
          </cell>
          <cell r="AG39">
            <v>1.9166666666666665E-2</v>
          </cell>
          <cell r="AH39">
            <v>0</v>
          </cell>
          <cell r="AI39">
            <v>0</v>
          </cell>
          <cell r="AJ39">
            <v>1150</v>
          </cell>
          <cell r="AK39">
            <v>768.63877194813949</v>
          </cell>
          <cell r="AL39">
            <v>-381.36122805186051</v>
          </cell>
          <cell r="AM39">
            <v>230</v>
          </cell>
          <cell r="AN39">
            <v>1.9166666666666665E-2</v>
          </cell>
          <cell r="AO39">
            <v>0</v>
          </cell>
          <cell r="AP39" t="e">
            <v>#DIV/0!</v>
          </cell>
          <cell r="AQ39">
            <v>1380</v>
          </cell>
          <cell r="AR39">
            <v>768.63877194813949</v>
          </cell>
          <cell r="AS39">
            <v>-611.36122805186051</v>
          </cell>
          <cell r="AT39">
            <v>230</v>
          </cell>
          <cell r="AU39">
            <v>1.9166666666666665E-2</v>
          </cell>
          <cell r="AV39">
            <v>0</v>
          </cell>
          <cell r="AW39" t="e">
            <v>#DIV/0!</v>
          </cell>
          <cell r="AX39">
            <v>1610</v>
          </cell>
          <cell r="AY39">
            <v>768.63877194813949</v>
          </cell>
          <cell r="AZ39">
            <v>-841.36122805186051</v>
          </cell>
          <cell r="BA39">
            <v>230</v>
          </cell>
          <cell r="BB39">
            <v>1.9166666666666665E-2</v>
          </cell>
          <cell r="BC39">
            <v>0</v>
          </cell>
          <cell r="BD39" t="e">
            <v>#DIV/0!</v>
          </cell>
          <cell r="BE39">
            <v>1840</v>
          </cell>
          <cell r="BF39">
            <v>768.63877194813949</v>
          </cell>
          <cell r="BG39">
            <v>-1071.3612280518605</v>
          </cell>
          <cell r="BH39">
            <v>230</v>
          </cell>
          <cell r="BI39">
            <v>1.9166666666666665E-2</v>
          </cell>
          <cell r="BJ39">
            <v>0</v>
          </cell>
          <cell r="BK39" t="e">
            <v>#DIV/0!</v>
          </cell>
          <cell r="BL39">
            <v>2070</v>
          </cell>
          <cell r="BM39">
            <v>768.63877194813949</v>
          </cell>
          <cell r="BN39">
            <v>-1301.3612280518605</v>
          </cell>
          <cell r="BO39">
            <v>230</v>
          </cell>
          <cell r="BP39">
            <v>1.9166666666666665E-2</v>
          </cell>
          <cell r="BQ39">
            <v>0</v>
          </cell>
          <cell r="BR39" t="e">
            <v>#DIV/0!</v>
          </cell>
          <cell r="BS39">
            <v>2300</v>
          </cell>
          <cell r="BT39">
            <v>768.63877194813949</v>
          </cell>
          <cell r="BU39">
            <v>-1531.3612280518605</v>
          </cell>
          <cell r="BV39">
            <v>230</v>
          </cell>
          <cell r="BW39">
            <v>1.9166666666666665E-2</v>
          </cell>
          <cell r="BX39">
            <v>0</v>
          </cell>
          <cell r="BY39" t="e">
            <v>#DIV/0!</v>
          </cell>
          <cell r="BZ39">
            <v>2530</v>
          </cell>
          <cell r="CA39">
            <v>768.63877194813949</v>
          </cell>
          <cell r="CB39">
            <v>-1761.3612280518605</v>
          </cell>
          <cell r="CC39">
            <v>230</v>
          </cell>
          <cell r="CD39">
            <v>1.9166666666666665E-2</v>
          </cell>
          <cell r="CE39">
            <v>0</v>
          </cell>
          <cell r="CF39" t="e">
            <v>#DIV/0!</v>
          </cell>
          <cell r="CG39">
            <v>2760</v>
          </cell>
          <cell r="CH39">
            <v>768.63877194813949</v>
          </cell>
        </row>
        <row r="40">
          <cell r="A40" t="str">
            <v>Pauta - Gestão de Pauta</v>
          </cell>
          <cell r="B40">
            <v>1.2997767136729123E-2</v>
          </cell>
          <cell r="C40">
            <v>135.66071758690114</v>
          </cell>
          <cell r="D40">
            <v>180</v>
          </cell>
          <cell r="E40">
            <v>1.4999999999999999E-2</v>
          </cell>
          <cell r="F40">
            <v>352.05025068902415</v>
          </cell>
          <cell r="G40">
            <v>2.7164916170310836E-2</v>
          </cell>
          <cell r="H40">
            <v>180</v>
          </cell>
          <cell r="I40">
            <v>352.05025068902415</v>
          </cell>
          <cell r="J40">
            <v>172.05025068902415</v>
          </cell>
          <cell r="K40">
            <v>180</v>
          </cell>
          <cell r="L40">
            <v>1.4999999999999999E-2</v>
          </cell>
          <cell r="M40">
            <v>185.43157109348525</v>
          </cell>
          <cell r="N40">
            <v>2.2822403389729608E-2</v>
          </cell>
          <cell r="O40">
            <v>360</v>
          </cell>
          <cell r="P40">
            <v>537.48182178250943</v>
          </cell>
          <cell r="Q40">
            <v>177.48182178250943</v>
          </cell>
          <cell r="R40">
            <v>180</v>
          </cell>
          <cell r="S40">
            <v>1.4999999999999999E-2</v>
          </cell>
          <cell r="T40">
            <v>170.78531577734276</v>
          </cell>
          <cell r="U40">
            <v>1.7184940730739014E-2</v>
          </cell>
          <cell r="V40">
            <v>540</v>
          </cell>
          <cell r="W40">
            <v>708.26713755985224</v>
          </cell>
          <cell r="X40">
            <v>168.26713755985224</v>
          </cell>
          <cell r="Y40">
            <v>180</v>
          </cell>
          <cell r="Z40">
            <v>1.4999999999999999E-2</v>
          </cell>
          <cell r="AA40">
            <v>0</v>
          </cell>
          <cell r="AB40">
            <v>0</v>
          </cell>
          <cell r="AC40">
            <v>720</v>
          </cell>
          <cell r="AD40">
            <v>708.26713755985224</v>
          </cell>
          <cell r="AE40">
            <v>-11.732862440147755</v>
          </cell>
          <cell r="AF40">
            <v>180</v>
          </cell>
          <cell r="AG40">
            <v>1.4999999999999999E-2</v>
          </cell>
          <cell r="AH40">
            <v>0</v>
          </cell>
          <cell r="AI40">
            <v>0</v>
          </cell>
          <cell r="AJ40">
            <v>900</v>
          </cell>
          <cell r="AK40">
            <v>708.26713755985224</v>
          </cell>
          <cell r="AL40">
            <v>-191.73286244014776</v>
          </cell>
          <cell r="AM40">
            <v>180</v>
          </cell>
          <cell r="AN40">
            <v>1.4999999999999999E-2</v>
          </cell>
          <cell r="AO40">
            <v>0</v>
          </cell>
          <cell r="AP40" t="e">
            <v>#DIV/0!</v>
          </cell>
          <cell r="AQ40">
            <v>1080</v>
          </cell>
          <cell r="AR40">
            <v>708.26713755985224</v>
          </cell>
          <cell r="AS40">
            <v>-371.73286244014776</v>
          </cell>
          <cell r="AT40">
            <v>180</v>
          </cell>
          <cell r="AU40">
            <v>1.4999999999999999E-2</v>
          </cell>
          <cell r="AV40">
            <v>0</v>
          </cell>
          <cell r="AW40" t="e">
            <v>#DIV/0!</v>
          </cell>
          <cell r="AX40">
            <v>1260</v>
          </cell>
          <cell r="AY40">
            <v>708.26713755985224</v>
          </cell>
          <cell r="AZ40">
            <v>-551.73286244014776</v>
          </cell>
          <cell r="BA40">
            <v>180</v>
          </cell>
          <cell r="BB40">
            <v>1.4999999999999999E-2</v>
          </cell>
          <cell r="BC40">
            <v>0</v>
          </cell>
          <cell r="BD40" t="e">
            <v>#DIV/0!</v>
          </cell>
          <cell r="BE40">
            <v>1440</v>
          </cell>
          <cell r="BF40">
            <v>708.26713755985224</v>
          </cell>
          <cell r="BG40">
            <v>-731.73286244014776</v>
          </cell>
          <cell r="BH40">
            <v>180</v>
          </cell>
          <cell r="BI40">
            <v>1.4999999999999999E-2</v>
          </cell>
          <cell r="BJ40">
            <v>0</v>
          </cell>
          <cell r="BK40" t="e">
            <v>#DIV/0!</v>
          </cell>
          <cell r="BL40">
            <v>1620</v>
          </cell>
          <cell r="BM40">
            <v>708.26713755985224</v>
          </cell>
          <cell r="BN40">
            <v>-911.73286244014776</v>
          </cell>
          <cell r="BO40">
            <v>180</v>
          </cell>
          <cell r="BP40">
            <v>1.4999999999999999E-2</v>
          </cell>
          <cell r="BQ40">
            <v>0</v>
          </cell>
          <cell r="BR40" t="e">
            <v>#DIV/0!</v>
          </cell>
          <cell r="BS40">
            <v>1800</v>
          </cell>
          <cell r="BT40">
            <v>708.26713755985224</v>
          </cell>
          <cell r="BU40">
            <v>-1091.7328624401478</v>
          </cell>
          <cell r="BV40">
            <v>180</v>
          </cell>
          <cell r="BW40">
            <v>1.4999999999999999E-2</v>
          </cell>
          <cell r="BX40">
            <v>0</v>
          </cell>
          <cell r="BY40" t="e">
            <v>#DIV/0!</v>
          </cell>
          <cell r="BZ40">
            <v>1980</v>
          </cell>
          <cell r="CA40">
            <v>708.26713755985224</v>
          </cell>
          <cell r="CB40">
            <v>-1271.7328624401478</v>
          </cell>
          <cell r="CC40">
            <v>180</v>
          </cell>
          <cell r="CD40">
            <v>1.4999999999999999E-2</v>
          </cell>
          <cell r="CE40">
            <v>0</v>
          </cell>
          <cell r="CF40" t="e">
            <v>#DIV/0!</v>
          </cell>
          <cell r="CG40">
            <v>2160</v>
          </cell>
          <cell r="CH40">
            <v>708.26713755985224</v>
          </cell>
        </row>
        <row r="41">
          <cell r="A41" t="str">
            <v>Seguro de Vida</v>
          </cell>
          <cell r="B41">
            <v>2.9078589559061756E-4</v>
          </cell>
          <cell r="C41">
            <v>3.0350000000000001</v>
          </cell>
          <cell r="D41">
            <v>12.14</v>
          </cell>
          <cell r="E41">
            <v>1.0116666666666668E-3</v>
          </cell>
          <cell r="F41">
            <v>0</v>
          </cell>
          <cell r="G41">
            <v>0</v>
          </cell>
          <cell r="H41">
            <v>12.14</v>
          </cell>
          <cell r="I41">
            <v>0</v>
          </cell>
          <cell r="J41">
            <v>-12.14</v>
          </cell>
          <cell r="K41">
            <v>12.14</v>
          </cell>
          <cell r="L41">
            <v>1.0116666666666668E-3</v>
          </cell>
          <cell r="M41">
            <v>0</v>
          </cell>
          <cell r="N41">
            <v>0</v>
          </cell>
          <cell r="O41">
            <v>24.28</v>
          </cell>
          <cell r="P41">
            <v>0</v>
          </cell>
          <cell r="Q41">
            <v>-24.28</v>
          </cell>
          <cell r="R41">
            <v>12.14</v>
          </cell>
          <cell r="S41">
            <v>1.0116666666666668E-3</v>
          </cell>
          <cell r="T41">
            <v>0</v>
          </cell>
          <cell r="U41">
            <v>0</v>
          </cell>
          <cell r="V41">
            <v>36.42</v>
          </cell>
          <cell r="W41">
            <v>0</v>
          </cell>
          <cell r="X41">
            <v>-36.42</v>
          </cell>
          <cell r="Y41">
            <v>12.14</v>
          </cell>
          <cell r="Z41">
            <v>1.0116666666666668E-3</v>
          </cell>
          <cell r="AA41">
            <v>0</v>
          </cell>
          <cell r="AB41">
            <v>0</v>
          </cell>
          <cell r="AC41">
            <v>48.56</v>
          </cell>
          <cell r="AD41">
            <v>0</v>
          </cell>
          <cell r="AE41">
            <v>-48.56</v>
          </cell>
          <cell r="AF41">
            <v>12.14</v>
          </cell>
          <cell r="AG41">
            <v>1.0116666666666668E-3</v>
          </cell>
          <cell r="AH41">
            <v>0</v>
          </cell>
          <cell r="AI41">
            <v>0</v>
          </cell>
          <cell r="AJ41">
            <v>60.7</v>
          </cell>
          <cell r="AK41">
            <v>0</v>
          </cell>
          <cell r="AL41">
            <v>-60.7</v>
          </cell>
          <cell r="AM41">
            <v>12.14</v>
          </cell>
          <cell r="AN41">
            <v>1.0116666666666668E-3</v>
          </cell>
          <cell r="AO41">
            <v>0</v>
          </cell>
          <cell r="AP41" t="e">
            <v>#DIV/0!</v>
          </cell>
          <cell r="AQ41">
            <v>72.84</v>
          </cell>
          <cell r="AR41">
            <v>0</v>
          </cell>
          <cell r="AS41">
            <v>-72.84</v>
          </cell>
          <cell r="AT41">
            <v>12.14</v>
          </cell>
          <cell r="AU41">
            <v>1.0116666666666668E-3</v>
          </cell>
          <cell r="AV41">
            <v>0</v>
          </cell>
          <cell r="AW41" t="e">
            <v>#DIV/0!</v>
          </cell>
          <cell r="AX41">
            <v>84.98</v>
          </cell>
          <cell r="AY41">
            <v>0</v>
          </cell>
          <cell r="AZ41">
            <v>-84.98</v>
          </cell>
          <cell r="BA41">
            <v>12.14</v>
          </cell>
          <cell r="BB41">
            <v>1.0116666666666668E-3</v>
          </cell>
          <cell r="BC41">
            <v>0</v>
          </cell>
          <cell r="BD41" t="e">
            <v>#DIV/0!</v>
          </cell>
          <cell r="BE41">
            <v>97.12</v>
          </cell>
          <cell r="BF41">
            <v>0</v>
          </cell>
          <cell r="BG41">
            <v>-97.12</v>
          </cell>
          <cell r="BH41">
            <v>12.14</v>
          </cell>
          <cell r="BI41">
            <v>1.0116666666666668E-3</v>
          </cell>
          <cell r="BJ41">
            <v>0</v>
          </cell>
          <cell r="BK41" t="e">
            <v>#DIV/0!</v>
          </cell>
          <cell r="BL41">
            <v>109.26</v>
          </cell>
          <cell r="BM41">
            <v>0</v>
          </cell>
          <cell r="BN41">
            <v>-109.26</v>
          </cell>
          <cell r="BO41">
            <v>12.14</v>
          </cell>
          <cell r="BP41">
            <v>1.0116666666666668E-3</v>
          </cell>
          <cell r="BQ41">
            <v>0</v>
          </cell>
          <cell r="BR41" t="e">
            <v>#DIV/0!</v>
          </cell>
          <cell r="BS41">
            <v>121.4</v>
          </cell>
          <cell r="BT41">
            <v>0</v>
          </cell>
          <cell r="BU41">
            <v>-121.4</v>
          </cell>
          <cell r="BV41">
            <v>12.14</v>
          </cell>
          <cell r="BW41">
            <v>1.0116666666666668E-3</v>
          </cell>
          <cell r="BX41">
            <v>0</v>
          </cell>
          <cell r="BY41" t="e">
            <v>#DIV/0!</v>
          </cell>
          <cell r="BZ41">
            <v>133.54000000000002</v>
          </cell>
          <cell r="CA41">
            <v>0</v>
          </cell>
          <cell r="CB41">
            <v>-133.54000000000002</v>
          </cell>
          <cell r="CC41">
            <v>12.14</v>
          </cell>
          <cell r="CD41">
            <v>1.0116666666666668E-3</v>
          </cell>
          <cell r="CE41">
            <v>0</v>
          </cell>
          <cell r="CF41" t="e">
            <v>#DIV/0!</v>
          </cell>
          <cell r="CG41">
            <v>145.68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8.4679227228099015E-3</v>
          </cell>
          <cell r="C43">
            <v>88.381678249999993</v>
          </cell>
          <cell r="D43">
            <v>116.235</v>
          </cell>
          <cell r="E43">
            <v>9.6862500000000004E-3</v>
          </cell>
          <cell r="F43">
            <v>235.04000099999999</v>
          </cell>
          <cell r="G43">
            <v>1.8136166389140524E-2</v>
          </cell>
          <cell r="H43">
            <v>116.235</v>
          </cell>
          <cell r="I43">
            <v>235.04000099999999</v>
          </cell>
          <cell r="J43">
            <v>118.80500099999999</v>
          </cell>
          <cell r="K43">
            <v>116.235</v>
          </cell>
          <cell r="L43">
            <v>9.6862500000000004E-3</v>
          </cell>
          <cell r="M43">
            <v>175.75998000000001</v>
          </cell>
          <cell r="N43">
            <v>2.1632050786586553E-2</v>
          </cell>
          <cell r="O43">
            <v>232.47</v>
          </cell>
          <cell r="P43">
            <v>410.799981</v>
          </cell>
          <cell r="Q43">
            <v>178.329981</v>
          </cell>
          <cell r="R43">
            <v>116.235</v>
          </cell>
          <cell r="S43">
            <v>9.6862500000000004E-3</v>
          </cell>
          <cell r="T43">
            <v>175.76002600000001</v>
          </cell>
          <cell r="U43">
            <v>1.7685511285882183E-2</v>
          </cell>
          <cell r="V43">
            <v>348.70499999999998</v>
          </cell>
          <cell r="W43">
            <v>586.56000700000004</v>
          </cell>
          <cell r="X43">
            <v>237.85500700000006</v>
          </cell>
          <cell r="Y43">
            <v>116.235</v>
          </cell>
          <cell r="Z43">
            <v>9.6862500000000004E-3</v>
          </cell>
          <cell r="AA43">
            <v>0</v>
          </cell>
          <cell r="AB43">
            <v>0</v>
          </cell>
          <cell r="AC43">
            <v>464.94</v>
          </cell>
          <cell r="AD43">
            <v>586.56000700000004</v>
          </cell>
          <cell r="AE43">
            <v>121.62000700000004</v>
          </cell>
          <cell r="AF43">
            <v>116.235</v>
          </cell>
          <cell r="AG43">
            <v>9.6862500000000004E-3</v>
          </cell>
          <cell r="AH43">
            <v>0</v>
          </cell>
          <cell r="AI43">
            <v>0</v>
          </cell>
          <cell r="AJ43">
            <v>581.17499999999995</v>
          </cell>
          <cell r="AK43">
            <v>586.56000700000004</v>
          </cell>
          <cell r="AL43">
            <v>5.3850070000000869</v>
          </cell>
          <cell r="AM43">
            <v>116.235</v>
          </cell>
          <cell r="AN43">
            <v>9.6862500000000004E-3</v>
          </cell>
          <cell r="AO43">
            <v>0</v>
          </cell>
          <cell r="AP43" t="e">
            <v>#DIV/0!</v>
          </cell>
          <cell r="AQ43">
            <v>697.41</v>
          </cell>
          <cell r="AR43">
            <v>586.56000700000004</v>
          </cell>
          <cell r="AS43">
            <v>-110.84999299999993</v>
          </cell>
          <cell r="AT43">
            <v>116.235</v>
          </cell>
          <cell r="AU43">
            <v>9.6862500000000004E-3</v>
          </cell>
          <cell r="AV43">
            <v>0</v>
          </cell>
          <cell r="AW43" t="e">
            <v>#DIV/0!</v>
          </cell>
          <cell r="AX43">
            <v>813.64499999999998</v>
          </cell>
          <cell r="AY43">
            <v>586.56000700000004</v>
          </cell>
          <cell r="AZ43">
            <v>-227.08499299999994</v>
          </cell>
          <cell r="BA43">
            <v>116.235</v>
          </cell>
          <cell r="BB43">
            <v>9.6862500000000004E-3</v>
          </cell>
          <cell r="BC43">
            <v>0</v>
          </cell>
          <cell r="BD43" t="e">
            <v>#DIV/0!</v>
          </cell>
          <cell r="BE43">
            <v>929.88</v>
          </cell>
          <cell r="BF43">
            <v>586.56000700000004</v>
          </cell>
          <cell r="BG43">
            <v>-343.31999299999995</v>
          </cell>
          <cell r="BH43">
            <v>116.235</v>
          </cell>
          <cell r="BI43">
            <v>9.6862500000000004E-3</v>
          </cell>
          <cell r="BJ43">
            <v>0</v>
          </cell>
          <cell r="BK43" t="e">
            <v>#DIV/0!</v>
          </cell>
          <cell r="BL43">
            <v>1046.115</v>
          </cell>
          <cell r="BM43">
            <v>586.56000700000004</v>
          </cell>
          <cell r="BN43">
            <v>-459.55499299999997</v>
          </cell>
          <cell r="BO43">
            <v>116.235</v>
          </cell>
          <cell r="BP43">
            <v>9.6862500000000004E-3</v>
          </cell>
          <cell r="BQ43">
            <v>0</v>
          </cell>
          <cell r="BR43" t="e">
            <v>#DIV/0!</v>
          </cell>
          <cell r="BS43">
            <v>1162.3499999999999</v>
          </cell>
          <cell r="BT43">
            <v>586.56000700000004</v>
          </cell>
          <cell r="BU43">
            <v>-575.78999299999987</v>
          </cell>
          <cell r="BV43">
            <v>116.235</v>
          </cell>
          <cell r="BW43">
            <v>9.6862500000000004E-3</v>
          </cell>
          <cell r="BX43">
            <v>0</v>
          </cell>
          <cell r="BY43" t="e">
            <v>#DIV/0!</v>
          </cell>
          <cell r="BZ43">
            <v>1278.5849999999998</v>
          </cell>
          <cell r="CA43">
            <v>586.56000700000004</v>
          </cell>
          <cell r="CB43">
            <v>-692.02499299999977</v>
          </cell>
          <cell r="CC43">
            <v>116.235</v>
          </cell>
          <cell r="CD43">
            <v>9.6862500000000004E-3</v>
          </cell>
          <cell r="CE43">
            <v>0</v>
          </cell>
          <cell r="CF43" t="e">
            <v>#DIV/0!</v>
          </cell>
          <cell r="CG43">
            <v>1394.8199999999997</v>
          </cell>
          <cell r="CH43">
            <v>586.56000700000004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0.29595045908961021</v>
          </cell>
          <cell r="C45">
            <v>3088.9037499999999</v>
          </cell>
          <cell r="D45">
            <v>3510</v>
          </cell>
          <cell r="E45">
            <v>0.29249999999999998</v>
          </cell>
          <cell r="F45">
            <v>3393.5200000000004</v>
          </cell>
          <cell r="G45">
            <v>0.26185093219462741</v>
          </cell>
          <cell r="H45">
            <v>3510</v>
          </cell>
          <cell r="I45">
            <v>3393.5200000000004</v>
          </cell>
          <cell r="J45">
            <v>-116.47999999999956</v>
          </cell>
          <cell r="K45">
            <v>3510</v>
          </cell>
          <cell r="L45">
            <v>0.29249999999999998</v>
          </cell>
          <cell r="M45">
            <v>3274.96</v>
          </cell>
          <cell r="N45">
            <v>0.40307299217967307</v>
          </cell>
          <cell r="O45">
            <v>7020</v>
          </cell>
          <cell r="P45">
            <v>6668.4800000000005</v>
          </cell>
          <cell r="Q45">
            <v>-351.51999999999953</v>
          </cell>
          <cell r="R45">
            <v>3510</v>
          </cell>
          <cell r="S45">
            <v>0.29249999999999998</v>
          </cell>
          <cell r="T45">
            <v>3334.24</v>
          </cell>
          <cell r="U45">
            <v>0.33550142482250089</v>
          </cell>
          <cell r="V45">
            <v>10530</v>
          </cell>
          <cell r="W45">
            <v>10002.720000000001</v>
          </cell>
          <cell r="X45">
            <v>-527.27999999999884</v>
          </cell>
          <cell r="Y45">
            <v>3510</v>
          </cell>
          <cell r="Z45">
            <v>0.29249999999999998</v>
          </cell>
          <cell r="AA45">
            <v>0</v>
          </cell>
          <cell r="AB45">
            <v>0</v>
          </cell>
          <cell r="AC45">
            <v>14040</v>
          </cell>
          <cell r="AD45">
            <v>10002.720000000001</v>
          </cell>
          <cell r="AE45">
            <v>-4037.2799999999988</v>
          </cell>
          <cell r="AF45">
            <v>3510</v>
          </cell>
          <cell r="AG45">
            <v>0.29249999999999998</v>
          </cell>
          <cell r="AH45">
            <v>0</v>
          </cell>
          <cell r="AI45">
            <v>0</v>
          </cell>
          <cell r="AJ45">
            <v>17550</v>
          </cell>
          <cell r="AK45">
            <v>10002.720000000001</v>
          </cell>
          <cell r="AL45">
            <v>-7547.2799999999988</v>
          </cell>
          <cell r="AM45">
            <v>3510</v>
          </cell>
          <cell r="AN45">
            <v>0.29249999999999998</v>
          </cell>
          <cell r="AO45">
            <v>0</v>
          </cell>
          <cell r="AP45" t="e">
            <v>#DIV/0!</v>
          </cell>
          <cell r="AQ45">
            <v>21060</v>
          </cell>
          <cell r="AR45">
            <v>10002.720000000001</v>
          </cell>
          <cell r="AS45">
            <v>-11057.279999999999</v>
          </cell>
          <cell r="AT45">
            <v>3510</v>
          </cell>
          <cell r="AU45">
            <v>0.29249999999999998</v>
          </cell>
          <cell r="AV45">
            <v>0</v>
          </cell>
          <cell r="AW45" t="e">
            <v>#DIV/0!</v>
          </cell>
          <cell r="AX45">
            <v>24570</v>
          </cell>
          <cell r="AY45">
            <v>10002.720000000001</v>
          </cell>
          <cell r="AZ45">
            <v>-14567.279999999999</v>
          </cell>
          <cell r="BA45">
            <v>3510</v>
          </cell>
          <cell r="BB45">
            <v>0.29249999999999998</v>
          </cell>
          <cell r="BC45">
            <v>0</v>
          </cell>
          <cell r="BD45" t="e">
            <v>#DIV/0!</v>
          </cell>
          <cell r="BE45">
            <v>28080</v>
          </cell>
          <cell r="BF45">
            <v>10002.720000000001</v>
          </cell>
          <cell r="BG45">
            <v>-18077.28</v>
          </cell>
          <cell r="BH45">
            <v>3510</v>
          </cell>
          <cell r="BI45">
            <v>0.29249999999999998</v>
          </cell>
          <cell r="BJ45">
            <v>0</v>
          </cell>
          <cell r="BK45" t="e">
            <v>#DIV/0!</v>
          </cell>
          <cell r="BL45">
            <v>31590</v>
          </cell>
          <cell r="BM45">
            <v>10002.720000000001</v>
          </cell>
          <cell r="BN45">
            <v>-21587.279999999999</v>
          </cell>
          <cell r="BO45">
            <v>3510</v>
          </cell>
          <cell r="BP45">
            <v>0.29249999999999998</v>
          </cell>
          <cell r="BQ45">
            <v>0</v>
          </cell>
          <cell r="BR45" t="e">
            <v>#DIV/0!</v>
          </cell>
          <cell r="BS45">
            <v>35100</v>
          </cell>
          <cell r="BT45">
            <v>10002.720000000001</v>
          </cell>
          <cell r="BU45">
            <v>-25097.279999999999</v>
          </cell>
          <cell r="BV45">
            <v>3510</v>
          </cell>
          <cell r="BW45">
            <v>0.29249999999999998</v>
          </cell>
          <cell r="BX45">
            <v>0</v>
          </cell>
          <cell r="BY45" t="e">
            <v>#DIV/0!</v>
          </cell>
          <cell r="BZ45">
            <v>38610</v>
          </cell>
          <cell r="CA45">
            <v>10002.720000000001</v>
          </cell>
          <cell r="CB45">
            <v>-28607.279999999999</v>
          </cell>
          <cell r="CC45">
            <v>3510</v>
          </cell>
          <cell r="CD45">
            <v>0.29249999999999998</v>
          </cell>
          <cell r="CE45">
            <v>0</v>
          </cell>
          <cell r="CF45" t="e">
            <v>#DIV/0!</v>
          </cell>
          <cell r="CG45">
            <v>42120</v>
          </cell>
          <cell r="CH45">
            <v>10002.720000000001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NATURGY - Total</v>
          </cell>
          <cell r="B53">
            <v>0.44259866002250686</v>
          </cell>
          <cell r="C53">
            <v>4619.505118843359</v>
          </cell>
          <cell r="D53">
            <v>5084.375</v>
          </cell>
          <cell r="E53">
            <v>0.42369791666666667</v>
          </cell>
          <cell r="F53">
            <v>5581.040221582145</v>
          </cell>
          <cell r="G53">
            <v>0.43064445903869564</v>
          </cell>
          <cell r="H53">
            <v>5084.375</v>
          </cell>
          <cell r="I53">
            <v>5581.040221582145</v>
          </cell>
          <cell r="J53">
            <v>496.6652215821448</v>
          </cell>
          <cell r="K53">
            <v>5084.375</v>
          </cell>
          <cell r="L53">
            <v>0.42369791666666667</v>
          </cell>
          <cell r="M53">
            <v>4921.3212025372759</v>
          </cell>
          <cell r="N53">
            <v>0.60570256204166362</v>
          </cell>
          <cell r="O53">
            <v>10168.75</v>
          </cell>
          <cell r="P53">
            <v>10502.361424119421</v>
          </cell>
          <cell r="Q53">
            <v>333.61142411942035</v>
          </cell>
          <cell r="R53">
            <v>5084.375</v>
          </cell>
          <cell r="S53">
            <v>0.42369791666666667</v>
          </cell>
          <cell r="T53">
            <v>4861.5541839880252</v>
          </cell>
          <cell r="U53">
            <v>0.48918444850393894</v>
          </cell>
          <cell r="V53">
            <v>15253.125</v>
          </cell>
          <cell r="W53">
            <v>15363.915608107447</v>
          </cell>
          <cell r="X53">
            <v>110.79060810744636</v>
          </cell>
          <cell r="Y53">
            <v>5084.375</v>
          </cell>
          <cell r="Z53">
            <v>0.42369791666666667</v>
          </cell>
          <cell r="AA53">
            <v>0</v>
          </cell>
          <cell r="AB53" t="e">
            <v>#DIV/0!</v>
          </cell>
          <cell r="AC53">
            <v>20337.5</v>
          </cell>
          <cell r="AD53">
            <v>15363.915608107447</v>
          </cell>
          <cell r="AE53">
            <v>-4973.5843918925539</v>
          </cell>
          <cell r="AF53">
            <v>5084.375</v>
          </cell>
          <cell r="AG53">
            <v>0.42369791666666667</v>
          </cell>
          <cell r="AH53">
            <v>0</v>
          </cell>
          <cell r="AI53" t="e">
            <v>#DIV/0!</v>
          </cell>
          <cell r="AJ53">
            <v>25421.875</v>
          </cell>
          <cell r="AK53">
            <v>15363.915608107447</v>
          </cell>
          <cell r="AL53">
            <v>-10057.959391892553</v>
          </cell>
          <cell r="AM53">
            <v>5084.375</v>
          </cell>
          <cell r="AN53">
            <v>0.42369791666666667</v>
          </cell>
          <cell r="AO53">
            <v>0</v>
          </cell>
          <cell r="AP53" t="e">
            <v>#DIV/0!</v>
          </cell>
          <cell r="AQ53">
            <v>30506.25</v>
          </cell>
          <cell r="AR53">
            <v>15363.915608107447</v>
          </cell>
          <cell r="AS53">
            <v>-15142.334391892553</v>
          </cell>
          <cell r="AT53">
            <v>5084.375</v>
          </cell>
          <cell r="AU53">
            <v>0.42369791666666667</v>
          </cell>
          <cell r="AV53">
            <v>0</v>
          </cell>
          <cell r="AW53" t="e">
            <v>#DIV/0!</v>
          </cell>
          <cell r="AX53">
            <v>35590.625</v>
          </cell>
          <cell r="AY53">
            <v>15363.915608107447</v>
          </cell>
          <cell r="AZ53">
            <v>-20226.709391892553</v>
          </cell>
          <cell r="BA53">
            <v>5084.375</v>
          </cell>
          <cell r="BB53">
            <v>0.42369791666666667</v>
          </cell>
          <cell r="BC53">
            <v>0</v>
          </cell>
          <cell r="BD53" t="e">
            <v>#DIV/0!</v>
          </cell>
          <cell r="BE53">
            <v>40675</v>
          </cell>
          <cell r="BF53">
            <v>15363.915608107447</v>
          </cell>
          <cell r="BG53">
            <v>-25311.084391892553</v>
          </cell>
          <cell r="BH53">
            <v>5084.375</v>
          </cell>
          <cell r="BI53">
            <v>0.42369791666666667</v>
          </cell>
          <cell r="BJ53">
            <v>0</v>
          </cell>
          <cell r="BK53" t="e">
            <v>#DIV/0!</v>
          </cell>
          <cell r="BL53">
            <v>45759.375</v>
          </cell>
          <cell r="BM53">
            <v>15363.915608107447</v>
          </cell>
          <cell r="BN53">
            <v>-30395.459391892553</v>
          </cell>
          <cell r="BO53">
            <v>5084.375</v>
          </cell>
          <cell r="BP53">
            <v>0.42369791666666667</v>
          </cell>
          <cell r="BQ53">
            <v>0</v>
          </cell>
          <cell r="BR53" t="e">
            <v>#DIV/0!</v>
          </cell>
          <cell r="BS53">
            <v>50843.75</v>
          </cell>
          <cell r="BT53">
            <v>15363.915608107447</v>
          </cell>
          <cell r="BU53">
            <v>-35479.834391892553</v>
          </cell>
          <cell r="BV53">
            <v>5084.375</v>
          </cell>
          <cell r="BW53">
            <v>0.42369791666666667</v>
          </cell>
          <cell r="BX53">
            <v>0</v>
          </cell>
          <cell r="BY53" t="e">
            <v>#DIV/0!</v>
          </cell>
          <cell r="BZ53">
            <v>55928.125</v>
          </cell>
          <cell r="CA53">
            <v>15363.915608107447</v>
          </cell>
          <cell r="CB53">
            <v>-40564.209391892553</v>
          </cell>
          <cell r="CC53">
            <v>5084.375</v>
          </cell>
          <cell r="CD53">
            <v>0.42369791666666667</v>
          </cell>
          <cell r="CE53">
            <v>0</v>
          </cell>
          <cell r="CF53" t="e">
            <v>#DIV/0!</v>
          </cell>
          <cell r="CG53">
            <v>61012.5</v>
          </cell>
          <cell r="CH53">
            <v>15363.915608107447</v>
          </cell>
        </row>
        <row r="54">
          <cell r="A54" t="str">
            <v>Distribuição Anual de Lucros</v>
          </cell>
          <cell r="F54">
            <v>0</v>
          </cell>
          <cell r="M54">
            <v>9140.42</v>
          </cell>
          <cell r="T54">
            <v>0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196.26</v>
          </cell>
          <cell r="M55">
            <v>864.42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1810.8598387499999</v>
          </cell>
          <cell r="D56">
            <v>2082</v>
          </cell>
          <cell r="F56">
            <v>3232.1027681043051</v>
          </cell>
          <cell r="H56">
            <v>2082</v>
          </cell>
          <cell r="I56">
            <v>3232.1027681043051</v>
          </cell>
          <cell r="J56">
            <v>1150.1027681043051</v>
          </cell>
          <cell r="K56">
            <v>2082</v>
          </cell>
          <cell r="M56">
            <v>1925.8858683001768</v>
          </cell>
          <cell r="O56">
            <v>4164</v>
          </cell>
          <cell r="P56">
            <v>5157.9886364044814</v>
          </cell>
          <cell r="Q56">
            <v>993.98863640448144</v>
          </cell>
          <cell r="R56">
            <v>2082</v>
          </cell>
          <cell r="T56">
            <v>1884.4058370753353</v>
          </cell>
          <cell r="V56">
            <v>6246</v>
          </cell>
          <cell r="W56">
            <v>7042.394473479817</v>
          </cell>
          <cell r="X56">
            <v>796.39447347981695</v>
          </cell>
          <cell r="Y56">
            <v>2082</v>
          </cell>
          <cell r="AA56">
            <v>0</v>
          </cell>
          <cell r="AC56">
            <v>8328</v>
          </cell>
          <cell r="AD56">
            <v>7042.394473479817</v>
          </cell>
          <cell r="AE56">
            <v>-1285.605526520183</v>
          </cell>
          <cell r="AF56">
            <v>2082</v>
          </cell>
          <cell r="AH56">
            <v>0</v>
          </cell>
          <cell r="AJ56">
            <v>10410</v>
          </cell>
          <cell r="AK56">
            <v>7042.394473479817</v>
          </cell>
          <cell r="AL56">
            <v>-3367.605526520183</v>
          </cell>
          <cell r="AM56">
            <v>2082</v>
          </cell>
          <cell r="AO56">
            <v>0</v>
          </cell>
          <cell r="AQ56">
            <v>12492</v>
          </cell>
          <cell r="AR56">
            <v>7042.394473479817</v>
          </cell>
          <cell r="AS56">
            <v>-5449.605526520183</v>
          </cell>
          <cell r="AT56">
            <v>2082</v>
          </cell>
          <cell r="AV56">
            <v>0</v>
          </cell>
          <cell r="AX56">
            <v>14574</v>
          </cell>
          <cell r="AY56">
            <v>7042.394473479817</v>
          </cell>
          <cell r="AZ56">
            <v>-7531.605526520183</v>
          </cell>
          <cell r="BA56">
            <v>2082</v>
          </cell>
          <cell r="BC56">
            <v>0</v>
          </cell>
          <cell r="BE56">
            <v>16656</v>
          </cell>
          <cell r="BF56">
            <v>7042.394473479817</v>
          </cell>
          <cell r="BG56">
            <v>-9613.605526520183</v>
          </cell>
          <cell r="BH56">
            <v>2082</v>
          </cell>
          <cell r="BJ56">
            <v>0</v>
          </cell>
          <cell r="BL56">
            <v>18738</v>
          </cell>
          <cell r="BM56">
            <v>7042.394473479817</v>
          </cell>
          <cell r="BN56">
            <v>-11695.605526520183</v>
          </cell>
          <cell r="BO56">
            <v>2082</v>
          </cell>
          <cell r="BQ56">
            <v>0</v>
          </cell>
          <cell r="BS56">
            <v>20820</v>
          </cell>
          <cell r="BT56">
            <v>7042.394473479817</v>
          </cell>
          <cell r="BU56">
            <v>-13777.605526520183</v>
          </cell>
          <cell r="BV56">
            <v>2082</v>
          </cell>
          <cell r="BX56">
            <v>0</v>
          </cell>
          <cell r="BZ56">
            <v>22902</v>
          </cell>
          <cell r="CA56">
            <v>7042.394473479817</v>
          </cell>
          <cell r="CB56">
            <v>-15859.605526520183</v>
          </cell>
          <cell r="CC56">
            <v>2082</v>
          </cell>
          <cell r="CE56">
            <v>0</v>
          </cell>
          <cell r="CG56">
            <v>24984</v>
          </cell>
          <cell r="CH56">
            <v>7042.394473479817</v>
          </cell>
        </row>
        <row r="58">
          <cell r="A58" t="str">
            <v>Margem de Contribuição</v>
          </cell>
          <cell r="B58">
            <v>0.38390133997749321</v>
          </cell>
          <cell r="C58">
            <v>4006.8675424066414</v>
          </cell>
          <cell r="D58">
            <v>0.40280208333333334</v>
          </cell>
          <cell r="F58">
            <v>0.31995989196647073</v>
          </cell>
          <cell r="H58">
            <v>0.40280208333333334</v>
          </cell>
          <cell r="I58">
            <v>0.31995989196647073</v>
          </cell>
          <cell r="K58">
            <v>0.40280208333333334</v>
          </cell>
          <cell r="M58">
            <v>0.15726474762553841</v>
          </cell>
          <cell r="O58">
            <v>0.40280208333333334</v>
          </cell>
          <cell r="P58">
            <v>0.25726544812907637</v>
          </cell>
          <cell r="R58">
            <v>0.40280208333333334</v>
          </cell>
          <cell r="T58">
            <v>0.32120087370363687</v>
          </cell>
          <cell r="V58">
            <v>0.40280208333333334</v>
          </cell>
          <cell r="W58">
            <v>0.27774700924522411</v>
          </cell>
          <cell r="Y58">
            <v>0.40280208333333334</v>
          </cell>
          <cell r="AA58">
            <v>0</v>
          </cell>
          <cell r="AC58">
            <v>0.40280208333333334</v>
          </cell>
          <cell r="AD58">
            <v>0.27774700924522411</v>
          </cell>
          <cell r="AF58">
            <v>0.40280208333333334</v>
          </cell>
          <cell r="AH58">
            <v>0</v>
          </cell>
          <cell r="AJ58">
            <v>0.40280208333333334</v>
          </cell>
          <cell r="AK58">
            <v>0.27774700924522411</v>
          </cell>
          <cell r="AM58">
            <v>0.40280208333333334</v>
          </cell>
          <cell r="AO58">
            <v>0</v>
          </cell>
          <cell r="AQ58">
            <v>0.40280208333333334</v>
          </cell>
          <cell r="AR58">
            <v>0.27774700924522411</v>
          </cell>
          <cell r="AT58">
            <v>0.40280208333333334</v>
          </cell>
          <cell r="AV58">
            <v>0</v>
          </cell>
          <cell r="AX58">
            <v>0.40280208333333334</v>
          </cell>
          <cell r="AY58">
            <v>0.27774700924522411</v>
          </cell>
          <cell r="BA58">
            <v>0.40280208333333334</v>
          </cell>
          <cell r="BC58">
            <v>0</v>
          </cell>
          <cell r="BE58">
            <v>0.40280208333333334</v>
          </cell>
          <cell r="BF58">
            <v>0.27774700924522411</v>
          </cell>
          <cell r="BH58">
            <v>0.40280208333333334</v>
          </cell>
          <cell r="BJ58">
            <v>0</v>
          </cell>
          <cell r="BL58">
            <v>0.40280208333333334</v>
          </cell>
          <cell r="BM58">
            <v>0.27774700924522411</v>
          </cell>
          <cell r="BO58">
            <v>0.40280208333333334</v>
          </cell>
          <cell r="BQ58">
            <v>0</v>
          </cell>
          <cell r="BS58">
            <v>0.40280208333333334</v>
          </cell>
          <cell r="BT58">
            <v>0.27774700924522411</v>
          </cell>
          <cell r="BV58">
            <v>0.40280208333333334</v>
          </cell>
          <cell r="BX58">
            <v>0</v>
          </cell>
          <cell r="BZ58">
            <v>0.40280208333333334</v>
          </cell>
          <cell r="CA58">
            <v>0.27774700924522411</v>
          </cell>
          <cell r="CC58">
            <v>0.40280208333333334</v>
          </cell>
          <cell r="CE58">
            <v>0</v>
          </cell>
          <cell r="CG58">
            <v>0.40280208333333334</v>
          </cell>
          <cell r="CH58">
            <v>0.27774700924522411</v>
          </cell>
        </row>
        <row r="60">
          <cell r="A60" t="str">
            <v>Rateio</v>
          </cell>
          <cell r="C60">
            <v>1250.3702362864271</v>
          </cell>
          <cell r="F60">
            <v>2828.8143166975365</v>
          </cell>
          <cell r="I60">
            <v>2828.8143166975365</v>
          </cell>
          <cell r="M60">
            <v>1787.2581591031058</v>
          </cell>
          <cell r="P60">
            <v>4616.0724758006418</v>
          </cell>
          <cell r="T60">
            <v>2133.405491073634</v>
          </cell>
          <cell r="W60">
            <v>6749.4779668742758</v>
          </cell>
          <cell r="AA60">
            <v>0</v>
          </cell>
          <cell r="AD60">
            <v>6749.4779668742758</v>
          </cell>
          <cell r="AH60">
            <v>0</v>
          </cell>
          <cell r="AK60">
            <v>6749.4779668742758</v>
          </cell>
          <cell r="AO60">
            <v>0</v>
          </cell>
          <cell r="AR60">
            <v>6749.4779668742758</v>
          </cell>
          <cell r="AV60">
            <v>0</v>
          </cell>
          <cell r="AY60">
            <v>6749.4779668742758</v>
          </cell>
          <cell r="BC60">
            <v>0</v>
          </cell>
          <cell r="BF60">
            <v>6749.4779668742758</v>
          </cell>
          <cell r="BJ60">
            <v>0</v>
          </cell>
          <cell r="BM60">
            <v>6749.4779668742758</v>
          </cell>
          <cell r="BQ60">
            <v>0</v>
          </cell>
          <cell r="BT60">
            <v>6749.4779668742758</v>
          </cell>
          <cell r="BX60">
            <v>0</v>
          </cell>
          <cell r="CA60">
            <v>6749.4779668742758</v>
          </cell>
          <cell r="CE60">
            <v>0</v>
          </cell>
          <cell r="CH60">
            <v>6749.4779668742758</v>
          </cell>
        </row>
        <row r="62">
          <cell r="A62" t="str">
            <v>Resultado</v>
          </cell>
          <cell r="C62">
            <v>1443.9593771172865</v>
          </cell>
          <cell r="F62">
            <v>1317.7826936160131</v>
          </cell>
          <cell r="G62">
            <v>0.10168280332908015</v>
          </cell>
          <cell r="I62">
            <v>1317.7826936160131</v>
          </cell>
          <cell r="J62">
            <v>0.10168280332908015</v>
          </cell>
          <cell r="M62">
            <v>-509.48522994055884</v>
          </cell>
          <cell r="N62">
            <v>-6.2706028807524308E-2</v>
          </cell>
          <cell r="P62">
            <v>808.29746367545431</v>
          </cell>
          <cell r="Q62">
            <v>3.8335698253306391E-2</v>
          </cell>
          <cell r="T62">
            <v>1058.7144878630052</v>
          </cell>
          <cell r="U62">
            <v>0.10653108929119158</v>
          </cell>
          <cell r="W62">
            <v>1867.0119515384595</v>
          </cell>
          <cell r="X62">
            <v>6.018192914690032E-2</v>
          </cell>
          <cell r="AA62">
            <v>0</v>
          </cell>
          <cell r="AB62" t="e">
            <v>#DIV/0!</v>
          </cell>
          <cell r="AD62">
            <v>1867.0119515384595</v>
          </cell>
          <cell r="AE62">
            <v>6.018192914690032E-2</v>
          </cell>
          <cell r="AH62">
            <v>0</v>
          </cell>
          <cell r="AI62" t="e">
            <v>#DIV/0!</v>
          </cell>
          <cell r="AK62">
            <v>1867.0119515384595</v>
          </cell>
          <cell r="AL62">
            <v>6.018192914690032E-2</v>
          </cell>
          <cell r="AO62">
            <v>0</v>
          </cell>
          <cell r="AP62" t="e">
            <v>#DIV/0!</v>
          </cell>
          <cell r="AR62">
            <v>1867.0119515384595</v>
          </cell>
          <cell r="AS62">
            <v>6.018192914690032E-2</v>
          </cell>
          <cell r="AV62">
            <v>0</v>
          </cell>
          <cell r="AW62" t="e">
            <v>#DIV/0!</v>
          </cell>
          <cell r="AY62">
            <v>1867.0119515384595</v>
          </cell>
          <cell r="AZ62">
            <v>6.018192914690032E-2</v>
          </cell>
          <cell r="BC62">
            <v>0</v>
          </cell>
          <cell r="BD62" t="e">
            <v>#DIV/0!</v>
          </cell>
          <cell r="BF62">
            <v>1867.0119515384595</v>
          </cell>
          <cell r="BG62">
            <v>6.018192914690032E-2</v>
          </cell>
          <cell r="BJ62">
            <v>0</v>
          </cell>
          <cell r="BK62" t="e">
            <v>#DIV/0!</v>
          </cell>
          <cell r="BM62">
            <v>1867.0119515384595</v>
          </cell>
          <cell r="BN62">
            <v>6.018192914690032E-2</v>
          </cell>
          <cell r="BQ62">
            <v>0</v>
          </cell>
          <cell r="BR62" t="e">
            <v>#DIV/0!</v>
          </cell>
          <cell r="BT62">
            <v>1867.0119515384595</v>
          </cell>
          <cell r="BU62">
            <v>6.018192914690032E-2</v>
          </cell>
          <cell r="BX62">
            <v>0</v>
          </cell>
          <cell r="BY62" t="e">
            <v>#DIV/0!</v>
          </cell>
          <cell r="CA62">
            <v>1867.0119515384595</v>
          </cell>
          <cell r="CB62">
            <v>6.018192914690032E-2</v>
          </cell>
          <cell r="CE62">
            <v>0</v>
          </cell>
          <cell r="CF62" t="e">
            <v>#DIV/0!</v>
          </cell>
          <cell r="CH62">
            <v>1867.0119515384595</v>
          </cell>
        </row>
        <row r="64">
          <cell r="A64" t="str">
            <v>Naturgy Pronto? S</v>
          </cell>
          <cell r="D64">
            <v>4833.625</v>
          </cell>
          <cell r="E64">
            <v>0.40280208333333334</v>
          </cell>
          <cell r="CG64" t="str">
            <v>Total Ano</v>
          </cell>
        </row>
        <row r="65">
          <cell r="CG65" t="str">
            <v>Receita</v>
          </cell>
          <cell r="CH65">
            <v>144000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3583.2547637135731</v>
          </cell>
          <cell r="E66">
            <v>0.29860456364279775</v>
          </cell>
          <cell r="CG66" t="str">
            <v>Desp Dir</v>
          </cell>
          <cell r="CH66">
            <v>61012.5</v>
          </cell>
        </row>
        <row r="67">
          <cell r="CG67" t="str">
            <v>Imposto</v>
          </cell>
          <cell r="CH67">
            <v>24984</v>
          </cell>
        </row>
        <row r="68">
          <cell r="CG68" t="str">
            <v>MC</v>
          </cell>
          <cell r="CH68">
            <v>58003.5</v>
          </cell>
        </row>
        <row r="69">
          <cell r="CG69" t="str">
            <v>MC %</v>
          </cell>
          <cell r="CH69">
            <v>0.40280208333333334</v>
          </cell>
        </row>
        <row r="70">
          <cell r="CG70" t="str">
            <v>Rateio</v>
          </cell>
          <cell r="CH70">
            <v>31844.702947893544</v>
          </cell>
        </row>
        <row r="71">
          <cell r="CG71" t="str">
            <v>ML</v>
          </cell>
          <cell r="CH71">
            <v>26158.797052106456</v>
          </cell>
        </row>
        <row r="72">
          <cell r="CG72" t="str">
            <v>ML %</v>
          </cell>
          <cell r="CH72">
            <v>0.18165831286185039</v>
          </cell>
        </row>
      </sheetData>
      <sheetData sheetId="23">
        <row r="11">
          <cell r="A11" t="str">
            <v>13º (+ Encargos)</v>
          </cell>
          <cell r="B11">
            <v>2.4107986348714779E-3</v>
          </cell>
          <cell r="C11">
            <v>1916.4533333333336</v>
          </cell>
          <cell r="D11">
            <v>0</v>
          </cell>
          <cell r="E11" t="e">
            <v>#DIV/0!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e">
            <v>#DIV/0!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12610.37925</v>
          </cell>
          <cell r="BW11">
            <v>1.6813839000000001E-2</v>
          </cell>
          <cell r="BX11">
            <v>0</v>
          </cell>
          <cell r="BY11" t="e">
            <v>#DIV/0!</v>
          </cell>
          <cell r="BZ11">
            <v>12610.37925</v>
          </cell>
          <cell r="CA11">
            <v>0</v>
          </cell>
          <cell r="CB11">
            <v>-12610.37925</v>
          </cell>
          <cell r="CC11">
            <v>12610.37925</v>
          </cell>
          <cell r="CD11">
            <v>1.6813839000000001E-2</v>
          </cell>
          <cell r="CE11">
            <v>0</v>
          </cell>
          <cell r="CF11" t="e">
            <v>#DIV/0!</v>
          </cell>
          <cell r="CG11">
            <v>25220.7585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 t="e">
            <v>#DIV/0!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e">
            <v>#DIV/0!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3.7973394943290207E-3</v>
          </cell>
          <cell r="C13">
            <v>3018.6776392019706</v>
          </cell>
          <cell r="D13">
            <v>2089.3904425873611</v>
          </cell>
          <cell r="E13" t="e">
            <v>#DIV/0!</v>
          </cell>
          <cell r="F13">
            <v>2981.4786559999998</v>
          </cell>
          <cell r="G13">
            <v>0.25883474964948755</v>
          </cell>
          <cell r="H13">
            <v>2089.3904425873611</v>
          </cell>
          <cell r="I13">
            <v>2981.4786559999998</v>
          </cell>
          <cell r="J13">
            <v>892.08821341263865</v>
          </cell>
          <cell r="K13">
            <v>2089.3904425873611</v>
          </cell>
          <cell r="L13" t="e">
            <v>#DIV/0!</v>
          </cell>
          <cell r="M13">
            <v>3018.4092260000002</v>
          </cell>
          <cell r="N13">
            <v>0.22752937399461182</v>
          </cell>
          <cell r="O13">
            <v>4178.7808851747222</v>
          </cell>
          <cell r="P13">
            <v>5999.887882</v>
          </cell>
          <cell r="Q13">
            <v>1821.1069968252777</v>
          </cell>
          <cell r="R13">
            <v>2089.3904425873611</v>
          </cell>
          <cell r="S13">
            <v>2.7858539234498149E-3</v>
          </cell>
          <cell r="T13">
            <v>2958.3495280000002</v>
          </cell>
          <cell r="U13">
            <v>4.0995719765418003E-3</v>
          </cell>
          <cell r="V13">
            <v>6268.1713277620838</v>
          </cell>
          <cell r="W13">
            <v>8958.2374099999997</v>
          </cell>
          <cell r="X13">
            <v>2690.0660822379159</v>
          </cell>
          <cell r="Y13">
            <v>2089.3904425873611</v>
          </cell>
          <cell r="Z13">
            <v>2.7858539234498149E-3</v>
          </cell>
          <cell r="AA13">
            <v>0</v>
          </cell>
          <cell r="AB13" t="e">
            <v>#DIV/0!</v>
          </cell>
          <cell r="AC13">
            <v>8357.5617703494445</v>
          </cell>
          <cell r="AD13">
            <v>8958.2374099999997</v>
          </cell>
          <cell r="AE13">
            <v>600.67563965055524</v>
          </cell>
          <cell r="AF13">
            <v>2089.3904425873611</v>
          </cell>
          <cell r="AG13">
            <v>2.7858539234498149E-3</v>
          </cell>
          <cell r="AH13">
            <v>0</v>
          </cell>
          <cell r="AI13">
            <v>0</v>
          </cell>
          <cell r="AJ13">
            <v>10446.952212936805</v>
          </cell>
          <cell r="AK13">
            <v>8958.2374099999997</v>
          </cell>
          <cell r="AL13">
            <v>-1488.7148029368054</v>
          </cell>
          <cell r="AM13">
            <v>2089.3904425873611</v>
          </cell>
          <cell r="AN13">
            <v>2.7858539234498149E-3</v>
          </cell>
          <cell r="AO13">
            <v>0</v>
          </cell>
          <cell r="AP13" t="e">
            <v>#DIV/0!</v>
          </cell>
          <cell r="AQ13">
            <v>12536.342655524166</v>
          </cell>
          <cell r="AR13">
            <v>8958.2374099999997</v>
          </cell>
          <cell r="AS13">
            <v>-3578.1052455241661</v>
          </cell>
          <cell r="AT13">
            <v>2089.3904425873611</v>
          </cell>
          <cell r="AU13">
            <v>2.7858539234498149E-3</v>
          </cell>
          <cell r="AV13">
            <v>0</v>
          </cell>
          <cell r="AW13" t="e">
            <v>#DIV/0!</v>
          </cell>
          <cell r="AX13">
            <v>14625.733098111526</v>
          </cell>
          <cell r="AY13">
            <v>8958.2374099999997</v>
          </cell>
          <cell r="AZ13">
            <v>-5667.4956881115268</v>
          </cell>
          <cell r="BA13">
            <v>2089.3904425873611</v>
          </cell>
          <cell r="BB13">
            <v>2.7858539234498149E-3</v>
          </cell>
          <cell r="BC13">
            <v>0</v>
          </cell>
          <cell r="BD13" t="e">
            <v>#DIV/0!</v>
          </cell>
          <cell r="BE13">
            <v>16715.123540698889</v>
          </cell>
          <cell r="BF13">
            <v>8958.2374099999997</v>
          </cell>
          <cell r="BG13">
            <v>-7756.8861306988892</v>
          </cell>
          <cell r="BH13">
            <v>2089.3904425873611</v>
          </cell>
          <cell r="BI13">
            <v>2.7858539234498149E-3</v>
          </cell>
          <cell r="BJ13">
            <v>0</v>
          </cell>
          <cell r="BK13" t="e">
            <v>#DIV/0!</v>
          </cell>
          <cell r="BL13">
            <v>18804.513983286251</v>
          </cell>
          <cell r="BM13">
            <v>8958.2374099999997</v>
          </cell>
          <cell r="BN13">
            <v>-9846.2765732862517</v>
          </cell>
          <cell r="BO13">
            <v>2170.358021137703</v>
          </cell>
          <cell r="BP13">
            <v>2.8938106948502708E-3</v>
          </cell>
          <cell r="BQ13">
            <v>0</v>
          </cell>
          <cell r="BR13" t="e">
            <v>#DIV/0!</v>
          </cell>
          <cell r="BS13">
            <v>20974.872004423953</v>
          </cell>
          <cell r="BT13">
            <v>8958.2374099999997</v>
          </cell>
          <cell r="BU13">
            <v>-12016.634594423953</v>
          </cell>
          <cell r="BV13">
            <v>2170.358021137703</v>
          </cell>
          <cell r="BW13">
            <v>2.8938106948502708E-3</v>
          </cell>
          <cell r="BX13">
            <v>0</v>
          </cell>
          <cell r="BY13" t="e">
            <v>#DIV/0!</v>
          </cell>
          <cell r="BZ13">
            <v>23145.230025561657</v>
          </cell>
          <cell r="CA13">
            <v>8958.2374099999997</v>
          </cell>
          <cell r="CB13">
            <v>-14186.992615561658</v>
          </cell>
          <cell r="CC13">
            <v>2170.358021137703</v>
          </cell>
          <cell r="CD13">
            <v>2.8938106948502708E-3</v>
          </cell>
          <cell r="CE13">
            <v>0</v>
          </cell>
          <cell r="CF13" t="e">
            <v>#DIV/0!</v>
          </cell>
          <cell r="CG13">
            <v>25315.588046699362</v>
          </cell>
          <cell r="CH13">
            <v>8958.2374099999997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 t="e">
            <v>#DIV/0!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e">
            <v>#DIV/0!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4.0720205461820683E-3</v>
          </cell>
          <cell r="C15">
            <v>3237.0340833333335</v>
          </cell>
          <cell r="D15">
            <v>4444</v>
          </cell>
          <cell r="E15" t="e">
            <v>#DIV/0!</v>
          </cell>
          <cell r="F15">
            <v>1351.05</v>
          </cell>
          <cell r="G15">
            <v>0.11729035450587515</v>
          </cell>
          <cell r="H15">
            <v>4444</v>
          </cell>
          <cell r="I15">
            <v>1351.05</v>
          </cell>
          <cell r="J15">
            <v>-3092.95</v>
          </cell>
          <cell r="K15">
            <v>4444</v>
          </cell>
          <cell r="L15" t="e">
            <v>#DIV/0!</v>
          </cell>
          <cell r="M15">
            <v>1663.23</v>
          </cell>
          <cell r="N15">
            <v>0.12537520673118238</v>
          </cell>
          <cell r="O15">
            <v>8888</v>
          </cell>
          <cell r="P15">
            <v>3014.2799999999997</v>
          </cell>
          <cell r="Q15">
            <v>-5873.72</v>
          </cell>
          <cell r="R15">
            <v>4444</v>
          </cell>
          <cell r="S15">
            <v>5.9253333333333337E-3</v>
          </cell>
          <cell r="T15">
            <v>1350.34</v>
          </cell>
          <cell r="U15">
            <v>1.8712515104819128E-3</v>
          </cell>
          <cell r="V15">
            <v>13332</v>
          </cell>
          <cell r="W15">
            <v>4364.62</v>
          </cell>
          <cell r="X15">
            <v>-8967.380000000001</v>
          </cell>
          <cell r="Y15">
            <v>4444</v>
          </cell>
          <cell r="Z15">
            <v>5.9253333333333337E-3</v>
          </cell>
          <cell r="AA15">
            <v>0</v>
          </cell>
          <cell r="AB15" t="e">
            <v>#DIV/0!</v>
          </cell>
          <cell r="AC15">
            <v>17776</v>
          </cell>
          <cell r="AD15">
            <v>4364.62</v>
          </cell>
          <cell r="AE15">
            <v>-13411.380000000001</v>
          </cell>
          <cell r="AF15">
            <v>4444</v>
          </cell>
          <cell r="AG15">
            <v>5.9253333333333337E-3</v>
          </cell>
          <cell r="AH15">
            <v>0</v>
          </cell>
          <cell r="AI15">
            <v>0</v>
          </cell>
          <cell r="AJ15">
            <v>22220</v>
          </cell>
          <cell r="AK15">
            <v>4364.62</v>
          </cell>
          <cell r="AL15">
            <v>-17855.38</v>
          </cell>
          <cell r="AM15">
            <v>4444</v>
          </cell>
          <cell r="AN15">
            <v>5.9253333333333337E-3</v>
          </cell>
          <cell r="AO15">
            <v>0</v>
          </cell>
          <cell r="AP15" t="e">
            <v>#DIV/0!</v>
          </cell>
          <cell r="AQ15">
            <v>26664</v>
          </cell>
          <cell r="AR15">
            <v>4364.62</v>
          </cell>
          <cell r="AS15">
            <v>-22299.38</v>
          </cell>
          <cell r="AT15">
            <v>4444</v>
          </cell>
          <cell r="AU15">
            <v>5.9253333333333337E-3</v>
          </cell>
          <cell r="AV15">
            <v>0</v>
          </cell>
          <cell r="AW15" t="e">
            <v>#DIV/0!</v>
          </cell>
          <cell r="AX15">
            <v>31108</v>
          </cell>
          <cell r="AY15">
            <v>4364.62</v>
          </cell>
          <cell r="AZ15">
            <v>-26743.38</v>
          </cell>
          <cell r="BA15">
            <v>4444</v>
          </cell>
          <cell r="BB15">
            <v>5.9253333333333337E-3</v>
          </cell>
          <cell r="BC15">
            <v>0</v>
          </cell>
          <cell r="BD15" t="e">
            <v>#DIV/0!</v>
          </cell>
          <cell r="BE15">
            <v>35552</v>
          </cell>
          <cell r="BF15">
            <v>4364.62</v>
          </cell>
          <cell r="BG15">
            <v>-31187.38</v>
          </cell>
          <cell r="BH15">
            <v>4444</v>
          </cell>
          <cell r="BI15">
            <v>5.9253333333333337E-3</v>
          </cell>
          <cell r="BJ15">
            <v>0</v>
          </cell>
          <cell r="BK15" t="e">
            <v>#DIV/0!</v>
          </cell>
          <cell r="BL15">
            <v>39996</v>
          </cell>
          <cell r="BM15">
            <v>4364.62</v>
          </cell>
          <cell r="BN15">
            <v>-35631.379999999997</v>
          </cell>
          <cell r="BO15">
            <v>4444</v>
          </cell>
          <cell r="BP15">
            <v>5.9253333333333337E-3</v>
          </cell>
          <cell r="BQ15">
            <v>0</v>
          </cell>
          <cell r="BR15" t="e">
            <v>#DIV/0!</v>
          </cell>
          <cell r="BS15">
            <v>44440</v>
          </cell>
          <cell r="BT15">
            <v>4364.62</v>
          </cell>
          <cell r="BU15">
            <v>-40075.379999999997</v>
          </cell>
          <cell r="BV15">
            <v>4444</v>
          </cell>
          <cell r="BW15">
            <v>5.9253333333333337E-3</v>
          </cell>
          <cell r="BX15">
            <v>0</v>
          </cell>
          <cell r="BY15" t="e">
            <v>#DIV/0!</v>
          </cell>
          <cell r="BZ15">
            <v>48884</v>
          </cell>
          <cell r="CA15">
            <v>4364.62</v>
          </cell>
          <cell r="CB15">
            <v>-44519.38</v>
          </cell>
          <cell r="CC15">
            <v>4444</v>
          </cell>
          <cell r="CD15">
            <v>5.9253333333333337E-3</v>
          </cell>
          <cell r="CE15">
            <v>0</v>
          </cell>
          <cell r="CF15" t="e">
            <v>#DIV/0!</v>
          </cell>
          <cell r="CG15">
            <v>53328</v>
          </cell>
          <cell r="CH15">
            <v>4364.62</v>
          </cell>
        </row>
        <row r="16">
          <cell r="A16" t="str">
            <v>Back Office / Encerramento</v>
          </cell>
          <cell r="B16">
            <v>1.1521711010307441E-2</v>
          </cell>
          <cell r="C16">
            <v>9159.1313982074716</v>
          </cell>
          <cell r="D16">
            <v>8000</v>
          </cell>
          <cell r="E16" t="e">
            <v>#DIV/0!</v>
          </cell>
          <cell r="F16">
            <v>6132.8054850604158</v>
          </cell>
          <cell r="G16">
            <v>0.5324147362853423</v>
          </cell>
          <cell r="H16">
            <v>8000</v>
          </cell>
          <cell r="I16">
            <v>6132.8054850604158</v>
          </cell>
          <cell r="J16">
            <v>-1867.1945149395842</v>
          </cell>
          <cell r="K16">
            <v>8000</v>
          </cell>
          <cell r="L16" t="e">
            <v>#DIV/0!</v>
          </cell>
          <cell r="M16">
            <v>5503.8884031649022</v>
          </cell>
          <cell r="N16">
            <v>0.41488618313291414</v>
          </cell>
          <cell r="O16">
            <v>16000</v>
          </cell>
          <cell r="P16">
            <v>11636.693888225318</v>
          </cell>
          <cell r="Q16">
            <v>-4363.306111774682</v>
          </cell>
          <cell r="R16">
            <v>8000</v>
          </cell>
          <cell r="S16">
            <v>1.0666666666666666E-2</v>
          </cell>
          <cell r="T16">
            <v>6955.8778278895725</v>
          </cell>
          <cell r="U16">
            <v>9.6391996772412954E-3</v>
          </cell>
          <cell r="V16">
            <v>24000</v>
          </cell>
          <cell r="W16">
            <v>18592.57171611489</v>
          </cell>
          <cell r="X16">
            <v>-5407.4282838851104</v>
          </cell>
          <cell r="Y16">
            <v>8000</v>
          </cell>
          <cell r="Z16">
            <v>1.0666666666666666E-2</v>
          </cell>
          <cell r="AA16">
            <v>0</v>
          </cell>
          <cell r="AB16" t="e">
            <v>#DIV/0!</v>
          </cell>
          <cell r="AC16">
            <v>32000</v>
          </cell>
          <cell r="AD16">
            <v>18592.57171611489</v>
          </cell>
          <cell r="AE16">
            <v>-13407.42828388511</v>
          </cell>
          <cell r="AF16">
            <v>8000</v>
          </cell>
          <cell r="AG16">
            <v>1.0666666666666666E-2</v>
          </cell>
          <cell r="AH16">
            <v>0</v>
          </cell>
          <cell r="AI16">
            <v>0</v>
          </cell>
          <cell r="AJ16">
            <v>40000</v>
          </cell>
          <cell r="AK16">
            <v>18592.57171611489</v>
          </cell>
          <cell r="AL16">
            <v>-21407.42828388511</v>
          </cell>
          <cell r="AM16">
            <v>8000</v>
          </cell>
          <cell r="AN16">
            <v>1.0666666666666666E-2</v>
          </cell>
          <cell r="AO16">
            <v>0</v>
          </cell>
          <cell r="AP16" t="e">
            <v>#DIV/0!</v>
          </cell>
          <cell r="AQ16">
            <v>48000</v>
          </cell>
          <cell r="AR16">
            <v>18592.57171611489</v>
          </cell>
          <cell r="AS16">
            <v>-29407.42828388511</v>
          </cell>
          <cell r="AT16">
            <v>8000</v>
          </cell>
          <cell r="AU16">
            <v>1.0666666666666666E-2</v>
          </cell>
          <cell r="AV16">
            <v>0</v>
          </cell>
          <cell r="AW16" t="e">
            <v>#DIV/0!</v>
          </cell>
          <cell r="AX16">
            <v>56000</v>
          </cell>
          <cell r="AY16">
            <v>18592.57171611489</v>
          </cell>
          <cell r="AZ16">
            <v>-37407.428283885107</v>
          </cell>
          <cell r="BA16">
            <v>8000</v>
          </cell>
          <cell r="BB16">
            <v>1.0666666666666666E-2</v>
          </cell>
          <cell r="BC16">
            <v>0</v>
          </cell>
          <cell r="BD16" t="e">
            <v>#DIV/0!</v>
          </cell>
          <cell r="BE16">
            <v>64000</v>
          </cell>
          <cell r="BF16">
            <v>18592.57171611489</v>
          </cell>
          <cell r="BG16">
            <v>-45407.428283885107</v>
          </cell>
          <cell r="BH16">
            <v>8000</v>
          </cell>
          <cell r="BI16">
            <v>1.0666666666666666E-2</v>
          </cell>
          <cell r="BJ16">
            <v>0</v>
          </cell>
          <cell r="BK16" t="e">
            <v>#DIV/0!</v>
          </cell>
          <cell r="BL16">
            <v>72000</v>
          </cell>
          <cell r="BM16">
            <v>18592.57171611489</v>
          </cell>
          <cell r="BN16">
            <v>-53407.428283885107</v>
          </cell>
          <cell r="BO16">
            <v>8000</v>
          </cell>
          <cell r="BP16">
            <v>1.0666666666666666E-2</v>
          </cell>
          <cell r="BQ16">
            <v>0</v>
          </cell>
          <cell r="BR16" t="e">
            <v>#DIV/0!</v>
          </cell>
          <cell r="BS16">
            <v>80000</v>
          </cell>
          <cell r="BT16">
            <v>18592.57171611489</v>
          </cell>
          <cell r="BU16">
            <v>-61407.428283885107</v>
          </cell>
          <cell r="BV16">
            <v>8000</v>
          </cell>
          <cell r="BW16">
            <v>1.0666666666666666E-2</v>
          </cell>
          <cell r="BX16">
            <v>0</v>
          </cell>
          <cell r="BY16" t="e">
            <v>#DIV/0!</v>
          </cell>
          <cell r="BZ16">
            <v>88000</v>
          </cell>
          <cell r="CA16">
            <v>18592.57171611489</v>
          </cell>
          <cell r="CB16">
            <v>-69407.428283885107</v>
          </cell>
          <cell r="CC16">
            <v>8000</v>
          </cell>
          <cell r="CD16">
            <v>1.0666666666666666E-2</v>
          </cell>
          <cell r="CE16">
            <v>0</v>
          </cell>
          <cell r="CF16" t="e">
            <v>#DIV/0!</v>
          </cell>
          <cell r="CG16">
            <v>96000</v>
          </cell>
          <cell r="CH16">
            <v>18592.57171611489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 t="e">
            <v>#DIV/0!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e">
            <v>#DIV/0!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6.7846610499365106E-3</v>
          </cell>
          <cell r="C18">
            <v>5393.4352278994202</v>
          </cell>
          <cell r="D18">
            <v>6500</v>
          </cell>
          <cell r="E18" t="e">
            <v>#DIV/0!</v>
          </cell>
          <cell r="F18">
            <v>6034.9302763616124</v>
          </cell>
          <cell r="G18">
            <v>0.52391777619828472</v>
          </cell>
          <cell r="H18">
            <v>6500</v>
          </cell>
          <cell r="I18">
            <v>6034.9302763616124</v>
          </cell>
          <cell r="J18">
            <v>-465.06972363838759</v>
          </cell>
          <cell r="K18">
            <v>6500</v>
          </cell>
          <cell r="L18" t="e">
            <v>#DIV/0!</v>
          </cell>
          <cell r="M18">
            <v>8778.4349227552466</v>
          </cell>
          <cell r="N18">
            <v>0.66172332943529755</v>
          </cell>
          <cell r="O18">
            <v>13000</v>
          </cell>
          <cell r="P18">
            <v>14813.365199116859</v>
          </cell>
          <cell r="Q18">
            <v>1813.365199116859</v>
          </cell>
          <cell r="R18">
            <v>6500</v>
          </cell>
          <cell r="S18">
            <v>8.6666666666666663E-3</v>
          </cell>
          <cell r="T18">
            <v>9595.1887471932569</v>
          </cell>
          <cell r="U18">
            <v>1.3296659683149753E-2</v>
          </cell>
          <cell r="V18">
            <v>19500</v>
          </cell>
          <cell r="W18">
            <v>24408.553946310116</v>
          </cell>
          <cell r="X18">
            <v>4908.5539463101159</v>
          </cell>
          <cell r="Y18">
            <v>6500</v>
          </cell>
          <cell r="Z18">
            <v>8.6666666666666663E-3</v>
          </cell>
          <cell r="AA18">
            <v>0</v>
          </cell>
          <cell r="AB18" t="e">
            <v>#DIV/0!</v>
          </cell>
          <cell r="AC18">
            <v>26000</v>
          </cell>
          <cell r="AD18">
            <v>24408.553946310116</v>
          </cell>
          <cell r="AE18">
            <v>-1591.4460536898841</v>
          </cell>
          <cell r="AF18">
            <v>6500</v>
          </cell>
          <cell r="AG18">
            <v>8.6666666666666663E-3</v>
          </cell>
          <cell r="AH18">
            <v>0</v>
          </cell>
          <cell r="AI18">
            <v>0</v>
          </cell>
          <cell r="AJ18">
            <v>32500</v>
          </cell>
          <cell r="AK18">
            <v>24408.553946310116</v>
          </cell>
          <cell r="AL18">
            <v>-8091.4460536898841</v>
          </cell>
          <cell r="AM18">
            <v>6500</v>
          </cell>
          <cell r="AN18">
            <v>8.6666666666666663E-3</v>
          </cell>
          <cell r="AO18">
            <v>0</v>
          </cell>
          <cell r="AP18" t="e">
            <v>#DIV/0!</v>
          </cell>
          <cell r="AQ18">
            <v>39000</v>
          </cell>
          <cell r="AR18">
            <v>24408.553946310116</v>
          </cell>
          <cell r="AS18">
            <v>-14591.446053689884</v>
          </cell>
          <cell r="AT18">
            <v>6500</v>
          </cell>
          <cell r="AU18">
            <v>8.6666666666666663E-3</v>
          </cell>
          <cell r="AV18">
            <v>0</v>
          </cell>
          <cell r="AW18" t="e">
            <v>#DIV/0!</v>
          </cell>
          <cell r="AX18">
            <v>45500</v>
          </cell>
          <cell r="AY18">
            <v>24408.553946310116</v>
          </cell>
          <cell r="AZ18">
            <v>-21091.446053689884</v>
          </cell>
          <cell r="BA18">
            <v>6500</v>
          </cell>
          <cell r="BB18">
            <v>8.6666666666666663E-3</v>
          </cell>
          <cell r="BC18">
            <v>0</v>
          </cell>
          <cell r="BD18" t="e">
            <v>#DIV/0!</v>
          </cell>
          <cell r="BE18">
            <v>52000</v>
          </cell>
          <cell r="BF18">
            <v>24408.553946310116</v>
          </cell>
          <cell r="BG18">
            <v>-27591.446053689884</v>
          </cell>
          <cell r="BH18">
            <v>6500</v>
          </cell>
          <cell r="BI18">
            <v>8.6666666666666663E-3</v>
          </cell>
          <cell r="BJ18">
            <v>0</v>
          </cell>
          <cell r="BK18" t="e">
            <v>#DIV/0!</v>
          </cell>
          <cell r="BL18">
            <v>58500</v>
          </cell>
          <cell r="BM18">
            <v>24408.553946310116</v>
          </cell>
          <cell r="BN18">
            <v>-34091.446053689884</v>
          </cell>
          <cell r="BO18">
            <v>6500</v>
          </cell>
          <cell r="BP18">
            <v>8.6666666666666663E-3</v>
          </cell>
          <cell r="BQ18">
            <v>0</v>
          </cell>
          <cell r="BR18" t="e">
            <v>#DIV/0!</v>
          </cell>
          <cell r="BS18">
            <v>65000</v>
          </cell>
          <cell r="BT18">
            <v>24408.553946310116</v>
          </cell>
          <cell r="BU18">
            <v>-40591.446053689884</v>
          </cell>
          <cell r="BV18">
            <v>6500</v>
          </cell>
          <cell r="BW18">
            <v>8.6666666666666663E-3</v>
          </cell>
          <cell r="BX18">
            <v>0</v>
          </cell>
          <cell r="BY18" t="e">
            <v>#DIV/0!</v>
          </cell>
          <cell r="BZ18">
            <v>71500</v>
          </cell>
          <cell r="CA18">
            <v>24408.553946310116</v>
          </cell>
          <cell r="CB18">
            <v>-47091.446053689884</v>
          </cell>
          <cell r="CC18">
            <v>6500</v>
          </cell>
          <cell r="CD18">
            <v>8.6666666666666663E-3</v>
          </cell>
          <cell r="CE18">
            <v>0</v>
          </cell>
          <cell r="CF18" t="e">
            <v>#DIV/0!</v>
          </cell>
          <cell r="CG18">
            <v>78000</v>
          </cell>
          <cell r="CH18">
            <v>24408.553946310116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 t="e">
            <v>#DIV/0!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e">
            <v>#DIV/0!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4.4111277895447628E-3</v>
          </cell>
          <cell r="C20">
            <v>3506.6058333333331</v>
          </cell>
          <cell r="D20">
            <v>2800</v>
          </cell>
          <cell r="E20" t="e">
            <v>#DIV/0!</v>
          </cell>
          <cell r="F20">
            <v>0</v>
          </cell>
          <cell r="G20">
            <v>0</v>
          </cell>
          <cell r="H20">
            <v>2800</v>
          </cell>
          <cell r="I20">
            <v>0</v>
          </cell>
          <cell r="J20">
            <v>-2800</v>
          </cell>
          <cell r="K20">
            <v>2800</v>
          </cell>
          <cell r="L20" t="e">
            <v>#DIV/0!</v>
          </cell>
          <cell r="M20">
            <v>0</v>
          </cell>
          <cell r="N20">
            <v>0</v>
          </cell>
          <cell r="O20">
            <v>5600</v>
          </cell>
          <cell r="P20">
            <v>0</v>
          </cell>
          <cell r="Q20">
            <v>-5600</v>
          </cell>
          <cell r="R20">
            <v>2800</v>
          </cell>
          <cell r="S20">
            <v>3.7333333333333333E-3</v>
          </cell>
          <cell r="T20">
            <v>0</v>
          </cell>
          <cell r="U20">
            <v>0</v>
          </cell>
          <cell r="V20">
            <v>8400</v>
          </cell>
          <cell r="W20">
            <v>0</v>
          </cell>
          <cell r="X20">
            <v>-8400</v>
          </cell>
          <cell r="Y20">
            <v>2800</v>
          </cell>
          <cell r="Z20">
            <v>3.7333333333333333E-3</v>
          </cell>
          <cell r="AA20">
            <v>0</v>
          </cell>
          <cell r="AB20" t="e">
            <v>#DIV/0!</v>
          </cell>
          <cell r="AC20">
            <v>11200</v>
          </cell>
          <cell r="AD20">
            <v>0</v>
          </cell>
          <cell r="AE20">
            <v>-11200</v>
          </cell>
          <cell r="AF20">
            <v>2800</v>
          </cell>
          <cell r="AG20">
            <v>3.7333333333333333E-3</v>
          </cell>
          <cell r="AH20">
            <v>0</v>
          </cell>
          <cell r="AI20">
            <v>0</v>
          </cell>
          <cell r="AJ20">
            <v>14000</v>
          </cell>
          <cell r="AK20">
            <v>0</v>
          </cell>
          <cell r="AL20">
            <v>-14000</v>
          </cell>
          <cell r="AM20">
            <v>2800</v>
          </cell>
          <cell r="AN20">
            <v>3.7333333333333333E-3</v>
          </cell>
          <cell r="AO20">
            <v>0</v>
          </cell>
          <cell r="AP20" t="e">
            <v>#DIV/0!</v>
          </cell>
          <cell r="AQ20">
            <v>16800</v>
          </cell>
          <cell r="AR20">
            <v>0</v>
          </cell>
          <cell r="AS20">
            <v>-16800</v>
          </cell>
          <cell r="AT20">
            <v>2800</v>
          </cell>
          <cell r="AU20">
            <v>3.7333333333333333E-3</v>
          </cell>
          <cell r="AV20">
            <v>0</v>
          </cell>
          <cell r="AW20" t="e">
            <v>#DIV/0!</v>
          </cell>
          <cell r="AX20">
            <v>19600</v>
          </cell>
          <cell r="AY20">
            <v>0</v>
          </cell>
          <cell r="AZ20">
            <v>-19600</v>
          </cell>
          <cell r="BA20">
            <v>2800</v>
          </cell>
          <cell r="BB20">
            <v>3.7333333333333333E-3</v>
          </cell>
          <cell r="BC20">
            <v>0</v>
          </cell>
          <cell r="BD20" t="e">
            <v>#DIV/0!</v>
          </cell>
          <cell r="BE20">
            <v>22400</v>
          </cell>
          <cell r="BF20">
            <v>0</v>
          </cell>
          <cell r="BG20">
            <v>-22400</v>
          </cell>
          <cell r="BH20">
            <v>2800</v>
          </cell>
          <cell r="BI20">
            <v>3.7333333333333333E-3</v>
          </cell>
          <cell r="BJ20">
            <v>0</v>
          </cell>
          <cell r="BK20" t="e">
            <v>#DIV/0!</v>
          </cell>
          <cell r="BL20">
            <v>25200</v>
          </cell>
          <cell r="BM20">
            <v>0</v>
          </cell>
          <cell r="BN20">
            <v>-25200</v>
          </cell>
          <cell r="BO20">
            <v>2800</v>
          </cell>
          <cell r="BP20">
            <v>3.7333333333333333E-3</v>
          </cell>
          <cell r="BQ20">
            <v>0</v>
          </cell>
          <cell r="BR20" t="e">
            <v>#DIV/0!</v>
          </cell>
          <cell r="BS20">
            <v>28000</v>
          </cell>
          <cell r="BT20">
            <v>0</v>
          </cell>
          <cell r="BU20">
            <v>-28000</v>
          </cell>
          <cell r="BV20">
            <v>2800</v>
          </cell>
          <cell r="BW20">
            <v>3.7333333333333333E-3</v>
          </cell>
          <cell r="BX20">
            <v>0</v>
          </cell>
          <cell r="BY20" t="e">
            <v>#DIV/0!</v>
          </cell>
          <cell r="BZ20">
            <v>30800</v>
          </cell>
          <cell r="CA20">
            <v>0</v>
          </cell>
          <cell r="CB20">
            <v>-30800</v>
          </cell>
          <cell r="CC20">
            <v>2800</v>
          </cell>
          <cell r="CD20">
            <v>3.7333333333333333E-3</v>
          </cell>
          <cell r="CE20">
            <v>0</v>
          </cell>
          <cell r="CF20" t="e">
            <v>#DIV/0!</v>
          </cell>
          <cell r="CG20">
            <v>33600</v>
          </cell>
          <cell r="CH20">
            <v>0</v>
          </cell>
        </row>
        <row r="21">
          <cell r="A21" t="str">
            <v>Penalidades/Irregularidades</v>
          </cell>
          <cell r="B21">
            <v>9.4734711472392683E-3</v>
          </cell>
          <cell r="C21">
            <v>7530.8925000000008</v>
          </cell>
          <cell r="D21">
            <v>6000</v>
          </cell>
          <cell r="E21" t="e">
            <v>#DIV/0!</v>
          </cell>
          <cell r="F21">
            <v>0</v>
          </cell>
          <cell r="G21">
            <v>0</v>
          </cell>
          <cell r="H21">
            <v>6000</v>
          </cell>
          <cell r="I21">
            <v>0</v>
          </cell>
          <cell r="J21">
            <v>-6000</v>
          </cell>
          <cell r="K21">
            <v>6000</v>
          </cell>
          <cell r="L21" t="e">
            <v>#DIV/0!</v>
          </cell>
          <cell r="M21">
            <v>0</v>
          </cell>
          <cell r="N21">
            <v>0</v>
          </cell>
          <cell r="O21">
            <v>12000</v>
          </cell>
          <cell r="P21">
            <v>0</v>
          </cell>
          <cell r="Q21">
            <v>-12000</v>
          </cell>
          <cell r="R21">
            <v>6000</v>
          </cell>
          <cell r="S21">
            <v>8.0000000000000002E-3</v>
          </cell>
          <cell r="T21">
            <v>0</v>
          </cell>
          <cell r="U21">
            <v>0</v>
          </cell>
          <cell r="V21">
            <v>18000</v>
          </cell>
          <cell r="W21">
            <v>0</v>
          </cell>
          <cell r="X21">
            <v>-18000</v>
          </cell>
          <cell r="Y21">
            <v>6000</v>
          </cell>
          <cell r="Z21">
            <v>8.0000000000000002E-3</v>
          </cell>
          <cell r="AA21">
            <v>0</v>
          </cell>
          <cell r="AB21" t="e">
            <v>#DIV/0!</v>
          </cell>
          <cell r="AC21">
            <v>24000</v>
          </cell>
          <cell r="AD21">
            <v>0</v>
          </cell>
          <cell r="AE21">
            <v>-24000</v>
          </cell>
          <cell r="AF21">
            <v>6000</v>
          </cell>
          <cell r="AG21">
            <v>8.0000000000000002E-3</v>
          </cell>
          <cell r="AH21">
            <v>0</v>
          </cell>
          <cell r="AI21">
            <v>0</v>
          </cell>
          <cell r="AJ21">
            <v>30000</v>
          </cell>
          <cell r="AK21">
            <v>0</v>
          </cell>
          <cell r="AL21">
            <v>-30000</v>
          </cell>
          <cell r="AM21">
            <v>6000</v>
          </cell>
          <cell r="AN21">
            <v>8.0000000000000002E-3</v>
          </cell>
          <cell r="AO21">
            <v>0</v>
          </cell>
          <cell r="AP21" t="e">
            <v>#DIV/0!</v>
          </cell>
          <cell r="AQ21">
            <v>36000</v>
          </cell>
          <cell r="AR21">
            <v>0</v>
          </cell>
          <cell r="AS21">
            <v>-36000</v>
          </cell>
          <cell r="AT21">
            <v>6000</v>
          </cell>
          <cell r="AU21">
            <v>8.0000000000000002E-3</v>
          </cell>
          <cell r="AV21">
            <v>0</v>
          </cell>
          <cell r="AW21" t="e">
            <v>#DIV/0!</v>
          </cell>
          <cell r="AX21">
            <v>42000</v>
          </cell>
          <cell r="AY21">
            <v>0</v>
          </cell>
          <cell r="AZ21">
            <v>-42000</v>
          </cell>
          <cell r="BA21">
            <v>6000</v>
          </cell>
          <cell r="BB21">
            <v>8.0000000000000002E-3</v>
          </cell>
          <cell r="BC21">
            <v>0</v>
          </cell>
          <cell r="BD21" t="e">
            <v>#DIV/0!</v>
          </cell>
          <cell r="BE21">
            <v>48000</v>
          </cell>
          <cell r="BF21">
            <v>0</v>
          </cell>
          <cell r="BG21">
            <v>-48000</v>
          </cell>
          <cell r="BH21">
            <v>6000</v>
          </cell>
          <cell r="BI21">
            <v>8.0000000000000002E-3</v>
          </cell>
          <cell r="BJ21">
            <v>0</v>
          </cell>
          <cell r="BK21" t="e">
            <v>#DIV/0!</v>
          </cell>
          <cell r="BL21">
            <v>54000</v>
          </cell>
          <cell r="BM21">
            <v>0</v>
          </cell>
          <cell r="BN21">
            <v>-54000</v>
          </cell>
          <cell r="BO21">
            <v>6000</v>
          </cell>
          <cell r="BP21">
            <v>8.0000000000000002E-3</v>
          </cell>
          <cell r="BQ21">
            <v>0</v>
          </cell>
          <cell r="BR21" t="e">
            <v>#DIV/0!</v>
          </cell>
          <cell r="BS21">
            <v>60000</v>
          </cell>
          <cell r="BT21">
            <v>0</v>
          </cell>
          <cell r="BU21">
            <v>-60000</v>
          </cell>
          <cell r="BV21">
            <v>6000</v>
          </cell>
          <cell r="BW21">
            <v>8.0000000000000002E-3</v>
          </cell>
          <cell r="BX21">
            <v>0</v>
          </cell>
          <cell r="BY21" t="e">
            <v>#DIV/0!</v>
          </cell>
          <cell r="BZ21">
            <v>66000</v>
          </cell>
          <cell r="CA21">
            <v>0</v>
          </cell>
          <cell r="CB21">
            <v>-66000</v>
          </cell>
          <cell r="CC21">
            <v>6000</v>
          </cell>
          <cell r="CD21">
            <v>8.0000000000000002E-3</v>
          </cell>
          <cell r="CE21">
            <v>0</v>
          </cell>
          <cell r="CF21" t="e">
            <v>#DIV/0!</v>
          </cell>
          <cell r="CG21">
            <v>72000</v>
          </cell>
          <cell r="CH21">
            <v>0</v>
          </cell>
        </row>
        <row r="22">
          <cell r="A22" t="str">
            <v>Controladoria Jurídica - Custas</v>
          </cell>
          <cell r="B22">
            <v>5.602419844368472E-4</v>
          </cell>
          <cell r="C22">
            <v>445.36179961978291</v>
          </cell>
          <cell r="D22">
            <v>4000</v>
          </cell>
          <cell r="E22" t="e">
            <v>#DIV/0!</v>
          </cell>
          <cell r="F22">
            <v>2552.9056138423771</v>
          </cell>
          <cell r="G22">
            <v>0.22162851446475795</v>
          </cell>
          <cell r="H22">
            <v>4000</v>
          </cell>
          <cell r="I22">
            <v>2552.9056138423771</v>
          </cell>
          <cell r="J22">
            <v>-1447.0943861576229</v>
          </cell>
          <cell r="K22">
            <v>4000</v>
          </cell>
          <cell r="L22" t="e">
            <v>#DIV/0!</v>
          </cell>
          <cell r="M22">
            <v>3078.0430922682826</v>
          </cell>
          <cell r="N22">
            <v>0.23202460815438863</v>
          </cell>
          <cell r="O22">
            <v>8000</v>
          </cell>
          <cell r="P22">
            <v>5630.9487061106593</v>
          </cell>
          <cell r="Q22">
            <v>-2369.0512938893407</v>
          </cell>
          <cell r="R22">
            <v>4000</v>
          </cell>
          <cell r="S22">
            <v>5.3333333333333332E-3</v>
          </cell>
          <cell r="T22">
            <v>4522.6415715502626</v>
          </cell>
          <cell r="U22">
            <v>6.2673103604512356E-3</v>
          </cell>
          <cell r="V22">
            <v>12000</v>
          </cell>
          <cell r="W22">
            <v>10153.590277660922</v>
          </cell>
          <cell r="X22">
            <v>-1846.4097223390781</v>
          </cell>
          <cell r="Y22">
            <v>4000</v>
          </cell>
          <cell r="Z22">
            <v>5.3333333333333332E-3</v>
          </cell>
          <cell r="AA22">
            <v>0</v>
          </cell>
          <cell r="AB22" t="e">
            <v>#DIV/0!</v>
          </cell>
          <cell r="AC22">
            <v>16000</v>
          </cell>
          <cell r="AD22">
            <v>10153.590277660922</v>
          </cell>
          <cell r="AE22">
            <v>-5846.4097223390781</v>
          </cell>
          <cell r="AF22">
            <v>4000</v>
          </cell>
          <cell r="AG22">
            <v>5.3333333333333332E-3</v>
          </cell>
          <cell r="AH22">
            <v>0</v>
          </cell>
          <cell r="AI22">
            <v>0</v>
          </cell>
          <cell r="AJ22">
            <v>20000</v>
          </cell>
          <cell r="AK22">
            <v>10153.590277660922</v>
          </cell>
          <cell r="AL22">
            <v>-9846.4097223390781</v>
          </cell>
          <cell r="AM22">
            <v>4000</v>
          </cell>
          <cell r="AN22">
            <v>5.3333333333333332E-3</v>
          </cell>
          <cell r="AO22">
            <v>0</v>
          </cell>
          <cell r="AP22" t="e">
            <v>#DIV/0!</v>
          </cell>
          <cell r="AQ22">
            <v>24000</v>
          </cell>
          <cell r="AR22">
            <v>10153.590277660922</v>
          </cell>
          <cell r="AS22">
            <v>-13846.409722339078</v>
          </cell>
          <cell r="AT22">
            <v>4000</v>
          </cell>
          <cell r="AU22">
            <v>5.3333333333333332E-3</v>
          </cell>
          <cell r="AV22">
            <v>0</v>
          </cell>
          <cell r="AW22" t="e">
            <v>#DIV/0!</v>
          </cell>
          <cell r="AX22">
            <v>28000</v>
          </cell>
          <cell r="AY22">
            <v>10153.590277660922</v>
          </cell>
          <cell r="AZ22">
            <v>-17846.409722339078</v>
          </cell>
          <cell r="BA22">
            <v>4000</v>
          </cell>
          <cell r="BB22">
            <v>5.3333333333333332E-3</v>
          </cell>
          <cell r="BC22">
            <v>0</v>
          </cell>
          <cell r="BD22" t="e">
            <v>#DIV/0!</v>
          </cell>
          <cell r="BE22">
            <v>32000</v>
          </cell>
          <cell r="BF22">
            <v>10153.590277660922</v>
          </cell>
          <cell r="BG22">
            <v>-21846.409722339078</v>
          </cell>
          <cell r="BH22">
            <v>4000</v>
          </cell>
          <cell r="BI22">
            <v>5.3333333333333332E-3</v>
          </cell>
          <cell r="BJ22">
            <v>0</v>
          </cell>
          <cell r="BK22" t="e">
            <v>#DIV/0!</v>
          </cell>
          <cell r="BL22">
            <v>36000</v>
          </cell>
          <cell r="BM22">
            <v>10153.590277660922</v>
          </cell>
          <cell r="BN22">
            <v>-25846.409722339078</v>
          </cell>
          <cell r="BO22">
            <v>4000</v>
          </cell>
          <cell r="BP22">
            <v>5.3333333333333332E-3</v>
          </cell>
          <cell r="BQ22">
            <v>0</v>
          </cell>
          <cell r="BR22" t="e">
            <v>#DIV/0!</v>
          </cell>
          <cell r="BS22">
            <v>40000</v>
          </cell>
          <cell r="BT22">
            <v>10153.590277660922</v>
          </cell>
          <cell r="BU22">
            <v>-29846.409722339078</v>
          </cell>
          <cell r="BV22">
            <v>4000</v>
          </cell>
          <cell r="BW22">
            <v>5.3333333333333332E-3</v>
          </cell>
          <cell r="BX22">
            <v>0</v>
          </cell>
          <cell r="BY22" t="e">
            <v>#DIV/0!</v>
          </cell>
          <cell r="BZ22">
            <v>44000</v>
          </cell>
          <cell r="CA22">
            <v>10153.590277660922</v>
          </cell>
          <cell r="CB22">
            <v>-33846.409722339078</v>
          </cell>
          <cell r="CC22">
            <v>4000</v>
          </cell>
          <cell r="CD22">
            <v>5.3333333333333332E-3</v>
          </cell>
          <cell r="CE22">
            <v>0</v>
          </cell>
          <cell r="CF22" t="e">
            <v>#DIV/0!</v>
          </cell>
          <cell r="CG22">
            <v>48000</v>
          </cell>
          <cell r="CH22">
            <v>10153.590277660922</v>
          </cell>
        </row>
        <row r="23">
          <cell r="A23" t="str">
            <v>GNA</v>
          </cell>
          <cell r="B23">
            <v>7.6498587615983675E-3</v>
          </cell>
          <cell r="C23">
            <v>6081.2201861794938</v>
          </cell>
          <cell r="D23">
            <v>0</v>
          </cell>
          <cell r="E23" t="e">
            <v>#DIV/0!</v>
          </cell>
          <cell r="F23">
            <v>148.72212521289805</v>
          </cell>
          <cell r="G23">
            <v>1.2911195580539554E-2</v>
          </cell>
          <cell r="H23">
            <v>0</v>
          </cell>
          <cell r="I23">
            <v>148.72212521289805</v>
          </cell>
          <cell r="J23">
            <v>148.72212521289805</v>
          </cell>
          <cell r="K23">
            <v>0</v>
          </cell>
          <cell r="L23" t="e">
            <v>#DIV/0!</v>
          </cell>
          <cell r="M23">
            <v>174.69708683806607</v>
          </cell>
          <cell r="N23">
            <v>1.3168764017999827E-2</v>
          </cell>
          <cell r="O23">
            <v>0</v>
          </cell>
          <cell r="P23">
            <v>323.41921205096412</v>
          </cell>
          <cell r="Q23">
            <v>323.41921205096412</v>
          </cell>
          <cell r="R23">
            <v>7500</v>
          </cell>
          <cell r="S23">
            <v>0.01</v>
          </cell>
          <cell r="T23">
            <v>7423.2145786635647</v>
          </cell>
          <cell r="U23">
            <v>1.0286817759198093E-2</v>
          </cell>
          <cell r="V23">
            <v>7500</v>
          </cell>
          <cell r="W23">
            <v>7746.6337907145289</v>
          </cell>
          <cell r="X23">
            <v>246.63379071452891</v>
          </cell>
          <cell r="Y23">
            <v>7500</v>
          </cell>
          <cell r="Z23">
            <v>0.01</v>
          </cell>
          <cell r="AA23">
            <v>0</v>
          </cell>
          <cell r="AB23" t="e">
            <v>#DIV/0!</v>
          </cell>
          <cell r="AC23">
            <v>15000</v>
          </cell>
          <cell r="AD23">
            <v>7746.6337907145289</v>
          </cell>
          <cell r="AE23">
            <v>-7253.3662092854711</v>
          </cell>
          <cell r="AF23">
            <v>7500</v>
          </cell>
          <cell r="AG23">
            <v>0.01</v>
          </cell>
          <cell r="AH23">
            <v>0</v>
          </cell>
          <cell r="AI23">
            <v>0</v>
          </cell>
          <cell r="AJ23">
            <v>22500</v>
          </cell>
          <cell r="AK23">
            <v>7746.6337907145289</v>
          </cell>
          <cell r="AL23">
            <v>-14753.366209285472</v>
          </cell>
          <cell r="AM23">
            <v>7500</v>
          </cell>
          <cell r="AN23">
            <v>0.01</v>
          </cell>
          <cell r="AO23">
            <v>0</v>
          </cell>
          <cell r="AP23" t="e">
            <v>#DIV/0!</v>
          </cell>
          <cell r="AQ23">
            <v>30000</v>
          </cell>
          <cell r="AR23">
            <v>7746.6337907145289</v>
          </cell>
          <cell r="AS23">
            <v>-22253.366209285472</v>
          </cell>
          <cell r="AT23">
            <v>7500</v>
          </cell>
          <cell r="AU23">
            <v>0.01</v>
          </cell>
          <cell r="AV23">
            <v>0</v>
          </cell>
          <cell r="AW23" t="e">
            <v>#DIV/0!</v>
          </cell>
          <cell r="AX23">
            <v>37500</v>
          </cell>
          <cell r="AY23">
            <v>7746.6337907145289</v>
          </cell>
          <cell r="AZ23">
            <v>-29753.366209285472</v>
          </cell>
          <cell r="BA23">
            <v>7500</v>
          </cell>
          <cell r="BB23">
            <v>0.01</v>
          </cell>
          <cell r="BC23">
            <v>0</v>
          </cell>
          <cell r="BD23" t="e">
            <v>#DIV/0!</v>
          </cell>
          <cell r="BE23">
            <v>45000</v>
          </cell>
          <cell r="BF23">
            <v>7746.6337907145289</v>
          </cell>
          <cell r="BG23">
            <v>-37253.366209285472</v>
          </cell>
          <cell r="BH23">
            <v>7500</v>
          </cell>
          <cell r="BI23">
            <v>0.01</v>
          </cell>
          <cell r="BJ23">
            <v>0</v>
          </cell>
          <cell r="BK23" t="e">
            <v>#DIV/0!</v>
          </cell>
          <cell r="BL23">
            <v>52500</v>
          </cell>
          <cell r="BM23">
            <v>7746.6337907145289</v>
          </cell>
          <cell r="BN23">
            <v>-44753.366209285472</v>
          </cell>
          <cell r="BO23">
            <v>7500</v>
          </cell>
          <cell r="BP23">
            <v>0.01</v>
          </cell>
          <cell r="BQ23">
            <v>0</v>
          </cell>
          <cell r="BR23" t="e">
            <v>#DIV/0!</v>
          </cell>
          <cell r="BS23">
            <v>60000</v>
          </cell>
          <cell r="BT23">
            <v>7746.6337907145289</v>
          </cell>
          <cell r="BU23">
            <v>-52253.366209285472</v>
          </cell>
          <cell r="BV23">
            <v>7500</v>
          </cell>
          <cell r="BW23">
            <v>0.01</v>
          </cell>
          <cell r="BX23">
            <v>0</v>
          </cell>
          <cell r="BY23" t="e">
            <v>#DIV/0!</v>
          </cell>
          <cell r="BZ23">
            <v>67500</v>
          </cell>
          <cell r="CA23">
            <v>7746.6337907145289</v>
          </cell>
          <cell r="CB23">
            <v>-59753.366209285472</v>
          </cell>
          <cell r="CC23">
            <v>7500</v>
          </cell>
          <cell r="CD23">
            <v>0.01</v>
          </cell>
          <cell r="CE23">
            <v>0</v>
          </cell>
          <cell r="CF23" t="e">
            <v>#DIV/0!</v>
          </cell>
          <cell r="CG23">
            <v>75000</v>
          </cell>
          <cell r="CH23">
            <v>7746.6337907145289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 t="e">
            <v>#DIV/0!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 t="e">
            <v>#DIV/0!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96.299997000000005</v>
          </cell>
          <cell r="U24">
            <v>1.334489942130528E-4</v>
          </cell>
          <cell r="V24">
            <v>0</v>
          </cell>
          <cell r="W24">
            <v>96.299997000000005</v>
          </cell>
          <cell r="X24">
            <v>96.299997000000005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96.299997000000005</v>
          </cell>
          <cell r="AE24">
            <v>96.299997000000005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96.299997000000005</v>
          </cell>
          <cell r="AL24">
            <v>96.299997000000005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96.299997000000005</v>
          </cell>
          <cell r="AS24">
            <v>96.299997000000005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96.299997000000005</v>
          </cell>
          <cell r="AZ24">
            <v>96.299997000000005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96.299997000000005</v>
          </cell>
          <cell r="BG24">
            <v>96.299997000000005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96.299997000000005</v>
          </cell>
          <cell r="BN24">
            <v>96.299997000000005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96.299997000000005</v>
          </cell>
          <cell r="BU24">
            <v>96.299997000000005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96.299997000000005</v>
          </cell>
          <cell r="CB24">
            <v>96.299997000000005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96.299997000000005</v>
          </cell>
        </row>
        <row r="25">
          <cell r="A25" t="str">
            <v xml:space="preserve">Correspondentes </v>
          </cell>
          <cell r="B25">
            <v>6.4430767822085191E-2</v>
          </cell>
          <cell r="C25">
            <v>51218.943787249998</v>
          </cell>
          <cell r="D25">
            <v>58000</v>
          </cell>
          <cell r="E25" t="e">
            <v>#DIV/0!</v>
          </cell>
          <cell r="F25">
            <v>54993.380703000003</v>
          </cell>
          <cell r="G25">
            <v>4.7742075557021755</v>
          </cell>
          <cell r="H25">
            <v>58000</v>
          </cell>
          <cell r="I25">
            <v>54993.380703000003</v>
          </cell>
          <cell r="J25">
            <v>-3006.6192969999975</v>
          </cell>
          <cell r="K25">
            <v>58000</v>
          </cell>
          <cell r="L25" t="e">
            <v>#DIV/0!</v>
          </cell>
          <cell r="M25">
            <v>42554.868158999998</v>
          </cell>
          <cell r="N25">
            <v>3.2078097393943321</v>
          </cell>
          <cell r="O25">
            <v>116000</v>
          </cell>
          <cell r="P25">
            <v>97548.248862000008</v>
          </cell>
          <cell r="Q25">
            <v>-18451.751137999992</v>
          </cell>
          <cell r="R25">
            <v>58000</v>
          </cell>
          <cell r="S25">
            <v>7.7333333333333337E-2</v>
          </cell>
          <cell r="T25">
            <v>21603.385513000005</v>
          </cell>
          <cell r="U25">
            <v>2.9937177135183981E-2</v>
          </cell>
          <cell r="V25">
            <v>174000</v>
          </cell>
          <cell r="W25">
            <v>119151.63437500001</v>
          </cell>
          <cell r="X25">
            <v>-54848.365624999991</v>
          </cell>
          <cell r="Y25">
            <v>58000</v>
          </cell>
          <cell r="Z25">
            <v>7.7333333333333337E-2</v>
          </cell>
          <cell r="AA25">
            <v>0</v>
          </cell>
          <cell r="AB25" t="e">
            <v>#DIV/0!</v>
          </cell>
          <cell r="AC25">
            <v>232000</v>
          </cell>
          <cell r="AD25">
            <v>119151.63437500001</v>
          </cell>
          <cell r="AE25">
            <v>-112848.36562499999</v>
          </cell>
          <cell r="AF25">
            <v>58000</v>
          </cell>
          <cell r="AG25">
            <v>7.7333333333333337E-2</v>
          </cell>
          <cell r="AH25">
            <v>0</v>
          </cell>
          <cell r="AI25">
            <v>0</v>
          </cell>
          <cell r="AJ25">
            <v>290000</v>
          </cell>
          <cell r="AK25">
            <v>119151.63437500001</v>
          </cell>
          <cell r="AL25">
            <v>-170848.36562499998</v>
          </cell>
          <cell r="AM25">
            <v>58000</v>
          </cell>
          <cell r="AN25">
            <v>7.7333333333333337E-2</v>
          </cell>
          <cell r="AO25">
            <v>0</v>
          </cell>
          <cell r="AP25" t="e">
            <v>#DIV/0!</v>
          </cell>
          <cell r="AQ25">
            <v>348000</v>
          </cell>
          <cell r="AR25">
            <v>119151.63437500001</v>
          </cell>
          <cell r="AS25">
            <v>-228848.36562499998</v>
          </cell>
          <cell r="AT25">
            <v>58000</v>
          </cell>
          <cell r="AU25">
            <v>7.7333333333333337E-2</v>
          </cell>
          <cell r="AV25">
            <v>0</v>
          </cell>
          <cell r="AW25" t="e">
            <v>#DIV/0!</v>
          </cell>
          <cell r="AX25">
            <v>406000</v>
          </cell>
          <cell r="AY25">
            <v>119151.63437500001</v>
          </cell>
          <cell r="AZ25">
            <v>-286848.36562499998</v>
          </cell>
          <cell r="BA25">
            <v>58000</v>
          </cell>
          <cell r="BB25">
            <v>7.7333333333333337E-2</v>
          </cell>
          <cell r="BC25">
            <v>0</v>
          </cell>
          <cell r="BD25" t="e">
            <v>#DIV/0!</v>
          </cell>
          <cell r="BE25">
            <v>464000</v>
          </cell>
          <cell r="BF25">
            <v>119151.63437500001</v>
          </cell>
          <cell r="BG25">
            <v>-344848.36562499998</v>
          </cell>
          <cell r="BH25">
            <v>58000</v>
          </cell>
          <cell r="BI25">
            <v>7.7333333333333337E-2</v>
          </cell>
          <cell r="BJ25">
            <v>0</v>
          </cell>
          <cell r="BK25" t="e">
            <v>#DIV/0!</v>
          </cell>
          <cell r="BL25">
            <v>522000</v>
          </cell>
          <cell r="BM25">
            <v>119151.63437500001</v>
          </cell>
          <cell r="BN25">
            <v>-402848.36562499998</v>
          </cell>
          <cell r="BO25">
            <v>58000</v>
          </cell>
          <cell r="BP25">
            <v>7.7333333333333337E-2</v>
          </cell>
          <cell r="BQ25">
            <v>0</v>
          </cell>
          <cell r="BR25" t="e">
            <v>#DIV/0!</v>
          </cell>
          <cell r="BS25">
            <v>580000</v>
          </cell>
          <cell r="BT25">
            <v>119151.63437500001</v>
          </cell>
          <cell r="BU25">
            <v>-460848.36562499998</v>
          </cell>
          <cell r="BV25">
            <v>58000</v>
          </cell>
          <cell r="BW25">
            <v>7.7333333333333337E-2</v>
          </cell>
          <cell r="BX25">
            <v>0</v>
          </cell>
          <cell r="BY25" t="e">
            <v>#DIV/0!</v>
          </cell>
          <cell r="BZ25">
            <v>638000</v>
          </cell>
          <cell r="CA25">
            <v>119151.63437500001</v>
          </cell>
          <cell r="CB25">
            <v>-518848.36562499998</v>
          </cell>
          <cell r="CC25">
            <v>58000</v>
          </cell>
          <cell r="CD25">
            <v>7.7333333333333337E-2</v>
          </cell>
          <cell r="CE25">
            <v>0</v>
          </cell>
          <cell r="CF25" t="e">
            <v>#DIV/0!</v>
          </cell>
          <cell r="CG25">
            <v>696000</v>
          </cell>
          <cell r="CH25">
            <v>119151.63437500001</v>
          </cell>
        </row>
        <row r="26">
          <cell r="A26" t="str">
            <v>Custas/Guias/Despesas</v>
          </cell>
          <cell r="B26">
            <v>5.557404599341341E-5</v>
          </cell>
          <cell r="C26">
            <v>44.178333333333335</v>
          </cell>
          <cell r="D26">
            <v>100</v>
          </cell>
          <cell r="E26" t="e">
            <v>#DIV/0!</v>
          </cell>
          <cell r="F26">
            <v>0</v>
          </cell>
          <cell r="G26">
            <v>0</v>
          </cell>
          <cell r="H26">
            <v>100</v>
          </cell>
          <cell r="I26">
            <v>0</v>
          </cell>
          <cell r="J26">
            <v>-100</v>
          </cell>
          <cell r="K26">
            <v>100</v>
          </cell>
          <cell r="L26" t="e">
            <v>#DIV/0!</v>
          </cell>
          <cell r="M26">
            <v>0</v>
          </cell>
          <cell r="N26">
            <v>0</v>
          </cell>
          <cell r="O26">
            <v>200</v>
          </cell>
          <cell r="P26">
            <v>0</v>
          </cell>
          <cell r="Q26">
            <v>-200</v>
          </cell>
          <cell r="R26">
            <v>100</v>
          </cell>
          <cell r="S26">
            <v>1.3333333333333334E-4</v>
          </cell>
          <cell r="T26">
            <v>0</v>
          </cell>
          <cell r="U26">
            <v>0</v>
          </cell>
          <cell r="V26">
            <v>300</v>
          </cell>
          <cell r="W26">
            <v>0</v>
          </cell>
          <cell r="X26">
            <v>-300</v>
          </cell>
          <cell r="Y26">
            <v>100</v>
          </cell>
          <cell r="Z26">
            <v>1.3333333333333334E-4</v>
          </cell>
          <cell r="AA26">
            <v>0</v>
          </cell>
          <cell r="AB26" t="e">
            <v>#DIV/0!</v>
          </cell>
          <cell r="AC26">
            <v>400</v>
          </cell>
          <cell r="AD26">
            <v>0</v>
          </cell>
          <cell r="AE26">
            <v>-400</v>
          </cell>
          <cell r="AF26">
            <v>100</v>
          </cell>
          <cell r="AG26">
            <v>1.3333333333333334E-4</v>
          </cell>
          <cell r="AH26">
            <v>0</v>
          </cell>
          <cell r="AI26">
            <v>0</v>
          </cell>
          <cell r="AJ26">
            <v>500</v>
          </cell>
          <cell r="AK26">
            <v>0</v>
          </cell>
          <cell r="AL26">
            <v>-500</v>
          </cell>
          <cell r="AM26">
            <v>100</v>
          </cell>
          <cell r="AN26">
            <v>1.3333333333333334E-4</v>
          </cell>
          <cell r="AO26">
            <v>0</v>
          </cell>
          <cell r="AP26" t="e">
            <v>#DIV/0!</v>
          </cell>
          <cell r="AQ26">
            <v>600</v>
          </cell>
          <cell r="AR26">
            <v>0</v>
          </cell>
          <cell r="AS26">
            <v>-600</v>
          </cell>
          <cell r="AT26">
            <v>100</v>
          </cell>
          <cell r="AU26">
            <v>1.3333333333333334E-4</v>
          </cell>
          <cell r="AV26">
            <v>0</v>
          </cell>
          <cell r="AW26" t="e">
            <v>#DIV/0!</v>
          </cell>
          <cell r="AX26">
            <v>700</v>
          </cell>
          <cell r="AY26">
            <v>0</v>
          </cell>
          <cell r="AZ26">
            <v>-700</v>
          </cell>
          <cell r="BA26">
            <v>100</v>
          </cell>
          <cell r="BB26">
            <v>1.3333333333333334E-4</v>
          </cell>
          <cell r="BC26">
            <v>0</v>
          </cell>
          <cell r="BD26" t="e">
            <v>#DIV/0!</v>
          </cell>
          <cell r="BE26">
            <v>800</v>
          </cell>
          <cell r="BF26">
            <v>0</v>
          </cell>
          <cell r="BG26">
            <v>-800</v>
          </cell>
          <cell r="BH26">
            <v>100</v>
          </cell>
          <cell r="BI26">
            <v>1.3333333333333334E-4</v>
          </cell>
          <cell r="BJ26">
            <v>0</v>
          </cell>
          <cell r="BK26" t="e">
            <v>#DIV/0!</v>
          </cell>
          <cell r="BL26">
            <v>900</v>
          </cell>
          <cell r="BM26">
            <v>0</v>
          </cell>
          <cell r="BN26">
            <v>-900</v>
          </cell>
          <cell r="BO26">
            <v>100</v>
          </cell>
          <cell r="BP26">
            <v>1.3333333333333334E-4</v>
          </cell>
          <cell r="BQ26">
            <v>0</v>
          </cell>
          <cell r="BR26" t="e">
            <v>#DIV/0!</v>
          </cell>
          <cell r="BS26">
            <v>1000</v>
          </cell>
          <cell r="BT26">
            <v>0</v>
          </cell>
          <cell r="BU26">
            <v>-1000</v>
          </cell>
          <cell r="BV26">
            <v>100</v>
          </cell>
          <cell r="BW26">
            <v>1.3333333333333334E-4</v>
          </cell>
          <cell r="BX26">
            <v>0</v>
          </cell>
          <cell r="BY26" t="e">
            <v>#DIV/0!</v>
          </cell>
          <cell r="BZ26">
            <v>1100</v>
          </cell>
          <cell r="CA26">
            <v>0</v>
          </cell>
          <cell r="CB26">
            <v>-1100</v>
          </cell>
          <cell r="CC26">
            <v>100</v>
          </cell>
          <cell r="CD26">
            <v>1.3333333333333334E-4</v>
          </cell>
          <cell r="CE26">
            <v>0</v>
          </cell>
          <cell r="CF26" t="e">
            <v>#DIV/0!</v>
          </cell>
          <cell r="CG26">
            <v>1200</v>
          </cell>
          <cell r="CH26">
            <v>0</v>
          </cell>
        </row>
        <row r="27">
          <cell r="A27" t="str">
            <v>Deslocamento</v>
          </cell>
          <cell r="B27">
            <v>7.9589322308442264E-5</v>
          </cell>
          <cell r="C27">
            <v>63.269167250000002</v>
          </cell>
          <cell r="D27">
            <v>100</v>
          </cell>
          <cell r="E27" t="e">
            <v>#DIV/0!</v>
          </cell>
          <cell r="F27">
            <v>138.46968899999999</v>
          </cell>
          <cell r="G27">
            <v>1.2021138308077628E-2</v>
          </cell>
          <cell r="H27">
            <v>100</v>
          </cell>
          <cell r="I27">
            <v>138.46968899999999</v>
          </cell>
          <cell r="J27">
            <v>38.469688999999988</v>
          </cell>
          <cell r="K27">
            <v>100</v>
          </cell>
          <cell r="L27" t="e">
            <v>#DIV/0!</v>
          </cell>
          <cell r="M27">
            <v>61.799382999999999</v>
          </cell>
          <cell r="N27">
            <v>4.6584720209980083E-3</v>
          </cell>
          <cell r="O27">
            <v>200</v>
          </cell>
          <cell r="P27">
            <v>200.26907199999999</v>
          </cell>
          <cell r="Q27">
            <v>0.2690719999999942</v>
          </cell>
          <cell r="R27">
            <v>100</v>
          </cell>
          <cell r="S27">
            <v>1.3333333333333334E-4</v>
          </cell>
          <cell r="T27">
            <v>0</v>
          </cell>
          <cell r="U27">
            <v>0</v>
          </cell>
          <cell r="V27">
            <v>300</v>
          </cell>
          <cell r="W27">
            <v>200.26907199999999</v>
          </cell>
          <cell r="X27">
            <v>-99.730928000000006</v>
          </cell>
          <cell r="Y27">
            <v>100</v>
          </cell>
          <cell r="Z27">
            <v>1.3333333333333334E-4</v>
          </cell>
          <cell r="AA27">
            <v>0</v>
          </cell>
          <cell r="AB27" t="e">
            <v>#DIV/0!</v>
          </cell>
          <cell r="AC27">
            <v>400</v>
          </cell>
          <cell r="AD27">
            <v>200.26907199999999</v>
          </cell>
          <cell r="AE27">
            <v>-199.73092800000001</v>
          </cell>
          <cell r="AF27">
            <v>100</v>
          </cell>
          <cell r="AG27">
            <v>1.3333333333333334E-4</v>
          </cell>
          <cell r="AH27">
            <v>0</v>
          </cell>
          <cell r="AI27">
            <v>0</v>
          </cell>
          <cell r="AJ27">
            <v>500</v>
          </cell>
          <cell r="AK27">
            <v>200.26907199999999</v>
          </cell>
          <cell r="AL27">
            <v>-299.73092800000001</v>
          </cell>
          <cell r="AM27">
            <v>100</v>
          </cell>
          <cell r="AN27">
            <v>1.3333333333333334E-4</v>
          </cell>
          <cell r="AO27">
            <v>0</v>
          </cell>
          <cell r="AP27" t="e">
            <v>#DIV/0!</v>
          </cell>
          <cell r="AQ27">
            <v>600</v>
          </cell>
          <cell r="AR27">
            <v>200.26907199999999</v>
          </cell>
          <cell r="AS27">
            <v>-399.73092800000001</v>
          </cell>
          <cell r="AT27">
            <v>100</v>
          </cell>
          <cell r="AU27">
            <v>1.3333333333333334E-4</v>
          </cell>
          <cell r="AV27">
            <v>0</v>
          </cell>
          <cell r="AW27" t="e">
            <v>#DIV/0!</v>
          </cell>
          <cell r="AX27">
            <v>700</v>
          </cell>
          <cell r="AY27">
            <v>200.26907199999999</v>
          </cell>
          <cell r="AZ27">
            <v>-499.73092800000001</v>
          </cell>
          <cell r="BA27">
            <v>100</v>
          </cell>
          <cell r="BB27">
            <v>1.3333333333333334E-4</v>
          </cell>
          <cell r="BC27">
            <v>0</v>
          </cell>
          <cell r="BD27" t="e">
            <v>#DIV/0!</v>
          </cell>
          <cell r="BE27">
            <v>800</v>
          </cell>
          <cell r="BF27">
            <v>200.26907199999999</v>
          </cell>
          <cell r="BG27">
            <v>-599.73092799999995</v>
          </cell>
          <cell r="BH27">
            <v>100</v>
          </cell>
          <cell r="BI27">
            <v>1.3333333333333334E-4</v>
          </cell>
          <cell r="BJ27">
            <v>0</v>
          </cell>
          <cell r="BK27" t="e">
            <v>#DIV/0!</v>
          </cell>
          <cell r="BL27">
            <v>900</v>
          </cell>
          <cell r="BM27">
            <v>200.26907199999999</v>
          </cell>
          <cell r="BN27">
            <v>-699.73092799999995</v>
          </cell>
          <cell r="BO27">
            <v>100</v>
          </cell>
          <cell r="BP27">
            <v>1.3333333333333334E-4</v>
          </cell>
          <cell r="BQ27">
            <v>0</v>
          </cell>
          <cell r="BR27" t="e">
            <v>#DIV/0!</v>
          </cell>
          <cell r="BS27">
            <v>1000</v>
          </cell>
          <cell r="BT27">
            <v>200.26907199999999</v>
          </cell>
          <cell r="BU27">
            <v>-799.73092799999995</v>
          </cell>
          <cell r="BV27">
            <v>100</v>
          </cell>
          <cell r="BW27">
            <v>1.3333333333333334E-4</v>
          </cell>
          <cell r="BX27">
            <v>0</v>
          </cell>
          <cell r="BY27" t="e">
            <v>#DIV/0!</v>
          </cell>
          <cell r="BZ27">
            <v>1100</v>
          </cell>
          <cell r="CA27">
            <v>200.26907199999999</v>
          </cell>
          <cell r="CB27">
            <v>-899.73092799999995</v>
          </cell>
          <cell r="CC27">
            <v>100</v>
          </cell>
          <cell r="CD27">
            <v>1.3333333333333334E-4</v>
          </cell>
          <cell r="CE27">
            <v>0</v>
          </cell>
          <cell r="CF27" t="e">
            <v>#DIV/0!</v>
          </cell>
          <cell r="CG27">
            <v>1200</v>
          </cell>
          <cell r="CH27">
            <v>200.26907199999999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 t="e">
            <v>#DIV/0!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 t="e">
            <v>#DIV/0!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 t="e">
            <v>#DIV/0!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e">
            <v>#DIV/0!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6.1260143751864426E-3</v>
          </cell>
          <cell r="C30">
            <v>4869.8470704086239</v>
          </cell>
          <cell r="D30">
            <v>11386.446044704431</v>
          </cell>
          <cell r="E30" t="e">
            <v>#DIV/0!</v>
          </cell>
          <cell r="F30">
            <v>11856.979848571824</v>
          </cell>
          <cell r="G30">
            <v>1.0293544797068999</v>
          </cell>
          <cell r="H30">
            <v>11386.446044704431</v>
          </cell>
          <cell r="I30">
            <v>11856.979848571824</v>
          </cell>
          <cell r="J30">
            <v>470.53380386739263</v>
          </cell>
          <cell r="K30">
            <v>11386.446044704431</v>
          </cell>
          <cell r="L30" t="e">
            <v>#DIV/0!</v>
          </cell>
          <cell r="M30">
            <v>11386.446044704431</v>
          </cell>
          <cell r="N30">
            <v>0.85831666503626791</v>
          </cell>
          <cell r="O30">
            <v>22772.892089408862</v>
          </cell>
          <cell r="P30">
            <v>23243.425893276253</v>
          </cell>
          <cell r="Q30">
            <v>470.53380386739082</v>
          </cell>
          <cell r="R30">
            <v>11386.446044704431</v>
          </cell>
          <cell r="S30">
            <v>1.5181928059605908E-2</v>
          </cell>
          <cell r="T30">
            <v>11869.41686616924</v>
          </cell>
          <cell r="U30">
            <v>1.6448201371031507E-2</v>
          </cell>
          <cell r="V30">
            <v>34159.338134113292</v>
          </cell>
          <cell r="W30">
            <v>35112.842759445492</v>
          </cell>
          <cell r="X30">
            <v>953.50462533219979</v>
          </cell>
          <cell r="Y30">
            <v>11386.446044704431</v>
          </cell>
          <cell r="Z30">
            <v>1.5181928059605908E-2</v>
          </cell>
          <cell r="AA30">
            <v>0</v>
          </cell>
          <cell r="AB30" t="e">
            <v>#DIV/0!</v>
          </cell>
          <cell r="AC30">
            <v>45545.784178817725</v>
          </cell>
          <cell r="AD30">
            <v>35112.842759445492</v>
          </cell>
          <cell r="AE30">
            <v>-10432.941419372233</v>
          </cell>
          <cell r="AF30">
            <v>11386.446044704431</v>
          </cell>
          <cell r="AG30">
            <v>1.5181928059605908E-2</v>
          </cell>
          <cell r="AH30">
            <v>0</v>
          </cell>
          <cell r="AI30">
            <v>0</v>
          </cell>
          <cell r="AJ30">
            <v>56932.230223522158</v>
          </cell>
          <cell r="AK30">
            <v>35112.842759445492</v>
          </cell>
          <cell r="AL30">
            <v>-21819.387464076666</v>
          </cell>
          <cell r="AM30">
            <v>11386.446044704431</v>
          </cell>
          <cell r="AN30">
            <v>1.5181928059605908E-2</v>
          </cell>
          <cell r="AO30">
            <v>0</v>
          </cell>
          <cell r="AP30" t="e">
            <v>#DIV/0!</v>
          </cell>
          <cell r="AQ30">
            <v>68318.676268226583</v>
          </cell>
          <cell r="AR30">
            <v>35112.842759445492</v>
          </cell>
          <cell r="AS30">
            <v>-33205.833508781092</v>
          </cell>
          <cell r="AT30">
            <v>11386.446044704431</v>
          </cell>
          <cell r="AU30">
            <v>1.5181928059605908E-2</v>
          </cell>
          <cell r="AV30">
            <v>0</v>
          </cell>
          <cell r="AW30" t="e">
            <v>#DIV/0!</v>
          </cell>
          <cell r="AX30">
            <v>79705.122312931009</v>
          </cell>
          <cell r="AY30">
            <v>35112.842759445492</v>
          </cell>
          <cell r="AZ30">
            <v>-44592.279553485518</v>
          </cell>
          <cell r="BA30">
            <v>11386.446044704431</v>
          </cell>
          <cell r="BB30">
            <v>1.5181928059605908E-2</v>
          </cell>
          <cell r="BC30">
            <v>0</v>
          </cell>
          <cell r="BD30" t="e">
            <v>#DIV/0!</v>
          </cell>
          <cell r="BE30">
            <v>91091.568357635435</v>
          </cell>
          <cell r="BF30">
            <v>35112.842759445492</v>
          </cell>
          <cell r="BG30">
            <v>-55978.725598189943</v>
          </cell>
          <cell r="BH30">
            <v>11386.446044704431</v>
          </cell>
          <cell r="BI30">
            <v>1.5181928059605908E-2</v>
          </cell>
          <cell r="BJ30">
            <v>0</v>
          </cell>
          <cell r="BK30" t="e">
            <v>#DIV/0!</v>
          </cell>
          <cell r="BL30">
            <v>102478.01440233986</v>
          </cell>
          <cell r="BM30">
            <v>35112.842759445492</v>
          </cell>
          <cell r="BN30">
            <v>-67365.171642894362</v>
          </cell>
          <cell r="BO30">
            <v>11386.446044704431</v>
          </cell>
          <cell r="BP30">
            <v>1.5181928059605908E-2</v>
          </cell>
          <cell r="BQ30">
            <v>0</v>
          </cell>
          <cell r="BR30" t="e">
            <v>#DIV/0!</v>
          </cell>
          <cell r="BS30">
            <v>113864.46044704429</v>
          </cell>
          <cell r="BT30">
            <v>35112.842759445492</v>
          </cell>
          <cell r="BU30">
            <v>-78751.617687598802</v>
          </cell>
          <cell r="BV30">
            <v>11386.446044704431</v>
          </cell>
          <cell r="BW30">
            <v>1.5181928059605908E-2</v>
          </cell>
          <cell r="BX30">
            <v>0</v>
          </cell>
          <cell r="BY30" t="e">
            <v>#DIV/0!</v>
          </cell>
          <cell r="BZ30">
            <v>125250.90649174871</v>
          </cell>
          <cell r="CA30">
            <v>35112.842759445492</v>
          </cell>
          <cell r="CB30">
            <v>-90138.063732303213</v>
          </cell>
          <cell r="CC30">
            <v>11386.446044704431</v>
          </cell>
          <cell r="CD30">
            <v>1.5181928059605908E-2</v>
          </cell>
          <cell r="CE30">
            <v>0</v>
          </cell>
          <cell r="CF30" t="e">
            <v>#DIV/0!</v>
          </cell>
          <cell r="CG30">
            <v>136637.35253645314</v>
          </cell>
          <cell r="CH30">
            <v>35112.842759445492</v>
          </cell>
        </row>
        <row r="31">
          <cell r="A31" t="str">
            <v>Encargos Rescisórios</v>
          </cell>
          <cell r="B31">
            <v>5.6313195271527779E-4</v>
          </cell>
          <cell r="C31">
            <v>447.65916666666664</v>
          </cell>
          <cell r="D31">
            <v>850</v>
          </cell>
          <cell r="E31" t="e">
            <v>#DIV/0!</v>
          </cell>
          <cell r="F31">
            <v>0</v>
          </cell>
          <cell r="G31">
            <v>0</v>
          </cell>
          <cell r="H31">
            <v>850</v>
          </cell>
          <cell r="I31">
            <v>0</v>
          </cell>
          <cell r="J31">
            <v>-850</v>
          </cell>
          <cell r="K31">
            <v>850</v>
          </cell>
          <cell r="L31" t="e">
            <v>#DIV/0!</v>
          </cell>
          <cell r="M31">
            <v>0</v>
          </cell>
          <cell r="N31">
            <v>0</v>
          </cell>
          <cell r="O31">
            <v>1700</v>
          </cell>
          <cell r="P31">
            <v>0</v>
          </cell>
          <cell r="Q31">
            <v>-1700</v>
          </cell>
          <cell r="R31">
            <v>850</v>
          </cell>
          <cell r="S31">
            <v>1.1333333333333334E-3</v>
          </cell>
          <cell r="T31">
            <v>706.84</v>
          </cell>
          <cell r="U31">
            <v>9.7951287651186774E-4</v>
          </cell>
          <cell r="V31">
            <v>2550</v>
          </cell>
          <cell r="W31">
            <v>706.84</v>
          </cell>
          <cell r="X31">
            <v>-1843.1599999999999</v>
          </cell>
          <cell r="Y31">
            <v>850</v>
          </cell>
          <cell r="Z31">
            <v>1.1333333333333334E-3</v>
          </cell>
          <cell r="AA31">
            <v>0</v>
          </cell>
          <cell r="AB31" t="e">
            <v>#DIV/0!</v>
          </cell>
          <cell r="AC31">
            <v>3400</v>
          </cell>
          <cell r="AD31">
            <v>706.84</v>
          </cell>
          <cell r="AE31">
            <v>-2693.16</v>
          </cell>
          <cell r="AF31">
            <v>850</v>
          </cell>
          <cell r="AG31">
            <v>1.1333333333333334E-3</v>
          </cell>
          <cell r="AH31">
            <v>0</v>
          </cell>
          <cell r="AI31">
            <v>0</v>
          </cell>
          <cell r="AJ31">
            <v>4250</v>
          </cell>
          <cell r="AK31">
            <v>706.84</v>
          </cell>
          <cell r="AL31">
            <v>-3543.16</v>
          </cell>
          <cell r="AM31">
            <v>850</v>
          </cell>
          <cell r="AN31">
            <v>1.1333333333333334E-3</v>
          </cell>
          <cell r="AO31">
            <v>0</v>
          </cell>
          <cell r="AP31" t="e">
            <v>#DIV/0!</v>
          </cell>
          <cell r="AQ31">
            <v>5100</v>
          </cell>
          <cell r="AR31">
            <v>706.84</v>
          </cell>
          <cell r="AS31">
            <v>-4393.16</v>
          </cell>
          <cell r="AT31">
            <v>850</v>
          </cell>
          <cell r="AU31">
            <v>1.1333333333333334E-3</v>
          </cell>
          <cell r="AV31">
            <v>0</v>
          </cell>
          <cell r="AW31" t="e">
            <v>#DIV/0!</v>
          </cell>
          <cell r="AX31">
            <v>5950</v>
          </cell>
          <cell r="AY31">
            <v>706.84</v>
          </cell>
          <cell r="AZ31">
            <v>-5243.16</v>
          </cell>
          <cell r="BA31">
            <v>850</v>
          </cell>
          <cell r="BB31">
            <v>1.1333333333333334E-3</v>
          </cell>
          <cell r="BC31">
            <v>0</v>
          </cell>
          <cell r="BD31" t="e">
            <v>#DIV/0!</v>
          </cell>
          <cell r="BE31">
            <v>6800</v>
          </cell>
          <cell r="BF31">
            <v>706.84</v>
          </cell>
          <cell r="BG31">
            <v>-6093.16</v>
          </cell>
          <cell r="BH31">
            <v>850</v>
          </cell>
          <cell r="BI31">
            <v>1.1333333333333334E-3</v>
          </cell>
          <cell r="BJ31">
            <v>0</v>
          </cell>
          <cell r="BK31" t="e">
            <v>#DIV/0!</v>
          </cell>
          <cell r="BL31">
            <v>7650</v>
          </cell>
          <cell r="BM31">
            <v>706.84</v>
          </cell>
          <cell r="BN31">
            <v>-6943.16</v>
          </cell>
          <cell r="BO31">
            <v>850</v>
          </cell>
          <cell r="BP31">
            <v>1.1333333333333334E-3</v>
          </cell>
          <cell r="BQ31">
            <v>0</v>
          </cell>
          <cell r="BR31" t="e">
            <v>#DIV/0!</v>
          </cell>
          <cell r="BS31">
            <v>8500</v>
          </cell>
          <cell r="BT31">
            <v>706.84</v>
          </cell>
          <cell r="BU31">
            <v>-7793.16</v>
          </cell>
          <cell r="BV31">
            <v>850</v>
          </cell>
          <cell r="BW31">
            <v>1.1333333333333334E-3</v>
          </cell>
          <cell r="BX31">
            <v>0</v>
          </cell>
          <cell r="BY31" t="e">
            <v>#DIV/0!</v>
          </cell>
          <cell r="BZ31">
            <v>9350</v>
          </cell>
          <cell r="CA31">
            <v>706.84</v>
          </cell>
          <cell r="CB31">
            <v>-8643.16</v>
          </cell>
          <cell r="CC31">
            <v>850</v>
          </cell>
          <cell r="CD31">
            <v>1.1333333333333334E-3</v>
          </cell>
          <cell r="CE31">
            <v>0</v>
          </cell>
          <cell r="CF31" t="e">
            <v>#DIV/0!</v>
          </cell>
          <cell r="CG31">
            <v>10200</v>
          </cell>
          <cell r="CH31">
            <v>706.84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 t="e">
            <v>#DIV/0!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 t="e">
            <v>#DIV/0!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1.9393364976763647E-5</v>
          </cell>
          <cell r="C33">
            <v>15.416666666666666</v>
          </cell>
          <cell r="D33">
            <v>30</v>
          </cell>
          <cell r="E33" t="e">
            <v>#DIV/0!</v>
          </cell>
          <cell r="F33">
            <v>0</v>
          </cell>
          <cell r="G33">
            <v>0</v>
          </cell>
          <cell r="H33">
            <v>30</v>
          </cell>
          <cell r="I33">
            <v>0</v>
          </cell>
          <cell r="J33">
            <v>-30</v>
          </cell>
          <cell r="K33">
            <v>30</v>
          </cell>
          <cell r="L33" t="e">
            <v>#DIV/0!</v>
          </cell>
          <cell r="M33">
            <v>0</v>
          </cell>
          <cell r="N33">
            <v>0</v>
          </cell>
          <cell r="O33">
            <v>60</v>
          </cell>
          <cell r="P33">
            <v>0</v>
          </cell>
          <cell r="Q33">
            <v>-60</v>
          </cell>
          <cell r="R33">
            <v>30</v>
          </cell>
          <cell r="S33">
            <v>4.0000000000000003E-5</v>
          </cell>
          <cell r="T33">
            <v>0</v>
          </cell>
          <cell r="U33">
            <v>0</v>
          </cell>
          <cell r="V33">
            <v>90</v>
          </cell>
          <cell r="W33">
            <v>0</v>
          </cell>
          <cell r="X33">
            <v>-90</v>
          </cell>
          <cell r="Y33">
            <v>30</v>
          </cell>
          <cell r="Z33">
            <v>4.0000000000000003E-5</v>
          </cell>
          <cell r="AA33">
            <v>0</v>
          </cell>
          <cell r="AB33" t="e">
            <v>#DIV/0!</v>
          </cell>
          <cell r="AC33">
            <v>120</v>
          </cell>
          <cell r="AD33">
            <v>0</v>
          </cell>
          <cell r="AE33">
            <v>-120</v>
          </cell>
          <cell r="AF33">
            <v>30</v>
          </cell>
          <cell r="AG33">
            <v>4.0000000000000003E-5</v>
          </cell>
          <cell r="AH33">
            <v>0</v>
          </cell>
          <cell r="AI33">
            <v>0</v>
          </cell>
          <cell r="AJ33">
            <v>150</v>
          </cell>
          <cell r="AK33">
            <v>0</v>
          </cell>
          <cell r="AL33">
            <v>-150</v>
          </cell>
          <cell r="AM33">
            <v>30</v>
          </cell>
          <cell r="AN33">
            <v>4.0000000000000003E-5</v>
          </cell>
          <cell r="AO33">
            <v>0</v>
          </cell>
          <cell r="AP33" t="e">
            <v>#DIV/0!</v>
          </cell>
          <cell r="AQ33">
            <v>180</v>
          </cell>
          <cell r="AR33">
            <v>0</v>
          </cell>
          <cell r="AS33">
            <v>-180</v>
          </cell>
          <cell r="AT33">
            <v>30</v>
          </cell>
          <cell r="AU33">
            <v>4.0000000000000003E-5</v>
          </cell>
          <cell r="AV33">
            <v>0</v>
          </cell>
          <cell r="AW33" t="e">
            <v>#DIV/0!</v>
          </cell>
          <cell r="AX33">
            <v>210</v>
          </cell>
          <cell r="AY33">
            <v>0</v>
          </cell>
          <cell r="AZ33">
            <v>-210</v>
          </cell>
          <cell r="BA33">
            <v>30</v>
          </cell>
          <cell r="BB33">
            <v>4.0000000000000003E-5</v>
          </cell>
          <cell r="BC33">
            <v>0</v>
          </cell>
          <cell r="BD33" t="e">
            <v>#DIV/0!</v>
          </cell>
          <cell r="BE33">
            <v>240</v>
          </cell>
          <cell r="BF33">
            <v>0</v>
          </cell>
          <cell r="BG33">
            <v>-240</v>
          </cell>
          <cell r="BH33">
            <v>30</v>
          </cell>
          <cell r="BI33">
            <v>4.0000000000000003E-5</v>
          </cell>
          <cell r="BJ33">
            <v>0</v>
          </cell>
          <cell r="BK33" t="e">
            <v>#DIV/0!</v>
          </cell>
          <cell r="BL33">
            <v>270</v>
          </cell>
          <cell r="BM33">
            <v>0</v>
          </cell>
          <cell r="BN33">
            <v>-270</v>
          </cell>
          <cell r="BO33">
            <v>30</v>
          </cell>
          <cell r="BP33">
            <v>4.0000000000000003E-5</v>
          </cell>
          <cell r="BQ33">
            <v>0</v>
          </cell>
          <cell r="BR33" t="e">
            <v>#DIV/0!</v>
          </cell>
          <cell r="BS33">
            <v>300</v>
          </cell>
          <cell r="BT33">
            <v>0</v>
          </cell>
          <cell r="BU33">
            <v>-300</v>
          </cell>
          <cell r="BV33">
            <v>30</v>
          </cell>
          <cell r="BW33">
            <v>4.0000000000000003E-5</v>
          </cell>
          <cell r="BX33">
            <v>0</v>
          </cell>
          <cell r="BY33" t="e">
            <v>#DIV/0!</v>
          </cell>
          <cell r="BZ33">
            <v>330</v>
          </cell>
          <cell r="CA33">
            <v>0</v>
          </cell>
          <cell r="CB33">
            <v>-330</v>
          </cell>
          <cell r="CC33">
            <v>30</v>
          </cell>
          <cell r="CD33">
            <v>4.0000000000000003E-5</v>
          </cell>
          <cell r="CE33">
            <v>0</v>
          </cell>
          <cell r="CF33" t="e">
            <v>#DIV/0!</v>
          </cell>
          <cell r="CG33">
            <v>360</v>
          </cell>
          <cell r="CH33">
            <v>0</v>
          </cell>
        </row>
        <row r="34">
          <cell r="A34" t="str">
            <v>Férias</v>
          </cell>
          <cell r="B34">
            <v>8.0234099339775817E-4</v>
          </cell>
          <cell r="C34">
            <v>637.81729797979801</v>
          </cell>
          <cell r="D34">
            <v>700.57662500000004</v>
          </cell>
          <cell r="E34" t="e">
            <v>#DIV/0!</v>
          </cell>
          <cell r="F34">
            <v>809.44</v>
          </cell>
          <cell r="G34">
            <v>7.0270903779457147E-2</v>
          </cell>
          <cell r="H34">
            <v>700.57662500000004</v>
          </cell>
          <cell r="I34">
            <v>809.44</v>
          </cell>
          <cell r="J34">
            <v>108.86337500000002</v>
          </cell>
          <cell r="K34">
            <v>700.57662500000004</v>
          </cell>
          <cell r="L34" t="e">
            <v>#DIV/0!</v>
          </cell>
          <cell r="M34">
            <v>3711.48</v>
          </cell>
          <cell r="N34">
            <v>0.27977343619261841</v>
          </cell>
          <cell r="O34">
            <v>1401.1532500000001</v>
          </cell>
          <cell r="P34">
            <v>4520.92</v>
          </cell>
          <cell r="Q34">
            <v>3119.7667499999998</v>
          </cell>
          <cell r="R34">
            <v>700.57662500000004</v>
          </cell>
          <cell r="S34">
            <v>9.3410216666666671E-4</v>
          </cell>
          <cell r="T34">
            <v>0</v>
          </cell>
          <cell r="U34">
            <v>0</v>
          </cell>
          <cell r="V34">
            <v>2101.729875</v>
          </cell>
          <cell r="W34">
            <v>4520.92</v>
          </cell>
          <cell r="X34">
            <v>2419.1901250000001</v>
          </cell>
          <cell r="Y34">
            <v>700.57662500000004</v>
          </cell>
          <cell r="Z34">
            <v>9.3410216666666671E-4</v>
          </cell>
          <cell r="AA34">
            <v>0</v>
          </cell>
          <cell r="AB34" t="e">
            <v>#DIV/0!</v>
          </cell>
          <cell r="AC34">
            <v>2802.3065000000001</v>
          </cell>
          <cell r="AD34">
            <v>4520.92</v>
          </cell>
          <cell r="AE34">
            <v>1718.6134999999999</v>
          </cell>
          <cell r="AF34">
            <v>700.57662500000004</v>
          </cell>
          <cell r="AG34">
            <v>9.3410216666666671E-4</v>
          </cell>
          <cell r="AH34">
            <v>0</v>
          </cell>
          <cell r="AI34">
            <v>0</v>
          </cell>
          <cell r="AJ34">
            <v>3502.8831250000003</v>
          </cell>
          <cell r="AK34">
            <v>4520.92</v>
          </cell>
          <cell r="AL34">
            <v>1018.0368749999998</v>
          </cell>
          <cell r="AM34">
            <v>700.57662500000004</v>
          </cell>
          <cell r="AN34">
            <v>9.3410216666666671E-4</v>
          </cell>
          <cell r="AO34">
            <v>0</v>
          </cell>
          <cell r="AP34" t="e">
            <v>#DIV/0!</v>
          </cell>
          <cell r="AQ34">
            <v>4203.45975</v>
          </cell>
          <cell r="AR34">
            <v>4520.92</v>
          </cell>
          <cell r="AS34">
            <v>317.46025000000009</v>
          </cell>
          <cell r="AT34">
            <v>700.57662500000004</v>
          </cell>
          <cell r="AU34">
            <v>9.3410216666666671E-4</v>
          </cell>
          <cell r="AV34">
            <v>0</v>
          </cell>
          <cell r="AW34" t="e">
            <v>#DIV/0!</v>
          </cell>
          <cell r="AX34">
            <v>4904.0363749999997</v>
          </cell>
          <cell r="AY34">
            <v>4520.92</v>
          </cell>
          <cell r="AZ34">
            <v>-383.11637499999961</v>
          </cell>
          <cell r="BA34">
            <v>700.57662500000004</v>
          </cell>
          <cell r="BB34">
            <v>9.3410216666666671E-4</v>
          </cell>
          <cell r="BC34">
            <v>0</v>
          </cell>
          <cell r="BD34" t="e">
            <v>#DIV/0!</v>
          </cell>
          <cell r="BE34">
            <v>5604.6129999999994</v>
          </cell>
          <cell r="BF34">
            <v>4520.92</v>
          </cell>
          <cell r="BG34">
            <v>-1083.6929999999993</v>
          </cell>
          <cell r="BH34">
            <v>700.57662500000004</v>
          </cell>
          <cell r="BI34">
            <v>9.3410216666666671E-4</v>
          </cell>
          <cell r="BJ34">
            <v>0</v>
          </cell>
          <cell r="BK34" t="e">
            <v>#DIV/0!</v>
          </cell>
          <cell r="BL34">
            <v>6305.1896249999991</v>
          </cell>
          <cell r="BM34">
            <v>4520.92</v>
          </cell>
          <cell r="BN34">
            <v>-1784.269624999999</v>
          </cell>
          <cell r="BO34">
            <v>700.57662500000004</v>
          </cell>
          <cell r="BP34">
            <v>9.3410216666666671E-4</v>
          </cell>
          <cell r="BQ34">
            <v>0</v>
          </cell>
          <cell r="BR34" t="e">
            <v>#DIV/0!</v>
          </cell>
          <cell r="BS34">
            <v>7005.7662499999988</v>
          </cell>
          <cell r="BT34">
            <v>4520.92</v>
          </cell>
          <cell r="BU34">
            <v>-2484.8462499999987</v>
          </cell>
          <cell r="BV34">
            <v>700.57662500000004</v>
          </cell>
          <cell r="BW34">
            <v>9.3410216666666671E-4</v>
          </cell>
          <cell r="BX34">
            <v>0</v>
          </cell>
          <cell r="BY34" t="e">
            <v>#DIV/0!</v>
          </cell>
          <cell r="BZ34">
            <v>7706.3428749999985</v>
          </cell>
          <cell r="CA34">
            <v>4520.92</v>
          </cell>
          <cell r="CB34">
            <v>-3185.4228749999984</v>
          </cell>
          <cell r="CC34">
            <v>700.57662500000004</v>
          </cell>
          <cell r="CD34">
            <v>9.3410216666666671E-4</v>
          </cell>
          <cell r="CE34">
            <v>0</v>
          </cell>
          <cell r="CF34" t="e">
            <v>#DIV/0!</v>
          </cell>
          <cell r="CG34">
            <v>8406.9194999999982</v>
          </cell>
          <cell r="CH34">
            <v>4520.92</v>
          </cell>
        </row>
        <row r="35">
          <cell r="A35" t="str">
            <v>Exames Médicos</v>
          </cell>
          <cell r="B35">
            <v>0</v>
          </cell>
          <cell r="C35">
            <v>0</v>
          </cell>
          <cell r="D35">
            <v>192</v>
          </cell>
          <cell r="E35" t="e">
            <v>#DIV/0!</v>
          </cell>
          <cell r="F35">
            <v>0</v>
          </cell>
          <cell r="G35">
            <v>0</v>
          </cell>
          <cell r="H35">
            <v>192</v>
          </cell>
          <cell r="I35">
            <v>0</v>
          </cell>
          <cell r="J35">
            <v>-192</v>
          </cell>
          <cell r="K35">
            <v>0</v>
          </cell>
          <cell r="L35" t="e">
            <v>#DIV/0!</v>
          </cell>
          <cell r="M35">
            <v>0</v>
          </cell>
          <cell r="N35">
            <v>0</v>
          </cell>
          <cell r="O35">
            <v>192</v>
          </cell>
          <cell r="P35">
            <v>0</v>
          </cell>
          <cell r="Q35">
            <v>-192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192</v>
          </cell>
          <cell r="W35">
            <v>0</v>
          </cell>
          <cell r="X35">
            <v>-192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192</v>
          </cell>
          <cell r="AD35">
            <v>0</v>
          </cell>
          <cell r="AE35">
            <v>-192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192</v>
          </cell>
          <cell r="AK35">
            <v>0</v>
          </cell>
          <cell r="AL35">
            <v>-192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192</v>
          </cell>
          <cell r="AR35">
            <v>0</v>
          </cell>
          <cell r="AS35">
            <v>-192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192</v>
          </cell>
          <cell r="AY35">
            <v>0</v>
          </cell>
          <cell r="AZ35">
            <v>-192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192</v>
          </cell>
          <cell r="BF35">
            <v>0</v>
          </cell>
          <cell r="BG35">
            <v>-192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192</v>
          </cell>
          <cell r="BM35">
            <v>0</v>
          </cell>
          <cell r="BN35">
            <v>-192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192</v>
          </cell>
          <cell r="BT35">
            <v>0</v>
          </cell>
          <cell r="BU35">
            <v>-192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192</v>
          </cell>
          <cell r="CA35">
            <v>0</v>
          </cell>
          <cell r="CB35">
            <v>-192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192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 t="e">
            <v>#DIV/0!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e">
            <v>#DIV/0!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 (RPA)</v>
          </cell>
          <cell r="B37">
            <v>3.2860012787628456E-4</v>
          </cell>
          <cell r="C37">
            <v>261.21916666666669</v>
          </cell>
          <cell r="D37">
            <v>0</v>
          </cell>
          <cell r="E37" t="e">
            <v>#DIV/0!</v>
          </cell>
          <cell r="F37">
            <v>380.8</v>
          </cell>
          <cell r="G37">
            <v>3.3058855701741059E-2</v>
          </cell>
          <cell r="H37">
            <v>0</v>
          </cell>
          <cell r="I37">
            <v>380.8</v>
          </cell>
          <cell r="J37">
            <v>380.8</v>
          </cell>
          <cell r="K37">
            <v>0</v>
          </cell>
          <cell r="L37" t="e">
            <v>#DIV/0!</v>
          </cell>
          <cell r="M37">
            <v>0</v>
          </cell>
          <cell r="N37">
            <v>0</v>
          </cell>
          <cell r="O37">
            <v>0</v>
          </cell>
          <cell r="P37">
            <v>380.8</v>
          </cell>
          <cell r="Q37">
            <v>380.8</v>
          </cell>
          <cell r="R37">
            <v>0</v>
          </cell>
          <cell r="S37">
            <v>0</v>
          </cell>
          <cell r="T37">
            <v>234.51999999999998</v>
          </cell>
          <cell r="U37">
            <v>3.2498919104686092E-4</v>
          </cell>
          <cell r="V37">
            <v>0</v>
          </cell>
          <cell r="W37">
            <v>615.31999999999994</v>
          </cell>
          <cell r="X37">
            <v>615.31999999999994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615.31999999999994</v>
          </cell>
          <cell r="AE37">
            <v>615.31999999999994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615.31999999999994</v>
          </cell>
          <cell r="AL37">
            <v>615.31999999999994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615.31999999999994</v>
          </cell>
          <cell r="AS37">
            <v>615.31999999999994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615.31999999999994</v>
          </cell>
          <cell r="AZ37">
            <v>615.31999999999994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615.31999999999994</v>
          </cell>
          <cell r="BG37">
            <v>615.31999999999994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615.31999999999994</v>
          </cell>
          <cell r="BN37">
            <v>615.31999999999994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615.31999999999994</v>
          </cell>
          <cell r="BU37">
            <v>615.31999999999994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615.31999999999994</v>
          </cell>
          <cell r="CB37">
            <v>615.31999999999994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615.31999999999994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 t="e">
            <v>#DIV/0!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 t="e">
            <v>#DIV/0!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1.4138702721338993E-2</v>
          </cell>
          <cell r="C39">
            <v>11239.496973069969</v>
          </cell>
          <cell r="D39">
            <v>11500</v>
          </cell>
          <cell r="E39" t="e">
            <v>#DIV/0!</v>
          </cell>
          <cell r="F39">
            <v>6048.7878854513401</v>
          </cell>
          <cell r="G39">
            <v>0.52512081374888464</v>
          </cell>
          <cell r="H39">
            <v>11500</v>
          </cell>
          <cell r="I39">
            <v>6048.7878854513401</v>
          </cell>
          <cell r="J39">
            <v>-5451.2121145486599</v>
          </cell>
          <cell r="K39">
            <v>11500</v>
          </cell>
          <cell r="L39" t="e">
            <v>#DIV/0!</v>
          </cell>
          <cell r="M39">
            <v>6777.7640986046508</v>
          </cell>
          <cell r="N39">
            <v>0.51091164483429474</v>
          </cell>
          <cell r="O39">
            <v>23000</v>
          </cell>
          <cell r="P39">
            <v>12826.55198405599</v>
          </cell>
          <cell r="Q39">
            <v>-10173.44801594401</v>
          </cell>
          <cell r="R39">
            <v>11500</v>
          </cell>
          <cell r="S39">
            <v>1.5333333333333332E-2</v>
          </cell>
          <cell r="T39">
            <v>8535.4057085195891</v>
          </cell>
          <cell r="U39">
            <v>1.1828051323846752E-2</v>
          </cell>
          <cell r="V39">
            <v>34500</v>
          </cell>
          <cell r="W39">
            <v>21361.957692575579</v>
          </cell>
          <cell r="X39">
            <v>-13138.042307424421</v>
          </cell>
          <cell r="Y39">
            <v>11500</v>
          </cell>
          <cell r="Z39">
            <v>1.5333333333333332E-2</v>
          </cell>
          <cell r="AA39">
            <v>0</v>
          </cell>
          <cell r="AB39" t="e">
            <v>#DIV/0!</v>
          </cell>
          <cell r="AC39">
            <v>46000</v>
          </cell>
          <cell r="AD39">
            <v>21361.957692575579</v>
          </cell>
          <cell r="AE39">
            <v>-24638.042307424421</v>
          </cell>
          <cell r="AF39">
            <v>11500</v>
          </cell>
          <cell r="AG39">
            <v>1.5333333333333332E-2</v>
          </cell>
          <cell r="AH39">
            <v>0</v>
          </cell>
          <cell r="AI39">
            <v>0</v>
          </cell>
          <cell r="AJ39">
            <v>57500</v>
          </cell>
          <cell r="AK39">
            <v>21361.957692575579</v>
          </cell>
          <cell r="AL39">
            <v>-36138.042307424417</v>
          </cell>
          <cell r="AM39">
            <v>11500</v>
          </cell>
          <cell r="AN39">
            <v>1.5333333333333332E-2</v>
          </cell>
          <cell r="AO39">
            <v>0</v>
          </cell>
          <cell r="AP39" t="e">
            <v>#DIV/0!</v>
          </cell>
          <cell r="AQ39">
            <v>69000</v>
          </cell>
          <cell r="AR39">
            <v>21361.957692575579</v>
          </cell>
          <cell r="AS39">
            <v>-47638.042307424417</v>
          </cell>
          <cell r="AT39">
            <v>11500</v>
          </cell>
          <cell r="AU39">
            <v>1.5333333333333332E-2</v>
          </cell>
          <cell r="AV39">
            <v>0</v>
          </cell>
          <cell r="AW39" t="e">
            <v>#DIV/0!</v>
          </cell>
          <cell r="AX39">
            <v>80500</v>
          </cell>
          <cell r="AY39">
            <v>21361.957692575579</v>
          </cell>
          <cell r="AZ39">
            <v>-59138.042307424417</v>
          </cell>
          <cell r="BA39">
            <v>11500</v>
          </cell>
          <cell r="BB39">
            <v>1.5333333333333332E-2</v>
          </cell>
          <cell r="BC39">
            <v>0</v>
          </cell>
          <cell r="BD39" t="e">
            <v>#DIV/0!</v>
          </cell>
          <cell r="BE39">
            <v>92000</v>
          </cell>
          <cell r="BF39">
            <v>21361.957692575579</v>
          </cell>
          <cell r="BG39">
            <v>-70638.042307424417</v>
          </cell>
          <cell r="BH39">
            <v>11500</v>
          </cell>
          <cell r="BI39">
            <v>1.5333333333333332E-2</v>
          </cell>
          <cell r="BJ39">
            <v>0</v>
          </cell>
          <cell r="BK39" t="e">
            <v>#DIV/0!</v>
          </cell>
          <cell r="BL39">
            <v>103500</v>
          </cell>
          <cell r="BM39">
            <v>21361.957692575579</v>
          </cell>
          <cell r="BN39">
            <v>-82138.042307424417</v>
          </cell>
          <cell r="BO39">
            <v>11500</v>
          </cell>
          <cell r="BP39">
            <v>1.5333333333333332E-2</v>
          </cell>
          <cell r="BQ39">
            <v>0</v>
          </cell>
          <cell r="BR39" t="e">
            <v>#DIV/0!</v>
          </cell>
          <cell r="BS39">
            <v>115000</v>
          </cell>
          <cell r="BT39">
            <v>21361.957692575579</v>
          </cell>
          <cell r="BU39">
            <v>-93638.042307424417</v>
          </cell>
          <cell r="BV39">
            <v>11500</v>
          </cell>
          <cell r="BW39">
            <v>1.5333333333333332E-2</v>
          </cell>
          <cell r="BX39">
            <v>0</v>
          </cell>
          <cell r="BY39" t="e">
            <v>#DIV/0!</v>
          </cell>
          <cell r="BZ39">
            <v>126500</v>
          </cell>
          <cell r="CA39">
            <v>21361.957692575579</v>
          </cell>
          <cell r="CB39">
            <v>-105138.04230742442</v>
          </cell>
          <cell r="CC39">
            <v>11500</v>
          </cell>
          <cell r="CD39">
            <v>1.5333333333333332E-2</v>
          </cell>
          <cell r="CE39">
            <v>0</v>
          </cell>
          <cell r="CF39" t="e">
            <v>#DIV/0!</v>
          </cell>
          <cell r="CG39">
            <v>138000</v>
          </cell>
          <cell r="CH39">
            <v>21361.957692575579</v>
          </cell>
        </row>
        <row r="40">
          <cell r="A40" t="str">
            <v>Pauta - Gestão de Pauta</v>
          </cell>
          <cell r="B40">
            <v>6.5024945382699852E-3</v>
          </cell>
          <cell r="C40">
            <v>5169.1282517727386</v>
          </cell>
          <cell r="D40">
            <v>5300</v>
          </cell>
          <cell r="E40" t="e">
            <v>#DIV/0!</v>
          </cell>
          <cell r="F40">
            <v>4959.3165749236441</v>
          </cell>
          <cell r="G40">
            <v>0.43053920963669495</v>
          </cell>
          <cell r="H40">
            <v>5300</v>
          </cell>
          <cell r="I40">
            <v>4959.3165749236441</v>
          </cell>
          <cell r="J40">
            <v>-340.68342507635589</v>
          </cell>
          <cell r="K40">
            <v>5300</v>
          </cell>
          <cell r="L40" t="e">
            <v>#DIV/0!</v>
          </cell>
          <cell r="M40">
            <v>4461.5959832796143</v>
          </cell>
          <cell r="N40">
            <v>0.33631759814018175</v>
          </cell>
          <cell r="O40">
            <v>10600</v>
          </cell>
          <cell r="P40">
            <v>9420.9125582032575</v>
          </cell>
          <cell r="Q40">
            <v>-1179.0874417967425</v>
          </cell>
          <cell r="R40">
            <v>5300</v>
          </cell>
          <cell r="S40">
            <v>7.0666666666666664E-3</v>
          </cell>
          <cell r="T40">
            <v>6075.0776612226209</v>
          </cell>
          <cell r="U40">
            <v>8.4186191995036484E-3</v>
          </cell>
          <cell r="V40">
            <v>15900</v>
          </cell>
          <cell r="W40">
            <v>15495.990219425879</v>
          </cell>
          <cell r="X40">
            <v>-404.00978057412067</v>
          </cell>
          <cell r="Y40">
            <v>5300</v>
          </cell>
          <cell r="Z40">
            <v>7.0666666666666664E-3</v>
          </cell>
          <cell r="AA40">
            <v>0</v>
          </cell>
          <cell r="AB40" t="e">
            <v>#DIV/0!</v>
          </cell>
          <cell r="AC40">
            <v>21200</v>
          </cell>
          <cell r="AD40">
            <v>15495.990219425879</v>
          </cell>
          <cell r="AE40">
            <v>-5704.0097805741207</v>
          </cell>
          <cell r="AF40">
            <v>5300</v>
          </cell>
          <cell r="AG40">
            <v>7.0666666666666664E-3</v>
          </cell>
          <cell r="AH40">
            <v>0</v>
          </cell>
          <cell r="AI40">
            <v>0</v>
          </cell>
          <cell r="AJ40">
            <v>26500</v>
          </cell>
          <cell r="AK40">
            <v>15495.990219425879</v>
          </cell>
          <cell r="AL40">
            <v>-11004.009780574121</v>
          </cell>
          <cell r="AM40">
            <v>5300</v>
          </cell>
          <cell r="AN40">
            <v>7.0666666666666664E-3</v>
          </cell>
          <cell r="AO40">
            <v>0</v>
          </cell>
          <cell r="AP40" t="e">
            <v>#DIV/0!</v>
          </cell>
          <cell r="AQ40">
            <v>31800</v>
          </cell>
          <cell r="AR40">
            <v>15495.990219425879</v>
          </cell>
          <cell r="AS40">
            <v>-16304.009780574121</v>
          </cell>
          <cell r="AT40">
            <v>5300</v>
          </cell>
          <cell r="AU40">
            <v>7.0666666666666664E-3</v>
          </cell>
          <cell r="AV40">
            <v>0</v>
          </cell>
          <cell r="AW40" t="e">
            <v>#DIV/0!</v>
          </cell>
          <cell r="AX40">
            <v>37100</v>
          </cell>
          <cell r="AY40">
            <v>15495.990219425879</v>
          </cell>
          <cell r="AZ40">
            <v>-21604.009780574121</v>
          </cell>
          <cell r="BA40">
            <v>5300</v>
          </cell>
          <cell r="BB40">
            <v>7.0666666666666664E-3</v>
          </cell>
          <cell r="BC40">
            <v>0</v>
          </cell>
          <cell r="BD40" t="e">
            <v>#DIV/0!</v>
          </cell>
          <cell r="BE40">
            <v>42400</v>
          </cell>
          <cell r="BF40">
            <v>15495.990219425879</v>
          </cell>
          <cell r="BG40">
            <v>-26904.009780574121</v>
          </cell>
          <cell r="BH40">
            <v>5300</v>
          </cell>
          <cell r="BI40">
            <v>7.0666666666666664E-3</v>
          </cell>
          <cell r="BJ40">
            <v>0</v>
          </cell>
          <cell r="BK40" t="e">
            <v>#DIV/0!</v>
          </cell>
          <cell r="BL40">
            <v>47700</v>
          </cell>
          <cell r="BM40">
            <v>15495.990219425879</v>
          </cell>
          <cell r="BN40">
            <v>-32204.009780574121</v>
          </cell>
          <cell r="BO40">
            <v>5300</v>
          </cell>
          <cell r="BP40">
            <v>7.0666666666666664E-3</v>
          </cell>
          <cell r="BQ40">
            <v>0</v>
          </cell>
          <cell r="BR40" t="e">
            <v>#DIV/0!</v>
          </cell>
          <cell r="BS40">
            <v>53000</v>
          </cell>
          <cell r="BT40">
            <v>15495.990219425879</v>
          </cell>
          <cell r="BU40">
            <v>-37504.009780574124</v>
          </cell>
          <cell r="BV40">
            <v>5300</v>
          </cell>
          <cell r="BW40">
            <v>7.0666666666666664E-3</v>
          </cell>
          <cell r="BX40">
            <v>0</v>
          </cell>
          <cell r="BY40" t="e">
            <v>#DIV/0!</v>
          </cell>
          <cell r="BZ40">
            <v>58300</v>
          </cell>
          <cell r="CA40">
            <v>15495.990219425879</v>
          </cell>
          <cell r="CB40">
            <v>-42804.009780574124</v>
          </cell>
          <cell r="CC40">
            <v>5300</v>
          </cell>
          <cell r="CD40">
            <v>7.0666666666666664E-3</v>
          </cell>
          <cell r="CE40">
            <v>0</v>
          </cell>
          <cell r="CF40" t="e">
            <v>#DIV/0!</v>
          </cell>
          <cell r="CG40">
            <v>63600</v>
          </cell>
          <cell r="CH40">
            <v>15495.990219425879</v>
          </cell>
        </row>
        <row r="41">
          <cell r="A41" t="str">
            <v>Seguro de Vida</v>
          </cell>
          <cell r="B41">
            <v>6.755165479369221E-4</v>
          </cell>
          <cell r="C41">
            <v>536.99878591666663</v>
          </cell>
          <cell r="D41">
            <v>538.28000000000009</v>
          </cell>
          <cell r="E41" t="e">
            <v>#DIV/0!</v>
          </cell>
          <cell r="F41">
            <v>523.769991</v>
          </cell>
          <cell r="G41">
            <v>4.5470684226289949E-2</v>
          </cell>
          <cell r="H41">
            <v>538.28000000000009</v>
          </cell>
          <cell r="I41">
            <v>523.769991</v>
          </cell>
          <cell r="J41">
            <v>-14.510009000000082</v>
          </cell>
          <cell r="K41">
            <v>538.28000000000009</v>
          </cell>
          <cell r="L41" t="e">
            <v>#DIV/0!</v>
          </cell>
          <cell r="M41">
            <v>498.81000299999999</v>
          </cell>
          <cell r="N41">
            <v>3.7600576736655004E-2</v>
          </cell>
          <cell r="O41">
            <v>1076.5600000000002</v>
          </cell>
          <cell r="P41">
            <v>1022.5799939999999</v>
          </cell>
          <cell r="Q41">
            <v>-53.98000600000023</v>
          </cell>
          <cell r="R41">
            <v>538.28000000000009</v>
          </cell>
          <cell r="S41">
            <v>7.1770666666666678E-4</v>
          </cell>
          <cell r="T41">
            <v>474.82002699999998</v>
          </cell>
          <cell r="U41">
            <v>6.5798813093799534E-4</v>
          </cell>
          <cell r="V41">
            <v>1614.8400000000001</v>
          </cell>
          <cell r="W41">
            <v>1497.4000209999999</v>
          </cell>
          <cell r="X41">
            <v>-117.43997900000022</v>
          </cell>
          <cell r="Y41">
            <v>538.28000000000009</v>
          </cell>
          <cell r="Z41">
            <v>7.1770666666666678E-4</v>
          </cell>
          <cell r="AA41">
            <v>0</v>
          </cell>
          <cell r="AB41" t="e">
            <v>#DIV/0!</v>
          </cell>
          <cell r="AC41">
            <v>2153.1200000000003</v>
          </cell>
          <cell r="AD41">
            <v>1497.4000209999999</v>
          </cell>
          <cell r="AE41">
            <v>-655.71997900000042</v>
          </cell>
          <cell r="AF41">
            <v>538.28000000000009</v>
          </cell>
          <cell r="AG41">
            <v>7.1770666666666678E-4</v>
          </cell>
          <cell r="AH41">
            <v>0</v>
          </cell>
          <cell r="AI41">
            <v>0</v>
          </cell>
          <cell r="AJ41">
            <v>2691.4000000000005</v>
          </cell>
          <cell r="AK41">
            <v>1497.4000209999999</v>
          </cell>
          <cell r="AL41">
            <v>-1193.9999790000006</v>
          </cell>
          <cell r="AM41">
            <v>538.28000000000009</v>
          </cell>
          <cell r="AN41">
            <v>7.1770666666666678E-4</v>
          </cell>
          <cell r="AO41">
            <v>0</v>
          </cell>
          <cell r="AP41" t="e">
            <v>#DIV/0!</v>
          </cell>
          <cell r="AQ41">
            <v>3229.6800000000007</v>
          </cell>
          <cell r="AR41">
            <v>1497.4000209999999</v>
          </cell>
          <cell r="AS41">
            <v>-1732.2799790000008</v>
          </cell>
          <cell r="AT41">
            <v>538.28000000000009</v>
          </cell>
          <cell r="AU41">
            <v>7.1770666666666678E-4</v>
          </cell>
          <cell r="AV41">
            <v>0</v>
          </cell>
          <cell r="AW41" t="e">
            <v>#DIV/0!</v>
          </cell>
          <cell r="AX41">
            <v>3767.9600000000009</v>
          </cell>
          <cell r="AY41">
            <v>1497.4000209999999</v>
          </cell>
          <cell r="AZ41">
            <v>-2270.559979000001</v>
          </cell>
          <cell r="BA41">
            <v>538.28000000000009</v>
          </cell>
          <cell r="BB41">
            <v>7.1770666666666678E-4</v>
          </cell>
          <cell r="BC41">
            <v>0</v>
          </cell>
          <cell r="BD41" t="e">
            <v>#DIV/0!</v>
          </cell>
          <cell r="BE41">
            <v>4306.2400000000007</v>
          </cell>
          <cell r="BF41">
            <v>1497.4000209999999</v>
          </cell>
          <cell r="BG41">
            <v>-2808.8399790000008</v>
          </cell>
          <cell r="BH41">
            <v>538.28000000000009</v>
          </cell>
          <cell r="BI41">
            <v>7.1770666666666678E-4</v>
          </cell>
          <cell r="BJ41">
            <v>0</v>
          </cell>
          <cell r="BK41" t="e">
            <v>#DIV/0!</v>
          </cell>
          <cell r="BL41">
            <v>4844.5200000000004</v>
          </cell>
          <cell r="BM41">
            <v>1497.4000209999999</v>
          </cell>
          <cell r="BN41">
            <v>-3347.1199790000005</v>
          </cell>
          <cell r="BO41">
            <v>538.28000000000009</v>
          </cell>
          <cell r="BP41">
            <v>7.1770666666666678E-4</v>
          </cell>
          <cell r="BQ41">
            <v>0</v>
          </cell>
          <cell r="BR41" t="e">
            <v>#DIV/0!</v>
          </cell>
          <cell r="BS41">
            <v>5382.8</v>
          </cell>
          <cell r="BT41">
            <v>1497.4000209999999</v>
          </cell>
          <cell r="BU41">
            <v>-3885.3999790000003</v>
          </cell>
          <cell r="BV41">
            <v>538.28000000000009</v>
          </cell>
          <cell r="BW41">
            <v>7.1770666666666678E-4</v>
          </cell>
          <cell r="BX41">
            <v>0</v>
          </cell>
          <cell r="BY41" t="e">
            <v>#DIV/0!</v>
          </cell>
          <cell r="BZ41">
            <v>5921.08</v>
          </cell>
          <cell r="CA41">
            <v>1497.4000209999999</v>
          </cell>
          <cell r="CB41">
            <v>-4423.6799790000005</v>
          </cell>
          <cell r="CC41">
            <v>538.28000000000009</v>
          </cell>
          <cell r="CD41">
            <v>7.1770666666666678E-4</v>
          </cell>
          <cell r="CE41">
            <v>0</v>
          </cell>
          <cell r="CF41" t="e">
            <v>#DIV/0!</v>
          </cell>
          <cell r="CG41">
            <v>6459.36</v>
          </cell>
          <cell r="CH41">
            <v>1497.4000209999999</v>
          </cell>
        </row>
        <row r="42">
          <cell r="A42" t="str">
            <v>Plano de Saúde</v>
          </cell>
          <cell r="B42">
            <v>2.0461927924456332E-2</v>
          </cell>
          <cell r="C42">
            <v>16266.115887916667</v>
          </cell>
          <cell r="D42">
            <v>16900</v>
          </cell>
          <cell r="E42" t="e">
            <v>#DIV/0!</v>
          </cell>
          <cell r="F42">
            <v>17594.34895</v>
          </cell>
          <cell r="G42">
            <v>1.5274397140339531</v>
          </cell>
          <cell r="H42">
            <v>16900</v>
          </cell>
          <cell r="I42">
            <v>17594.34895</v>
          </cell>
          <cell r="J42">
            <v>694.3489499999996</v>
          </cell>
          <cell r="K42">
            <v>16900</v>
          </cell>
          <cell r="L42" t="e">
            <v>#DIV/0!</v>
          </cell>
          <cell r="M42">
            <v>20071.929189999999</v>
          </cell>
          <cell r="N42">
            <v>1.5130332375497699</v>
          </cell>
          <cell r="O42">
            <v>33800</v>
          </cell>
          <cell r="P42">
            <v>37666.278139999995</v>
          </cell>
          <cell r="Q42">
            <v>3866.2781399999949</v>
          </cell>
          <cell r="R42">
            <v>16900</v>
          </cell>
          <cell r="S42">
            <v>2.2533333333333332E-2</v>
          </cell>
          <cell r="T42">
            <v>14723.330752</v>
          </cell>
          <cell r="U42">
            <v>2.0403050275489727E-2</v>
          </cell>
          <cell r="V42">
            <v>50700</v>
          </cell>
          <cell r="W42">
            <v>52389.608891999997</v>
          </cell>
          <cell r="X42">
            <v>1689.6088919999966</v>
          </cell>
          <cell r="Y42">
            <v>16900</v>
          </cell>
          <cell r="Z42">
            <v>2.2533333333333332E-2</v>
          </cell>
          <cell r="AA42">
            <v>0</v>
          </cell>
          <cell r="AB42" t="e">
            <v>#DIV/0!</v>
          </cell>
          <cell r="AC42">
            <v>67600</v>
          </cell>
          <cell r="AD42">
            <v>52389.608891999997</v>
          </cell>
          <cell r="AE42">
            <v>-15210.391108000003</v>
          </cell>
          <cell r="AF42">
            <v>16900</v>
          </cell>
          <cell r="AG42">
            <v>2.2533333333333332E-2</v>
          </cell>
          <cell r="AH42">
            <v>0</v>
          </cell>
          <cell r="AI42">
            <v>0</v>
          </cell>
          <cell r="AJ42">
            <v>84500</v>
          </cell>
          <cell r="AK42">
            <v>52389.608891999997</v>
          </cell>
          <cell r="AL42">
            <v>-32110.391108000003</v>
          </cell>
          <cell r="AM42">
            <v>16900</v>
          </cell>
          <cell r="AN42">
            <v>2.2533333333333332E-2</v>
          </cell>
          <cell r="AO42">
            <v>0</v>
          </cell>
          <cell r="AP42" t="e">
            <v>#DIV/0!</v>
          </cell>
          <cell r="AQ42">
            <v>101400</v>
          </cell>
          <cell r="AR42">
            <v>52389.608891999997</v>
          </cell>
          <cell r="AS42">
            <v>-49010.391108000003</v>
          </cell>
          <cell r="AT42">
            <v>16900</v>
          </cell>
          <cell r="AU42">
            <v>2.2533333333333332E-2</v>
          </cell>
          <cell r="AV42">
            <v>0</v>
          </cell>
          <cell r="AW42" t="e">
            <v>#DIV/0!</v>
          </cell>
          <cell r="AX42">
            <v>118300</v>
          </cell>
          <cell r="AY42">
            <v>52389.608891999997</v>
          </cell>
          <cell r="AZ42">
            <v>-65910.391108000011</v>
          </cell>
          <cell r="BA42">
            <v>16900</v>
          </cell>
          <cell r="BB42">
            <v>2.2533333333333332E-2</v>
          </cell>
          <cell r="BC42">
            <v>0</v>
          </cell>
          <cell r="BD42" t="e">
            <v>#DIV/0!</v>
          </cell>
          <cell r="BE42">
            <v>135200</v>
          </cell>
          <cell r="BF42">
            <v>52389.608891999997</v>
          </cell>
          <cell r="BG42">
            <v>-82810.391108000011</v>
          </cell>
          <cell r="BH42">
            <v>16900</v>
          </cell>
          <cell r="BI42">
            <v>2.2533333333333332E-2</v>
          </cell>
          <cell r="BJ42">
            <v>0</v>
          </cell>
          <cell r="BK42" t="e">
            <v>#DIV/0!</v>
          </cell>
          <cell r="BL42">
            <v>152100</v>
          </cell>
          <cell r="BM42">
            <v>52389.608891999997</v>
          </cell>
          <cell r="BN42">
            <v>-99710.391108000011</v>
          </cell>
          <cell r="BO42">
            <v>19435</v>
          </cell>
          <cell r="BP42">
            <v>2.5913333333333333E-2</v>
          </cell>
          <cell r="BQ42">
            <v>0</v>
          </cell>
          <cell r="BR42" t="e">
            <v>#DIV/0!</v>
          </cell>
          <cell r="BS42">
            <v>171535</v>
          </cell>
          <cell r="BT42">
            <v>52389.608891999997</v>
          </cell>
          <cell r="BU42">
            <v>-119145.39110800001</v>
          </cell>
          <cell r="BV42">
            <v>19435</v>
          </cell>
          <cell r="BW42">
            <v>2.5913333333333333E-2</v>
          </cell>
          <cell r="BX42">
            <v>0</v>
          </cell>
          <cell r="BY42" t="e">
            <v>#DIV/0!</v>
          </cell>
          <cell r="BZ42">
            <v>190970</v>
          </cell>
          <cell r="CA42">
            <v>52389.608891999997</v>
          </cell>
          <cell r="CB42">
            <v>-138580.39110800001</v>
          </cell>
          <cell r="CC42">
            <v>19435</v>
          </cell>
          <cell r="CD42">
            <v>2.5913333333333333E-2</v>
          </cell>
          <cell r="CE42">
            <v>0</v>
          </cell>
          <cell r="CF42" t="e">
            <v>#DIV/0!</v>
          </cell>
          <cell r="CG42">
            <v>210405</v>
          </cell>
          <cell r="CH42">
            <v>52389.608891999997</v>
          </cell>
        </row>
        <row r="43">
          <cell r="A43" t="str">
            <v>Plano Odontológico</v>
          </cell>
          <cell r="B43">
            <v>8.4686421899254438E-4</v>
          </cell>
          <cell r="C43">
            <v>673.21083225000007</v>
          </cell>
          <cell r="D43">
            <v>672</v>
          </cell>
          <cell r="E43" t="e">
            <v>#DIV/0!</v>
          </cell>
          <cell r="F43">
            <v>678.44546054545458</v>
          </cell>
          <cell r="G43">
            <v>5.8898714762797899E-2</v>
          </cell>
          <cell r="H43">
            <v>672</v>
          </cell>
          <cell r="I43">
            <v>678.44546054545458</v>
          </cell>
          <cell r="J43">
            <v>6.4454605454545799</v>
          </cell>
          <cell r="K43">
            <v>672</v>
          </cell>
          <cell r="L43" t="e">
            <v>#DIV/0!</v>
          </cell>
          <cell r="M43">
            <v>765.24997599999995</v>
          </cell>
          <cell r="N43">
            <v>5.7684970774957364E-2</v>
          </cell>
          <cell r="O43">
            <v>1344</v>
          </cell>
          <cell r="P43">
            <v>1443.6954365454544</v>
          </cell>
          <cell r="Q43">
            <v>99.695436545454413</v>
          </cell>
          <cell r="R43">
            <v>672</v>
          </cell>
          <cell r="S43">
            <v>8.9599999999999999E-4</v>
          </cell>
          <cell r="T43">
            <v>593.02999599999998</v>
          </cell>
          <cell r="U43">
            <v>8.2179915856457099E-4</v>
          </cell>
          <cell r="V43">
            <v>2016</v>
          </cell>
          <cell r="W43">
            <v>2036.7254325454544</v>
          </cell>
          <cell r="X43">
            <v>20.725432545454396</v>
          </cell>
          <cell r="Y43">
            <v>672</v>
          </cell>
          <cell r="Z43">
            <v>8.9599999999999999E-4</v>
          </cell>
          <cell r="AA43">
            <v>0</v>
          </cell>
          <cell r="AB43" t="e">
            <v>#DIV/0!</v>
          </cell>
          <cell r="AC43">
            <v>2688</v>
          </cell>
          <cell r="AD43">
            <v>2036.7254325454544</v>
          </cell>
          <cell r="AE43">
            <v>-651.2745674545456</v>
          </cell>
          <cell r="AF43">
            <v>672</v>
          </cell>
          <cell r="AG43">
            <v>8.9599999999999999E-4</v>
          </cell>
          <cell r="AH43">
            <v>0</v>
          </cell>
          <cell r="AI43">
            <v>0</v>
          </cell>
          <cell r="AJ43">
            <v>3360</v>
          </cell>
          <cell r="AK43">
            <v>2036.7254325454544</v>
          </cell>
          <cell r="AL43">
            <v>-1323.2745674545456</v>
          </cell>
          <cell r="AM43">
            <v>672</v>
          </cell>
          <cell r="AN43">
            <v>8.9599999999999999E-4</v>
          </cell>
          <cell r="AO43">
            <v>0</v>
          </cell>
          <cell r="AP43" t="e">
            <v>#DIV/0!</v>
          </cell>
          <cell r="AQ43">
            <v>4032</v>
          </cell>
          <cell r="AR43">
            <v>2036.7254325454544</v>
          </cell>
          <cell r="AS43">
            <v>-1995.2745674545456</v>
          </cell>
          <cell r="AT43">
            <v>672</v>
          </cell>
          <cell r="AU43">
            <v>8.9599999999999999E-4</v>
          </cell>
          <cell r="AV43">
            <v>0</v>
          </cell>
          <cell r="AW43" t="e">
            <v>#DIV/0!</v>
          </cell>
          <cell r="AX43">
            <v>4704</v>
          </cell>
          <cell r="AY43">
            <v>2036.7254325454544</v>
          </cell>
          <cell r="AZ43">
            <v>-2667.2745674545458</v>
          </cell>
          <cell r="BA43">
            <v>672</v>
          </cell>
          <cell r="BB43">
            <v>8.9599999999999999E-4</v>
          </cell>
          <cell r="BC43">
            <v>0</v>
          </cell>
          <cell r="BD43" t="e">
            <v>#DIV/0!</v>
          </cell>
          <cell r="BE43">
            <v>5376</v>
          </cell>
          <cell r="BF43">
            <v>2036.7254325454544</v>
          </cell>
          <cell r="BG43">
            <v>-3339.2745674545458</v>
          </cell>
          <cell r="BH43">
            <v>672</v>
          </cell>
          <cell r="BI43">
            <v>8.9599999999999999E-4</v>
          </cell>
          <cell r="BJ43">
            <v>0</v>
          </cell>
          <cell r="BK43" t="e">
            <v>#DIV/0!</v>
          </cell>
          <cell r="BL43">
            <v>6048</v>
          </cell>
          <cell r="BM43">
            <v>2036.7254325454544</v>
          </cell>
          <cell r="BN43">
            <v>-4011.2745674545458</v>
          </cell>
          <cell r="BO43">
            <v>672</v>
          </cell>
          <cell r="BP43">
            <v>8.9599999999999999E-4</v>
          </cell>
          <cell r="BQ43">
            <v>0</v>
          </cell>
          <cell r="BR43" t="e">
            <v>#DIV/0!</v>
          </cell>
          <cell r="BS43">
            <v>6720</v>
          </cell>
          <cell r="BT43">
            <v>2036.7254325454544</v>
          </cell>
          <cell r="BU43">
            <v>-4683.2745674545458</v>
          </cell>
          <cell r="BV43">
            <v>672</v>
          </cell>
          <cell r="BW43">
            <v>8.9599999999999999E-4</v>
          </cell>
          <cell r="BX43">
            <v>0</v>
          </cell>
          <cell r="BY43" t="e">
            <v>#DIV/0!</v>
          </cell>
          <cell r="BZ43">
            <v>7392</v>
          </cell>
          <cell r="CA43">
            <v>2036.7254325454544</v>
          </cell>
          <cell r="CB43">
            <v>-5355.2745674545458</v>
          </cell>
          <cell r="CC43">
            <v>672</v>
          </cell>
          <cell r="CD43">
            <v>8.9599999999999999E-4</v>
          </cell>
          <cell r="CE43">
            <v>0</v>
          </cell>
          <cell r="CF43" t="e">
            <v>#DIV/0!</v>
          </cell>
          <cell r="CG43">
            <v>8064</v>
          </cell>
          <cell r="CH43">
            <v>2036.7254325454544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 t="e">
            <v>#DIV/0!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 t="e">
            <v>#DIV/0!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0.17154238151448606</v>
          </cell>
          <cell r="C45">
            <v>136366.83052083335</v>
          </cell>
          <cell r="D45">
            <v>142400</v>
          </cell>
          <cell r="E45" t="e">
            <v>#DIV/0!</v>
          </cell>
          <cell r="F45">
            <v>148068.80297377624</v>
          </cell>
          <cell r="G45">
            <v>12.854477918696418</v>
          </cell>
          <cell r="H45">
            <v>142400</v>
          </cell>
          <cell r="I45">
            <v>148068.80297377624</v>
          </cell>
          <cell r="J45">
            <v>5668.8029737762408</v>
          </cell>
          <cell r="K45">
            <v>142400</v>
          </cell>
          <cell r="L45" t="e">
            <v>#DIV/0!</v>
          </cell>
          <cell r="M45">
            <v>140582.24475000004</v>
          </cell>
          <cell r="N45">
            <v>10.597168159704269</v>
          </cell>
          <cell r="O45">
            <v>284800</v>
          </cell>
          <cell r="P45">
            <v>288651.04772377631</v>
          </cell>
          <cell r="Q45">
            <v>3851.0477237763116</v>
          </cell>
          <cell r="R45">
            <v>139720</v>
          </cell>
          <cell r="S45">
            <v>0.18629333333333334</v>
          </cell>
          <cell r="T45">
            <v>146841.80000000002</v>
          </cell>
          <cell r="U45">
            <v>0.2034879660321719</v>
          </cell>
          <cell r="V45">
            <v>424520</v>
          </cell>
          <cell r="W45">
            <v>435492.84772377636</v>
          </cell>
          <cell r="X45">
            <v>10972.847723776358</v>
          </cell>
          <cell r="Y45">
            <v>139720</v>
          </cell>
          <cell r="Z45">
            <v>0.18629333333333334</v>
          </cell>
          <cell r="AA45">
            <v>0</v>
          </cell>
          <cell r="AB45" t="e">
            <v>#DIV/0!</v>
          </cell>
          <cell r="AC45">
            <v>564240</v>
          </cell>
          <cell r="AD45">
            <v>435492.84772377636</v>
          </cell>
          <cell r="AE45">
            <v>-128747.15227622364</v>
          </cell>
          <cell r="AF45">
            <v>139720</v>
          </cell>
          <cell r="AG45">
            <v>0.18629333333333334</v>
          </cell>
          <cell r="AH45">
            <v>0</v>
          </cell>
          <cell r="AI45">
            <v>0</v>
          </cell>
          <cell r="AJ45">
            <v>703960</v>
          </cell>
          <cell r="AK45">
            <v>435492.84772377636</v>
          </cell>
          <cell r="AL45">
            <v>-268467.15227622364</v>
          </cell>
          <cell r="AM45">
            <v>139720</v>
          </cell>
          <cell r="AN45">
            <v>0.18629333333333334</v>
          </cell>
          <cell r="AO45">
            <v>0</v>
          </cell>
          <cell r="AP45" t="e">
            <v>#DIV/0!</v>
          </cell>
          <cell r="AQ45">
            <v>843680</v>
          </cell>
          <cell r="AR45">
            <v>435492.84772377636</v>
          </cell>
          <cell r="AS45">
            <v>-408187.15227622364</v>
          </cell>
          <cell r="AT45">
            <v>139720</v>
          </cell>
          <cell r="AU45">
            <v>0.18629333333333334</v>
          </cell>
          <cell r="AV45">
            <v>0</v>
          </cell>
          <cell r="AW45" t="e">
            <v>#DIV/0!</v>
          </cell>
          <cell r="AX45">
            <v>983400</v>
          </cell>
          <cell r="AY45">
            <v>435492.84772377636</v>
          </cell>
          <cell r="AZ45">
            <v>-547907.15227622364</v>
          </cell>
          <cell r="BA45">
            <v>139720</v>
          </cell>
          <cell r="BB45">
            <v>0.18629333333333334</v>
          </cell>
          <cell r="BC45">
            <v>0</v>
          </cell>
          <cell r="BD45" t="e">
            <v>#DIV/0!</v>
          </cell>
          <cell r="BE45">
            <v>1123120</v>
          </cell>
          <cell r="BF45">
            <v>435492.84772377636</v>
          </cell>
          <cell r="BG45">
            <v>-687627.15227622364</v>
          </cell>
          <cell r="BH45">
            <v>139720</v>
          </cell>
          <cell r="BI45">
            <v>0.18629333333333334</v>
          </cell>
          <cell r="BJ45">
            <v>0</v>
          </cell>
          <cell r="BK45" t="e">
            <v>#DIV/0!</v>
          </cell>
          <cell r="BL45">
            <v>1262840</v>
          </cell>
          <cell r="BM45">
            <v>435492.84772377636</v>
          </cell>
          <cell r="BN45">
            <v>-827347.15227622364</v>
          </cell>
          <cell r="BO45">
            <v>139720</v>
          </cell>
          <cell r="BP45">
            <v>0.18629333333333334</v>
          </cell>
          <cell r="BQ45">
            <v>0</v>
          </cell>
          <cell r="BR45" t="e">
            <v>#DIV/0!</v>
          </cell>
          <cell r="BS45">
            <v>1402560</v>
          </cell>
          <cell r="BT45">
            <v>435492.84772377636</v>
          </cell>
          <cell r="BU45">
            <v>-967067.15227622364</v>
          </cell>
          <cell r="BV45">
            <v>139720</v>
          </cell>
          <cell r="BW45">
            <v>0.18629333333333334</v>
          </cell>
          <cell r="BX45">
            <v>0</v>
          </cell>
          <cell r="BY45" t="e">
            <v>#DIV/0!</v>
          </cell>
          <cell r="BZ45">
            <v>1542280</v>
          </cell>
          <cell r="CA45">
            <v>435492.84772377636</v>
          </cell>
          <cell r="CB45">
            <v>-1106787.1522762235</v>
          </cell>
          <cell r="CC45">
            <v>139720</v>
          </cell>
          <cell r="CD45">
            <v>0.18629333333333334</v>
          </cell>
          <cell r="CE45">
            <v>0</v>
          </cell>
          <cell r="CF45" t="e">
            <v>#DIV/0!</v>
          </cell>
          <cell r="CG45">
            <v>1682000</v>
          </cell>
          <cell r="CH45">
            <v>435492.84772377636</v>
          </cell>
        </row>
        <row r="46">
          <cell r="A46" t="str">
            <v>Pesquisas/Consultas</v>
          </cell>
          <cell r="B46">
            <v>2.1659109028906063E-4</v>
          </cell>
          <cell r="C46">
            <v>172.17809523809521</v>
          </cell>
          <cell r="D46">
            <v>200</v>
          </cell>
          <cell r="E46" t="e">
            <v>#DIV/0!</v>
          </cell>
          <cell r="F46">
            <v>58.9</v>
          </cell>
          <cell r="G46">
            <v>5.1133576702535408E-3</v>
          </cell>
          <cell r="H46">
            <v>200</v>
          </cell>
          <cell r="I46">
            <v>58.9</v>
          </cell>
          <cell r="J46">
            <v>-141.1</v>
          </cell>
          <cell r="K46">
            <v>200</v>
          </cell>
          <cell r="L46" t="e">
            <v>#DIV/0!</v>
          </cell>
          <cell r="M46">
            <v>58.9</v>
          </cell>
          <cell r="N46">
            <v>4.4399149104252817E-3</v>
          </cell>
          <cell r="O46">
            <v>400</v>
          </cell>
          <cell r="P46">
            <v>117.8</v>
          </cell>
          <cell r="Q46">
            <v>-282.2</v>
          </cell>
          <cell r="R46">
            <v>200</v>
          </cell>
          <cell r="S46">
            <v>2.6666666666666668E-4</v>
          </cell>
          <cell r="T46">
            <v>40.479999999999997</v>
          </cell>
          <cell r="U46">
            <v>5.6095695265124218E-5</v>
          </cell>
          <cell r="V46">
            <v>600</v>
          </cell>
          <cell r="W46">
            <v>158.28</v>
          </cell>
          <cell r="X46">
            <v>-441.72</v>
          </cell>
          <cell r="Y46">
            <v>200</v>
          </cell>
          <cell r="Z46">
            <v>2.6666666666666668E-4</v>
          </cell>
          <cell r="AA46">
            <v>0</v>
          </cell>
          <cell r="AB46" t="e">
            <v>#DIV/0!</v>
          </cell>
          <cell r="AC46">
            <v>800</v>
          </cell>
          <cell r="AD46">
            <v>158.28</v>
          </cell>
          <cell r="AE46">
            <v>-641.72</v>
          </cell>
          <cell r="AF46">
            <v>200</v>
          </cell>
          <cell r="AG46">
            <v>2.6666666666666668E-4</v>
          </cell>
          <cell r="AH46">
            <v>0</v>
          </cell>
          <cell r="AI46">
            <v>0</v>
          </cell>
          <cell r="AJ46">
            <v>1000</v>
          </cell>
          <cell r="AK46">
            <v>158.28</v>
          </cell>
          <cell r="AL46">
            <v>-841.72</v>
          </cell>
          <cell r="AM46">
            <v>200</v>
          </cell>
          <cell r="AN46">
            <v>2.6666666666666668E-4</v>
          </cell>
          <cell r="AO46">
            <v>0</v>
          </cell>
          <cell r="AP46" t="e">
            <v>#DIV/0!</v>
          </cell>
          <cell r="AQ46">
            <v>1200</v>
          </cell>
          <cell r="AR46">
            <v>158.28</v>
          </cell>
          <cell r="AS46">
            <v>-1041.72</v>
          </cell>
          <cell r="AT46">
            <v>200</v>
          </cell>
          <cell r="AU46">
            <v>2.6666666666666668E-4</v>
          </cell>
          <cell r="AV46">
            <v>0</v>
          </cell>
          <cell r="AW46" t="e">
            <v>#DIV/0!</v>
          </cell>
          <cell r="AX46">
            <v>1400</v>
          </cell>
          <cell r="AY46">
            <v>158.28</v>
          </cell>
          <cell r="AZ46">
            <v>-1241.72</v>
          </cell>
          <cell r="BA46">
            <v>200</v>
          </cell>
          <cell r="BB46">
            <v>2.6666666666666668E-4</v>
          </cell>
          <cell r="BC46">
            <v>0</v>
          </cell>
          <cell r="BD46" t="e">
            <v>#DIV/0!</v>
          </cell>
          <cell r="BE46">
            <v>1600</v>
          </cell>
          <cell r="BF46">
            <v>158.28</v>
          </cell>
          <cell r="BG46">
            <v>-1441.72</v>
          </cell>
          <cell r="BH46">
            <v>200</v>
          </cell>
          <cell r="BI46">
            <v>2.6666666666666668E-4</v>
          </cell>
          <cell r="BJ46">
            <v>0</v>
          </cell>
          <cell r="BK46" t="e">
            <v>#DIV/0!</v>
          </cell>
          <cell r="BL46">
            <v>1800</v>
          </cell>
          <cell r="BM46">
            <v>158.28</v>
          </cell>
          <cell r="BN46">
            <v>-1641.72</v>
          </cell>
          <cell r="BO46">
            <v>200</v>
          </cell>
          <cell r="BP46">
            <v>2.6666666666666668E-4</v>
          </cell>
          <cell r="BQ46">
            <v>0</v>
          </cell>
          <cell r="BR46" t="e">
            <v>#DIV/0!</v>
          </cell>
          <cell r="BS46">
            <v>2000</v>
          </cell>
          <cell r="BT46">
            <v>158.28</v>
          </cell>
          <cell r="BU46">
            <v>-1841.72</v>
          </cell>
          <cell r="BV46">
            <v>200</v>
          </cell>
          <cell r="BW46">
            <v>2.6666666666666668E-4</v>
          </cell>
          <cell r="BX46">
            <v>0</v>
          </cell>
          <cell r="BY46" t="e">
            <v>#DIV/0!</v>
          </cell>
          <cell r="BZ46">
            <v>2200</v>
          </cell>
          <cell r="CA46">
            <v>158.28</v>
          </cell>
          <cell r="CB46">
            <v>-2041.72</v>
          </cell>
          <cell r="CC46">
            <v>200</v>
          </cell>
          <cell r="CD46">
            <v>2.6666666666666668E-4</v>
          </cell>
          <cell r="CE46">
            <v>0</v>
          </cell>
          <cell r="CF46" t="e">
            <v>#DIV/0!</v>
          </cell>
          <cell r="CG46">
            <v>2400</v>
          </cell>
          <cell r="CH46">
            <v>158.28</v>
          </cell>
        </row>
        <row r="47">
          <cell r="A47" t="str">
            <v>Indenização por Ruptura de Contrato</v>
          </cell>
          <cell r="B47">
            <v>3.8969342071308501E-4</v>
          </cell>
          <cell r="C47">
            <v>309.78500000000003</v>
          </cell>
          <cell r="D47">
            <v>500</v>
          </cell>
          <cell r="E47" t="e">
            <v>#DIV/0!</v>
          </cell>
          <cell r="F47">
            <v>0</v>
          </cell>
          <cell r="G47">
            <v>0</v>
          </cell>
          <cell r="H47">
            <v>500</v>
          </cell>
          <cell r="I47">
            <v>0</v>
          </cell>
          <cell r="J47">
            <v>-500</v>
          </cell>
          <cell r="K47">
            <v>500</v>
          </cell>
          <cell r="L47" t="e">
            <v>#DIV/0!</v>
          </cell>
          <cell r="M47">
            <v>0</v>
          </cell>
          <cell r="N47">
            <v>0</v>
          </cell>
          <cell r="O47">
            <v>1000</v>
          </cell>
          <cell r="P47">
            <v>0</v>
          </cell>
          <cell r="Q47">
            <v>-1000</v>
          </cell>
          <cell r="R47">
            <v>500</v>
          </cell>
          <cell r="S47">
            <v>6.6666666666666664E-4</v>
          </cell>
          <cell r="T47">
            <v>0</v>
          </cell>
          <cell r="U47">
            <v>0</v>
          </cell>
          <cell r="V47">
            <v>1500</v>
          </cell>
          <cell r="W47">
            <v>0</v>
          </cell>
          <cell r="X47">
            <v>-1500</v>
          </cell>
          <cell r="Y47">
            <v>500</v>
          </cell>
          <cell r="Z47">
            <v>6.6666666666666664E-4</v>
          </cell>
          <cell r="AA47">
            <v>0</v>
          </cell>
          <cell r="AB47" t="e">
            <v>#DIV/0!</v>
          </cell>
          <cell r="AC47">
            <v>2000</v>
          </cell>
          <cell r="AD47">
            <v>0</v>
          </cell>
          <cell r="AE47">
            <v>-2000</v>
          </cell>
          <cell r="AF47">
            <v>500</v>
          </cell>
          <cell r="AG47">
            <v>6.6666666666666664E-4</v>
          </cell>
          <cell r="AH47">
            <v>0</v>
          </cell>
          <cell r="AI47">
            <v>0</v>
          </cell>
          <cell r="AJ47">
            <v>2500</v>
          </cell>
          <cell r="AK47">
            <v>0</v>
          </cell>
          <cell r="AL47">
            <v>-2500</v>
          </cell>
          <cell r="AM47">
            <v>500</v>
          </cell>
          <cell r="AN47">
            <v>6.6666666666666664E-4</v>
          </cell>
          <cell r="AO47">
            <v>0</v>
          </cell>
          <cell r="AP47" t="e">
            <v>#DIV/0!</v>
          </cell>
          <cell r="AQ47">
            <v>3000</v>
          </cell>
          <cell r="AR47">
            <v>0</v>
          </cell>
          <cell r="AS47">
            <v>-3000</v>
          </cell>
          <cell r="AT47">
            <v>500</v>
          </cell>
          <cell r="AU47">
            <v>6.6666666666666664E-4</v>
          </cell>
          <cell r="AV47">
            <v>0</v>
          </cell>
          <cell r="AW47" t="e">
            <v>#DIV/0!</v>
          </cell>
          <cell r="AX47">
            <v>3500</v>
          </cell>
          <cell r="AY47">
            <v>0</v>
          </cell>
          <cell r="AZ47">
            <v>-3500</v>
          </cell>
          <cell r="BA47">
            <v>500</v>
          </cell>
          <cell r="BB47">
            <v>6.6666666666666664E-4</v>
          </cell>
          <cell r="BC47">
            <v>0</v>
          </cell>
          <cell r="BD47" t="e">
            <v>#DIV/0!</v>
          </cell>
          <cell r="BE47">
            <v>4000</v>
          </cell>
          <cell r="BF47">
            <v>0</v>
          </cell>
          <cell r="BG47">
            <v>-4000</v>
          </cell>
          <cell r="BH47">
            <v>500</v>
          </cell>
          <cell r="BI47">
            <v>6.6666666666666664E-4</v>
          </cell>
          <cell r="BJ47">
            <v>0</v>
          </cell>
          <cell r="BK47" t="e">
            <v>#DIV/0!</v>
          </cell>
          <cell r="BL47">
            <v>4500</v>
          </cell>
          <cell r="BM47">
            <v>0</v>
          </cell>
          <cell r="BN47">
            <v>-4500</v>
          </cell>
          <cell r="BO47">
            <v>500</v>
          </cell>
          <cell r="BP47">
            <v>6.6666666666666664E-4</v>
          </cell>
          <cell r="BQ47">
            <v>0</v>
          </cell>
          <cell r="BR47" t="e">
            <v>#DIV/0!</v>
          </cell>
          <cell r="BS47">
            <v>5000</v>
          </cell>
          <cell r="BT47">
            <v>0</v>
          </cell>
          <cell r="BU47">
            <v>-5000</v>
          </cell>
          <cell r="BV47">
            <v>500</v>
          </cell>
          <cell r="BW47">
            <v>6.6666666666666664E-4</v>
          </cell>
          <cell r="BX47">
            <v>0</v>
          </cell>
          <cell r="BY47" t="e">
            <v>#DIV/0!</v>
          </cell>
          <cell r="BZ47">
            <v>5500</v>
          </cell>
          <cell r="CA47">
            <v>0</v>
          </cell>
          <cell r="CB47">
            <v>-5500</v>
          </cell>
          <cell r="CC47">
            <v>500</v>
          </cell>
          <cell r="CD47">
            <v>6.6666666666666664E-4</v>
          </cell>
          <cell r="CE47">
            <v>0</v>
          </cell>
          <cell r="CF47" t="e">
            <v>#DIV/0!</v>
          </cell>
          <cell r="CG47">
            <v>6000</v>
          </cell>
          <cell r="CH47">
            <v>0</v>
          </cell>
        </row>
        <row r="48">
          <cell r="A48" t="str">
            <v>Vale Alimentação / Refeição</v>
          </cell>
          <cell r="B48">
            <v>9.547316803942758E-3</v>
          </cell>
          <cell r="C48">
            <v>7589.595766583333</v>
          </cell>
          <cell r="D48">
            <v>8442</v>
          </cell>
          <cell r="E48" t="e">
            <v>#DIV/0!</v>
          </cell>
          <cell r="F48">
            <v>5619.7732835034958</v>
          </cell>
          <cell r="G48">
            <v>0.48787624489454207</v>
          </cell>
          <cell r="H48">
            <v>8442</v>
          </cell>
          <cell r="I48">
            <v>5619.7732835034958</v>
          </cell>
          <cell r="J48">
            <v>-2822.2267164965042</v>
          </cell>
          <cell r="K48">
            <v>8442</v>
          </cell>
          <cell r="L48" t="e">
            <v>#DIV/0!</v>
          </cell>
          <cell r="M48">
            <v>7819.2098880000003</v>
          </cell>
          <cell r="N48">
            <v>0.58941641034764003</v>
          </cell>
          <cell r="O48">
            <v>16884</v>
          </cell>
          <cell r="P48">
            <v>13438.983171503496</v>
          </cell>
          <cell r="Q48">
            <v>-3445.0168284965039</v>
          </cell>
          <cell r="R48">
            <v>8442</v>
          </cell>
          <cell r="S48">
            <v>1.1256E-2</v>
          </cell>
          <cell r="T48">
            <v>7301.0799200000001</v>
          </cell>
          <cell r="U48">
            <v>1.0117568040974247E-2</v>
          </cell>
          <cell r="V48">
            <v>25326</v>
          </cell>
          <cell r="W48">
            <v>20740.063091503496</v>
          </cell>
          <cell r="X48">
            <v>-4585.9369084965037</v>
          </cell>
          <cell r="Y48">
            <v>8442</v>
          </cell>
          <cell r="Z48">
            <v>1.1256E-2</v>
          </cell>
          <cell r="AA48">
            <v>0</v>
          </cell>
          <cell r="AB48" t="e">
            <v>#DIV/0!</v>
          </cell>
          <cell r="AC48">
            <v>33768</v>
          </cell>
          <cell r="AD48">
            <v>20740.063091503496</v>
          </cell>
          <cell r="AE48">
            <v>-13027.936908496504</v>
          </cell>
          <cell r="AF48">
            <v>8442</v>
          </cell>
          <cell r="AG48">
            <v>1.1256E-2</v>
          </cell>
          <cell r="AH48">
            <v>0</v>
          </cell>
          <cell r="AI48">
            <v>0</v>
          </cell>
          <cell r="AJ48">
            <v>42210</v>
          </cell>
          <cell r="AK48">
            <v>20740.063091503496</v>
          </cell>
          <cell r="AL48">
            <v>-21469.936908496504</v>
          </cell>
          <cell r="AM48">
            <v>8442</v>
          </cell>
          <cell r="AN48">
            <v>1.1256E-2</v>
          </cell>
          <cell r="AO48">
            <v>0</v>
          </cell>
          <cell r="AP48" t="e">
            <v>#DIV/0!</v>
          </cell>
          <cell r="AQ48">
            <v>50652</v>
          </cell>
          <cell r="AR48">
            <v>20740.063091503496</v>
          </cell>
          <cell r="AS48">
            <v>-29911.936908496504</v>
          </cell>
          <cell r="AT48">
            <v>8442</v>
          </cell>
          <cell r="AU48">
            <v>1.1256E-2</v>
          </cell>
          <cell r="AV48">
            <v>0</v>
          </cell>
          <cell r="AW48" t="e">
            <v>#DIV/0!</v>
          </cell>
          <cell r="AX48">
            <v>59094</v>
          </cell>
          <cell r="AY48">
            <v>20740.063091503496</v>
          </cell>
          <cell r="AZ48">
            <v>-38353.9369084965</v>
          </cell>
          <cell r="BA48">
            <v>8442</v>
          </cell>
          <cell r="BB48">
            <v>1.1256E-2</v>
          </cell>
          <cell r="BC48">
            <v>0</v>
          </cell>
          <cell r="BD48" t="e">
            <v>#DIV/0!</v>
          </cell>
          <cell r="BE48">
            <v>67536</v>
          </cell>
          <cell r="BF48">
            <v>20740.063091503496</v>
          </cell>
          <cell r="BG48">
            <v>-46795.9369084965</v>
          </cell>
          <cell r="BH48">
            <v>8442</v>
          </cell>
          <cell r="BI48">
            <v>1.1256E-2</v>
          </cell>
          <cell r="BJ48">
            <v>0</v>
          </cell>
          <cell r="BK48" t="e">
            <v>#DIV/0!</v>
          </cell>
          <cell r="BL48">
            <v>75978</v>
          </cell>
          <cell r="BM48">
            <v>20740.063091503496</v>
          </cell>
          <cell r="BN48">
            <v>-55237.9369084965</v>
          </cell>
          <cell r="BO48">
            <v>8442</v>
          </cell>
          <cell r="BP48">
            <v>1.1256E-2</v>
          </cell>
          <cell r="BQ48">
            <v>0</v>
          </cell>
          <cell r="BR48" t="e">
            <v>#DIV/0!</v>
          </cell>
          <cell r="BS48">
            <v>84420</v>
          </cell>
          <cell r="BT48">
            <v>20740.063091503496</v>
          </cell>
          <cell r="BU48">
            <v>-63679.9369084965</v>
          </cell>
          <cell r="BV48">
            <v>8442</v>
          </cell>
          <cell r="BW48">
            <v>1.1256E-2</v>
          </cell>
          <cell r="BX48">
            <v>0</v>
          </cell>
          <cell r="BY48" t="e">
            <v>#DIV/0!</v>
          </cell>
          <cell r="BZ48">
            <v>92862</v>
          </cell>
          <cell r="CA48">
            <v>20740.063091503496</v>
          </cell>
          <cell r="CB48">
            <v>-72121.9369084965</v>
          </cell>
          <cell r="CC48">
            <v>8442</v>
          </cell>
          <cell r="CD48">
            <v>1.1256E-2</v>
          </cell>
          <cell r="CE48">
            <v>0</v>
          </cell>
          <cell r="CF48" t="e">
            <v>#DIV/0!</v>
          </cell>
          <cell r="CG48">
            <v>101304</v>
          </cell>
          <cell r="CH48">
            <v>20740.063091503496</v>
          </cell>
        </row>
        <row r="49">
          <cell r="A49" t="str">
            <v>Vale Transporte</v>
          </cell>
          <cell r="B49">
            <v>1.2971959767795547E-3</v>
          </cell>
          <cell r="C49">
            <v>1031.2000005833333</v>
          </cell>
          <cell r="D49">
            <v>0</v>
          </cell>
          <cell r="E49" t="e">
            <v>#DIV/0!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1000</v>
          </cell>
          <cell r="L49" t="e">
            <v>#DIV/0!</v>
          </cell>
          <cell r="M49">
            <v>750.00006900000005</v>
          </cell>
          <cell r="N49">
            <v>5.6535424264398816E-2</v>
          </cell>
          <cell r="O49">
            <v>1000</v>
          </cell>
          <cell r="P49">
            <v>750.00006900000005</v>
          </cell>
          <cell r="Q49">
            <v>-249.99993099999995</v>
          </cell>
          <cell r="R49">
            <v>1000</v>
          </cell>
          <cell r="S49">
            <v>1.3333333333333333E-3</v>
          </cell>
          <cell r="T49">
            <v>270.39999999999998</v>
          </cell>
          <cell r="U49">
            <v>3.7471037548640287E-4</v>
          </cell>
          <cell r="V49">
            <v>2000</v>
          </cell>
          <cell r="W49">
            <v>1020.400069</v>
          </cell>
          <cell r="X49">
            <v>-979.59993099999997</v>
          </cell>
          <cell r="Y49">
            <v>1000</v>
          </cell>
          <cell r="Z49">
            <v>1.3333333333333333E-3</v>
          </cell>
          <cell r="AA49">
            <v>0</v>
          </cell>
          <cell r="AB49" t="e">
            <v>#DIV/0!</v>
          </cell>
          <cell r="AC49">
            <v>3000</v>
          </cell>
          <cell r="AD49">
            <v>1020.400069</v>
          </cell>
          <cell r="AE49">
            <v>-1979.599931</v>
          </cell>
          <cell r="AF49">
            <v>1000</v>
          </cell>
          <cell r="AG49">
            <v>1.3333333333333333E-3</v>
          </cell>
          <cell r="AH49">
            <v>0</v>
          </cell>
          <cell r="AI49">
            <v>0</v>
          </cell>
          <cell r="AJ49">
            <v>4000</v>
          </cell>
          <cell r="AK49">
            <v>1020.400069</v>
          </cell>
          <cell r="AL49">
            <v>-2979.5999309999997</v>
          </cell>
          <cell r="AM49">
            <v>1000</v>
          </cell>
          <cell r="AN49">
            <v>1.3333333333333333E-3</v>
          </cell>
          <cell r="AO49">
            <v>0</v>
          </cell>
          <cell r="AP49" t="e">
            <v>#DIV/0!</v>
          </cell>
          <cell r="AQ49">
            <v>5000</v>
          </cell>
          <cell r="AR49">
            <v>1020.400069</v>
          </cell>
          <cell r="AS49">
            <v>-3979.5999309999997</v>
          </cell>
          <cell r="AT49">
            <v>1000</v>
          </cell>
          <cell r="AU49">
            <v>1.3333333333333333E-3</v>
          </cell>
          <cell r="AV49">
            <v>0</v>
          </cell>
          <cell r="AW49" t="e">
            <v>#DIV/0!</v>
          </cell>
          <cell r="AX49">
            <v>6000</v>
          </cell>
          <cell r="AY49">
            <v>1020.400069</v>
          </cell>
          <cell r="AZ49">
            <v>-4979.5999309999997</v>
          </cell>
          <cell r="BA49">
            <v>1000</v>
          </cell>
          <cell r="BB49">
            <v>1.3333333333333333E-3</v>
          </cell>
          <cell r="BC49">
            <v>0</v>
          </cell>
          <cell r="BD49" t="e">
            <v>#DIV/0!</v>
          </cell>
          <cell r="BE49">
            <v>7000</v>
          </cell>
          <cell r="BF49">
            <v>1020.400069</v>
          </cell>
          <cell r="BG49">
            <v>-5979.5999309999997</v>
          </cell>
          <cell r="BH49">
            <v>1000</v>
          </cell>
          <cell r="BI49">
            <v>1.3333333333333333E-3</v>
          </cell>
          <cell r="BJ49">
            <v>0</v>
          </cell>
          <cell r="BK49" t="e">
            <v>#DIV/0!</v>
          </cell>
          <cell r="BL49">
            <v>8000</v>
          </cell>
          <cell r="BM49">
            <v>1020.400069</v>
          </cell>
          <cell r="BN49">
            <v>-6979.5999309999997</v>
          </cell>
          <cell r="BO49">
            <v>1000</v>
          </cell>
          <cell r="BP49">
            <v>1.3333333333333333E-3</v>
          </cell>
          <cell r="BQ49">
            <v>0</v>
          </cell>
          <cell r="BR49" t="e">
            <v>#DIV/0!</v>
          </cell>
          <cell r="BS49">
            <v>9000</v>
          </cell>
          <cell r="BT49">
            <v>1020.400069</v>
          </cell>
          <cell r="BU49">
            <v>-7979.5999309999997</v>
          </cell>
          <cell r="BV49">
            <v>1000</v>
          </cell>
          <cell r="BW49">
            <v>1.3333333333333333E-3</v>
          </cell>
          <cell r="BX49">
            <v>0</v>
          </cell>
          <cell r="BY49" t="e">
            <v>#DIV/0!</v>
          </cell>
          <cell r="BZ49">
            <v>10000</v>
          </cell>
          <cell r="CA49">
            <v>1020.400069</v>
          </cell>
          <cell r="CB49">
            <v>-8979.5999310000007</v>
          </cell>
          <cell r="CC49">
            <v>1000</v>
          </cell>
          <cell r="CD49">
            <v>1.3333333333333333E-3</v>
          </cell>
          <cell r="CE49">
            <v>0</v>
          </cell>
          <cell r="CF49" t="e">
            <v>#DIV/0!</v>
          </cell>
          <cell r="CG49">
            <v>11000</v>
          </cell>
          <cell r="CH49">
            <v>1020.400069</v>
          </cell>
        </row>
        <row r="50">
          <cell r="A50" t="str">
            <v>Viagens - Alimentação / Hospedagem</v>
          </cell>
          <cell r="B50">
            <v>9.620995950472509E-5</v>
          </cell>
          <cell r="C50">
            <v>76.481666666666669</v>
          </cell>
          <cell r="D50">
            <v>280</v>
          </cell>
          <cell r="E50" t="e">
            <v>#DIV/0!</v>
          </cell>
          <cell r="F50">
            <v>0</v>
          </cell>
          <cell r="G50">
            <v>0</v>
          </cell>
          <cell r="H50">
            <v>280</v>
          </cell>
          <cell r="I50">
            <v>0</v>
          </cell>
          <cell r="J50">
            <v>-280</v>
          </cell>
          <cell r="K50">
            <v>280</v>
          </cell>
          <cell r="L50" t="e">
            <v>#DIV/0!</v>
          </cell>
          <cell r="M50">
            <v>0</v>
          </cell>
          <cell r="N50">
            <v>0</v>
          </cell>
          <cell r="O50">
            <v>560</v>
          </cell>
          <cell r="P50">
            <v>0</v>
          </cell>
          <cell r="Q50">
            <v>-560</v>
          </cell>
          <cell r="R50">
            <v>280</v>
          </cell>
          <cell r="S50">
            <v>3.7333333333333332E-4</v>
          </cell>
          <cell r="T50">
            <v>0</v>
          </cell>
          <cell r="U50">
            <v>0</v>
          </cell>
          <cell r="V50">
            <v>840</v>
          </cell>
          <cell r="W50">
            <v>0</v>
          </cell>
          <cell r="X50">
            <v>-840</v>
          </cell>
          <cell r="Y50">
            <v>280</v>
          </cell>
          <cell r="Z50">
            <v>3.7333333333333332E-4</v>
          </cell>
          <cell r="AA50">
            <v>0</v>
          </cell>
          <cell r="AB50" t="e">
            <v>#DIV/0!</v>
          </cell>
          <cell r="AC50">
            <v>1120</v>
          </cell>
          <cell r="AD50">
            <v>0</v>
          </cell>
          <cell r="AE50">
            <v>-1120</v>
          </cell>
          <cell r="AF50">
            <v>280</v>
          </cell>
          <cell r="AG50">
            <v>3.7333333333333332E-4</v>
          </cell>
          <cell r="AH50">
            <v>0</v>
          </cell>
          <cell r="AI50">
            <v>0</v>
          </cell>
          <cell r="AJ50">
            <v>1400</v>
          </cell>
          <cell r="AK50">
            <v>0</v>
          </cell>
          <cell r="AL50">
            <v>-1400</v>
          </cell>
          <cell r="AM50">
            <v>280</v>
          </cell>
          <cell r="AN50">
            <v>3.7333333333333332E-4</v>
          </cell>
          <cell r="AO50">
            <v>0</v>
          </cell>
          <cell r="AP50" t="e">
            <v>#DIV/0!</v>
          </cell>
          <cell r="AQ50">
            <v>1680</v>
          </cell>
          <cell r="AR50">
            <v>0</v>
          </cell>
          <cell r="AS50">
            <v>-1680</v>
          </cell>
          <cell r="AT50">
            <v>280</v>
          </cell>
          <cell r="AU50">
            <v>3.7333333333333332E-4</v>
          </cell>
          <cell r="AV50">
            <v>0</v>
          </cell>
          <cell r="AW50" t="e">
            <v>#DIV/0!</v>
          </cell>
          <cell r="AX50">
            <v>1960</v>
          </cell>
          <cell r="AY50">
            <v>0</v>
          </cell>
          <cell r="AZ50">
            <v>-1960</v>
          </cell>
          <cell r="BA50">
            <v>280</v>
          </cell>
          <cell r="BB50">
            <v>3.7333333333333332E-4</v>
          </cell>
          <cell r="BC50">
            <v>0</v>
          </cell>
          <cell r="BD50" t="e">
            <v>#DIV/0!</v>
          </cell>
          <cell r="BE50">
            <v>2240</v>
          </cell>
          <cell r="BF50">
            <v>0</v>
          </cell>
          <cell r="BG50">
            <v>-2240</v>
          </cell>
          <cell r="BH50">
            <v>280</v>
          </cell>
          <cell r="BI50">
            <v>3.7333333333333332E-4</v>
          </cell>
          <cell r="BJ50">
            <v>0</v>
          </cell>
          <cell r="BK50" t="e">
            <v>#DIV/0!</v>
          </cell>
          <cell r="BL50">
            <v>2520</v>
          </cell>
          <cell r="BM50">
            <v>0</v>
          </cell>
          <cell r="BN50">
            <v>-2520</v>
          </cell>
          <cell r="BO50">
            <v>280</v>
          </cell>
          <cell r="BP50">
            <v>3.7333333333333332E-4</v>
          </cell>
          <cell r="BQ50">
            <v>0</v>
          </cell>
          <cell r="BR50" t="e">
            <v>#DIV/0!</v>
          </cell>
          <cell r="BS50">
            <v>2800</v>
          </cell>
          <cell r="BT50">
            <v>0</v>
          </cell>
          <cell r="BU50">
            <v>-2800</v>
          </cell>
          <cell r="BV50">
            <v>280</v>
          </cell>
          <cell r="BW50">
            <v>3.7333333333333332E-4</v>
          </cell>
          <cell r="BX50">
            <v>0</v>
          </cell>
          <cell r="BY50" t="e">
            <v>#DIV/0!</v>
          </cell>
          <cell r="BZ50">
            <v>3080</v>
          </cell>
          <cell r="CA50">
            <v>0</v>
          </cell>
          <cell r="CB50">
            <v>-3080</v>
          </cell>
          <cell r="CC50">
            <v>280</v>
          </cell>
          <cell r="CD50">
            <v>3.7333333333333332E-4</v>
          </cell>
          <cell r="CE50">
            <v>0</v>
          </cell>
          <cell r="CF50" t="e">
            <v>#DIV/0!</v>
          </cell>
          <cell r="CG50">
            <v>3360</v>
          </cell>
          <cell r="CH50">
            <v>0</v>
          </cell>
        </row>
        <row r="51">
          <cell r="A51" t="str">
            <v>Viagens - Passagens / Traslados</v>
          </cell>
          <cell r="B51">
            <v>2.1537621203394485E-3</v>
          </cell>
          <cell r="C51">
            <v>1712.1233333333332</v>
          </cell>
          <cell r="D51">
            <v>750</v>
          </cell>
          <cell r="E51" t="e">
            <v>#DIV/0!</v>
          </cell>
          <cell r="F51">
            <v>1253.02</v>
          </cell>
          <cell r="G51">
            <v>0.10877995633244637</v>
          </cell>
          <cell r="H51">
            <v>750</v>
          </cell>
          <cell r="I51">
            <v>1253.02</v>
          </cell>
          <cell r="J51">
            <v>503.02</v>
          </cell>
          <cell r="K51">
            <v>750</v>
          </cell>
          <cell r="L51" t="e">
            <v>#DIV/0!</v>
          </cell>
          <cell r="M51">
            <v>1253.02</v>
          </cell>
          <cell r="N51">
            <v>9.4453347725994674E-2</v>
          </cell>
          <cell r="O51">
            <v>1500</v>
          </cell>
          <cell r="P51">
            <v>2506.04</v>
          </cell>
          <cell r="Q51">
            <v>1006.04</v>
          </cell>
          <cell r="R51">
            <v>750</v>
          </cell>
          <cell r="S51">
            <v>1E-3</v>
          </cell>
          <cell r="T51">
            <v>642.88</v>
          </cell>
          <cell r="U51">
            <v>8.9087946077181471E-4</v>
          </cell>
          <cell r="V51">
            <v>2250</v>
          </cell>
          <cell r="W51">
            <v>3148.92</v>
          </cell>
          <cell r="X51">
            <v>898.92000000000007</v>
          </cell>
          <cell r="Y51">
            <v>750</v>
          </cell>
          <cell r="Z51">
            <v>1E-3</v>
          </cell>
          <cell r="AA51">
            <v>0</v>
          </cell>
          <cell r="AB51" t="e">
            <v>#DIV/0!</v>
          </cell>
          <cell r="AC51">
            <v>3000</v>
          </cell>
          <cell r="AD51">
            <v>3148.92</v>
          </cell>
          <cell r="AE51">
            <v>148.92000000000007</v>
          </cell>
          <cell r="AF51">
            <v>750</v>
          </cell>
          <cell r="AG51">
            <v>1E-3</v>
          </cell>
          <cell r="AH51">
            <v>0</v>
          </cell>
          <cell r="AI51">
            <v>0</v>
          </cell>
          <cell r="AJ51">
            <v>3750</v>
          </cell>
          <cell r="AK51">
            <v>3148.92</v>
          </cell>
          <cell r="AL51">
            <v>-601.07999999999993</v>
          </cell>
          <cell r="AM51">
            <v>750</v>
          </cell>
          <cell r="AN51">
            <v>1E-3</v>
          </cell>
          <cell r="AO51">
            <v>0</v>
          </cell>
          <cell r="AP51" t="e">
            <v>#DIV/0!</v>
          </cell>
          <cell r="AQ51">
            <v>4500</v>
          </cell>
          <cell r="AR51">
            <v>3148.92</v>
          </cell>
          <cell r="AS51">
            <v>-1351.08</v>
          </cell>
          <cell r="AT51">
            <v>750</v>
          </cell>
          <cell r="AU51">
            <v>1E-3</v>
          </cell>
          <cell r="AV51">
            <v>0</v>
          </cell>
          <cell r="AW51" t="e">
            <v>#DIV/0!</v>
          </cell>
          <cell r="AX51">
            <v>5250</v>
          </cell>
          <cell r="AY51">
            <v>3148.92</v>
          </cell>
          <cell r="AZ51">
            <v>-2101.08</v>
          </cell>
          <cell r="BA51">
            <v>750</v>
          </cell>
          <cell r="BB51">
            <v>1E-3</v>
          </cell>
          <cell r="BC51">
            <v>0</v>
          </cell>
          <cell r="BD51" t="e">
            <v>#DIV/0!</v>
          </cell>
          <cell r="BE51">
            <v>6000</v>
          </cell>
          <cell r="BF51">
            <v>3148.92</v>
          </cell>
          <cell r="BG51">
            <v>-2851.08</v>
          </cell>
          <cell r="BH51">
            <v>750</v>
          </cell>
          <cell r="BI51">
            <v>1E-3</v>
          </cell>
          <cell r="BJ51">
            <v>0</v>
          </cell>
          <cell r="BK51" t="e">
            <v>#DIV/0!</v>
          </cell>
          <cell r="BL51">
            <v>6750</v>
          </cell>
          <cell r="BM51">
            <v>3148.92</v>
          </cell>
          <cell r="BN51">
            <v>-3601.08</v>
          </cell>
          <cell r="BO51">
            <v>750</v>
          </cell>
          <cell r="BP51">
            <v>1E-3</v>
          </cell>
          <cell r="BQ51">
            <v>0</v>
          </cell>
          <cell r="BR51" t="e">
            <v>#DIV/0!</v>
          </cell>
          <cell r="BS51">
            <v>7500</v>
          </cell>
          <cell r="BT51">
            <v>3148.92</v>
          </cell>
          <cell r="BU51">
            <v>-4351.08</v>
          </cell>
          <cell r="BV51">
            <v>750</v>
          </cell>
          <cell r="BW51">
            <v>1E-3</v>
          </cell>
          <cell r="BX51">
            <v>0</v>
          </cell>
          <cell r="BY51" t="e">
            <v>#DIV/0!</v>
          </cell>
          <cell r="BZ51">
            <v>8250</v>
          </cell>
          <cell r="CA51">
            <v>3148.92</v>
          </cell>
          <cell r="CB51">
            <v>-5101.08</v>
          </cell>
          <cell r="CC51">
            <v>750</v>
          </cell>
          <cell r="CD51">
            <v>1E-3</v>
          </cell>
          <cell r="CE51">
            <v>0</v>
          </cell>
          <cell r="CF51" t="e">
            <v>#DIV/0!</v>
          </cell>
          <cell r="CG51">
            <v>9000</v>
          </cell>
          <cell r="CH51">
            <v>3148.92</v>
          </cell>
        </row>
        <row r="52">
          <cell r="A52" t="str">
            <v>Mercado Livre - Total</v>
          </cell>
          <cell r="B52">
            <v>0.35095529926003483</v>
          </cell>
          <cell r="C52">
            <v>278990.30777149409</v>
          </cell>
          <cell r="D52">
            <v>292674.6931122918</v>
          </cell>
          <cell r="E52" t="e">
            <v>#DIV/0!</v>
          </cell>
          <cell r="F52">
            <v>272186.12751624931</v>
          </cell>
          <cell r="G52">
            <v>23.629626873884924</v>
          </cell>
          <cell r="H52">
            <v>292674.6931122918</v>
          </cell>
          <cell r="I52">
            <v>272186.12751624931</v>
          </cell>
          <cell r="J52">
            <v>-20488.565596042488</v>
          </cell>
          <cell r="K52">
            <v>293482.6931122918</v>
          </cell>
          <cell r="L52" t="e">
            <v>#DIV/0!</v>
          </cell>
          <cell r="M52">
            <v>262970.02027561527</v>
          </cell>
          <cell r="N52">
            <v>19.822827063099197</v>
          </cell>
          <cell r="O52">
            <v>586157.38622458361</v>
          </cell>
          <cell r="P52">
            <v>535156.14779186447</v>
          </cell>
          <cell r="Q52">
            <v>-51001.238432719008</v>
          </cell>
          <cell r="R52">
            <v>298302.6931122918</v>
          </cell>
          <cell r="S52">
            <v>0.3977369241497225</v>
          </cell>
          <cell r="T52">
            <v>252814.37869420811</v>
          </cell>
          <cell r="U52">
            <v>0.35034086822806348</v>
          </cell>
          <cell r="V52">
            <v>884460.07933687535</v>
          </cell>
          <cell r="W52">
            <v>787970.52648607281</v>
          </cell>
          <cell r="X52">
            <v>-96489.552850802676</v>
          </cell>
          <cell r="Y52">
            <v>298302.6931122918</v>
          </cell>
          <cell r="Z52">
            <v>0.3977369241497225</v>
          </cell>
          <cell r="AA52">
            <v>0</v>
          </cell>
          <cell r="AB52" t="e">
            <v>#DIV/0!</v>
          </cell>
          <cell r="AC52">
            <v>1182762.7724491672</v>
          </cell>
          <cell r="AD52">
            <v>787970.52648607281</v>
          </cell>
          <cell r="AE52">
            <v>-394792.24596309435</v>
          </cell>
          <cell r="AF52">
            <v>298302.6931122918</v>
          </cell>
          <cell r="AG52">
            <v>0.3977369241497225</v>
          </cell>
          <cell r="AH52">
            <v>0</v>
          </cell>
          <cell r="AI52">
            <v>0</v>
          </cell>
          <cell r="AJ52">
            <v>1481065.4655614591</v>
          </cell>
          <cell r="AK52">
            <v>787970.52648607281</v>
          </cell>
          <cell r="AL52">
            <v>-693094.93907538627</v>
          </cell>
          <cell r="AM52">
            <v>298302.6931122918</v>
          </cell>
          <cell r="AN52">
            <v>0.3977369241497225</v>
          </cell>
          <cell r="AO52">
            <v>0</v>
          </cell>
          <cell r="AP52" t="e">
            <v>#DIV/0!</v>
          </cell>
          <cell r="AQ52">
            <v>1779368.1586737507</v>
          </cell>
          <cell r="AR52">
            <v>787970.52648607281</v>
          </cell>
          <cell r="AS52">
            <v>-991397.63218767801</v>
          </cell>
          <cell r="AT52">
            <v>298302.6931122918</v>
          </cell>
          <cell r="AU52">
            <v>0.3977369241497225</v>
          </cell>
          <cell r="AV52">
            <v>0</v>
          </cell>
          <cell r="AW52" t="e">
            <v>#DIV/0!</v>
          </cell>
          <cell r="AX52">
            <v>2077670.8517860426</v>
          </cell>
          <cell r="AY52">
            <v>787970.52648607281</v>
          </cell>
          <cell r="AZ52">
            <v>-1289700.3252999703</v>
          </cell>
          <cell r="BA52">
            <v>298302.6931122918</v>
          </cell>
          <cell r="BB52">
            <v>0.3977369241497225</v>
          </cell>
          <cell r="BC52">
            <v>0</v>
          </cell>
          <cell r="BD52" t="e">
            <v>#DIV/0!</v>
          </cell>
          <cell r="BE52">
            <v>2375973.5448983344</v>
          </cell>
          <cell r="BF52">
            <v>787970.52648607281</v>
          </cell>
          <cell r="BG52">
            <v>-1588003.0184122617</v>
          </cell>
          <cell r="BH52">
            <v>298302.6931122918</v>
          </cell>
          <cell r="BI52">
            <v>0.3977369241497225</v>
          </cell>
          <cell r="BJ52">
            <v>0</v>
          </cell>
          <cell r="BK52" t="e">
            <v>#DIV/0!</v>
          </cell>
          <cell r="BL52">
            <v>2674276.2380106263</v>
          </cell>
          <cell r="BM52">
            <v>787970.52648607281</v>
          </cell>
          <cell r="BN52">
            <v>-1886305.7115245536</v>
          </cell>
          <cell r="BO52">
            <v>300918.66069084214</v>
          </cell>
          <cell r="BP52">
            <v>0.40122488092112296</v>
          </cell>
          <cell r="BQ52">
            <v>0</v>
          </cell>
          <cell r="BR52" t="e">
            <v>#DIV/0!</v>
          </cell>
          <cell r="BS52">
            <v>2975194.8987014685</v>
          </cell>
          <cell r="BT52">
            <v>787970.52648607281</v>
          </cell>
          <cell r="BU52">
            <v>-2187224.3722153953</v>
          </cell>
          <cell r="BV52">
            <v>313529.03994084214</v>
          </cell>
          <cell r="BW52">
            <v>0.41803871992112296</v>
          </cell>
          <cell r="BX52">
            <v>0</v>
          </cell>
          <cell r="BY52" t="e">
            <v>#DIV/0!</v>
          </cell>
          <cell r="BZ52">
            <v>3288723.9386423109</v>
          </cell>
          <cell r="CA52">
            <v>787970.52648607281</v>
          </cell>
          <cell r="CB52">
            <v>-2500753.4121562378</v>
          </cell>
          <cell r="CC52">
            <v>313529.03994084214</v>
          </cell>
          <cell r="CD52">
            <v>0.41803871992112296</v>
          </cell>
          <cell r="CE52">
            <v>0</v>
          </cell>
          <cell r="CF52" t="e">
            <v>#DIV/0!</v>
          </cell>
          <cell r="CG52">
            <v>3602252.9785831524</v>
          </cell>
          <cell r="CH52">
            <v>787970.52648607281</v>
          </cell>
        </row>
        <row r="53">
          <cell r="A53" t="str">
            <v>Distribuição Anual de Lucros</v>
          </cell>
          <cell r="F53">
            <v>1500</v>
          </cell>
          <cell r="M53">
            <v>316679.5</v>
          </cell>
          <cell r="T53">
            <v>7358.13</v>
          </cell>
          <cell r="AO53">
            <v>0</v>
          </cell>
          <cell r="BQ53">
            <v>0</v>
          </cell>
        </row>
        <row r="54">
          <cell r="A54" t="str">
            <v>Ajuste Mensal de Lucros</v>
          </cell>
          <cell r="F54">
            <v>7067.8132500000002</v>
          </cell>
          <cell r="M54">
            <v>30824.47525</v>
          </cell>
          <cell r="T54">
            <v>161.61000000000001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Impostos</v>
          </cell>
          <cell r="B55">
            <v>0.17349999999999999</v>
          </cell>
          <cell r="C55">
            <v>137923.03036999996</v>
          </cell>
          <cell r="D55">
            <v>0</v>
          </cell>
          <cell r="F55">
            <v>2064.9959736772225</v>
          </cell>
          <cell r="H55">
            <v>0</v>
          </cell>
          <cell r="I55">
            <v>2064.9959736772225</v>
          </cell>
          <cell r="J55">
            <v>2064.9959736772225</v>
          </cell>
          <cell r="K55">
            <v>0</v>
          </cell>
          <cell r="M55">
            <v>2451.8661488024622</v>
          </cell>
          <cell r="O55">
            <v>0</v>
          </cell>
          <cell r="P55">
            <v>4516.8621224796843</v>
          </cell>
          <cell r="Q55">
            <v>4516.8621224796843</v>
          </cell>
          <cell r="R55">
            <v>130124.99999999999</v>
          </cell>
          <cell r="T55">
            <v>136830.50224728032</v>
          </cell>
          <cell r="V55">
            <v>130124.99999999999</v>
          </cell>
          <cell r="W55">
            <v>141347.36436976001</v>
          </cell>
          <cell r="X55">
            <v>11222.36436976002</v>
          </cell>
          <cell r="Y55">
            <v>130124.99999999999</v>
          </cell>
          <cell r="AA55">
            <v>0</v>
          </cell>
          <cell r="AC55">
            <v>260249.99999999997</v>
          </cell>
          <cell r="AD55">
            <v>141347.36436976001</v>
          </cell>
          <cell r="AE55">
            <v>-118902.63563023997</v>
          </cell>
          <cell r="AF55">
            <v>130124.99999999999</v>
          </cell>
          <cell r="AH55">
            <v>0</v>
          </cell>
          <cell r="AJ55">
            <v>390374.99999999994</v>
          </cell>
          <cell r="AK55">
            <v>141347.36436976001</v>
          </cell>
          <cell r="AL55">
            <v>-249027.63563023994</v>
          </cell>
          <cell r="AM55">
            <v>130124.99999999999</v>
          </cell>
          <cell r="AO55">
            <v>0</v>
          </cell>
          <cell r="AQ55">
            <v>520499.99999999994</v>
          </cell>
          <cell r="AR55">
            <v>141347.36436976001</v>
          </cell>
          <cell r="AS55">
            <v>-379152.63563023997</v>
          </cell>
          <cell r="AT55">
            <v>130124.99999999999</v>
          </cell>
          <cell r="AV55">
            <v>0</v>
          </cell>
          <cell r="AX55">
            <v>650624.99999999988</v>
          </cell>
          <cell r="AY55">
            <v>141347.36436976001</v>
          </cell>
          <cell r="AZ55">
            <v>-509277.63563023985</v>
          </cell>
          <cell r="BA55">
            <v>130124.99999999999</v>
          </cell>
          <cell r="BC55">
            <v>0</v>
          </cell>
          <cell r="BE55">
            <v>780749.99999999988</v>
          </cell>
          <cell r="BF55">
            <v>141347.36436976001</v>
          </cell>
          <cell r="BG55">
            <v>-639402.63563023985</v>
          </cell>
          <cell r="BH55">
            <v>130124.99999999999</v>
          </cell>
          <cell r="BJ55">
            <v>0</v>
          </cell>
          <cell r="BL55">
            <v>910874.99999999988</v>
          </cell>
          <cell r="BM55">
            <v>141347.36436976001</v>
          </cell>
          <cell r="BN55">
            <v>-769527.63563023985</v>
          </cell>
          <cell r="BO55">
            <v>130124.99999999999</v>
          </cell>
          <cell r="BQ55">
            <v>0</v>
          </cell>
          <cell r="BS55">
            <v>1040999.9999999999</v>
          </cell>
          <cell r="BT55">
            <v>141347.36436976001</v>
          </cell>
          <cell r="BU55">
            <v>-899652.63563023985</v>
          </cell>
          <cell r="BV55">
            <v>130124.99999999999</v>
          </cell>
          <cell r="BX55">
            <v>0</v>
          </cell>
          <cell r="BZ55">
            <v>1171124.9999999998</v>
          </cell>
          <cell r="CA55">
            <v>141347.36436976001</v>
          </cell>
          <cell r="CB55">
            <v>-1029777.6356302397</v>
          </cell>
          <cell r="CC55">
            <v>130124.99999999999</v>
          </cell>
          <cell r="CE55">
            <v>0</v>
          </cell>
          <cell r="CG55">
            <v>1301249.9999999998</v>
          </cell>
          <cell r="CH55">
            <v>141347.36436976001</v>
          </cell>
        </row>
        <row r="56">
          <cell r="CH56">
            <v>7067.8132500000002</v>
          </cell>
        </row>
        <row r="57">
          <cell r="A57" t="str">
            <v>Margem de Contribuição</v>
          </cell>
          <cell r="B57">
            <v>0.47554470073996513</v>
          </cell>
          <cell r="C57">
            <v>378032.08185850584</v>
          </cell>
          <cell r="D57" t="e">
            <v>#DIV/0!</v>
          </cell>
          <cell r="F57">
            <v>-22.808897892578386</v>
          </cell>
          <cell r="H57" t="e">
            <v>#DIV/0!</v>
          </cell>
          <cell r="I57">
            <v>-22.808897892578386</v>
          </cell>
          <cell r="K57" t="e">
            <v>#DIV/0!</v>
          </cell>
          <cell r="M57">
            <v>-19.007650103378236</v>
          </cell>
          <cell r="O57" t="e">
            <v>#DIV/0!</v>
          </cell>
          <cell r="P57">
            <v>-20.774292538728027</v>
          </cell>
          <cell r="R57">
            <v>0.42876307585027762</v>
          </cell>
          <cell r="T57">
            <v>0.46004445397951227</v>
          </cell>
          <cell r="V57">
            <v>-0.35278010578250046</v>
          </cell>
          <cell r="W57">
            <v>-0.24505204614708398</v>
          </cell>
          <cell r="Y57">
            <v>0.42876307585027762</v>
          </cell>
          <cell r="AA57">
            <v>0</v>
          </cell>
          <cell r="AC57">
            <v>3.7991485033888543E-2</v>
          </cell>
          <cell r="AD57">
            <v>-0.24505204614708398</v>
          </cell>
          <cell r="AF57">
            <v>0.42876307585027762</v>
          </cell>
          <cell r="AH57">
            <v>0</v>
          </cell>
          <cell r="AJ57">
            <v>0.16824868197268489</v>
          </cell>
          <cell r="AK57">
            <v>-0.24505204614708398</v>
          </cell>
          <cell r="AM57">
            <v>0.42876307585027762</v>
          </cell>
          <cell r="AO57">
            <v>0</v>
          </cell>
          <cell r="AQ57">
            <v>0.23337728044208311</v>
          </cell>
          <cell r="AR57">
            <v>-0.24505204614708398</v>
          </cell>
          <cell r="AT57">
            <v>0.42876307585027762</v>
          </cell>
          <cell r="AV57">
            <v>0</v>
          </cell>
          <cell r="AX57">
            <v>0.272454439523722</v>
          </cell>
          <cell r="AY57">
            <v>-0.24505204614708398</v>
          </cell>
          <cell r="BA57">
            <v>0.42876307585027762</v>
          </cell>
          <cell r="BC57">
            <v>0</v>
          </cell>
          <cell r="BE57">
            <v>0.29850587891148123</v>
          </cell>
          <cell r="BF57">
            <v>-0.24505204614708398</v>
          </cell>
          <cell r="BH57">
            <v>0.42876307585027762</v>
          </cell>
          <cell r="BJ57">
            <v>0</v>
          </cell>
          <cell r="BL57">
            <v>0.31711404990273784</v>
          </cell>
          <cell r="BM57">
            <v>-0.24505204614708398</v>
          </cell>
          <cell r="BO57">
            <v>0.42527511907887716</v>
          </cell>
          <cell r="BQ57">
            <v>0</v>
          </cell>
          <cell r="BS57">
            <v>0.33063418354975527</v>
          </cell>
          <cell r="BT57">
            <v>-0.24505204614708398</v>
          </cell>
          <cell r="BV57">
            <v>0.40846128007887716</v>
          </cell>
          <cell r="BX57">
            <v>0</v>
          </cell>
          <cell r="BZ57">
            <v>0.33928163871965766</v>
          </cell>
          <cell r="CA57">
            <v>-0.24505204614708398</v>
          </cell>
          <cell r="CC57">
            <v>0.40846128007887716</v>
          </cell>
          <cell r="CE57">
            <v>0</v>
          </cell>
          <cell r="CG57">
            <v>0.34619960285557966</v>
          </cell>
          <cell r="CH57">
            <v>-0.24505204614708398</v>
          </cell>
        </row>
        <row r="59">
          <cell r="A59" t="str">
            <v>Rateio</v>
          </cell>
          <cell r="C59">
            <v>86892.490080630116</v>
          </cell>
          <cell r="F59">
            <v>2514.301042450807</v>
          </cell>
          <cell r="I59">
            <v>2514.301042450807</v>
          </cell>
          <cell r="M59">
            <v>2918.1367195765388</v>
          </cell>
          <cell r="P59">
            <v>5432.4377620273463</v>
          </cell>
          <cell r="T59">
            <v>154910.8685068464</v>
          </cell>
          <cell r="W59">
            <v>160343.30626887374</v>
          </cell>
          <cell r="AA59">
            <v>0</v>
          </cell>
          <cell r="AD59">
            <v>160343.30626887374</v>
          </cell>
          <cell r="AH59">
            <v>0</v>
          </cell>
          <cell r="AK59">
            <v>160343.30626887374</v>
          </cell>
          <cell r="AO59">
            <v>0</v>
          </cell>
          <cell r="AR59">
            <v>160343.30626887374</v>
          </cell>
          <cell r="AV59">
            <v>0</v>
          </cell>
          <cell r="AY59">
            <v>160343.30626887374</v>
          </cell>
          <cell r="BC59">
            <v>0</v>
          </cell>
          <cell r="BF59">
            <v>160343.30626887374</v>
          </cell>
          <cell r="BJ59">
            <v>0</v>
          </cell>
          <cell r="BM59">
            <v>160343.30626887374</v>
          </cell>
          <cell r="BQ59">
            <v>0</v>
          </cell>
          <cell r="BT59">
            <v>160343.30626887374</v>
          </cell>
          <cell r="BX59">
            <v>0</v>
          </cell>
          <cell r="CA59">
            <v>160343.30626887374</v>
          </cell>
          <cell r="CE59">
            <v>0</v>
          </cell>
          <cell r="CH59">
            <v>160343.30626887374</v>
          </cell>
        </row>
        <row r="61">
          <cell r="A61" t="str">
            <v>Resultado</v>
          </cell>
          <cell r="C61">
            <v>103581.1428969112</v>
          </cell>
          <cell r="F61">
            <v>-265246.57453237736</v>
          </cell>
          <cell r="G61">
            <v>-23.027174981215776</v>
          </cell>
          <cell r="I61">
            <v>-265246.57453237736</v>
          </cell>
          <cell r="J61">
            <v>-23.027174981215776</v>
          </cell>
          <cell r="M61">
            <v>-255074.00314399428</v>
          </cell>
          <cell r="N61">
            <v>-19.227620879811298</v>
          </cell>
          <cell r="P61">
            <v>-520320.57767637167</v>
          </cell>
          <cell r="Q61">
            <v>-20.993476168177263</v>
          </cell>
          <cell r="T61">
            <v>177068.25055166517</v>
          </cell>
          <cell r="U61">
            <v>0.24537466956706702</v>
          </cell>
          <cell r="W61">
            <v>-343252.32712470647</v>
          </cell>
          <cell r="X61">
            <v>-0.45987171498203988</v>
          </cell>
          <cell r="AA61">
            <v>0</v>
          </cell>
          <cell r="AB61" t="e">
            <v>#DIV/0!</v>
          </cell>
          <cell r="AD61">
            <v>-343252.32712470647</v>
          </cell>
          <cell r="AE61">
            <v>-0.45987171498203988</v>
          </cell>
          <cell r="AH61">
            <v>0</v>
          </cell>
          <cell r="AI61" t="e">
            <v>#DIV/0!</v>
          </cell>
          <cell r="AK61">
            <v>-343252.32712470647</v>
          </cell>
          <cell r="AL61">
            <v>-0.45987171498203988</v>
          </cell>
          <cell r="AO61">
            <v>0</v>
          </cell>
          <cell r="AP61" t="e">
            <v>#DIV/0!</v>
          </cell>
          <cell r="AR61">
            <v>-343252.32712470647</v>
          </cell>
          <cell r="AS61">
            <v>-0.45987171498203988</v>
          </cell>
          <cell r="AV61">
            <v>0</v>
          </cell>
          <cell r="AW61" t="e">
            <v>#DIV/0!</v>
          </cell>
          <cell r="AY61">
            <v>-343252.32712470647</v>
          </cell>
          <cell r="AZ61">
            <v>-0.45987171498203988</v>
          </cell>
          <cell r="BC61">
            <v>0</v>
          </cell>
          <cell r="BD61" t="e">
            <v>#DIV/0!</v>
          </cell>
          <cell r="BF61">
            <v>-343252.32712470647</v>
          </cell>
          <cell r="BG61">
            <v>-0.45987171498203988</v>
          </cell>
          <cell r="BJ61">
            <v>0</v>
          </cell>
          <cell r="BK61" t="e">
            <v>#DIV/0!</v>
          </cell>
          <cell r="BM61">
            <v>-343252.32712470647</v>
          </cell>
          <cell r="BN61">
            <v>-0.45987171498203988</v>
          </cell>
          <cell r="BQ61">
            <v>0</v>
          </cell>
          <cell r="BR61" t="e">
            <v>#DIV/0!</v>
          </cell>
          <cell r="BT61">
            <v>-343252.32712470647</v>
          </cell>
          <cell r="BU61">
            <v>-0.45987171498203988</v>
          </cell>
          <cell r="BX61">
            <v>0</v>
          </cell>
          <cell r="BY61" t="e">
            <v>#DIV/0!</v>
          </cell>
          <cell r="CA61">
            <v>-343252.32712470647</v>
          </cell>
          <cell r="CB61">
            <v>-0.45987171498203988</v>
          </cell>
          <cell r="CE61">
            <v>0</v>
          </cell>
          <cell r="CF61" t="e">
            <v>#DIV/0!</v>
          </cell>
          <cell r="CH61">
            <v>-343252.32712470647</v>
          </cell>
        </row>
        <row r="63">
          <cell r="A63" t="str">
            <v>Mercado Livre Pronto? N</v>
          </cell>
          <cell r="CG63" t="str">
            <v>Total Ano</v>
          </cell>
        </row>
        <row r="64">
          <cell r="CG64" t="str">
            <v>Receita</v>
          </cell>
          <cell r="CH64">
            <v>7500000</v>
          </cell>
        </row>
        <row r="65">
          <cell r="A65" t="str">
            <v>Impostos - Cálculo Aproximado %</v>
          </cell>
          <cell r="B65">
            <v>0.17349999999999999</v>
          </cell>
          <cell r="CG65" t="str">
            <v>Desp Dir</v>
          </cell>
          <cell r="CH65">
            <v>3602252.9785831524</v>
          </cell>
        </row>
        <row r="66">
          <cell r="CG66" t="str">
            <v>Imposto</v>
          </cell>
          <cell r="CH66">
            <v>1301249.9999999998</v>
          </cell>
        </row>
        <row r="67">
          <cell r="CG67" t="str">
            <v>MC</v>
          </cell>
          <cell r="CH67">
            <v>2596497.0214168476</v>
          </cell>
        </row>
        <row r="68">
          <cell r="CG68" t="str">
            <v>MC %</v>
          </cell>
          <cell r="CH68">
            <v>0.34619960285557966</v>
          </cell>
        </row>
        <row r="69">
          <cell r="CG69" t="str">
            <v>Rateio</v>
          </cell>
          <cell r="CH69">
            <v>1658578.2785361221</v>
          </cell>
        </row>
        <row r="70">
          <cell r="CG70" t="str">
            <v>ML</v>
          </cell>
          <cell r="CH70">
            <v>937918.74288072553</v>
          </cell>
        </row>
        <row r="71">
          <cell r="CG71" t="str">
            <v>ML %</v>
          </cell>
          <cell r="CH71">
            <v>0.12505583238409673</v>
          </cell>
        </row>
      </sheetData>
      <sheetData sheetId="24">
        <row r="11">
          <cell r="A11" t="str">
            <v>13º (+ Encargos)</v>
          </cell>
          <cell r="B11">
            <v>4.3034388181896321E-3</v>
          </cell>
          <cell r="C11">
            <v>420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1025</v>
          </cell>
          <cell r="BW11">
            <v>8.9565606806986109E-3</v>
          </cell>
          <cell r="BX11">
            <v>0</v>
          </cell>
          <cell r="BY11" t="e">
            <v>#DIV/0!</v>
          </cell>
          <cell r="BZ11">
            <v>1025</v>
          </cell>
          <cell r="CA11">
            <v>0</v>
          </cell>
          <cell r="CB11">
            <v>-1025</v>
          </cell>
          <cell r="CC11">
            <v>1025</v>
          </cell>
          <cell r="CD11">
            <v>8.9565606806986109E-3</v>
          </cell>
          <cell r="CE11">
            <v>0</v>
          </cell>
          <cell r="CF11" t="e">
            <v>#DIV/0!</v>
          </cell>
          <cell r="CG11">
            <v>2050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7.577153529767588E-3</v>
          </cell>
          <cell r="C13">
            <v>739.50266680941434</v>
          </cell>
          <cell r="D13">
            <v>417.87808851747218</v>
          </cell>
          <cell r="E13">
            <v>6.9646348086245362E-3</v>
          </cell>
          <cell r="F13">
            <v>395.92383999999998</v>
          </cell>
          <cell r="G13">
            <v>4.3120686761504677E-3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6.9646348086245362E-3</v>
          </cell>
          <cell r="M13">
            <v>400.82801499999999</v>
          </cell>
          <cell r="N13">
            <v>6.235656736154325E-3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6.9646348086245362E-3</v>
          </cell>
          <cell r="T13">
            <v>392.85242</v>
          </cell>
          <cell r="U13">
            <v>4.9795599102581975E-3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3.651463860430327E-3</v>
          </cell>
          <cell r="AA13">
            <v>0</v>
          </cell>
          <cell r="AB13">
            <v>0</v>
          </cell>
          <cell r="AC13">
            <v>1671.5123540698887</v>
          </cell>
          <cell r="AD13">
            <v>1189.6042749999999</v>
          </cell>
          <cell r="AE13">
            <v>-481.9080790698888</v>
          </cell>
          <cell r="AF13">
            <v>417.87808851747218</v>
          </cell>
          <cell r="AG13">
            <v>3.651463860430327E-3</v>
          </cell>
          <cell r="AH13">
            <v>0</v>
          </cell>
          <cell r="AI13">
            <v>0</v>
          </cell>
          <cell r="AJ13">
            <v>2089.3904425873607</v>
          </cell>
          <cell r="AK13">
            <v>1189.6042749999999</v>
          </cell>
          <cell r="AL13">
            <v>-899.78616758736075</v>
          </cell>
          <cell r="AM13">
            <v>417.87808851747218</v>
          </cell>
          <cell r="AN13">
            <v>3.651463860430327E-3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1189.6042749999999</v>
          </cell>
          <cell r="AS13">
            <v>-1317.6642561048327</v>
          </cell>
          <cell r="AT13">
            <v>417.87808851747218</v>
          </cell>
          <cell r="AU13">
            <v>3.651463860430327E-3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1189.6042749999999</v>
          </cell>
          <cell r="AZ13">
            <v>-1735.5423446223047</v>
          </cell>
          <cell r="BA13">
            <v>417.87808851747218</v>
          </cell>
          <cell r="BB13">
            <v>3.651463860430327E-3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1189.6042749999999</v>
          </cell>
          <cell r="BG13">
            <v>-2153.4204331397768</v>
          </cell>
          <cell r="BH13">
            <v>417.87808851747218</v>
          </cell>
          <cell r="BI13">
            <v>3.651463860430327E-3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1189.6042749999999</v>
          </cell>
          <cell r="BN13">
            <v>-2571.2985216572488</v>
          </cell>
          <cell r="BO13">
            <v>434.07160422754055</v>
          </cell>
          <cell r="BP13">
            <v>3.7929645492996672E-3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1189.6042749999999</v>
          </cell>
          <cell r="BU13">
            <v>-3005.3701258847896</v>
          </cell>
          <cell r="BV13">
            <v>434.07160422754055</v>
          </cell>
          <cell r="BW13">
            <v>3.7929645492996672E-3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1189.6042749999999</v>
          </cell>
          <cell r="CB13">
            <v>-3439.4417301123303</v>
          </cell>
          <cell r="CC13">
            <v>434.07160422754055</v>
          </cell>
          <cell r="CD13">
            <v>3.7929645492996672E-3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1189.6042749999999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7.6858136507504263E-3</v>
          </cell>
          <cell r="C15">
            <v>750.10749999999996</v>
          </cell>
          <cell r="D15">
            <v>909</v>
          </cell>
          <cell r="E15">
            <v>1.515E-2</v>
          </cell>
          <cell r="F15">
            <v>88.47</v>
          </cell>
          <cell r="G15">
            <v>9.6354065412942026E-4</v>
          </cell>
          <cell r="H15">
            <v>909</v>
          </cell>
          <cell r="I15">
            <v>88.47</v>
          </cell>
          <cell r="J15">
            <v>-820.53</v>
          </cell>
          <cell r="K15">
            <v>909</v>
          </cell>
          <cell r="L15">
            <v>1.515E-2</v>
          </cell>
          <cell r="M15">
            <v>88.47</v>
          </cell>
          <cell r="N15">
            <v>1.3763223397635345E-3</v>
          </cell>
          <cell r="O15">
            <v>1818</v>
          </cell>
          <cell r="P15">
            <v>176.94</v>
          </cell>
          <cell r="Q15">
            <v>-1641.06</v>
          </cell>
          <cell r="R15">
            <v>909</v>
          </cell>
          <cell r="S15">
            <v>1.515E-2</v>
          </cell>
          <cell r="T15">
            <v>88.47</v>
          </cell>
          <cell r="U15">
            <v>1.1213922654734895E-3</v>
          </cell>
          <cell r="V15">
            <v>2727</v>
          </cell>
          <cell r="W15">
            <v>265.40999999999997</v>
          </cell>
          <cell r="X15">
            <v>-2461.59</v>
          </cell>
          <cell r="Y15">
            <v>909</v>
          </cell>
          <cell r="Z15">
            <v>7.9429401548829631E-3</v>
          </cell>
          <cell r="AA15">
            <v>0</v>
          </cell>
          <cell r="AB15">
            <v>0</v>
          </cell>
          <cell r="AC15">
            <v>3636</v>
          </cell>
          <cell r="AD15">
            <v>265.40999999999997</v>
          </cell>
          <cell r="AE15">
            <v>-3370.59</v>
          </cell>
          <cell r="AF15">
            <v>909</v>
          </cell>
          <cell r="AG15">
            <v>7.9429401548829631E-3</v>
          </cell>
          <cell r="AH15">
            <v>0</v>
          </cell>
          <cell r="AI15">
            <v>0</v>
          </cell>
          <cell r="AJ15">
            <v>4545</v>
          </cell>
          <cell r="AK15">
            <v>265.40999999999997</v>
          </cell>
          <cell r="AL15">
            <v>-4279.59</v>
          </cell>
          <cell r="AM15">
            <v>909</v>
          </cell>
          <cell r="AN15">
            <v>7.9429401548829631E-3</v>
          </cell>
          <cell r="AO15">
            <v>0</v>
          </cell>
          <cell r="AP15" t="e">
            <v>#DIV/0!</v>
          </cell>
          <cell r="AQ15">
            <v>5454</v>
          </cell>
          <cell r="AR15">
            <v>265.40999999999997</v>
          </cell>
          <cell r="AS15">
            <v>-5188.59</v>
          </cell>
          <cell r="AT15">
            <v>909</v>
          </cell>
          <cell r="AU15">
            <v>7.9429401548829631E-3</v>
          </cell>
          <cell r="AV15">
            <v>0</v>
          </cell>
          <cell r="AW15" t="e">
            <v>#DIV/0!</v>
          </cell>
          <cell r="AX15">
            <v>6363</v>
          </cell>
          <cell r="AY15">
            <v>265.40999999999997</v>
          </cell>
          <cell r="AZ15">
            <v>-6097.59</v>
          </cell>
          <cell r="BA15">
            <v>909</v>
          </cell>
          <cell r="BB15">
            <v>7.9429401548829631E-3</v>
          </cell>
          <cell r="BC15">
            <v>0</v>
          </cell>
          <cell r="BD15" t="e">
            <v>#DIV/0!</v>
          </cell>
          <cell r="BE15">
            <v>7272</v>
          </cell>
          <cell r="BF15">
            <v>265.40999999999997</v>
          </cell>
          <cell r="BG15">
            <v>-7006.59</v>
          </cell>
          <cell r="BH15">
            <v>909</v>
          </cell>
          <cell r="BI15">
            <v>7.9429401548829631E-3</v>
          </cell>
          <cell r="BJ15">
            <v>0</v>
          </cell>
          <cell r="BK15" t="e">
            <v>#DIV/0!</v>
          </cell>
          <cell r="BL15">
            <v>8181</v>
          </cell>
          <cell r="BM15">
            <v>265.40999999999997</v>
          </cell>
          <cell r="BN15">
            <v>-7915.59</v>
          </cell>
          <cell r="BO15">
            <v>909</v>
          </cell>
          <cell r="BP15">
            <v>7.9429401548829631E-3</v>
          </cell>
          <cell r="BQ15">
            <v>0</v>
          </cell>
          <cell r="BR15" t="e">
            <v>#DIV/0!</v>
          </cell>
          <cell r="BS15">
            <v>9090</v>
          </cell>
          <cell r="BT15">
            <v>265.40999999999997</v>
          </cell>
          <cell r="BU15">
            <v>-8824.59</v>
          </cell>
          <cell r="BV15">
            <v>909</v>
          </cell>
          <cell r="BW15">
            <v>7.9429401548829631E-3</v>
          </cell>
          <cell r="BX15">
            <v>0</v>
          </cell>
          <cell r="BY15" t="e">
            <v>#DIV/0!</v>
          </cell>
          <cell r="BZ15">
            <v>9999</v>
          </cell>
          <cell r="CA15">
            <v>265.40999999999997</v>
          </cell>
          <cell r="CB15">
            <v>-9733.59</v>
          </cell>
          <cell r="CC15">
            <v>909</v>
          </cell>
          <cell r="CD15">
            <v>7.9429401548829631E-3</v>
          </cell>
          <cell r="CE15">
            <v>0</v>
          </cell>
          <cell r="CF15" t="e">
            <v>#DIV/0!</v>
          </cell>
          <cell r="CG15">
            <v>10908</v>
          </cell>
          <cell r="CH15">
            <v>265.40999999999997</v>
          </cell>
        </row>
        <row r="16">
          <cell r="A16" t="str">
            <v>Back Office / Encerramento</v>
          </cell>
          <cell r="B16">
            <v>4.6133138694980378E-3</v>
          </cell>
          <cell r="C16">
            <v>450.24267964480572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6.1345975373890737E-3</v>
          </cell>
          <cell r="C18">
            <v>598.71444083578365</v>
          </cell>
          <cell r="D18">
            <v>600</v>
          </cell>
          <cell r="E18">
            <v>0.01</v>
          </cell>
          <cell r="F18">
            <v>249.68461530721461</v>
          </cell>
          <cell r="G18">
            <v>2.7193543298198964E-3</v>
          </cell>
          <cell r="H18">
            <v>600</v>
          </cell>
          <cell r="I18">
            <v>249.68461530721461</v>
          </cell>
          <cell r="J18">
            <v>-350.31538469278541</v>
          </cell>
          <cell r="K18">
            <v>600</v>
          </cell>
          <cell r="L18">
            <v>0.01</v>
          </cell>
          <cell r="M18">
            <v>355.0827609204369</v>
          </cell>
          <cell r="N18">
            <v>5.5240006365967157E-3</v>
          </cell>
          <cell r="O18">
            <v>1200</v>
          </cell>
          <cell r="P18">
            <v>604.76737622765154</v>
          </cell>
          <cell r="Q18">
            <v>-595.23262377234846</v>
          </cell>
          <cell r="R18">
            <v>600</v>
          </cell>
          <cell r="S18">
            <v>0.01</v>
          </cell>
          <cell r="T18">
            <v>392.89320525935284</v>
          </cell>
          <cell r="U18">
            <v>4.9800768795628617E-3</v>
          </cell>
          <cell r="V18">
            <v>1800</v>
          </cell>
          <cell r="W18">
            <v>997.66058148700438</v>
          </cell>
          <cell r="X18">
            <v>-802.33941851299562</v>
          </cell>
          <cell r="Y18">
            <v>600</v>
          </cell>
          <cell r="Z18">
            <v>5.2428647887016264E-3</v>
          </cell>
          <cell r="AA18">
            <v>0</v>
          </cell>
          <cell r="AB18">
            <v>0</v>
          </cell>
          <cell r="AC18">
            <v>2400</v>
          </cell>
          <cell r="AD18">
            <v>997.66058148700438</v>
          </cell>
          <cell r="AE18">
            <v>-1402.3394185129955</v>
          </cell>
          <cell r="AF18">
            <v>600</v>
          </cell>
          <cell r="AG18">
            <v>5.2428647887016264E-3</v>
          </cell>
          <cell r="AH18">
            <v>0</v>
          </cell>
          <cell r="AI18">
            <v>0</v>
          </cell>
          <cell r="AJ18">
            <v>3000</v>
          </cell>
          <cell r="AK18">
            <v>997.66058148700438</v>
          </cell>
          <cell r="AL18">
            <v>-2002.3394185129955</v>
          </cell>
          <cell r="AM18">
            <v>600</v>
          </cell>
          <cell r="AN18">
            <v>5.2428647887016264E-3</v>
          </cell>
          <cell r="AO18">
            <v>0</v>
          </cell>
          <cell r="AP18" t="e">
            <v>#DIV/0!</v>
          </cell>
          <cell r="AQ18">
            <v>3600</v>
          </cell>
          <cell r="AR18">
            <v>997.66058148700438</v>
          </cell>
          <cell r="AS18">
            <v>-2602.3394185129955</v>
          </cell>
          <cell r="AT18">
            <v>600</v>
          </cell>
          <cell r="AU18">
            <v>5.2428647887016264E-3</v>
          </cell>
          <cell r="AV18">
            <v>0</v>
          </cell>
          <cell r="AW18" t="e">
            <v>#DIV/0!</v>
          </cell>
          <cell r="AX18">
            <v>4200</v>
          </cell>
          <cell r="AY18">
            <v>997.66058148700438</v>
          </cell>
          <cell r="AZ18">
            <v>-3202.3394185129955</v>
          </cell>
          <cell r="BA18">
            <v>600</v>
          </cell>
          <cell r="BB18">
            <v>5.2428647887016264E-3</v>
          </cell>
          <cell r="BC18">
            <v>0</v>
          </cell>
          <cell r="BD18" t="e">
            <v>#DIV/0!</v>
          </cell>
          <cell r="BE18">
            <v>4800</v>
          </cell>
          <cell r="BF18">
            <v>997.66058148700438</v>
          </cell>
          <cell r="BG18">
            <v>-3802.3394185129955</v>
          </cell>
          <cell r="BH18">
            <v>600</v>
          </cell>
          <cell r="BI18">
            <v>5.2428647887016264E-3</v>
          </cell>
          <cell r="BJ18">
            <v>0</v>
          </cell>
          <cell r="BK18" t="e">
            <v>#DIV/0!</v>
          </cell>
          <cell r="BL18">
            <v>5400</v>
          </cell>
          <cell r="BM18">
            <v>997.66058148700438</v>
          </cell>
          <cell r="BN18">
            <v>-4402.3394185129955</v>
          </cell>
          <cell r="BO18">
            <v>600</v>
          </cell>
          <cell r="BP18">
            <v>5.2428647887016264E-3</v>
          </cell>
          <cell r="BQ18">
            <v>0</v>
          </cell>
          <cell r="BR18" t="e">
            <v>#DIV/0!</v>
          </cell>
          <cell r="BS18">
            <v>6000</v>
          </cell>
          <cell r="BT18">
            <v>997.66058148700438</v>
          </cell>
          <cell r="BU18">
            <v>-5002.3394185129955</v>
          </cell>
          <cell r="BV18">
            <v>600</v>
          </cell>
          <cell r="BW18">
            <v>5.2428647887016264E-3</v>
          </cell>
          <cell r="BX18">
            <v>0</v>
          </cell>
          <cell r="BY18" t="e">
            <v>#DIV/0!</v>
          </cell>
          <cell r="BZ18">
            <v>6600</v>
          </cell>
          <cell r="CA18">
            <v>997.66058148700438</v>
          </cell>
          <cell r="CB18">
            <v>-5602.3394185129955</v>
          </cell>
          <cell r="CC18">
            <v>600</v>
          </cell>
          <cell r="CD18">
            <v>5.2428647887016264E-3</v>
          </cell>
          <cell r="CE18">
            <v>0</v>
          </cell>
          <cell r="CF18" t="e">
            <v>#DIV/0!</v>
          </cell>
          <cell r="CG18">
            <v>7200</v>
          </cell>
          <cell r="CH18">
            <v>997.66058148700438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0.19649962726584377</v>
          </cell>
          <cell r="C20">
            <v>19177.649999999998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4.9511003833288131E-2</v>
          </cell>
          <cell r="C21">
            <v>4832.0941666666668</v>
          </cell>
          <cell r="D21">
            <v>4850</v>
          </cell>
          <cell r="E21">
            <v>8.0833333333333326E-2</v>
          </cell>
          <cell r="F21">
            <v>3782.04</v>
          </cell>
          <cell r="G21">
            <v>4.1190791178293572E-2</v>
          </cell>
          <cell r="H21">
            <v>4850</v>
          </cell>
          <cell r="I21">
            <v>3782.04</v>
          </cell>
          <cell r="J21">
            <v>-1067.96</v>
          </cell>
          <cell r="K21">
            <v>4850</v>
          </cell>
          <cell r="L21">
            <v>8.0833333333333326E-2</v>
          </cell>
          <cell r="M21">
            <v>3782.05</v>
          </cell>
          <cell r="N21">
            <v>5.8837118855009335E-2</v>
          </cell>
          <cell r="O21">
            <v>9700</v>
          </cell>
          <cell r="P21">
            <v>7564.09</v>
          </cell>
          <cell r="Q21">
            <v>-2135.91</v>
          </cell>
          <cell r="R21">
            <v>4850</v>
          </cell>
          <cell r="S21">
            <v>8.0833333333333326E-2</v>
          </cell>
          <cell r="T21">
            <v>0</v>
          </cell>
          <cell r="U21">
            <v>0</v>
          </cell>
          <cell r="V21">
            <v>14550</v>
          </cell>
          <cell r="W21">
            <v>7564.09</v>
          </cell>
          <cell r="X21">
            <v>-6985.91</v>
          </cell>
          <cell r="Y21">
            <v>4850</v>
          </cell>
          <cell r="Z21">
            <v>4.237982370867148E-2</v>
          </cell>
          <cell r="AA21">
            <v>0</v>
          </cell>
          <cell r="AB21">
            <v>0</v>
          </cell>
          <cell r="AC21">
            <v>19400</v>
          </cell>
          <cell r="AD21">
            <v>7564.09</v>
          </cell>
          <cell r="AE21">
            <v>-11835.91</v>
          </cell>
          <cell r="AF21">
            <v>4850</v>
          </cell>
          <cell r="AG21">
            <v>4.237982370867148E-2</v>
          </cell>
          <cell r="AH21">
            <v>0</v>
          </cell>
          <cell r="AI21">
            <v>0</v>
          </cell>
          <cell r="AJ21">
            <v>24250</v>
          </cell>
          <cell r="AK21">
            <v>7564.09</v>
          </cell>
          <cell r="AL21">
            <v>-16685.91</v>
          </cell>
          <cell r="AM21">
            <v>4850</v>
          </cell>
          <cell r="AN21">
            <v>4.237982370867148E-2</v>
          </cell>
          <cell r="AO21">
            <v>0</v>
          </cell>
          <cell r="AP21" t="e">
            <v>#DIV/0!</v>
          </cell>
          <cell r="AQ21">
            <v>29100</v>
          </cell>
          <cell r="AR21">
            <v>7564.09</v>
          </cell>
          <cell r="AS21">
            <v>-21535.91</v>
          </cell>
          <cell r="AT21">
            <v>4850</v>
          </cell>
          <cell r="AU21">
            <v>4.237982370867148E-2</v>
          </cell>
          <cell r="AV21">
            <v>0</v>
          </cell>
          <cell r="AW21" t="e">
            <v>#DIV/0!</v>
          </cell>
          <cell r="AX21">
            <v>33950</v>
          </cell>
          <cell r="AY21">
            <v>7564.09</v>
          </cell>
          <cell r="AZ21">
            <v>-26385.91</v>
          </cell>
          <cell r="BA21">
            <v>4850</v>
          </cell>
          <cell r="BB21">
            <v>4.237982370867148E-2</v>
          </cell>
          <cell r="BC21">
            <v>0</v>
          </cell>
          <cell r="BD21" t="e">
            <v>#DIV/0!</v>
          </cell>
          <cell r="BE21">
            <v>38800</v>
          </cell>
          <cell r="BF21">
            <v>7564.09</v>
          </cell>
          <cell r="BG21">
            <v>-31235.91</v>
          </cell>
          <cell r="BH21">
            <v>4850</v>
          </cell>
          <cell r="BI21">
            <v>4.237982370867148E-2</v>
          </cell>
          <cell r="BJ21">
            <v>0</v>
          </cell>
          <cell r="BK21" t="e">
            <v>#DIV/0!</v>
          </cell>
          <cell r="BL21">
            <v>43650</v>
          </cell>
          <cell r="BM21">
            <v>7564.09</v>
          </cell>
          <cell r="BN21">
            <v>-36085.910000000003</v>
          </cell>
          <cell r="BO21">
            <v>4850</v>
          </cell>
          <cell r="BP21">
            <v>4.237982370867148E-2</v>
          </cell>
          <cell r="BQ21">
            <v>0</v>
          </cell>
          <cell r="BR21" t="e">
            <v>#DIV/0!</v>
          </cell>
          <cell r="BS21">
            <v>48500</v>
          </cell>
          <cell r="BT21">
            <v>7564.09</v>
          </cell>
          <cell r="BU21">
            <v>-40935.910000000003</v>
          </cell>
          <cell r="BV21">
            <v>4850</v>
          </cell>
          <cell r="BW21">
            <v>4.237982370867148E-2</v>
          </cell>
          <cell r="BX21">
            <v>0</v>
          </cell>
          <cell r="BY21" t="e">
            <v>#DIV/0!</v>
          </cell>
          <cell r="BZ21">
            <v>53350</v>
          </cell>
          <cell r="CA21">
            <v>7564.09</v>
          </cell>
          <cell r="CB21">
            <v>-45785.91</v>
          </cell>
          <cell r="CC21">
            <v>4850</v>
          </cell>
          <cell r="CD21">
            <v>4.237982370867148E-2</v>
          </cell>
          <cell r="CE21">
            <v>0</v>
          </cell>
          <cell r="CF21" t="e">
            <v>#DIV/0!</v>
          </cell>
          <cell r="CG21">
            <v>58200</v>
          </cell>
          <cell r="CH21">
            <v>7564.09</v>
          </cell>
        </row>
        <row r="22">
          <cell r="A22" t="str">
            <v>Controladoria Jurídica - Custas</v>
          </cell>
          <cell r="B22">
            <v>6.6010043279902703E-4</v>
          </cell>
          <cell r="C22">
            <v>64.423404976446591</v>
          </cell>
          <cell r="D22">
            <v>500</v>
          </cell>
          <cell r="E22">
            <v>8.3333333333333332E-3</v>
          </cell>
          <cell r="F22">
            <v>290.29695943358132</v>
          </cell>
          <cell r="G22">
            <v>3.1616697432396827E-3</v>
          </cell>
          <cell r="H22">
            <v>500</v>
          </cell>
          <cell r="I22">
            <v>290.29695943358132</v>
          </cell>
          <cell r="J22">
            <v>-209.70304056641868</v>
          </cell>
          <cell r="K22">
            <v>500</v>
          </cell>
          <cell r="L22">
            <v>8.3333333333333332E-3</v>
          </cell>
          <cell r="M22">
            <v>418.37478924034912</v>
          </cell>
          <cell r="N22">
            <v>6.5086308220340559E-3</v>
          </cell>
          <cell r="O22">
            <v>1000</v>
          </cell>
          <cell r="P22">
            <v>708.67174867393044</v>
          </cell>
          <cell r="Q22">
            <v>-291.32825132606956</v>
          </cell>
          <cell r="R22">
            <v>500</v>
          </cell>
          <cell r="S22">
            <v>8.3333333333333332E-3</v>
          </cell>
          <cell r="T22">
            <v>487.86512579405166</v>
          </cell>
          <cell r="U22">
            <v>6.1838835612038033E-3</v>
          </cell>
          <cell r="V22">
            <v>1500</v>
          </cell>
          <cell r="W22">
            <v>1196.5368744679822</v>
          </cell>
          <cell r="X22">
            <v>-303.46312553201778</v>
          </cell>
          <cell r="Y22">
            <v>500</v>
          </cell>
          <cell r="Z22">
            <v>4.3690539905846884E-3</v>
          </cell>
          <cell r="AA22">
            <v>0</v>
          </cell>
          <cell r="AB22">
            <v>0</v>
          </cell>
          <cell r="AC22">
            <v>2000</v>
          </cell>
          <cell r="AD22">
            <v>1196.5368744679822</v>
          </cell>
          <cell r="AE22">
            <v>-803.46312553201778</v>
          </cell>
          <cell r="AF22">
            <v>500</v>
          </cell>
          <cell r="AG22">
            <v>4.3690539905846884E-3</v>
          </cell>
          <cell r="AH22">
            <v>0</v>
          </cell>
          <cell r="AI22">
            <v>0</v>
          </cell>
          <cell r="AJ22">
            <v>2500</v>
          </cell>
          <cell r="AK22">
            <v>1196.5368744679822</v>
          </cell>
          <cell r="AL22">
            <v>-1303.4631255320178</v>
          </cell>
          <cell r="AM22">
            <v>500</v>
          </cell>
          <cell r="AN22">
            <v>4.3690539905846884E-3</v>
          </cell>
          <cell r="AO22">
            <v>0</v>
          </cell>
          <cell r="AP22" t="e">
            <v>#DIV/0!</v>
          </cell>
          <cell r="AQ22">
            <v>3000</v>
          </cell>
          <cell r="AR22">
            <v>1196.5368744679822</v>
          </cell>
          <cell r="AS22">
            <v>-1803.4631255320178</v>
          </cell>
          <cell r="AT22">
            <v>500</v>
          </cell>
          <cell r="AU22">
            <v>4.3690539905846884E-3</v>
          </cell>
          <cell r="AV22">
            <v>0</v>
          </cell>
          <cell r="AW22" t="e">
            <v>#DIV/0!</v>
          </cell>
          <cell r="AX22">
            <v>3500</v>
          </cell>
          <cell r="AY22">
            <v>1196.5368744679822</v>
          </cell>
          <cell r="AZ22">
            <v>-2303.4631255320178</v>
          </cell>
          <cell r="BA22">
            <v>500</v>
          </cell>
          <cell r="BB22">
            <v>4.3690539905846884E-3</v>
          </cell>
          <cell r="BC22">
            <v>0</v>
          </cell>
          <cell r="BD22" t="e">
            <v>#DIV/0!</v>
          </cell>
          <cell r="BE22">
            <v>4000</v>
          </cell>
          <cell r="BF22">
            <v>1196.5368744679822</v>
          </cell>
          <cell r="BG22">
            <v>-2803.4631255320178</v>
          </cell>
          <cell r="BH22">
            <v>500</v>
          </cell>
          <cell r="BI22">
            <v>4.3690539905846884E-3</v>
          </cell>
          <cell r="BJ22">
            <v>0</v>
          </cell>
          <cell r="BK22" t="e">
            <v>#DIV/0!</v>
          </cell>
          <cell r="BL22">
            <v>4500</v>
          </cell>
          <cell r="BM22">
            <v>1196.5368744679822</v>
          </cell>
          <cell r="BN22">
            <v>-3303.4631255320178</v>
          </cell>
          <cell r="BO22">
            <v>500</v>
          </cell>
          <cell r="BP22">
            <v>4.3690539905846884E-3</v>
          </cell>
          <cell r="BQ22">
            <v>0</v>
          </cell>
          <cell r="BR22" t="e">
            <v>#DIV/0!</v>
          </cell>
          <cell r="BS22">
            <v>5000</v>
          </cell>
          <cell r="BT22">
            <v>1196.5368744679822</v>
          </cell>
          <cell r="BU22">
            <v>-3803.4631255320178</v>
          </cell>
          <cell r="BV22">
            <v>500</v>
          </cell>
          <cell r="BW22">
            <v>4.3690539905846884E-3</v>
          </cell>
          <cell r="BX22">
            <v>0</v>
          </cell>
          <cell r="BY22" t="e">
            <v>#DIV/0!</v>
          </cell>
          <cell r="BZ22">
            <v>5500</v>
          </cell>
          <cell r="CA22">
            <v>1196.5368744679822</v>
          </cell>
          <cell r="CB22">
            <v>-4303.4631255320182</v>
          </cell>
          <cell r="CC22">
            <v>500</v>
          </cell>
          <cell r="CD22">
            <v>4.3690539905846884E-3</v>
          </cell>
          <cell r="CE22">
            <v>0</v>
          </cell>
          <cell r="CF22" t="e">
            <v>#DIV/0!</v>
          </cell>
          <cell r="CG22">
            <v>6000</v>
          </cell>
          <cell r="CH22">
            <v>1196.5368744679822</v>
          </cell>
        </row>
        <row r="23">
          <cell r="A23" t="str">
            <v>GNA</v>
          </cell>
          <cell r="B23">
            <v>2.3489122700658185E-2</v>
          </cell>
          <cell r="C23">
            <v>2292.4530709202977</v>
          </cell>
          <cell r="D23">
            <v>600</v>
          </cell>
          <cell r="E23">
            <v>0.01</v>
          </cell>
          <cell r="F23">
            <v>1185.4751204477043</v>
          </cell>
          <cell r="G23">
            <v>1.2911195580539553E-2</v>
          </cell>
          <cell r="H23">
            <v>600</v>
          </cell>
          <cell r="I23">
            <v>1185.4751204477043</v>
          </cell>
          <cell r="J23">
            <v>585.47512044770428</v>
          </cell>
          <cell r="K23">
            <v>600</v>
          </cell>
          <cell r="L23">
            <v>0.01</v>
          </cell>
          <cell r="M23">
            <v>846.48815107702887</v>
          </cell>
          <cell r="N23">
            <v>1.3168764017999827E-2</v>
          </cell>
          <cell r="O23">
            <v>1200</v>
          </cell>
          <cell r="P23">
            <v>2031.963271524733</v>
          </cell>
          <cell r="Q23">
            <v>831.96327152473305</v>
          </cell>
          <cell r="R23">
            <v>600</v>
          </cell>
          <cell r="S23">
            <v>0.01</v>
          </cell>
          <cell r="T23">
            <v>811.55791347641514</v>
          </cell>
          <cell r="U23">
            <v>1.0286817759198093E-2</v>
          </cell>
          <cell r="V23">
            <v>1800</v>
          </cell>
          <cell r="W23">
            <v>2843.5211850011483</v>
          </cell>
          <cell r="X23">
            <v>1043.5211850011483</v>
          </cell>
          <cell r="Y23">
            <v>1144.4125000000001</v>
          </cell>
          <cell r="Z23">
            <v>1.0000000000000002E-2</v>
          </cell>
          <cell r="AA23">
            <v>0</v>
          </cell>
          <cell r="AB23">
            <v>0</v>
          </cell>
          <cell r="AC23">
            <v>2944.4125000000004</v>
          </cell>
          <cell r="AD23">
            <v>2843.5211850011483</v>
          </cell>
          <cell r="AE23">
            <v>-100.89131499885207</v>
          </cell>
          <cell r="AF23">
            <v>1144.4125000000001</v>
          </cell>
          <cell r="AG23">
            <v>1.0000000000000002E-2</v>
          </cell>
          <cell r="AH23">
            <v>0</v>
          </cell>
          <cell r="AI23">
            <v>0</v>
          </cell>
          <cell r="AJ23">
            <v>4088.8250000000007</v>
          </cell>
          <cell r="AK23">
            <v>2843.5211850011483</v>
          </cell>
          <cell r="AL23">
            <v>-1245.3038149988524</v>
          </cell>
          <cell r="AM23">
            <v>1144.4125000000001</v>
          </cell>
          <cell r="AN23">
            <v>1.0000000000000002E-2</v>
          </cell>
          <cell r="AO23">
            <v>0</v>
          </cell>
          <cell r="AP23" t="e">
            <v>#DIV/0!</v>
          </cell>
          <cell r="AQ23">
            <v>5233.2375000000011</v>
          </cell>
          <cell r="AR23">
            <v>2843.5211850011483</v>
          </cell>
          <cell r="AS23">
            <v>-2389.7163149988528</v>
          </cell>
          <cell r="AT23">
            <v>1144.4125000000001</v>
          </cell>
          <cell r="AU23">
            <v>1.0000000000000002E-2</v>
          </cell>
          <cell r="AV23">
            <v>0</v>
          </cell>
          <cell r="AW23" t="e">
            <v>#DIV/0!</v>
          </cell>
          <cell r="AX23">
            <v>6377.6500000000015</v>
          </cell>
          <cell r="AY23">
            <v>2843.5211850011483</v>
          </cell>
          <cell r="AZ23">
            <v>-3534.1288149988532</v>
          </cell>
          <cell r="BA23">
            <v>1144.4125000000001</v>
          </cell>
          <cell r="BB23">
            <v>1.0000000000000002E-2</v>
          </cell>
          <cell r="BC23">
            <v>0</v>
          </cell>
          <cell r="BD23" t="e">
            <v>#DIV/0!</v>
          </cell>
          <cell r="BE23">
            <v>7522.0625000000018</v>
          </cell>
          <cell r="BF23">
            <v>2843.5211850011483</v>
          </cell>
          <cell r="BG23">
            <v>-4678.5413149988535</v>
          </cell>
          <cell r="BH23">
            <v>1144.4125000000001</v>
          </cell>
          <cell r="BI23">
            <v>1.0000000000000002E-2</v>
          </cell>
          <cell r="BJ23">
            <v>0</v>
          </cell>
          <cell r="BK23" t="e">
            <v>#DIV/0!</v>
          </cell>
          <cell r="BL23">
            <v>8666.4750000000022</v>
          </cell>
          <cell r="BM23">
            <v>2843.5211850011483</v>
          </cell>
          <cell r="BN23">
            <v>-5822.9538149988539</v>
          </cell>
          <cell r="BO23">
            <v>1144.4125000000001</v>
          </cell>
          <cell r="BP23">
            <v>1.0000000000000002E-2</v>
          </cell>
          <cell r="BQ23">
            <v>0</v>
          </cell>
          <cell r="BR23" t="e">
            <v>#DIV/0!</v>
          </cell>
          <cell r="BS23">
            <v>9810.8875000000025</v>
          </cell>
          <cell r="BT23">
            <v>2843.5211850011483</v>
          </cell>
          <cell r="BU23">
            <v>-6967.3663149988543</v>
          </cell>
          <cell r="BV23">
            <v>1144.4125000000001</v>
          </cell>
          <cell r="BW23">
            <v>1.0000000000000002E-2</v>
          </cell>
          <cell r="BX23">
            <v>0</v>
          </cell>
          <cell r="BY23" t="e">
            <v>#DIV/0!</v>
          </cell>
          <cell r="BZ23">
            <v>10955.300000000003</v>
          </cell>
          <cell r="CA23">
            <v>2843.5211850011483</v>
          </cell>
          <cell r="CB23">
            <v>-8111.7788149988546</v>
          </cell>
          <cell r="CC23">
            <v>1144.4125000000001</v>
          </cell>
          <cell r="CD23">
            <v>1.0000000000000002E-2</v>
          </cell>
          <cell r="CE23">
            <v>0</v>
          </cell>
          <cell r="CF23" t="e">
            <v>#DIV/0!</v>
          </cell>
          <cell r="CG23">
            <v>12099.712500000003</v>
          </cell>
          <cell r="CH23">
            <v>2843.5211850011483</v>
          </cell>
        </row>
        <row r="24">
          <cell r="A24" t="str">
            <v>Correios</v>
          </cell>
          <cell r="B24">
            <v>7.4579876273060111E-4</v>
          </cell>
          <cell r="C24">
            <v>72.787250750000013</v>
          </cell>
          <cell r="D24">
            <v>100</v>
          </cell>
          <cell r="E24">
            <v>1.6666666666666668E-3</v>
          </cell>
          <cell r="F24">
            <v>0</v>
          </cell>
          <cell r="G24">
            <v>0</v>
          </cell>
          <cell r="H24">
            <v>100</v>
          </cell>
          <cell r="I24">
            <v>0</v>
          </cell>
          <cell r="J24">
            <v>-100</v>
          </cell>
          <cell r="K24">
            <v>100</v>
          </cell>
          <cell r="L24">
            <v>1.6666666666666668E-3</v>
          </cell>
          <cell r="M24">
            <v>0</v>
          </cell>
          <cell r="N24">
            <v>0</v>
          </cell>
          <cell r="O24">
            <v>200</v>
          </cell>
          <cell r="P24">
            <v>0</v>
          </cell>
          <cell r="Q24">
            <v>-200</v>
          </cell>
          <cell r="R24">
            <v>100</v>
          </cell>
          <cell r="S24">
            <v>1.6666666666666668E-3</v>
          </cell>
          <cell r="T24">
            <v>93.550060999999999</v>
          </cell>
          <cell r="U24">
            <v>1.1857840492819388E-3</v>
          </cell>
          <cell r="V24">
            <v>300</v>
          </cell>
          <cell r="W24">
            <v>93.550060999999999</v>
          </cell>
          <cell r="X24">
            <v>-206.449939</v>
          </cell>
          <cell r="Y24">
            <v>100</v>
          </cell>
          <cell r="Z24">
            <v>8.738107981169377E-4</v>
          </cell>
          <cell r="AA24">
            <v>0</v>
          </cell>
          <cell r="AB24">
            <v>0</v>
          </cell>
          <cell r="AC24">
            <v>400</v>
          </cell>
          <cell r="AD24">
            <v>93.550060999999999</v>
          </cell>
          <cell r="AE24">
            <v>-306.44993899999997</v>
          </cell>
          <cell r="AF24">
            <v>100</v>
          </cell>
          <cell r="AG24">
            <v>8.738107981169377E-4</v>
          </cell>
          <cell r="AH24">
            <v>0</v>
          </cell>
          <cell r="AI24">
            <v>0</v>
          </cell>
          <cell r="AJ24">
            <v>500</v>
          </cell>
          <cell r="AK24">
            <v>93.550060999999999</v>
          </cell>
          <cell r="AL24">
            <v>-406.44993899999997</v>
          </cell>
          <cell r="AM24">
            <v>100</v>
          </cell>
          <cell r="AN24">
            <v>8.738107981169377E-4</v>
          </cell>
          <cell r="AO24">
            <v>0</v>
          </cell>
          <cell r="AP24" t="e">
            <v>#DIV/0!</v>
          </cell>
          <cell r="AQ24">
            <v>600</v>
          </cell>
          <cell r="AR24">
            <v>93.550060999999999</v>
          </cell>
          <cell r="AS24">
            <v>-506.44993899999997</v>
          </cell>
          <cell r="AT24">
            <v>100</v>
          </cell>
          <cell r="AU24">
            <v>8.738107981169377E-4</v>
          </cell>
          <cell r="AV24">
            <v>0</v>
          </cell>
          <cell r="AW24" t="e">
            <v>#DIV/0!</v>
          </cell>
          <cell r="AX24">
            <v>700</v>
          </cell>
          <cell r="AY24">
            <v>93.550060999999999</v>
          </cell>
          <cell r="AZ24">
            <v>-606.44993899999997</v>
          </cell>
          <cell r="BA24">
            <v>100</v>
          </cell>
          <cell r="BB24">
            <v>8.738107981169377E-4</v>
          </cell>
          <cell r="BC24">
            <v>0</v>
          </cell>
          <cell r="BD24" t="e">
            <v>#DIV/0!</v>
          </cell>
          <cell r="BE24">
            <v>800</v>
          </cell>
          <cell r="BF24">
            <v>93.550060999999999</v>
          </cell>
          <cell r="BG24">
            <v>-706.44993899999997</v>
          </cell>
          <cell r="BH24">
            <v>100</v>
          </cell>
          <cell r="BI24">
            <v>8.738107981169377E-4</v>
          </cell>
          <cell r="BJ24">
            <v>0</v>
          </cell>
          <cell r="BK24" t="e">
            <v>#DIV/0!</v>
          </cell>
          <cell r="BL24">
            <v>900</v>
          </cell>
          <cell r="BM24">
            <v>93.550060999999999</v>
          </cell>
          <cell r="BN24">
            <v>-806.44993899999997</v>
          </cell>
          <cell r="BO24">
            <v>100</v>
          </cell>
          <cell r="BP24">
            <v>8.738107981169377E-4</v>
          </cell>
          <cell r="BQ24">
            <v>0</v>
          </cell>
          <cell r="BR24" t="e">
            <v>#DIV/0!</v>
          </cell>
          <cell r="BS24">
            <v>1000</v>
          </cell>
          <cell r="BT24">
            <v>93.550060999999999</v>
          </cell>
          <cell r="BU24">
            <v>-906.44993899999997</v>
          </cell>
          <cell r="BV24">
            <v>100</v>
          </cell>
          <cell r="BW24">
            <v>8.738107981169377E-4</v>
          </cell>
          <cell r="BX24">
            <v>0</v>
          </cell>
          <cell r="BY24" t="e">
            <v>#DIV/0!</v>
          </cell>
          <cell r="BZ24">
            <v>1100</v>
          </cell>
          <cell r="CA24">
            <v>93.550060999999999</v>
          </cell>
          <cell r="CB24">
            <v>-1006.449939</v>
          </cell>
          <cell r="CC24">
            <v>100</v>
          </cell>
          <cell r="CD24">
            <v>8.738107981169377E-4</v>
          </cell>
          <cell r="CE24">
            <v>0</v>
          </cell>
          <cell r="CF24" t="e">
            <v>#DIV/0!</v>
          </cell>
          <cell r="CG24">
            <v>1200</v>
          </cell>
          <cell r="CH24">
            <v>93.550060999999999</v>
          </cell>
        </row>
        <row r="25">
          <cell r="A25" t="str">
            <v xml:space="preserve">Correspondentes </v>
          </cell>
          <cell r="B25">
            <v>5.550681634823809E-3</v>
          </cell>
          <cell r="C25">
            <v>541.72636933333331</v>
          </cell>
          <cell r="D25">
            <v>500</v>
          </cell>
          <cell r="E25">
            <v>8.3333333333333332E-3</v>
          </cell>
          <cell r="F25">
            <v>517.49964699999998</v>
          </cell>
          <cell r="G25">
            <v>5.6361698698103773E-3</v>
          </cell>
          <cell r="H25">
            <v>500</v>
          </cell>
          <cell r="I25">
            <v>517.49964699999998</v>
          </cell>
          <cell r="J25">
            <v>17.499646999999982</v>
          </cell>
          <cell r="K25">
            <v>500</v>
          </cell>
          <cell r="L25">
            <v>8.3333333333333332E-3</v>
          </cell>
          <cell r="M25">
            <v>782.04174699999999</v>
          </cell>
          <cell r="N25">
            <v>1.2166175280024892E-2</v>
          </cell>
          <cell r="O25">
            <v>1000</v>
          </cell>
          <cell r="P25">
            <v>1299.5413939999999</v>
          </cell>
          <cell r="Q25">
            <v>299.54139399999985</v>
          </cell>
          <cell r="R25">
            <v>500</v>
          </cell>
          <cell r="S25">
            <v>8.3333333333333332E-3</v>
          </cell>
          <cell r="T25">
            <v>571.61744599999997</v>
          </cell>
          <cell r="U25">
            <v>7.2454773680808177E-3</v>
          </cell>
          <cell r="V25">
            <v>1500</v>
          </cell>
          <cell r="W25">
            <v>1871.1588399999998</v>
          </cell>
          <cell r="X25">
            <v>371.15883999999983</v>
          </cell>
          <cell r="Y25">
            <v>500</v>
          </cell>
          <cell r="Z25">
            <v>4.3690539905846884E-3</v>
          </cell>
          <cell r="AA25">
            <v>0</v>
          </cell>
          <cell r="AB25">
            <v>0</v>
          </cell>
          <cell r="AC25">
            <v>2000</v>
          </cell>
          <cell r="AD25">
            <v>1871.1588399999998</v>
          </cell>
          <cell r="AE25">
            <v>-128.84116000000017</v>
          </cell>
          <cell r="AF25">
            <v>500</v>
          </cell>
          <cell r="AG25">
            <v>4.3690539905846884E-3</v>
          </cell>
          <cell r="AH25">
            <v>0</v>
          </cell>
          <cell r="AI25">
            <v>0</v>
          </cell>
          <cell r="AJ25">
            <v>2500</v>
          </cell>
          <cell r="AK25">
            <v>1871.1588399999998</v>
          </cell>
          <cell r="AL25">
            <v>-628.84116000000017</v>
          </cell>
          <cell r="AM25">
            <v>500</v>
          </cell>
          <cell r="AN25">
            <v>4.3690539905846884E-3</v>
          </cell>
          <cell r="AO25">
            <v>0</v>
          </cell>
          <cell r="AP25" t="e">
            <v>#DIV/0!</v>
          </cell>
          <cell r="AQ25">
            <v>3000</v>
          </cell>
          <cell r="AR25">
            <v>1871.1588399999998</v>
          </cell>
          <cell r="AS25">
            <v>-1128.8411600000002</v>
          </cell>
          <cell r="AT25">
            <v>500</v>
          </cell>
          <cell r="AU25">
            <v>4.3690539905846884E-3</v>
          </cell>
          <cell r="AV25">
            <v>0</v>
          </cell>
          <cell r="AW25" t="e">
            <v>#DIV/0!</v>
          </cell>
          <cell r="AX25">
            <v>3500</v>
          </cell>
          <cell r="AY25">
            <v>1871.1588399999998</v>
          </cell>
          <cell r="AZ25">
            <v>-1628.8411600000002</v>
          </cell>
          <cell r="BA25">
            <v>500</v>
          </cell>
          <cell r="BB25">
            <v>4.3690539905846884E-3</v>
          </cell>
          <cell r="BC25">
            <v>0</v>
          </cell>
          <cell r="BD25" t="e">
            <v>#DIV/0!</v>
          </cell>
          <cell r="BE25">
            <v>4000</v>
          </cell>
          <cell r="BF25">
            <v>1871.1588399999998</v>
          </cell>
          <cell r="BG25">
            <v>-2128.8411599999999</v>
          </cell>
          <cell r="BH25">
            <v>500</v>
          </cell>
          <cell r="BI25">
            <v>4.3690539905846884E-3</v>
          </cell>
          <cell r="BJ25">
            <v>0</v>
          </cell>
          <cell r="BK25" t="e">
            <v>#DIV/0!</v>
          </cell>
          <cell r="BL25">
            <v>4500</v>
          </cell>
          <cell r="BM25">
            <v>1871.1588399999998</v>
          </cell>
          <cell r="BN25">
            <v>-2628.8411599999999</v>
          </cell>
          <cell r="BO25">
            <v>500</v>
          </cell>
          <cell r="BP25">
            <v>4.3690539905846884E-3</v>
          </cell>
          <cell r="BQ25">
            <v>0</v>
          </cell>
          <cell r="BR25" t="e">
            <v>#DIV/0!</v>
          </cell>
          <cell r="BS25">
            <v>5000</v>
          </cell>
          <cell r="BT25">
            <v>1871.1588399999998</v>
          </cell>
          <cell r="BU25">
            <v>-3128.8411599999999</v>
          </cell>
          <cell r="BV25">
            <v>500</v>
          </cell>
          <cell r="BW25">
            <v>4.3690539905846884E-3</v>
          </cell>
          <cell r="BX25">
            <v>0</v>
          </cell>
          <cell r="BY25" t="e">
            <v>#DIV/0!</v>
          </cell>
          <cell r="BZ25">
            <v>5500</v>
          </cell>
          <cell r="CA25">
            <v>1871.1588399999998</v>
          </cell>
          <cell r="CB25">
            <v>-3628.8411599999999</v>
          </cell>
          <cell r="CC25">
            <v>500</v>
          </cell>
          <cell r="CD25">
            <v>4.3690539905846884E-3</v>
          </cell>
          <cell r="CE25">
            <v>0</v>
          </cell>
          <cell r="CF25" t="e">
            <v>#DIV/0!</v>
          </cell>
          <cell r="CG25">
            <v>6000</v>
          </cell>
          <cell r="CH25">
            <v>1871.1588399999998</v>
          </cell>
        </row>
        <row r="26">
          <cell r="A26" t="str">
            <v>Custas/Guias/Despesas</v>
          </cell>
          <cell r="B26">
            <v>1.1267350607188748E-2</v>
          </cell>
          <cell r="C26">
            <v>1099.6524999999999</v>
          </cell>
          <cell r="D26">
            <v>1000</v>
          </cell>
          <cell r="E26">
            <v>1.6666666666666666E-2</v>
          </cell>
          <cell r="F26">
            <v>3751.14</v>
          </cell>
          <cell r="G26">
            <v>4.085425442897065E-2</v>
          </cell>
          <cell r="H26">
            <v>1000</v>
          </cell>
          <cell r="I26">
            <v>3751.14</v>
          </cell>
          <cell r="J26">
            <v>2751.14</v>
          </cell>
          <cell r="K26">
            <v>1000</v>
          </cell>
          <cell r="L26">
            <v>1.6666666666666666E-2</v>
          </cell>
          <cell r="M26">
            <v>0</v>
          </cell>
          <cell r="N26">
            <v>0</v>
          </cell>
          <cell r="O26">
            <v>2000</v>
          </cell>
          <cell r="P26">
            <v>3751.14</v>
          </cell>
          <cell r="Q26">
            <v>1751.1399999999999</v>
          </cell>
          <cell r="R26">
            <v>1000</v>
          </cell>
          <cell r="S26">
            <v>1.6666666666666666E-2</v>
          </cell>
          <cell r="T26">
            <v>17.11</v>
          </cell>
          <cell r="U26">
            <v>2.1687602195378551E-4</v>
          </cell>
          <cell r="V26">
            <v>3000</v>
          </cell>
          <cell r="W26">
            <v>3768.25</v>
          </cell>
          <cell r="X26">
            <v>768.25</v>
          </cell>
          <cell r="Y26">
            <v>1000</v>
          </cell>
          <cell r="Z26">
            <v>8.7381079811693768E-3</v>
          </cell>
          <cell r="AA26">
            <v>0</v>
          </cell>
          <cell r="AB26">
            <v>0</v>
          </cell>
          <cell r="AC26">
            <v>4000</v>
          </cell>
          <cell r="AD26">
            <v>3768.25</v>
          </cell>
          <cell r="AE26">
            <v>-231.75</v>
          </cell>
          <cell r="AF26">
            <v>1000</v>
          </cell>
          <cell r="AG26">
            <v>8.7381079811693768E-3</v>
          </cell>
          <cell r="AH26">
            <v>0</v>
          </cell>
          <cell r="AI26">
            <v>0</v>
          </cell>
          <cell r="AJ26">
            <v>5000</v>
          </cell>
          <cell r="AK26">
            <v>3768.25</v>
          </cell>
          <cell r="AL26">
            <v>-1231.75</v>
          </cell>
          <cell r="AM26">
            <v>1000</v>
          </cell>
          <cell r="AN26">
            <v>8.7381079811693768E-3</v>
          </cell>
          <cell r="AO26">
            <v>0</v>
          </cell>
          <cell r="AP26" t="e">
            <v>#DIV/0!</v>
          </cell>
          <cell r="AQ26">
            <v>6000</v>
          </cell>
          <cell r="AR26">
            <v>3768.25</v>
          </cell>
          <cell r="AS26">
            <v>-2231.75</v>
          </cell>
          <cell r="AT26">
            <v>1000</v>
          </cell>
          <cell r="AU26">
            <v>8.7381079811693768E-3</v>
          </cell>
          <cell r="AV26">
            <v>0</v>
          </cell>
          <cell r="AW26" t="e">
            <v>#DIV/0!</v>
          </cell>
          <cell r="AX26">
            <v>7000</v>
          </cell>
          <cell r="AY26">
            <v>3768.25</v>
          </cell>
          <cell r="AZ26">
            <v>-3231.75</v>
          </cell>
          <cell r="BA26">
            <v>1000</v>
          </cell>
          <cell r="BB26">
            <v>8.7381079811693768E-3</v>
          </cell>
          <cell r="BC26">
            <v>0</v>
          </cell>
          <cell r="BD26" t="e">
            <v>#DIV/0!</v>
          </cell>
          <cell r="BE26">
            <v>8000</v>
          </cell>
          <cell r="BF26">
            <v>3768.25</v>
          </cell>
          <cell r="BG26">
            <v>-4231.75</v>
          </cell>
          <cell r="BH26">
            <v>1000</v>
          </cell>
          <cell r="BI26">
            <v>8.7381079811693768E-3</v>
          </cell>
          <cell r="BJ26">
            <v>0</v>
          </cell>
          <cell r="BK26" t="e">
            <v>#DIV/0!</v>
          </cell>
          <cell r="BL26">
            <v>9000</v>
          </cell>
          <cell r="BM26">
            <v>3768.25</v>
          </cell>
          <cell r="BN26">
            <v>-5231.75</v>
          </cell>
          <cell r="BO26">
            <v>1000</v>
          </cell>
          <cell r="BP26">
            <v>8.7381079811693768E-3</v>
          </cell>
          <cell r="BQ26">
            <v>0</v>
          </cell>
          <cell r="BR26" t="e">
            <v>#DIV/0!</v>
          </cell>
          <cell r="BS26">
            <v>10000</v>
          </cell>
          <cell r="BT26">
            <v>3768.25</v>
          </cell>
          <cell r="BU26">
            <v>-6231.75</v>
          </cell>
          <cell r="BV26">
            <v>1000</v>
          </cell>
          <cell r="BW26">
            <v>8.7381079811693768E-3</v>
          </cell>
          <cell r="BX26">
            <v>0</v>
          </cell>
          <cell r="BY26" t="e">
            <v>#DIV/0!</v>
          </cell>
          <cell r="BZ26">
            <v>11000</v>
          </cell>
          <cell r="CA26">
            <v>3768.25</v>
          </cell>
          <cell r="CB26">
            <v>-7231.75</v>
          </cell>
          <cell r="CC26">
            <v>1000</v>
          </cell>
          <cell r="CD26">
            <v>8.7381079811693768E-3</v>
          </cell>
          <cell r="CE26">
            <v>0</v>
          </cell>
          <cell r="CF26" t="e">
            <v>#DIV/0!</v>
          </cell>
          <cell r="CG26">
            <v>12000</v>
          </cell>
          <cell r="CH26">
            <v>3768.25</v>
          </cell>
        </row>
        <row r="27">
          <cell r="A27" t="str">
            <v>Deslocamento</v>
          </cell>
          <cell r="B27">
            <v>2.3465695897393449E-4</v>
          </cell>
          <cell r="C27">
            <v>22.901667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1.14547238976289E-2</v>
          </cell>
          <cell r="C30">
            <v>1117.9394526696258</v>
          </cell>
          <cell r="D30">
            <v>1386.1536982986618</v>
          </cell>
          <cell r="E30">
            <v>2.310256163831103E-2</v>
          </cell>
          <cell r="F30">
            <v>1457.3158033861316</v>
          </cell>
          <cell r="G30">
            <v>1.5871855120015994E-2</v>
          </cell>
          <cell r="H30">
            <v>1386.1536982986618</v>
          </cell>
          <cell r="I30">
            <v>1457.3158033861316</v>
          </cell>
          <cell r="J30">
            <v>71.162105087469854</v>
          </cell>
          <cell r="K30">
            <v>1386.1536982986618</v>
          </cell>
          <cell r="L30">
            <v>2.310256163831103E-2</v>
          </cell>
          <cell r="M30">
            <v>1386.1536982986618</v>
          </cell>
          <cell r="N30">
            <v>2.156430768977383E-2</v>
          </cell>
          <cell r="O30">
            <v>2772.3073965973235</v>
          </cell>
          <cell r="P30">
            <v>2843.4695016847936</v>
          </cell>
          <cell r="Q30">
            <v>71.162105087470081</v>
          </cell>
          <cell r="R30">
            <v>1386.1536982986618</v>
          </cell>
          <cell r="S30">
            <v>2.310256163831103E-2</v>
          </cell>
          <cell r="T30">
            <v>1415.0387058756689</v>
          </cell>
          <cell r="U30">
            <v>1.7936175654058903E-2</v>
          </cell>
          <cell r="V30">
            <v>4158.4610948959853</v>
          </cell>
          <cell r="W30">
            <v>4258.5082075604623</v>
          </cell>
          <cell r="X30">
            <v>100.04711266447703</v>
          </cell>
          <cell r="Y30">
            <v>1386.1536982986618</v>
          </cell>
          <cell r="Z30">
            <v>1.2112360694230986E-2</v>
          </cell>
          <cell r="AA30">
            <v>0</v>
          </cell>
          <cell r="AB30">
            <v>0</v>
          </cell>
          <cell r="AC30">
            <v>5544.6147931946471</v>
          </cell>
          <cell r="AD30">
            <v>4258.5082075604623</v>
          </cell>
          <cell r="AE30">
            <v>-1286.1065856341847</v>
          </cell>
          <cell r="AF30">
            <v>1386.1536982986618</v>
          </cell>
          <cell r="AG30">
            <v>1.2112360694230986E-2</v>
          </cell>
          <cell r="AH30">
            <v>0</v>
          </cell>
          <cell r="AI30">
            <v>0</v>
          </cell>
          <cell r="AJ30">
            <v>6930.7684914933088</v>
          </cell>
          <cell r="AK30">
            <v>4258.5082075604623</v>
          </cell>
          <cell r="AL30">
            <v>-2672.2602839328465</v>
          </cell>
          <cell r="AM30">
            <v>1386.1536982986618</v>
          </cell>
          <cell r="AN30">
            <v>1.2112360694230986E-2</v>
          </cell>
          <cell r="AO30">
            <v>0</v>
          </cell>
          <cell r="AP30" t="e">
            <v>#DIV/0!</v>
          </cell>
          <cell r="AQ30">
            <v>8316.9221897919706</v>
          </cell>
          <cell r="AR30">
            <v>4258.5082075604623</v>
          </cell>
          <cell r="AS30">
            <v>-4058.4139822315083</v>
          </cell>
          <cell r="AT30">
            <v>1386.1536982986618</v>
          </cell>
          <cell r="AU30">
            <v>1.2112360694230986E-2</v>
          </cell>
          <cell r="AV30">
            <v>0</v>
          </cell>
          <cell r="AW30" t="e">
            <v>#DIV/0!</v>
          </cell>
          <cell r="AX30">
            <v>9703.0758880906324</v>
          </cell>
          <cell r="AY30">
            <v>4258.5082075604623</v>
          </cell>
          <cell r="AZ30">
            <v>-5444.56768053017</v>
          </cell>
          <cell r="BA30">
            <v>1386.1536982986618</v>
          </cell>
          <cell r="BB30">
            <v>1.2112360694230986E-2</v>
          </cell>
          <cell r="BC30">
            <v>0</v>
          </cell>
          <cell r="BD30" t="e">
            <v>#DIV/0!</v>
          </cell>
          <cell r="BE30">
            <v>11089.229586389294</v>
          </cell>
          <cell r="BF30">
            <v>4258.5082075604623</v>
          </cell>
          <cell r="BG30">
            <v>-6830.7213788288318</v>
          </cell>
          <cell r="BH30">
            <v>1386.1536982986618</v>
          </cell>
          <cell r="BI30">
            <v>1.2112360694230986E-2</v>
          </cell>
          <cell r="BJ30">
            <v>0</v>
          </cell>
          <cell r="BK30" t="e">
            <v>#DIV/0!</v>
          </cell>
          <cell r="BL30">
            <v>12475.383284687956</v>
          </cell>
          <cell r="BM30">
            <v>4258.5082075604623</v>
          </cell>
          <cell r="BN30">
            <v>-8216.8750771274936</v>
          </cell>
          <cell r="BO30">
            <v>1386.1536982986618</v>
          </cell>
          <cell r="BP30">
            <v>1.2112360694230986E-2</v>
          </cell>
          <cell r="BQ30">
            <v>0</v>
          </cell>
          <cell r="BR30" t="e">
            <v>#DIV/0!</v>
          </cell>
          <cell r="BS30">
            <v>13861.536982986618</v>
          </cell>
          <cell r="BT30">
            <v>4258.5082075604623</v>
          </cell>
          <cell r="BU30">
            <v>-9603.0287754261553</v>
          </cell>
          <cell r="BV30">
            <v>1386.1536982986618</v>
          </cell>
          <cell r="BW30">
            <v>1.2112360694230986E-2</v>
          </cell>
          <cell r="BX30">
            <v>0</v>
          </cell>
          <cell r="BY30" t="e">
            <v>#DIV/0!</v>
          </cell>
          <cell r="BZ30">
            <v>15247.690681285279</v>
          </cell>
          <cell r="CA30">
            <v>4258.5082075604623</v>
          </cell>
          <cell r="CB30">
            <v>-10989.182473724817</v>
          </cell>
          <cell r="CC30">
            <v>1386.1536982986618</v>
          </cell>
          <cell r="CD30">
            <v>1.2112360694230986E-2</v>
          </cell>
          <cell r="CE30">
            <v>0</v>
          </cell>
          <cell r="CF30" t="e">
            <v>#DIV/0!</v>
          </cell>
          <cell r="CG30">
            <v>16633.844379583941</v>
          </cell>
          <cell r="CH30">
            <v>4258.5082075604623</v>
          </cell>
        </row>
        <row r="31">
          <cell r="A31" t="str">
            <v>Encargos Rescisórios</v>
          </cell>
          <cell r="B31">
            <v>1.1446199475216129E-2</v>
          </cell>
          <cell r="C31">
            <v>1117.1075000000001</v>
          </cell>
          <cell r="D31">
            <v>500</v>
          </cell>
          <cell r="E31">
            <v>8.3333333333333332E-3</v>
          </cell>
          <cell r="F31">
            <v>0</v>
          </cell>
          <cell r="G31">
            <v>0</v>
          </cell>
          <cell r="H31">
            <v>500</v>
          </cell>
          <cell r="I31">
            <v>0</v>
          </cell>
          <cell r="J31">
            <v>-500</v>
          </cell>
          <cell r="K31">
            <v>500</v>
          </cell>
          <cell r="L31">
            <v>8.3333333333333332E-3</v>
          </cell>
          <cell r="M31">
            <v>0</v>
          </cell>
          <cell r="N31">
            <v>0</v>
          </cell>
          <cell r="O31">
            <v>1000</v>
          </cell>
          <cell r="P31">
            <v>0</v>
          </cell>
          <cell r="Q31">
            <v>-1000</v>
          </cell>
          <cell r="R31">
            <v>500</v>
          </cell>
          <cell r="S31">
            <v>8.3333333333333332E-3</v>
          </cell>
          <cell r="T31">
            <v>0</v>
          </cell>
          <cell r="U31">
            <v>0</v>
          </cell>
          <cell r="V31">
            <v>1500</v>
          </cell>
          <cell r="W31">
            <v>0</v>
          </cell>
          <cell r="X31">
            <v>-1500</v>
          </cell>
          <cell r="Y31">
            <v>500</v>
          </cell>
          <cell r="Z31">
            <v>4.3690539905846884E-3</v>
          </cell>
          <cell r="AA31">
            <v>0</v>
          </cell>
          <cell r="AB31">
            <v>0</v>
          </cell>
          <cell r="AC31">
            <v>2000</v>
          </cell>
          <cell r="AD31">
            <v>0</v>
          </cell>
          <cell r="AE31">
            <v>-2000</v>
          </cell>
          <cell r="AF31">
            <v>500</v>
          </cell>
          <cell r="AG31">
            <v>4.3690539905846884E-3</v>
          </cell>
          <cell r="AH31">
            <v>0</v>
          </cell>
          <cell r="AI31">
            <v>0</v>
          </cell>
          <cell r="AJ31">
            <v>2500</v>
          </cell>
          <cell r="AK31">
            <v>0</v>
          </cell>
          <cell r="AL31">
            <v>-2500</v>
          </cell>
          <cell r="AM31">
            <v>500</v>
          </cell>
          <cell r="AN31">
            <v>4.3690539905846884E-3</v>
          </cell>
          <cell r="AO31">
            <v>0</v>
          </cell>
          <cell r="AP31" t="e">
            <v>#DIV/0!</v>
          </cell>
          <cell r="AQ31">
            <v>3000</v>
          </cell>
          <cell r="AR31">
            <v>0</v>
          </cell>
          <cell r="AS31">
            <v>-3000</v>
          </cell>
          <cell r="AT31">
            <v>500</v>
          </cell>
          <cell r="AU31">
            <v>4.3690539905846884E-3</v>
          </cell>
          <cell r="AV31">
            <v>0</v>
          </cell>
          <cell r="AW31" t="e">
            <v>#DIV/0!</v>
          </cell>
          <cell r="AX31">
            <v>3500</v>
          </cell>
          <cell r="AY31">
            <v>0</v>
          </cell>
          <cell r="AZ31">
            <v>-3500</v>
          </cell>
          <cell r="BA31">
            <v>500</v>
          </cell>
          <cell r="BB31">
            <v>4.3690539905846884E-3</v>
          </cell>
          <cell r="BC31">
            <v>0</v>
          </cell>
          <cell r="BD31" t="e">
            <v>#DIV/0!</v>
          </cell>
          <cell r="BE31">
            <v>4000</v>
          </cell>
          <cell r="BF31">
            <v>0</v>
          </cell>
          <cell r="BG31">
            <v>-4000</v>
          </cell>
          <cell r="BH31">
            <v>500</v>
          </cell>
          <cell r="BI31">
            <v>4.3690539905846884E-3</v>
          </cell>
          <cell r="BJ31">
            <v>0</v>
          </cell>
          <cell r="BK31" t="e">
            <v>#DIV/0!</v>
          </cell>
          <cell r="BL31">
            <v>4500</v>
          </cell>
          <cell r="BM31">
            <v>0</v>
          </cell>
          <cell r="BN31">
            <v>-4500</v>
          </cell>
          <cell r="BO31">
            <v>500</v>
          </cell>
          <cell r="BP31">
            <v>4.3690539905846884E-3</v>
          </cell>
          <cell r="BQ31">
            <v>0</v>
          </cell>
          <cell r="BR31" t="e">
            <v>#DIV/0!</v>
          </cell>
          <cell r="BS31">
            <v>5000</v>
          </cell>
          <cell r="BT31">
            <v>0</v>
          </cell>
          <cell r="BU31">
            <v>-5000</v>
          </cell>
          <cell r="BV31">
            <v>500</v>
          </cell>
          <cell r="BW31">
            <v>4.3690539905846884E-3</v>
          </cell>
          <cell r="BX31">
            <v>0</v>
          </cell>
          <cell r="BY31" t="e">
            <v>#DIV/0!</v>
          </cell>
          <cell r="BZ31">
            <v>5500</v>
          </cell>
          <cell r="CA31">
            <v>0</v>
          </cell>
          <cell r="CB31">
            <v>-5500</v>
          </cell>
          <cell r="CC31">
            <v>500</v>
          </cell>
          <cell r="CD31">
            <v>4.3690539905846884E-3</v>
          </cell>
          <cell r="CE31">
            <v>0</v>
          </cell>
          <cell r="CF31" t="e">
            <v>#DIV/0!</v>
          </cell>
          <cell r="CG31">
            <v>6000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1.2807853625564382E-4</v>
          </cell>
          <cell r="C33">
            <v>12.5</v>
          </cell>
          <cell r="D33">
            <v>20</v>
          </cell>
          <cell r="E33">
            <v>3.3333333333333332E-4</v>
          </cell>
          <cell r="F33">
            <v>0</v>
          </cell>
          <cell r="G33">
            <v>0</v>
          </cell>
          <cell r="H33">
            <v>20</v>
          </cell>
          <cell r="I33">
            <v>0</v>
          </cell>
          <cell r="J33">
            <v>-20</v>
          </cell>
          <cell r="K33">
            <v>20</v>
          </cell>
          <cell r="L33">
            <v>3.3333333333333332E-4</v>
          </cell>
          <cell r="M33">
            <v>0</v>
          </cell>
          <cell r="N33">
            <v>0</v>
          </cell>
          <cell r="O33">
            <v>40</v>
          </cell>
          <cell r="P33">
            <v>0</v>
          </cell>
          <cell r="Q33">
            <v>-40</v>
          </cell>
          <cell r="R33">
            <v>20</v>
          </cell>
          <cell r="S33">
            <v>3.3333333333333332E-4</v>
          </cell>
          <cell r="T33">
            <v>0</v>
          </cell>
          <cell r="U33">
            <v>0</v>
          </cell>
          <cell r="V33">
            <v>60</v>
          </cell>
          <cell r="W33">
            <v>0</v>
          </cell>
          <cell r="X33">
            <v>-60</v>
          </cell>
          <cell r="Y33">
            <v>20</v>
          </cell>
          <cell r="Z33">
            <v>1.7476215962338755E-4</v>
          </cell>
          <cell r="AA33">
            <v>0</v>
          </cell>
          <cell r="AB33">
            <v>0</v>
          </cell>
          <cell r="AC33">
            <v>80</v>
          </cell>
          <cell r="AD33">
            <v>0</v>
          </cell>
          <cell r="AE33">
            <v>-80</v>
          </cell>
          <cell r="AF33">
            <v>20</v>
          </cell>
          <cell r="AG33">
            <v>1.7476215962338755E-4</v>
          </cell>
          <cell r="AH33">
            <v>0</v>
          </cell>
          <cell r="AI33">
            <v>0</v>
          </cell>
          <cell r="AJ33">
            <v>100</v>
          </cell>
          <cell r="AK33">
            <v>0</v>
          </cell>
          <cell r="AL33">
            <v>-100</v>
          </cell>
          <cell r="AM33">
            <v>20</v>
          </cell>
          <cell r="AN33">
            <v>1.7476215962338755E-4</v>
          </cell>
          <cell r="AO33">
            <v>0</v>
          </cell>
          <cell r="AP33" t="e">
            <v>#DIV/0!</v>
          </cell>
          <cell r="AQ33">
            <v>120</v>
          </cell>
          <cell r="AR33">
            <v>0</v>
          </cell>
          <cell r="AS33">
            <v>-120</v>
          </cell>
          <cell r="AT33">
            <v>20</v>
          </cell>
          <cell r="AU33">
            <v>1.7476215962338755E-4</v>
          </cell>
          <cell r="AV33">
            <v>0</v>
          </cell>
          <cell r="AW33" t="e">
            <v>#DIV/0!</v>
          </cell>
          <cell r="AX33">
            <v>140</v>
          </cell>
          <cell r="AY33">
            <v>0</v>
          </cell>
          <cell r="AZ33">
            <v>-140</v>
          </cell>
          <cell r="BA33">
            <v>20</v>
          </cell>
          <cell r="BB33">
            <v>1.7476215962338755E-4</v>
          </cell>
          <cell r="BC33">
            <v>0</v>
          </cell>
          <cell r="BD33" t="e">
            <v>#DIV/0!</v>
          </cell>
          <cell r="BE33">
            <v>160</v>
          </cell>
          <cell r="BF33">
            <v>0</v>
          </cell>
          <cell r="BG33">
            <v>-160</v>
          </cell>
          <cell r="BH33">
            <v>20</v>
          </cell>
          <cell r="BI33">
            <v>1.7476215962338755E-4</v>
          </cell>
          <cell r="BJ33">
            <v>0</v>
          </cell>
          <cell r="BK33" t="e">
            <v>#DIV/0!</v>
          </cell>
          <cell r="BL33">
            <v>180</v>
          </cell>
          <cell r="BM33">
            <v>0</v>
          </cell>
          <cell r="BN33">
            <v>-180</v>
          </cell>
          <cell r="BO33">
            <v>20</v>
          </cell>
          <cell r="BP33">
            <v>1.7476215962338755E-4</v>
          </cell>
          <cell r="BQ33">
            <v>0</v>
          </cell>
          <cell r="BR33" t="e">
            <v>#DIV/0!</v>
          </cell>
          <cell r="BS33">
            <v>200</v>
          </cell>
          <cell r="BT33">
            <v>0</v>
          </cell>
          <cell r="BU33">
            <v>-200</v>
          </cell>
          <cell r="BV33">
            <v>20</v>
          </cell>
          <cell r="BW33">
            <v>1.7476215962338755E-4</v>
          </cell>
          <cell r="BX33">
            <v>0</v>
          </cell>
          <cell r="BY33" t="e">
            <v>#DIV/0!</v>
          </cell>
          <cell r="BZ33">
            <v>220</v>
          </cell>
          <cell r="CA33">
            <v>0</v>
          </cell>
          <cell r="CB33">
            <v>-220</v>
          </cell>
          <cell r="CC33">
            <v>20</v>
          </cell>
          <cell r="CD33">
            <v>1.7476215962338755E-4</v>
          </cell>
          <cell r="CE33">
            <v>0</v>
          </cell>
          <cell r="CF33" t="e">
            <v>#DIV/0!</v>
          </cell>
          <cell r="CG33">
            <v>240</v>
          </cell>
          <cell r="CH33">
            <v>0</v>
          </cell>
        </row>
        <row r="34">
          <cell r="A34" t="str">
            <v>Férias</v>
          </cell>
          <cell r="B34">
            <v>3.2661435609087986E-3</v>
          </cell>
          <cell r="C34">
            <v>318.76375000000002</v>
          </cell>
          <cell r="D34">
            <v>56.94444444444445</v>
          </cell>
          <cell r="E34">
            <v>9.4907407407407419E-4</v>
          </cell>
          <cell r="F34">
            <v>0</v>
          </cell>
          <cell r="G34">
            <v>0</v>
          </cell>
          <cell r="H34">
            <v>56.94444444444445</v>
          </cell>
          <cell r="I34">
            <v>0</v>
          </cell>
          <cell r="J34">
            <v>-56.94444444444445</v>
          </cell>
          <cell r="K34">
            <v>56.94444444444445</v>
          </cell>
          <cell r="L34">
            <v>9.4907407407407419E-4</v>
          </cell>
          <cell r="M34">
            <v>1534.26</v>
          </cell>
          <cell r="N34">
            <v>2.3868388301182326E-2</v>
          </cell>
          <cell r="O34">
            <v>113.8888888888889</v>
          </cell>
          <cell r="P34">
            <v>1534.26</v>
          </cell>
          <cell r="Q34">
            <v>1420.3711111111111</v>
          </cell>
          <cell r="R34">
            <v>56.94444444444445</v>
          </cell>
          <cell r="S34">
            <v>9.4907407407407419E-4</v>
          </cell>
          <cell r="T34">
            <v>0</v>
          </cell>
          <cell r="U34">
            <v>0</v>
          </cell>
          <cell r="V34">
            <v>170.83333333333334</v>
          </cell>
          <cell r="W34">
            <v>1534.26</v>
          </cell>
          <cell r="X34">
            <v>1363.4266666666667</v>
          </cell>
          <cell r="Y34">
            <v>56.94444444444445</v>
          </cell>
          <cell r="Z34">
            <v>4.9758670448325629E-4</v>
          </cell>
          <cell r="AA34">
            <v>0</v>
          </cell>
          <cell r="AB34">
            <v>0</v>
          </cell>
          <cell r="AC34">
            <v>227.7777777777778</v>
          </cell>
          <cell r="AD34">
            <v>1534.26</v>
          </cell>
          <cell r="AE34">
            <v>1306.4822222222222</v>
          </cell>
          <cell r="AF34">
            <v>56.94444444444445</v>
          </cell>
          <cell r="AG34">
            <v>4.9758670448325629E-4</v>
          </cell>
          <cell r="AH34">
            <v>0</v>
          </cell>
          <cell r="AI34">
            <v>0</v>
          </cell>
          <cell r="AJ34">
            <v>284.72222222222223</v>
          </cell>
          <cell r="AK34">
            <v>1534.26</v>
          </cell>
          <cell r="AL34">
            <v>1249.5377777777778</v>
          </cell>
          <cell r="AM34">
            <v>56.94444444444445</v>
          </cell>
          <cell r="AN34">
            <v>4.9758670448325629E-4</v>
          </cell>
          <cell r="AO34">
            <v>0</v>
          </cell>
          <cell r="AP34" t="e">
            <v>#DIV/0!</v>
          </cell>
          <cell r="AQ34">
            <v>341.66666666666669</v>
          </cell>
          <cell r="AR34">
            <v>1534.26</v>
          </cell>
          <cell r="AS34">
            <v>1192.5933333333332</v>
          </cell>
          <cell r="AT34">
            <v>56.94444444444445</v>
          </cell>
          <cell r="AU34">
            <v>4.9758670448325629E-4</v>
          </cell>
          <cell r="AV34">
            <v>0</v>
          </cell>
          <cell r="AW34" t="e">
            <v>#DIV/0!</v>
          </cell>
          <cell r="AX34">
            <v>398.61111111111114</v>
          </cell>
          <cell r="AY34">
            <v>1534.26</v>
          </cell>
          <cell r="AZ34">
            <v>1135.6488888888889</v>
          </cell>
          <cell r="BA34">
            <v>56.94444444444445</v>
          </cell>
          <cell r="BB34">
            <v>4.9758670448325629E-4</v>
          </cell>
          <cell r="BC34">
            <v>0</v>
          </cell>
          <cell r="BD34" t="e">
            <v>#DIV/0!</v>
          </cell>
          <cell r="BE34">
            <v>455.5555555555556</v>
          </cell>
          <cell r="BF34">
            <v>1534.26</v>
          </cell>
          <cell r="BG34">
            <v>1078.7044444444443</v>
          </cell>
          <cell r="BH34">
            <v>56.94444444444445</v>
          </cell>
          <cell r="BI34">
            <v>4.9758670448325629E-4</v>
          </cell>
          <cell r="BJ34">
            <v>0</v>
          </cell>
          <cell r="BK34" t="e">
            <v>#DIV/0!</v>
          </cell>
          <cell r="BL34">
            <v>512.5</v>
          </cell>
          <cell r="BM34">
            <v>1534.26</v>
          </cell>
          <cell r="BN34">
            <v>1021.76</v>
          </cell>
          <cell r="BO34">
            <v>56.94444444444445</v>
          </cell>
          <cell r="BP34">
            <v>4.9758670448325629E-4</v>
          </cell>
          <cell r="BQ34">
            <v>0</v>
          </cell>
          <cell r="BR34" t="e">
            <v>#DIV/0!</v>
          </cell>
          <cell r="BS34">
            <v>569.44444444444446</v>
          </cell>
          <cell r="BT34">
            <v>1534.26</v>
          </cell>
          <cell r="BU34">
            <v>964.81555555555553</v>
          </cell>
          <cell r="BV34">
            <v>56.94444444444445</v>
          </cell>
          <cell r="BW34">
            <v>4.9758670448325629E-4</v>
          </cell>
          <cell r="BX34">
            <v>0</v>
          </cell>
          <cell r="BY34" t="e">
            <v>#DIV/0!</v>
          </cell>
          <cell r="BZ34">
            <v>626.38888888888891</v>
          </cell>
          <cell r="CA34">
            <v>1534.26</v>
          </cell>
          <cell r="CB34">
            <v>907.87111111111108</v>
          </cell>
          <cell r="CC34">
            <v>56.94444444444445</v>
          </cell>
          <cell r="CD34">
            <v>4.9758670448325629E-4</v>
          </cell>
          <cell r="CE34">
            <v>0</v>
          </cell>
          <cell r="CF34" t="e">
            <v>#DIV/0!</v>
          </cell>
          <cell r="CG34">
            <v>683.33333333333337</v>
          </cell>
          <cell r="CH34">
            <v>1534.26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5.0706292503609391E-4</v>
          </cell>
          <cell r="C37">
            <v>49.487500000000004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1.9432887357838458E-3</v>
          </cell>
          <cell r="C39">
            <v>189.6579232355779</v>
          </cell>
          <cell r="D39">
            <v>300</v>
          </cell>
          <cell r="E39">
            <v>5.0000000000000001E-3</v>
          </cell>
          <cell r="F39">
            <v>218.6308874259521</v>
          </cell>
          <cell r="G39">
            <v>2.3811433060167008E-3</v>
          </cell>
          <cell r="H39">
            <v>300</v>
          </cell>
          <cell r="I39">
            <v>218.6308874259521</v>
          </cell>
          <cell r="J39">
            <v>-81.369112574047904</v>
          </cell>
          <cell r="K39">
            <v>300</v>
          </cell>
          <cell r="L39">
            <v>5.0000000000000001E-3</v>
          </cell>
          <cell r="M39">
            <v>242.06300352159468</v>
          </cell>
          <cell r="N39">
            <v>3.7657592333788844E-3</v>
          </cell>
          <cell r="O39">
            <v>600</v>
          </cell>
          <cell r="P39">
            <v>460.69389094754678</v>
          </cell>
          <cell r="Q39">
            <v>-139.30610905245322</v>
          </cell>
          <cell r="R39">
            <v>300</v>
          </cell>
          <cell r="S39">
            <v>5.0000000000000001E-3</v>
          </cell>
          <cell r="T39">
            <v>259.63211280667952</v>
          </cell>
          <cell r="U39">
            <v>3.2909397894195875E-3</v>
          </cell>
          <cell r="V39">
            <v>900</v>
          </cell>
          <cell r="W39">
            <v>720.32600375422635</v>
          </cell>
          <cell r="X39">
            <v>-179.67399624577365</v>
          </cell>
          <cell r="Y39">
            <v>300</v>
          </cell>
          <cell r="Z39">
            <v>2.6214323943508132E-3</v>
          </cell>
          <cell r="AA39">
            <v>0</v>
          </cell>
          <cell r="AB39">
            <v>0</v>
          </cell>
          <cell r="AC39">
            <v>1200</v>
          </cell>
          <cell r="AD39">
            <v>720.32600375422635</v>
          </cell>
          <cell r="AE39">
            <v>-479.67399624577365</v>
          </cell>
          <cell r="AF39">
            <v>300</v>
          </cell>
          <cell r="AG39">
            <v>2.6214323943508132E-3</v>
          </cell>
          <cell r="AH39">
            <v>0</v>
          </cell>
          <cell r="AI39">
            <v>0</v>
          </cell>
          <cell r="AJ39">
            <v>1500</v>
          </cell>
          <cell r="AK39">
            <v>720.32600375422635</v>
          </cell>
          <cell r="AL39">
            <v>-779.67399624577365</v>
          </cell>
          <cell r="AM39">
            <v>300</v>
          </cell>
          <cell r="AN39">
            <v>2.6214323943508132E-3</v>
          </cell>
          <cell r="AO39">
            <v>0</v>
          </cell>
          <cell r="AP39" t="e">
            <v>#DIV/0!</v>
          </cell>
          <cell r="AQ39">
            <v>1800</v>
          </cell>
          <cell r="AR39">
            <v>720.32600375422635</v>
          </cell>
          <cell r="AS39">
            <v>-1079.6739962457737</v>
          </cell>
          <cell r="AT39">
            <v>300</v>
          </cell>
          <cell r="AU39">
            <v>2.6214323943508132E-3</v>
          </cell>
          <cell r="AV39">
            <v>0</v>
          </cell>
          <cell r="AW39" t="e">
            <v>#DIV/0!</v>
          </cell>
          <cell r="AX39">
            <v>2100</v>
          </cell>
          <cell r="AY39">
            <v>720.32600375422635</v>
          </cell>
          <cell r="AZ39">
            <v>-1379.6739962457737</v>
          </cell>
          <cell r="BA39">
            <v>300</v>
          </cell>
          <cell r="BB39">
            <v>2.6214323943508132E-3</v>
          </cell>
          <cell r="BC39">
            <v>0</v>
          </cell>
          <cell r="BD39" t="e">
            <v>#DIV/0!</v>
          </cell>
          <cell r="BE39">
            <v>2400</v>
          </cell>
          <cell r="BF39">
            <v>720.32600375422635</v>
          </cell>
          <cell r="BG39">
            <v>-1679.6739962457737</v>
          </cell>
          <cell r="BH39">
            <v>300</v>
          </cell>
          <cell r="BI39">
            <v>2.6214323943508132E-3</v>
          </cell>
          <cell r="BJ39">
            <v>0</v>
          </cell>
          <cell r="BK39" t="e">
            <v>#DIV/0!</v>
          </cell>
          <cell r="BL39">
            <v>2700</v>
          </cell>
          <cell r="BM39">
            <v>720.32600375422635</v>
          </cell>
          <cell r="BN39">
            <v>-1979.6739962457737</v>
          </cell>
          <cell r="BO39">
            <v>300</v>
          </cell>
          <cell r="BP39">
            <v>2.6214323943508132E-3</v>
          </cell>
          <cell r="BQ39">
            <v>0</v>
          </cell>
          <cell r="BR39" t="e">
            <v>#DIV/0!</v>
          </cell>
          <cell r="BS39">
            <v>3000</v>
          </cell>
          <cell r="BT39">
            <v>720.32600375422635</v>
          </cell>
          <cell r="BU39">
            <v>-2279.6739962457737</v>
          </cell>
          <cell r="BV39">
            <v>300</v>
          </cell>
          <cell r="BW39">
            <v>2.6214323943508132E-3</v>
          </cell>
          <cell r="BX39">
            <v>0</v>
          </cell>
          <cell r="BY39" t="e">
            <v>#DIV/0!</v>
          </cell>
          <cell r="BZ39">
            <v>3300</v>
          </cell>
          <cell r="CA39">
            <v>720.32600375422635</v>
          </cell>
          <cell r="CB39">
            <v>-2579.6739962457737</v>
          </cell>
          <cell r="CC39">
            <v>300</v>
          </cell>
          <cell r="CD39">
            <v>2.6214323943508132E-3</v>
          </cell>
          <cell r="CE39">
            <v>0</v>
          </cell>
          <cell r="CF39" t="e">
            <v>#DIV/0!</v>
          </cell>
          <cell r="CG39">
            <v>3600</v>
          </cell>
          <cell r="CH39">
            <v>720.32600375422635</v>
          </cell>
        </row>
        <row r="40">
          <cell r="A40" t="str">
            <v>Pauta - Gestão de Pauta</v>
          </cell>
          <cell r="B40">
            <v>1.5285851159816423E-3</v>
          </cell>
          <cell r="C40">
            <v>149.18435600819541</v>
          </cell>
          <cell r="D40">
            <v>200</v>
          </cell>
          <cell r="E40">
            <v>3.3333333333333335E-3</v>
          </cell>
          <cell r="F40">
            <v>367.35678332767736</v>
          </cell>
          <cell r="G40">
            <v>4.0009403787321122E-3</v>
          </cell>
          <cell r="H40">
            <v>200</v>
          </cell>
          <cell r="I40">
            <v>367.35678332767736</v>
          </cell>
          <cell r="J40">
            <v>167.35678332767736</v>
          </cell>
          <cell r="K40">
            <v>200</v>
          </cell>
          <cell r="L40">
            <v>3.3333333333333335E-3</v>
          </cell>
          <cell r="M40">
            <v>134.85932443162562</v>
          </cell>
          <cell r="N40">
            <v>2.0979982021099193E-3</v>
          </cell>
          <cell r="O40">
            <v>400</v>
          </cell>
          <cell r="P40">
            <v>502.21610775930299</v>
          </cell>
          <cell r="Q40">
            <v>102.21610775930299</v>
          </cell>
          <cell r="R40">
            <v>200</v>
          </cell>
          <cell r="S40">
            <v>3.3333333333333335E-3</v>
          </cell>
          <cell r="T40">
            <v>136.62825262187422</v>
          </cell>
          <cell r="U40">
            <v>1.7318171779736381E-3</v>
          </cell>
          <cell r="V40">
            <v>600</v>
          </cell>
          <cell r="W40">
            <v>638.84436038117724</v>
          </cell>
          <cell r="X40">
            <v>38.844360381177239</v>
          </cell>
          <cell r="Y40">
            <v>200</v>
          </cell>
          <cell r="Z40">
            <v>1.7476215962338754E-3</v>
          </cell>
          <cell r="AA40">
            <v>0</v>
          </cell>
          <cell r="AB40">
            <v>0</v>
          </cell>
          <cell r="AC40">
            <v>800</v>
          </cell>
          <cell r="AD40">
            <v>638.84436038117724</v>
          </cell>
          <cell r="AE40">
            <v>-161.15563961882276</v>
          </cell>
          <cell r="AF40">
            <v>200</v>
          </cell>
          <cell r="AG40">
            <v>1.7476215962338754E-3</v>
          </cell>
          <cell r="AH40">
            <v>0</v>
          </cell>
          <cell r="AI40">
            <v>0</v>
          </cell>
          <cell r="AJ40">
            <v>1000</v>
          </cell>
          <cell r="AK40">
            <v>638.84436038117724</v>
          </cell>
          <cell r="AL40">
            <v>-361.15563961882276</v>
          </cell>
          <cell r="AM40">
            <v>200</v>
          </cell>
          <cell r="AN40">
            <v>1.7476215962338754E-3</v>
          </cell>
          <cell r="AO40">
            <v>0</v>
          </cell>
          <cell r="AP40" t="e">
            <v>#DIV/0!</v>
          </cell>
          <cell r="AQ40">
            <v>1200</v>
          </cell>
          <cell r="AR40">
            <v>638.84436038117724</v>
          </cell>
          <cell r="AS40">
            <v>-561.15563961882276</v>
          </cell>
          <cell r="AT40">
            <v>200</v>
          </cell>
          <cell r="AU40">
            <v>1.7476215962338754E-3</v>
          </cell>
          <cell r="AV40">
            <v>0</v>
          </cell>
          <cell r="AW40" t="e">
            <v>#DIV/0!</v>
          </cell>
          <cell r="AX40">
            <v>1400</v>
          </cell>
          <cell r="AY40">
            <v>638.84436038117724</v>
          </cell>
          <cell r="AZ40">
            <v>-761.15563961882276</v>
          </cell>
          <cell r="BA40">
            <v>200</v>
          </cell>
          <cell r="BB40">
            <v>1.7476215962338754E-3</v>
          </cell>
          <cell r="BC40">
            <v>0</v>
          </cell>
          <cell r="BD40" t="e">
            <v>#DIV/0!</v>
          </cell>
          <cell r="BE40">
            <v>1600</v>
          </cell>
          <cell r="BF40">
            <v>638.84436038117724</v>
          </cell>
          <cell r="BG40">
            <v>-961.15563961882276</v>
          </cell>
          <cell r="BH40">
            <v>200</v>
          </cell>
          <cell r="BI40">
            <v>1.7476215962338754E-3</v>
          </cell>
          <cell r="BJ40">
            <v>0</v>
          </cell>
          <cell r="BK40" t="e">
            <v>#DIV/0!</v>
          </cell>
          <cell r="BL40">
            <v>1800</v>
          </cell>
          <cell r="BM40">
            <v>638.84436038117724</v>
          </cell>
          <cell r="BN40">
            <v>-1161.1556396188228</v>
          </cell>
          <cell r="BO40">
            <v>200</v>
          </cell>
          <cell r="BP40">
            <v>1.7476215962338754E-3</v>
          </cell>
          <cell r="BQ40">
            <v>0</v>
          </cell>
          <cell r="BR40" t="e">
            <v>#DIV/0!</v>
          </cell>
          <cell r="BS40">
            <v>2000</v>
          </cell>
          <cell r="BT40">
            <v>638.84436038117724</v>
          </cell>
          <cell r="BU40">
            <v>-1361.1556396188228</v>
          </cell>
          <cell r="BV40">
            <v>200</v>
          </cell>
          <cell r="BW40">
            <v>1.7476215962338754E-3</v>
          </cell>
          <cell r="BX40">
            <v>0</v>
          </cell>
          <cell r="BY40" t="e">
            <v>#DIV/0!</v>
          </cell>
          <cell r="BZ40">
            <v>2200</v>
          </cell>
          <cell r="CA40">
            <v>638.84436038117724</v>
          </cell>
          <cell r="CB40">
            <v>-1561.1556396188228</v>
          </cell>
          <cell r="CC40">
            <v>200</v>
          </cell>
          <cell r="CD40">
            <v>1.7476215962338754E-3</v>
          </cell>
          <cell r="CE40">
            <v>0</v>
          </cell>
          <cell r="CF40" t="e">
            <v>#DIV/0!</v>
          </cell>
          <cell r="CG40">
            <v>2400</v>
          </cell>
          <cell r="CH40">
            <v>638.84436038117724</v>
          </cell>
        </row>
        <row r="41">
          <cell r="A41" t="str">
            <v>Seguro de Vida</v>
          </cell>
          <cell r="B41">
            <v>1.0998457609957858E-3</v>
          </cell>
          <cell r="C41">
            <v>107.34095200000002</v>
          </cell>
          <cell r="D41">
            <v>110.29</v>
          </cell>
          <cell r="E41">
            <v>1.8381666666666668E-3</v>
          </cell>
          <cell r="F41">
            <v>104.56</v>
          </cell>
          <cell r="G41">
            <v>1.1387793692299332E-3</v>
          </cell>
          <cell r="H41">
            <v>110.29</v>
          </cell>
          <cell r="I41">
            <v>104.56</v>
          </cell>
          <cell r="J41">
            <v>-5.730000000000004</v>
          </cell>
          <cell r="K41">
            <v>110.29</v>
          </cell>
          <cell r="L41">
            <v>1.8381666666666668E-3</v>
          </cell>
          <cell r="M41">
            <v>117.03998300000001</v>
          </cell>
          <cell r="N41">
            <v>1.8207838052271314E-3</v>
          </cell>
          <cell r="O41">
            <v>220.58</v>
          </cell>
          <cell r="P41">
            <v>221.59998300000001</v>
          </cell>
          <cell r="Q41">
            <v>1.0199829999999963</v>
          </cell>
          <cell r="R41">
            <v>110.29</v>
          </cell>
          <cell r="S41">
            <v>1.8381666666666668E-3</v>
          </cell>
          <cell r="T41">
            <v>116.06999399999999</v>
          </cell>
          <cell r="U41">
            <v>1.4712331132039596E-3</v>
          </cell>
          <cell r="V41">
            <v>330.87</v>
          </cell>
          <cell r="W41">
            <v>337.66997700000002</v>
          </cell>
          <cell r="X41">
            <v>6.7999770000000126</v>
          </cell>
          <cell r="Y41">
            <v>110.29</v>
          </cell>
          <cell r="Z41">
            <v>9.6372592924317071E-4</v>
          </cell>
          <cell r="AA41">
            <v>0</v>
          </cell>
          <cell r="AB41">
            <v>0</v>
          </cell>
          <cell r="AC41">
            <v>441.16</v>
          </cell>
          <cell r="AD41">
            <v>337.66997700000002</v>
          </cell>
          <cell r="AE41">
            <v>-103.49002300000001</v>
          </cell>
          <cell r="AF41">
            <v>110.29</v>
          </cell>
          <cell r="AG41">
            <v>9.6372592924317071E-4</v>
          </cell>
          <cell r="AH41">
            <v>0</v>
          </cell>
          <cell r="AI41">
            <v>0</v>
          </cell>
          <cell r="AJ41">
            <v>551.45000000000005</v>
          </cell>
          <cell r="AK41">
            <v>337.66997700000002</v>
          </cell>
          <cell r="AL41">
            <v>-213.78002300000003</v>
          </cell>
          <cell r="AM41">
            <v>110.29</v>
          </cell>
          <cell r="AN41">
            <v>9.6372592924317071E-4</v>
          </cell>
          <cell r="AO41">
            <v>0</v>
          </cell>
          <cell r="AP41" t="e">
            <v>#DIV/0!</v>
          </cell>
          <cell r="AQ41">
            <v>661.74</v>
          </cell>
          <cell r="AR41">
            <v>337.66997700000002</v>
          </cell>
          <cell r="AS41">
            <v>-324.07002299999999</v>
          </cell>
          <cell r="AT41">
            <v>110.29</v>
          </cell>
          <cell r="AU41">
            <v>9.6372592924317071E-4</v>
          </cell>
          <cell r="AV41">
            <v>0</v>
          </cell>
          <cell r="AW41" t="e">
            <v>#DIV/0!</v>
          </cell>
          <cell r="AX41">
            <v>772.03</v>
          </cell>
          <cell r="AY41">
            <v>337.66997700000002</v>
          </cell>
          <cell r="AZ41">
            <v>-434.36002299999996</v>
          </cell>
          <cell r="BA41">
            <v>110.29</v>
          </cell>
          <cell r="BB41">
            <v>9.6372592924317071E-4</v>
          </cell>
          <cell r="BC41">
            <v>0</v>
          </cell>
          <cell r="BD41" t="e">
            <v>#DIV/0!</v>
          </cell>
          <cell r="BE41">
            <v>882.31999999999994</v>
          </cell>
          <cell r="BF41">
            <v>337.66997700000002</v>
          </cell>
          <cell r="BG41">
            <v>-544.65002299999992</v>
          </cell>
          <cell r="BH41">
            <v>110.29</v>
          </cell>
          <cell r="BI41">
            <v>9.6372592924317071E-4</v>
          </cell>
          <cell r="BJ41">
            <v>0</v>
          </cell>
          <cell r="BK41" t="e">
            <v>#DIV/0!</v>
          </cell>
          <cell r="BL41">
            <v>992.6099999999999</v>
          </cell>
          <cell r="BM41">
            <v>337.66997700000002</v>
          </cell>
          <cell r="BN41">
            <v>-654.94002299999988</v>
          </cell>
          <cell r="BO41">
            <v>110.29</v>
          </cell>
          <cell r="BP41">
            <v>9.6372592924317071E-4</v>
          </cell>
          <cell r="BQ41">
            <v>0</v>
          </cell>
          <cell r="BR41" t="e">
            <v>#DIV/0!</v>
          </cell>
          <cell r="BS41">
            <v>1102.8999999999999</v>
          </cell>
          <cell r="BT41">
            <v>337.66997700000002</v>
          </cell>
          <cell r="BU41">
            <v>-765.23002299999985</v>
          </cell>
          <cell r="BV41">
            <v>110.29</v>
          </cell>
          <cell r="BW41">
            <v>9.6372592924317071E-4</v>
          </cell>
          <cell r="BX41">
            <v>0</v>
          </cell>
          <cell r="BY41" t="e">
            <v>#DIV/0!</v>
          </cell>
          <cell r="BZ41">
            <v>1213.1899999999998</v>
          </cell>
          <cell r="CA41">
            <v>337.66997700000002</v>
          </cell>
          <cell r="CB41">
            <v>-875.52002299999981</v>
          </cell>
          <cell r="CC41">
            <v>110.29</v>
          </cell>
          <cell r="CD41">
            <v>9.6372592924317071E-4</v>
          </cell>
          <cell r="CE41">
            <v>0</v>
          </cell>
          <cell r="CF41" t="e">
            <v>#DIV/0!</v>
          </cell>
          <cell r="CG41">
            <v>1323.4799999999998</v>
          </cell>
          <cell r="CH41">
            <v>337.66997700000002</v>
          </cell>
        </row>
        <row r="42">
          <cell r="A42" t="str">
            <v>Plano de Saúde</v>
          </cell>
          <cell r="B42">
            <v>3.4288987940473935E-2</v>
          </cell>
          <cell r="C42">
            <v>3346.4806968157191</v>
          </cell>
          <cell r="D42">
            <v>3500</v>
          </cell>
          <cell r="E42">
            <v>5.8333333333333334E-2</v>
          </cell>
          <cell r="F42">
            <v>3682.730831200608</v>
          </cell>
          <cell r="G42">
            <v>4.0109199435713998E-2</v>
          </cell>
          <cell r="H42">
            <v>3500</v>
          </cell>
          <cell r="I42">
            <v>3682.730831200608</v>
          </cell>
          <cell r="J42">
            <v>182.73083120060801</v>
          </cell>
          <cell r="K42">
            <v>3500</v>
          </cell>
          <cell r="L42">
            <v>5.8333333333333334E-2</v>
          </cell>
          <cell r="M42">
            <v>3677.2927472857136</v>
          </cell>
          <cell r="N42">
            <v>5.7207416728153604E-2</v>
          </cell>
          <cell r="O42">
            <v>7000</v>
          </cell>
          <cell r="P42">
            <v>7360.0235784863216</v>
          </cell>
          <cell r="Q42">
            <v>360.02357848632164</v>
          </cell>
          <cell r="R42">
            <v>3500</v>
          </cell>
          <cell r="S42">
            <v>5.8333333333333334E-2</v>
          </cell>
          <cell r="T42">
            <v>3676.481611416667</v>
          </cell>
          <cell r="U42">
            <v>4.6600859536545282E-2</v>
          </cell>
          <cell r="V42">
            <v>10500</v>
          </cell>
          <cell r="W42">
            <v>11036.50518990299</v>
          </cell>
          <cell r="X42">
            <v>536.50518990298951</v>
          </cell>
          <cell r="Y42">
            <v>3500</v>
          </cell>
          <cell r="Z42">
            <v>3.0583377934092819E-2</v>
          </cell>
          <cell r="AA42">
            <v>0</v>
          </cell>
          <cell r="AB42">
            <v>0</v>
          </cell>
          <cell r="AC42">
            <v>14000</v>
          </cell>
          <cell r="AD42">
            <v>11036.50518990299</v>
          </cell>
          <cell r="AE42">
            <v>-2963.4948100970105</v>
          </cell>
          <cell r="AF42">
            <v>3500</v>
          </cell>
          <cell r="AG42">
            <v>3.0583377934092819E-2</v>
          </cell>
          <cell r="AH42">
            <v>0</v>
          </cell>
          <cell r="AI42">
            <v>0</v>
          </cell>
          <cell r="AJ42">
            <v>17500</v>
          </cell>
          <cell r="AK42">
            <v>11036.50518990299</v>
          </cell>
          <cell r="AL42">
            <v>-6463.4948100970105</v>
          </cell>
          <cell r="AM42">
            <v>3500</v>
          </cell>
          <cell r="AN42">
            <v>3.0583377934092819E-2</v>
          </cell>
          <cell r="AO42">
            <v>0</v>
          </cell>
          <cell r="AP42" t="e">
            <v>#DIV/0!</v>
          </cell>
          <cell r="AQ42">
            <v>21000</v>
          </cell>
          <cell r="AR42">
            <v>11036.50518990299</v>
          </cell>
          <cell r="AS42">
            <v>-9963.4948100970105</v>
          </cell>
          <cell r="AT42">
            <v>3500</v>
          </cell>
          <cell r="AU42">
            <v>3.0583377934092819E-2</v>
          </cell>
          <cell r="AV42">
            <v>0</v>
          </cell>
          <cell r="AW42" t="e">
            <v>#DIV/0!</v>
          </cell>
          <cell r="AX42">
            <v>24500</v>
          </cell>
          <cell r="AY42">
            <v>11036.50518990299</v>
          </cell>
          <cell r="AZ42">
            <v>-13463.49481009701</v>
          </cell>
          <cell r="BA42">
            <v>3500</v>
          </cell>
          <cell r="BB42">
            <v>3.0583377934092819E-2</v>
          </cell>
          <cell r="BC42">
            <v>0</v>
          </cell>
          <cell r="BD42" t="e">
            <v>#DIV/0!</v>
          </cell>
          <cell r="BE42">
            <v>28000</v>
          </cell>
          <cell r="BF42">
            <v>11036.50518990299</v>
          </cell>
          <cell r="BG42">
            <v>-16963.49481009701</v>
          </cell>
          <cell r="BH42">
            <v>3500</v>
          </cell>
          <cell r="BI42">
            <v>3.0583377934092819E-2</v>
          </cell>
          <cell r="BJ42">
            <v>0</v>
          </cell>
          <cell r="BK42" t="e">
            <v>#DIV/0!</v>
          </cell>
          <cell r="BL42">
            <v>31500</v>
          </cell>
          <cell r="BM42">
            <v>11036.50518990299</v>
          </cell>
          <cell r="BN42">
            <v>-20463.49481009701</v>
          </cell>
          <cell r="BO42">
            <v>4025</v>
          </cell>
          <cell r="BP42">
            <v>3.5170884624206741E-2</v>
          </cell>
          <cell r="BQ42">
            <v>0</v>
          </cell>
          <cell r="BR42" t="e">
            <v>#DIV/0!</v>
          </cell>
          <cell r="BS42">
            <v>35525</v>
          </cell>
          <cell r="BT42">
            <v>11036.50518990299</v>
          </cell>
          <cell r="BU42">
            <v>-24488.49481009701</v>
          </cell>
          <cell r="BV42">
            <v>4025</v>
          </cell>
          <cell r="BW42">
            <v>3.5170884624206741E-2</v>
          </cell>
          <cell r="BX42">
            <v>0</v>
          </cell>
          <cell r="BY42" t="e">
            <v>#DIV/0!</v>
          </cell>
          <cell r="BZ42">
            <v>39550</v>
          </cell>
          <cell r="CA42">
            <v>11036.50518990299</v>
          </cell>
          <cell r="CB42">
            <v>-28513.49481009701</v>
          </cell>
          <cell r="CC42">
            <v>4025</v>
          </cell>
          <cell r="CD42">
            <v>3.5170884624206741E-2</v>
          </cell>
          <cell r="CE42">
            <v>0</v>
          </cell>
          <cell r="CF42" t="e">
            <v>#DIV/0!</v>
          </cell>
          <cell r="CG42">
            <v>43575</v>
          </cell>
          <cell r="CH42">
            <v>11036.50518990299</v>
          </cell>
        </row>
        <row r="43">
          <cell r="A43" t="str">
            <v>Plano Odontológico</v>
          </cell>
          <cell r="B43">
            <v>1.1819350609284214E-3</v>
          </cell>
          <cell r="C43">
            <v>115.35256955245099</v>
          </cell>
          <cell r="D43">
            <v>139.65</v>
          </cell>
          <cell r="E43">
            <v>2.3275000000000001E-3</v>
          </cell>
          <cell r="F43">
            <v>139.19002400000002</v>
          </cell>
          <cell r="G43">
            <v>1.5159403953119671E-3</v>
          </cell>
          <cell r="H43">
            <v>139.65</v>
          </cell>
          <cell r="I43">
            <v>139.19002400000002</v>
          </cell>
          <cell r="J43">
            <v>-0.45997599999998329</v>
          </cell>
          <cell r="K43">
            <v>139.65</v>
          </cell>
          <cell r="L43">
            <v>2.3275000000000001E-3</v>
          </cell>
          <cell r="M43">
            <v>139.18999700000001</v>
          </cell>
          <cell r="N43">
            <v>2.1653702084629745E-3</v>
          </cell>
          <cell r="O43">
            <v>279.3</v>
          </cell>
          <cell r="P43">
            <v>278.38002100000006</v>
          </cell>
          <cell r="Q43">
            <v>-0.91997899999995525</v>
          </cell>
          <cell r="R43">
            <v>139.65</v>
          </cell>
          <cell r="S43">
            <v>2.3275000000000001E-3</v>
          </cell>
          <cell r="T43">
            <v>139.19000000000003</v>
          </cell>
          <cell r="U43">
            <v>1.7642883399034137E-3</v>
          </cell>
          <cell r="V43">
            <v>418.95000000000005</v>
          </cell>
          <cell r="W43">
            <v>417.57002100000011</v>
          </cell>
          <cell r="X43">
            <v>-1.3799789999999348</v>
          </cell>
          <cell r="Y43">
            <v>139.65</v>
          </cell>
          <cell r="Z43">
            <v>1.2202767795703037E-3</v>
          </cell>
          <cell r="AA43">
            <v>0</v>
          </cell>
          <cell r="AB43">
            <v>0</v>
          </cell>
          <cell r="AC43">
            <v>558.6</v>
          </cell>
          <cell r="AD43">
            <v>417.57002100000011</v>
          </cell>
          <cell r="AE43">
            <v>-141.02997899999991</v>
          </cell>
          <cell r="AF43">
            <v>139.65</v>
          </cell>
          <cell r="AG43">
            <v>1.2202767795703037E-3</v>
          </cell>
          <cell r="AH43">
            <v>0</v>
          </cell>
          <cell r="AI43">
            <v>0</v>
          </cell>
          <cell r="AJ43">
            <v>698.25</v>
          </cell>
          <cell r="AK43">
            <v>417.57002100000011</v>
          </cell>
          <cell r="AL43">
            <v>-280.67997899999989</v>
          </cell>
          <cell r="AM43">
            <v>139.65</v>
          </cell>
          <cell r="AN43">
            <v>1.2202767795703037E-3</v>
          </cell>
          <cell r="AO43">
            <v>0</v>
          </cell>
          <cell r="AP43" t="e">
            <v>#DIV/0!</v>
          </cell>
          <cell r="AQ43">
            <v>837.9</v>
          </cell>
          <cell r="AR43">
            <v>417.57002100000011</v>
          </cell>
          <cell r="AS43">
            <v>-420.32997899999987</v>
          </cell>
          <cell r="AT43">
            <v>139.65</v>
          </cell>
          <cell r="AU43">
            <v>1.2202767795703037E-3</v>
          </cell>
          <cell r="AV43">
            <v>0</v>
          </cell>
          <cell r="AW43" t="e">
            <v>#DIV/0!</v>
          </cell>
          <cell r="AX43">
            <v>977.55</v>
          </cell>
          <cell r="AY43">
            <v>417.57002100000011</v>
          </cell>
          <cell r="AZ43">
            <v>-559.97997899999984</v>
          </cell>
          <cell r="BA43">
            <v>139.65</v>
          </cell>
          <cell r="BB43">
            <v>1.2202767795703037E-3</v>
          </cell>
          <cell r="BC43">
            <v>0</v>
          </cell>
          <cell r="BD43" t="e">
            <v>#DIV/0!</v>
          </cell>
          <cell r="BE43">
            <v>1117.2</v>
          </cell>
          <cell r="BF43">
            <v>417.57002100000011</v>
          </cell>
          <cell r="BG43">
            <v>-699.62997899999993</v>
          </cell>
          <cell r="BH43">
            <v>139.65</v>
          </cell>
          <cell r="BI43">
            <v>1.2202767795703037E-3</v>
          </cell>
          <cell r="BJ43">
            <v>0</v>
          </cell>
          <cell r="BK43" t="e">
            <v>#DIV/0!</v>
          </cell>
          <cell r="BL43">
            <v>1256.8500000000001</v>
          </cell>
          <cell r="BM43">
            <v>417.57002100000011</v>
          </cell>
          <cell r="BN43">
            <v>-839.27997900000003</v>
          </cell>
          <cell r="BO43">
            <v>139.65</v>
          </cell>
          <cell r="BP43">
            <v>1.2202767795703037E-3</v>
          </cell>
          <cell r="BQ43">
            <v>0</v>
          </cell>
          <cell r="BR43" t="e">
            <v>#DIV/0!</v>
          </cell>
          <cell r="BS43">
            <v>1396.5000000000002</v>
          </cell>
          <cell r="BT43">
            <v>417.57002100000011</v>
          </cell>
          <cell r="BU43">
            <v>-978.92997900000012</v>
          </cell>
          <cell r="BV43">
            <v>139.65</v>
          </cell>
          <cell r="BW43">
            <v>1.2202767795703037E-3</v>
          </cell>
          <cell r="BX43">
            <v>0</v>
          </cell>
          <cell r="BY43" t="e">
            <v>#DIV/0!</v>
          </cell>
          <cell r="BZ43">
            <v>1536.1500000000003</v>
          </cell>
          <cell r="CA43">
            <v>417.57002100000011</v>
          </cell>
          <cell r="CB43">
            <v>-1118.5799790000001</v>
          </cell>
          <cell r="CC43">
            <v>139.65</v>
          </cell>
          <cell r="CD43">
            <v>1.2202767795703037E-3</v>
          </cell>
          <cell r="CE43">
            <v>0</v>
          </cell>
          <cell r="CF43" t="e">
            <v>#DIV/0!</v>
          </cell>
          <cell r="CG43">
            <v>1675.8000000000004</v>
          </cell>
          <cell r="CH43">
            <v>417.57002100000011</v>
          </cell>
        </row>
        <row r="44">
          <cell r="A44" t="str">
            <v>Exames Médicos</v>
          </cell>
          <cell r="B44">
            <v>0</v>
          </cell>
          <cell r="C44">
            <v>0</v>
          </cell>
          <cell r="D44">
            <v>16</v>
          </cell>
          <cell r="E44">
            <v>2.6666666666666668E-4</v>
          </cell>
          <cell r="F44">
            <v>0</v>
          </cell>
          <cell r="G44">
            <v>0</v>
          </cell>
          <cell r="H44">
            <v>16</v>
          </cell>
          <cell r="I44">
            <v>0</v>
          </cell>
          <cell r="J44">
            <v>-16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16</v>
          </cell>
          <cell r="P44">
            <v>0</v>
          </cell>
          <cell r="Q44">
            <v>-16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16</v>
          </cell>
          <cell r="W44">
            <v>0</v>
          </cell>
          <cell r="X44">
            <v>-16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16</v>
          </cell>
          <cell r="AD44">
            <v>0</v>
          </cell>
          <cell r="AE44">
            <v>-16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16</v>
          </cell>
          <cell r="AK44">
            <v>0</v>
          </cell>
          <cell r="AL44">
            <v>-16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16</v>
          </cell>
          <cell r="AR44">
            <v>0</v>
          </cell>
          <cell r="AS44">
            <v>-16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16</v>
          </cell>
          <cell r="AY44">
            <v>0</v>
          </cell>
          <cell r="AZ44">
            <v>-16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16</v>
          </cell>
          <cell r="BF44">
            <v>0</v>
          </cell>
          <cell r="BG44">
            <v>-16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16</v>
          </cell>
          <cell r="BM44">
            <v>0</v>
          </cell>
          <cell r="BN44">
            <v>-16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16</v>
          </cell>
          <cell r="BT44">
            <v>0</v>
          </cell>
          <cell r="BU44">
            <v>-16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16</v>
          </cell>
          <cell r="CA44">
            <v>0</v>
          </cell>
          <cell r="CB44">
            <v>-16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16</v>
          </cell>
          <cell r="CH44">
            <v>0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Remuneração</v>
          </cell>
          <cell r="B46">
            <v>0.30414995914390131</v>
          </cell>
          <cell r="C46">
            <v>29683.931441176475</v>
          </cell>
          <cell r="D46">
            <v>29000</v>
          </cell>
          <cell r="E46">
            <v>0.48333333333333334</v>
          </cell>
          <cell r="F46">
            <v>32778.784999999996</v>
          </cell>
          <cell r="G46">
            <v>0.35699889160695858</v>
          </cell>
          <cell r="H46">
            <v>29000</v>
          </cell>
          <cell r="I46">
            <v>32778.784999999996</v>
          </cell>
          <cell r="J46">
            <v>3778.7849999999962</v>
          </cell>
          <cell r="K46">
            <v>30070</v>
          </cell>
          <cell r="L46">
            <v>0.50116666666666665</v>
          </cell>
          <cell r="M46">
            <v>33777.605000000003</v>
          </cell>
          <cell r="N46">
            <v>0.52547612009956446</v>
          </cell>
          <cell r="O46">
            <v>59070</v>
          </cell>
          <cell r="P46">
            <v>66556.39</v>
          </cell>
          <cell r="Q46">
            <v>7486.3899999999994</v>
          </cell>
          <cell r="R46">
            <v>30070</v>
          </cell>
          <cell r="S46">
            <v>0.50116666666666665</v>
          </cell>
          <cell r="T46">
            <v>32468.414999999997</v>
          </cell>
          <cell r="U46">
            <v>0.41155001077408637</v>
          </cell>
          <cell r="V46">
            <v>89140</v>
          </cell>
          <cell r="W46">
            <v>99024.804999999993</v>
          </cell>
          <cell r="X46">
            <v>9884.804999999993</v>
          </cell>
          <cell r="Y46">
            <v>30070</v>
          </cell>
          <cell r="Z46">
            <v>0.26275490699376319</v>
          </cell>
          <cell r="AA46">
            <v>0</v>
          </cell>
          <cell r="AB46">
            <v>0</v>
          </cell>
          <cell r="AC46">
            <v>119210</v>
          </cell>
          <cell r="AD46">
            <v>99024.804999999993</v>
          </cell>
          <cell r="AE46">
            <v>-20185.195000000007</v>
          </cell>
          <cell r="AF46">
            <v>30070</v>
          </cell>
          <cell r="AG46">
            <v>0.26275490699376319</v>
          </cell>
          <cell r="AH46">
            <v>0</v>
          </cell>
          <cell r="AI46">
            <v>0</v>
          </cell>
          <cell r="AJ46">
            <v>149280</v>
          </cell>
          <cell r="AK46">
            <v>99024.804999999993</v>
          </cell>
          <cell r="AL46">
            <v>-50255.195000000007</v>
          </cell>
          <cell r="AM46">
            <v>30070</v>
          </cell>
          <cell r="AN46">
            <v>0.26275490699376319</v>
          </cell>
          <cell r="AO46">
            <v>0</v>
          </cell>
          <cell r="AP46" t="e">
            <v>#DIV/0!</v>
          </cell>
          <cell r="AQ46">
            <v>179350</v>
          </cell>
          <cell r="AR46">
            <v>99024.804999999993</v>
          </cell>
          <cell r="AS46">
            <v>-80325.195000000007</v>
          </cell>
          <cell r="AT46">
            <v>30070</v>
          </cell>
          <cell r="AU46">
            <v>0.26275490699376319</v>
          </cell>
          <cell r="AV46">
            <v>0</v>
          </cell>
          <cell r="AW46" t="e">
            <v>#DIV/0!</v>
          </cell>
          <cell r="AX46">
            <v>209420</v>
          </cell>
          <cell r="AY46">
            <v>99024.804999999993</v>
          </cell>
          <cell r="AZ46">
            <v>-110395.19500000001</v>
          </cell>
          <cell r="BA46">
            <v>30070</v>
          </cell>
          <cell r="BB46">
            <v>0.26275490699376319</v>
          </cell>
          <cell r="BC46">
            <v>0</v>
          </cell>
          <cell r="BD46" t="e">
            <v>#DIV/0!</v>
          </cell>
          <cell r="BE46">
            <v>239490</v>
          </cell>
          <cell r="BF46">
            <v>99024.804999999993</v>
          </cell>
          <cell r="BG46">
            <v>-140465.19500000001</v>
          </cell>
          <cell r="BH46">
            <v>30070</v>
          </cell>
          <cell r="BI46">
            <v>0.26275490699376319</v>
          </cell>
          <cell r="BJ46">
            <v>0</v>
          </cell>
          <cell r="BK46" t="e">
            <v>#DIV/0!</v>
          </cell>
          <cell r="BL46">
            <v>269560</v>
          </cell>
          <cell r="BM46">
            <v>99024.804999999993</v>
          </cell>
          <cell r="BN46">
            <v>-170535.19500000001</v>
          </cell>
          <cell r="BO46">
            <v>30070</v>
          </cell>
          <cell r="BP46">
            <v>0.26275490699376319</v>
          </cell>
          <cell r="BQ46">
            <v>0</v>
          </cell>
          <cell r="BR46" t="e">
            <v>#DIV/0!</v>
          </cell>
          <cell r="BS46">
            <v>299630</v>
          </cell>
          <cell r="BT46">
            <v>99024.804999999993</v>
          </cell>
          <cell r="BU46">
            <v>-200605.19500000001</v>
          </cell>
          <cell r="BV46">
            <v>30070</v>
          </cell>
          <cell r="BW46">
            <v>0.26275490699376319</v>
          </cell>
          <cell r="BX46">
            <v>0</v>
          </cell>
          <cell r="BY46" t="e">
            <v>#DIV/0!</v>
          </cell>
          <cell r="BZ46">
            <v>329700</v>
          </cell>
          <cell r="CA46">
            <v>99024.804999999993</v>
          </cell>
          <cell r="CB46">
            <v>-230675.19500000001</v>
          </cell>
          <cell r="CC46">
            <v>30070</v>
          </cell>
          <cell r="CD46">
            <v>0.26275490699376319</v>
          </cell>
          <cell r="CE46">
            <v>0</v>
          </cell>
          <cell r="CF46" t="e">
            <v>#DIV/0!</v>
          </cell>
          <cell r="CG46">
            <v>359770</v>
          </cell>
          <cell r="CH46">
            <v>99024.804999999993</v>
          </cell>
        </row>
        <row r="47">
          <cell r="A47" t="str">
            <v>Pesquisas/Consultas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Sistemas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Indenização por Ruptura de Contrato</v>
          </cell>
          <cell r="B49">
            <v>0</v>
          </cell>
          <cell r="C49">
            <v>0</v>
          </cell>
          <cell r="D49">
            <v>483.33333333333331</v>
          </cell>
          <cell r="E49">
            <v>8.0555555555555554E-3</v>
          </cell>
          <cell r="F49">
            <v>0</v>
          </cell>
          <cell r="G49">
            <v>0</v>
          </cell>
          <cell r="H49">
            <v>483.33333333333331</v>
          </cell>
          <cell r="I49">
            <v>0</v>
          </cell>
          <cell r="J49">
            <v>-483.33333333333331</v>
          </cell>
          <cell r="K49">
            <v>483.33333333333331</v>
          </cell>
          <cell r="L49">
            <v>8.0555555555555554E-3</v>
          </cell>
          <cell r="M49">
            <v>0</v>
          </cell>
          <cell r="N49">
            <v>0</v>
          </cell>
          <cell r="O49">
            <v>966.66666666666663</v>
          </cell>
          <cell r="P49">
            <v>0</v>
          </cell>
          <cell r="Q49">
            <v>-966.66666666666663</v>
          </cell>
          <cell r="R49">
            <v>483.33333333333331</v>
          </cell>
          <cell r="S49">
            <v>8.0555555555555554E-3</v>
          </cell>
          <cell r="T49">
            <v>8700</v>
          </cell>
          <cell r="U49">
            <v>0.11027594336633162</v>
          </cell>
          <cell r="V49">
            <v>1450</v>
          </cell>
          <cell r="W49">
            <v>8700</v>
          </cell>
          <cell r="X49">
            <v>7250</v>
          </cell>
          <cell r="Y49">
            <v>483.33333333333331</v>
          </cell>
          <cell r="Z49">
            <v>4.223418857565199E-3</v>
          </cell>
          <cell r="AA49">
            <v>0</v>
          </cell>
          <cell r="AB49">
            <v>0</v>
          </cell>
          <cell r="AC49">
            <v>1933.3333333333333</v>
          </cell>
          <cell r="AD49">
            <v>8700</v>
          </cell>
          <cell r="AE49">
            <v>6766.666666666667</v>
          </cell>
          <cell r="AF49">
            <v>483.33333333333331</v>
          </cell>
          <cell r="AG49">
            <v>4.223418857565199E-3</v>
          </cell>
          <cell r="AH49">
            <v>0</v>
          </cell>
          <cell r="AI49">
            <v>0</v>
          </cell>
          <cell r="AJ49">
            <v>2416.6666666666665</v>
          </cell>
          <cell r="AK49">
            <v>8700</v>
          </cell>
          <cell r="AL49">
            <v>6283.3333333333339</v>
          </cell>
          <cell r="AM49">
            <v>483.33333333333331</v>
          </cell>
          <cell r="AN49">
            <v>4.223418857565199E-3</v>
          </cell>
          <cell r="AO49">
            <v>0</v>
          </cell>
          <cell r="AP49" t="e">
            <v>#DIV/0!</v>
          </cell>
          <cell r="AQ49">
            <v>2900</v>
          </cell>
          <cell r="AR49">
            <v>8700</v>
          </cell>
          <cell r="AS49">
            <v>5800</v>
          </cell>
          <cell r="AT49">
            <v>483.33333333333331</v>
          </cell>
          <cell r="AU49">
            <v>4.223418857565199E-3</v>
          </cell>
          <cell r="AV49">
            <v>0</v>
          </cell>
          <cell r="AW49" t="e">
            <v>#DIV/0!</v>
          </cell>
          <cell r="AX49">
            <v>3383.3333333333335</v>
          </cell>
          <cell r="AY49">
            <v>8700</v>
          </cell>
          <cell r="AZ49">
            <v>5316.6666666666661</v>
          </cell>
          <cell r="BA49">
            <v>483.33333333333331</v>
          </cell>
          <cell r="BB49">
            <v>4.223418857565199E-3</v>
          </cell>
          <cell r="BC49">
            <v>0</v>
          </cell>
          <cell r="BD49" t="e">
            <v>#DIV/0!</v>
          </cell>
          <cell r="BE49">
            <v>3866.666666666667</v>
          </cell>
          <cell r="BF49">
            <v>8700</v>
          </cell>
          <cell r="BG49">
            <v>4833.333333333333</v>
          </cell>
          <cell r="BH49">
            <v>483.33333333333331</v>
          </cell>
          <cell r="BI49">
            <v>4.223418857565199E-3</v>
          </cell>
          <cell r="BJ49">
            <v>0</v>
          </cell>
          <cell r="BK49" t="e">
            <v>#DIV/0!</v>
          </cell>
          <cell r="BL49">
            <v>4350</v>
          </cell>
          <cell r="BM49">
            <v>8700</v>
          </cell>
          <cell r="BN49">
            <v>4350</v>
          </cell>
          <cell r="BO49">
            <v>483.33333333333331</v>
          </cell>
          <cell r="BP49">
            <v>4.223418857565199E-3</v>
          </cell>
          <cell r="BQ49">
            <v>0</v>
          </cell>
          <cell r="BR49" t="e">
            <v>#DIV/0!</v>
          </cell>
          <cell r="BS49">
            <v>4833.333333333333</v>
          </cell>
          <cell r="BT49">
            <v>8700</v>
          </cell>
          <cell r="BU49">
            <v>3866.666666666667</v>
          </cell>
          <cell r="BV49">
            <v>483.33333333333331</v>
          </cell>
          <cell r="BW49">
            <v>4.223418857565199E-3</v>
          </cell>
          <cell r="BX49">
            <v>0</v>
          </cell>
          <cell r="BY49" t="e">
            <v>#DIV/0!</v>
          </cell>
          <cell r="BZ49">
            <v>5316.6666666666661</v>
          </cell>
          <cell r="CA49">
            <v>8700</v>
          </cell>
          <cell r="CB49">
            <v>3383.3333333333339</v>
          </cell>
          <cell r="CC49">
            <v>483.33333333333331</v>
          </cell>
          <cell r="CD49">
            <v>4.223418857565199E-3</v>
          </cell>
          <cell r="CE49">
            <v>0</v>
          </cell>
          <cell r="CF49" t="e">
            <v>#DIV/0!</v>
          </cell>
          <cell r="CG49">
            <v>5799.9999999999991</v>
          </cell>
          <cell r="CH49">
            <v>8700</v>
          </cell>
        </row>
        <row r="50">
          <cell r="A50" t="str">
            <v>Vale Alimentação / Refeição</v>
          </cell>
          <cell r="B50">
            <v>1.71479452941453E-2</v>
          </cell>
          <cell r="C50">
            <v>1673.5771850872545</v>
          </cell>
          <cell r="D50">
            <v>703.5</v>
          </cell>
          <cell r="E50">
            <v>1.1724999999999999E-2</v>
          </cell>
          <cell r="F50">
            <v>528.325155</v>
          </cell>
          <cell r="G50">
            <v>5.7540721763504844E-3</v>
          </cell>
          <cell r="H50">
            <v>703.5</v>
          </cell>
          <cell r="I50">
            <v>528.325155</v>
          </cell>
          <cell r="J50">
            <v>-175.174845</v>
          </cell>
          <cell r="K50">
            <v>703.5</v>
          </cell>
          <cell r="L50">
            <v>1.1724999999999999E-2</v>
          </cell>
          <cell r="M50">
            <v>768.25000199999999</v>
          </cell>
          <cell r="N50">
            <v>1.1951617952706908E-2</v>
          </cell>
          <cell r="O50">
            <v>1407</v>
          </cell>
          <cell r="P50">
            <v>1296.575157</v>
          </cell>
          <cell r="Q50">
            <v>-110.42484300000001</v>
          </cell>
          <cell r="R50">
            <v>703.5</v>
          </cell>
          <cell r="S50">
            <v>1.1724999999999999E-2</v>
          </cell>
          <cell r="T50">
            <v>630.79988900000001</v>
          </cell>
          <cell r="U50">
            <v>7.9956382568795708E-3</v>
          </cell>
          <cell r="V50">
            <v>2110.5</v>
          </cell>
          <cell r="W50">
            <v>1927.3750460000001</v>
          </cell>
          <cell r="X50">
            <v>-183.12495399999989</v>
          </cell>
          <cell r="Y50">
            <v>703.5</v>
          </cell>
          <cell r="Z50">
            <v>6.1472589647526572E-3</v>
          </cell>
          <cell r="AA50">
            <v>0</v>
          </cell>
          <cell r="AB50">
            <v>0</v>
          </cell>
          <cell r="AC50">
            <v>2814</v>
          </cell>
          <cell r="AD50">
            <v>1927.3750460000001</v>
          </cell>
          <cell r="AE50">
            <v>-886.62495399999989</v>
          </cell>
          <cell r="AF50">
            <v>703.5</v>
          </cell>
          <cell r="AG50">
            <v>6.1472589647526572E-3</v>
          </cell>
          <cell r="AH50">
            <v>0</v>
          </cell>
          <cell r="AI50">
            <v>0</v>
          </cell>
          <cell r="AJ50">
            <v>3517.5</v>
          </cell>
          <cell r="AK50">
            <v>1927.3750460000001</v>
          </cell>
          <cell r="AL50">
            <v>-1590.1249539999999</v>
          </cell>
          <cell r="AM50">
            <v>703.5</v>
          </cell>
          <cell r="AN50">
            <v>6.1472589647526572E-3</v>
          </cell>
          <cell r="AO50">
            <v>0</v>
          </cell>
          <cell r="AP50" t="e">
            <v>#DIV/0!</v>
          </cell>
          <cell r="AQ50">
            <v>4221</v>
          </cell>
          <cell r="AR50">
            <v>1927.3750460000001</v>
          </cell>
          <cell r="AS50">
            <v>-2293.6249539999999</v>
          </cell>
          <cell r="AT50">
            <v>703.5</v>
          </cell>
          <cell r="AU50">
            <v>6.1472589647526572E-3</v>
          </cell>
          <cell r="AV50">
            <v>0</v>
          </cell>
          <cell r="AW50" t="e">
            <v>#DIV/0!</v>
          </cell>
          <cell r="AX50">
            <v>4924.5</v>
          </cell>
          <cell r="AY50">
            <v>1927.3750460000001</v>
          </cell>
          <cell r="AZ50">
            <v>-2997.1249539999999</v>
          </cell>
          <cell r="BA50">
            <v>703.5</v>
          </cell>
          <cell r="BB50">
            <v>6.1472589647526572E-3</v>
          </cell>
          <cell r="BC50">
            <v>0</v>
          </cell>
          <cell r="BD50" t="e">
            <v>#DIV/0!</v>
          </cell>
          <cell r="BE50">
            <v>5628</v>
          </cell>
          <cell r="BF50">
            <v>1927.3750460000001</v>
          </cell>
          <cell r="BG50">
            <v>-3700.6249539999999</v>
          </cell>
          <cell r="BH50">
            <v>703.5</v>
          </cell>
          <cell r="BI50">
            <v>6.1472589647526572E-3</v>
          </cell>
          <cell r="BJ50">
            <v>0</v>
          </cell>
          <cell r="BK50" t="e">
            <v>#DIV/0!</v>
          </cell>
          <cell r="BL50">
            <v>6331.5</v>
          </cell>
          <cell r="BM50">
            <v>1927.3750460000001</v>
          </cell>
          <cell r="BN50">
            <v>-4404.1249539999999</v>
          </cell>
          <cell r="BO50">
            <v>703.5</v>
          </cell>
          <cell r="BP50">
            <v>6.1472589647526572E-3</v>
          </cell>
          <cell r="BQ50">
            <v>0</v>
          </cell>
          <cell r="BR50" t="e">
            <v>#DIV/0!</v>
          </cell>
          <cell r="BS50">
            <v>7035</v>
          </cell>
          <cell r="BT50">
            <v>1927.3750460000001</v>
          </cell>
          <cell r="BU50">
            <v>-5107.6249539999999</v>
          </cell>
          <cell r="BV50">
            <v>703.5</v>
          </cell>
          <cell r="BW50">
            <v>6.1472589647526572E-3</v>
          </cell>
          <cell r="BX50">
            <v>0</v>
          </cell>
          <cell r="BY50" t="e">
            <v>#DIV/0!</v>
          </cell>
          <cell r="BZ50">
            <v>7738.5</v>
          </cell>
          <cell r="CA50">
            <v>1927.3750460000001</v>
          </cell>
          <cell r="CB50">
            <v>-5811.1249539999999</v>
          </cell>
          <cell r="CC50">
            <v>703.5</v>
          </cell>
          <cell r="CD50">
            <v>6.1472589647526572E-3</v>
          </cell>
          <cell r="CE50">
            <v>0</v>
          </cell>
          <cell r="CF50" t="e">
            <v>#DIV/0!</v>
          </cell>
          <cell r="CG50">
            <v>8442</v>
          </cell>
          <cell r="CH50">
            <v>1927.3750460000001</v>
          </cell>
        </row>
        <row r="51">
          <cell r="A51" t="str">
            <v>Vale Transporte</v>
          </cell>
          <cell r="B51">
            <v>3.9364440837935917E-3</v>
          </cell>
          <cell r="C51">
            <v>384.1826467254902</v>
          </cell>
          <cell r="D51">
            <v>350</v>
          </cell>
          <cell r="E51">
            <v>5.8333333333333336E-3</v>
          </cell>
          <cell r="F51">
            <v>0</v>
          </cell>
          <cell r="G51">
            <v>0</v>
          </cell>
          <cell r="H51">
            <v>350</v>
          </cell>
          <cell r="I51">
            <v>0</v>
          </cell>
          <cell r="J51">
            <v>-350</v>
          </cell>
          <cell r="K51">
            <v>350</v>
          </cell>
          <cell r="L51">
            <v>5.8333333333333336E-3</v>
          </cell>
          <cell r="M51">
            <v>201.00024100000002</v>
          </cell>
          <cell r="N51">
            <v>3.126948366521469E-3</v>
          </cell>
          <cell r="O51">
            <v>700</v>
          </cell>
          <cell r="P51">
            <v>201.00024100000002</v>
          </cell>
          <cell r="Q51">
            <v>-498.99975899999998</v>
          </cell>
          <cell r="R51">
            <v>350</v>
          </cell>
          <cell r="S51">
            <v>5.8333333333333336E-3</v>
          </cell>
          <cell r="T51">
            <v>124</v>
          </cell>
          <cell r="U51">
            <v>1.5717490778649563E-3</v>
          </cell>
          <cell r="V51">
            <v>1050</v>
          </cell>
          <cell r="W51">
            <v>325.00024100000002</v>
          </cell>
          <cell r="X51">
            <v>-724.99975900000004</v>
          </cell>
          <cell r="Y51">
            <v>350</v>
          </cell>
          <cell r="Z51">
            <v>3.0583377934092822E-3</v>
          </cell>
          <cell r="AA51">
            <v>0</v>
          </cell>
          <cell r="AB51">
            <v>0</v>
          </cell>
          <cell r="AC51">
            <v>1400</v>
          </cell>
          <cell r="AD51">
            <v>325.00024100000002</v>
          </cell>
          <cell r="AE51">
            <v>-1074.999759</v>
          </cell>
          <cell r="AF51">
            <v>350</v>
          </cell>
          <cell r="AG51">
            <v>3.0583377934092822E-3</v>
          </cell>
          <cell r="AH51">
            <v>0</v>
          </cell>
          <cell r="AI51">
            <v>0</v>
          </cell>
          <cell r="AJ51">
            <v>1750</v>
          </cell>
          <cell r="AK51">
            <v>325.00024100000002</v>
          </cell>
          <cell r="AL51">
            <v>-1424.999759</v>
          </cell>
          <cell r="AM51">
            <v>350</v>
          </cell>
          <cell r="AN51">
            <v>3.0583377934092822E-3</v>
          </cell>
          <cell r="AO51">
            <v>0</v>
          </cell>
          <cell r="AP51" t="e">
            <v>#DIV/0!</v>
          </cell>
          <cell r="AQ51">
            <v>2100</v>
          </cell>
          <cell r="AR51">
            <v>325.00024100000002</v>
          </cell>
          <cell r="AS51">
            <v>-1774.999759</v>
          </cell>
          <cell r="AT51">
            <v>350</v>
          </cell>
          <cell r="AU51">
            <v>3.0583377934092822E-3</v>
          </cell>
          <cell r="AV51">
            <v>0</v>
          </cell>
          <cell r="AW51" t="e">
            <v>#DIV/0!</v>
          </cell>
          <cell r="AX51">
            <v>2450</v>
          </cell>
          <cell r="AY51">
            <v>325.00024100000002</v>
          </cell>
          <cell r="AZ51">
            <v>-2124.9997589999998</v>
          </cell>
          <cell r="BA51">
            <v>350</v>
          </cell>
          <cell r="BB51">
            <v>3.0583377934092822E-3</v>
          </cell>
          <cell r="BC51">
            <v>0</v>
          </cell>
          <cell r="BD51" t="e">
            <v>#DIV/0!</v>
          </cell>
          <cell r="BE51">
            <v>2800</v>
          </cell>
          <cell r="BF51">
            <v>325.00024100000002</v>
          </cell>
          <cell r="BG51">
            <v>-2474.9997589999998</v>
          </cell>
          <cell r="BH51">
            <v>350</v>
          </cell>
          <cell r="BI51">
            <v>3.0583377934092822E-3</v>
          </cell>
          <cell r="BJ51">
            <v>0</v>
          </cell>
          <cell r="BK51" t="e">
            <v>#DIV/0!</v>
          </cell>
          <cell r="BL51">
            <v>3150</v>
          </cell>
          <cell r="BM51">
            <v>325.00024100000002</v>
          </cell>
          <cell r="BN51">
            <v>-2824.9997589999998</v>
          </cell>
          <cell r="BO51">
            <v>350</v>
          </cell>
          <cell r="BP51">
            <v>3.0583377934092822E-3</v>
          </cell>
          <cell r="BQ51">
            <v>0</v>
          </cell>
          <cell r="BR51" t="e">
            <v>#DIV/0!</v>
          </cell>
          <cell r="BS51">
            <v>3500</v>
          </cell>
          <cell r="BT51">
            <v>325.00024100000002</v>
          </cell>
          <cell r="BU51">
            <v>-3174.9997589999998</v>
          </cell>
          <cell r="BV51">
            <v>350</v>
          </cell>
          <cell r="BW51">
            <v>3.0583377934092822E-3</v>
          </cell>
          <cell r="BX51">
            <v>0</v>
          </cell>
          <cell r="BY51" t="e">
            <v>#DIV/0!</v>
          </cell>
          <cell r="BZ51">
            <v>3850</v>
          </cell>
          <cell r="CA51">
            <v>325.00024100000002</v>
          </cell>
          <cell r="CB51">
            <v>-3524.9997589999998</v>
          </cell>
          <cell r="CC51">
            <v>350</v>
          </cell>
          <cell r="CD51">
            <v>3.0583377934092822E-3</v>
          </cell>
          <cell r="CE51">
            <v>0</v>
          </cell>
          <cell r="CF51" t="e">
            <v>#DIV/0!</v>
          </cell>
          <cell r="CG51">
            <v>4200</v>
          </cell>
          <cell r="CH51">
            <v>325.00024100000002</v>
          </cell>
        </row>
        <row r="52">
          <cell r="A52" t="str">
            <v>Viagens - Alimentação / Hospedagem</v>
          </cell>
          <cell r="B52">
            <v>7.8628267264248101E-4</v>
          </cell>
          <cell r="C52">
            <v>76.73833333333333</v>
          </cell>
          <cell r="D52">
            <v>80</v>
          </cell>
          <cell r="E52">
            <v>1.3333333333333333E-3</v>
          </cell>
          <cell r="F52">
            <v>0</v>
          </cell>
          <cell r="G52">
            <v>0</v>
          </cell>
          <cell r="H52">
            <v>80</v>
          </cell>
          <cell r="I52">
            <v>0</v>
          </cell>
          <cell r="J52">
            <v>-80</v>
          </cell>
          <cell r="K52">
            <v>80</v>
          </cell>
          <cell r="L52">
            <v>1.3333333333333333E-3</v>
          </cell>
          <cell r="M52">
            <v>0</v>
          </cell>
          <cell r="N52">
            <v>0</v>
          </cell>
          <cell r="O52">
            <v>160</v>
          </cell>
          <cell r="P52">
            <v>0</v>
          </cell>
          <cell r="Q52">
            <v>-160</v>
          </cell>
          <cell r="R52">
            <v>80</v>
          </cell>
          <cell r="S52">
            <v>1.3333333333333333E-3</v>
          </cell>
          <cell r="T52">
            <v>1238.97</v>
          </cell>
          <cell r="U52">
            <v>1.5704435120986654E-2</v>
          </cell>
          <cell r="V52">
            <v>240</v>
          </cell>
          <cell r="W52">
            <v>1238.97</v>
          </cell>
          <cell r="X52">
            <v>998.97</v>
          </cell>
          <cell r="Y52">
            <v>80</v>
          </cell>
          <cell r="Z52">
            <v>6.9904863849355021E-4</v>
          </cell>
          <cell r="AA52">
            <v>0</v>
          </cell>
          <cell r="AB52">
            <v>0</v>
          </cell>
          <cell r="AC52">
            <v>320</v>
          </cell>
          <cell r="AD52">
            <v>1238.97</v>
          </cell>
          <cell r="AE52">
            <v>918.97</v>
          </cell>
          <cell r="AF52">
            <v>80</v>
          </cell>
          <cell r="AG52">
            <v>6.9904863849355021E-4</v>
          </cell>
          <cell r="AH52">
            <v>0</v>
          </cell>
          <cell r="AI52">
            <v>0</v>
          </cell>
          <cell r="AJ52">
            <v>400</v>
          </cell>
          <cell r="AK52">
            <v>1238.97</v>
          </cell>
          <cell r="AL52">
            <v>838.97</v>
          </cell>
          <cell r="AM52">
            <v>80</v>
          </cell>
          <cell r="AN52">
            <v>6.9904863849355021E-4</v>
          </cell>
          <cell r="AO52">
            <v>0</v>
          </cell>
          <cell r="AP52" t="e">
            <v>#DIV/0!</v>
          </cell>
          <cell r="AQ52">
            <v>480</v>
          </cell>
          <cell r="AR52">
            <v>1238.97</v>
          </cell>
          <cell r="AS52">
            <v>758.97</v>
          </cell>
          <cell r="AT52">
            <v>80</v>
          </cell>
          <cell r="AU52">
            <v>6.9904863849355021E-4</v>
          </cell>
          <cell r="AV52">
            <v>0</v>
          </cell>
          <cell r="AW52" t="e">
            <v>#DIV/0!</v>
          </cell>
          <cell r="AX52">
            <v>560</v>
          </cell>
          <cell r="AY52">
            <v>1238.97</v>
          </cell>
          <cell r="AZ52">
            <v>678.97</v>
          </cell>
          <cell r="BA52">
            <v>80</v>
          </cell>
          <cell r="BB52">
            <v>6.9904863849355021E-4</v>
          </cell>
          <cell r="BC52">
            <v>0</v>
          </cell>
          <cell r="BD52" t="e">
            <v>#DIV/0!</v>
          </cell>
          <cell r="BE52">
            <v>640</v>
          </cell>
          <cell r="BF52">
            <v>1238.97</v>
          </cell>
          <cell r="BG52">
            <v>598.97</v>
          </cell>
          <cell r="BH52">
            <v>80</v>
          </cell>
          <cell r="BI52">
            <v>6.9904863849355021E-4</v>
          </cell>
          <cell r="BJ52">
            <v>0</v>
          </cell>
          <cell r="BK52" t="e">
            <v>#DIV/0!</v>
          </cell>
          <cell r="BL52">
            <v>720</v>
          </cell>
          <cell r="BM52">
            <v>1238.97</v>
          </cell>
          <cell r="BN52">
            <v>518.97</v>
          </cell>
          <cell r="BO52">
            <v>80</v>
          </cell>
          <cell r="BP52">
            <v>6.9904863849355021E-4</v>
          </cell>
          <cell r="BQ52">
            <v>0</v>
          </cell>
          <cell r="BR52" t="e">
            <v>#DIV/0!</v>
          </cell>
          <cell r="BS52">
            <v>800</v>
          </cell>
          <cell r="BT52">
            <v>1238.97</v>
          </cell>
          <cell r="BU52">
            <v>438.97</v>
          </cell>
          <cell r="BV52">
            <v>80</v>
          </cell>
          <cell r="BW52">
            <v>6.9904863849355021E-4</v>
          </cell>
          <cell r="BX52">
            <v>0</v>
          </cell>
          <cell r="BY52" t="e">
            <v>#DIV/0!</v>
          </cell>
          <cell r="BZ52">
            <v>880</v>
          </cell>
          <cell r="CA52">
            <v>1238.97</v>
          </cell>
          <cell r="CB52">
            <v>358.97</v>
          </cell>
          <cell r="CC52">
            <v>80</v>
          </cell>
          <cell r="CD52">
            <v>6.9904863849355021E-4</v>
          </cell>
          <cell r="CE52">
            <v>0</v>
          </cell>
          <cell r="CF52" t="e">
            <v>#DIV/0!</v>
          </cell>
          <cell r="CG52">
            <v>960</v>
          </cell>
          <cell r="CH52">
            <v>1238.97</v>
          </cell>
        </row>
        <row r="53">
          <cell r="A53" t="str">
            <v>Viagens - Passagens / Traslados</v>
          </cell>
          <cell r="B53">
            <v>5.6857136128750426E-3</v>
          </cell>
          <cell r="C53">
            <v>554.90500000000009</v>
          </cell>
          <cell r="D53">
            <v>1500</v>
          </cell>
          <cell r="E53">
            <v>2.5000000000000001E-2</v>
          </cell>
          <cell r="F53">
            <v>0</v>
          </cell>
          <cell r="G53">
            <v>0</v>
          </cell>
          <cell r="H53">
            <v>1500</v>
          </cell>
          <cell r="I53">
            <v>0</v>
          </cell>
          <cell r="J53">
            <v>-1500</v>
          </cell>
          <cell r="K53">
            <v>1500</v>
          </cell>
          <cell r="L53">
            <v>2.5000000000000001E-2</v>
          </cell>
          <cell r="M53">
            <v>0</v>
          </cell>
          <cell r="N53">
            <v>0</v>
          </cell>
          <cell r="O53">
            <v>3000</v>
          </cell>
          <cell r="P53">
            <v>0</v>
          </cell>
          <cell r="Q53">
            <v>-3000</v>
          </cell>
          <cell r="R53">
            <v>1500</v>
          </cell>
          <cell r="S53">
            <v>2.5000000000000001E-2</v>
          </cell>
          <cell r="T53">
            <v>0</v>
          </cell>
          <cell r="U53">
            <v>0</v>
          </cell>
          <cell r="V53">
            <v>4500</v>
          </cell>
          <cell r="W53">
            <v>0</v>
          </cell>
          <cell r="X53">
            <v>-4500</v>
          </cell>
          <cell r="Y53">
            <v>1500</v>
          </cell>
          <cell r="Z53">
            <v>1.3107161971754065E-2</v>
          </cell>
          <cell r="AA53">
            <v>0</v>
          </cell>
          <cell r="AB53">
            <v>0</v>
          </cell>
          <cell r="AC53">
            <v>6000</v>
          </cell>
          <cell r="AD53">
            <v>0</v>
          </cell>
          <cell r="AE53">
            <v>-6000</v>
          </cell>
          <cell r="AF53">
            <v>1500</v>
          </cell>
          <cell r="AG53">
            <v>1.3107161971754065E-2</v>
          </cell>
          <cell r="AH53">
            <v>0</v>
          </cell>
          <cell r="AI53">
            <v>0</v>
          </cell>
          <cell r="AJ53">
            <v>7500</v>
          </cell>
          <cell r="AK53">
            <v>0</v>
          </cell>
          <cell r="AL53">
            <v>-7500</v>
          </cell>
          <cell r="AM53">
            <v>1500</v>
          </cell>
          <cell r="AN53">
            <v>1.3107161971754065E-2</v>
          </cell>
          <cell r="AO53">
            <v>0</v>
          </cell>
          <cell r="AP53" t="e">
            <v>#DIV/0!</v>
          </cell>
          <cell r="AQ53">
            <v>9000</v>
          </cell>
          <cell r="AR53">
            <v>0</v>
          </cell>
          <cell r="AS53">
            <v>-9000</v>
          </cell>
          <cell r="AT53">
            <v>1500</v>
          </cell>
          <cell r="AU53">
            <v>1.3107161971754065E-2</v>
          </cell>
          <cell r="AV53">
            <v>0</v>
          </cell>
          <cell r="AW53" t="e">
            <v>#DIV/0!</v>
          </cell>
          <cell r="AX53">
            <v>10500</v>
          </cell>
          <cell r="AY53">
            <v>0</v>
          </cell>
          <cell r="AZ53">
            <v>-10500</v>
          </cell>
          <cell r="BA53">
            <v>1500</v>
          </cell>
          <cell r="BB53">
            <v>1.3107161971754065E-2</v>
          </cell>
          <cell r="BC53">
            <v>0</v>
          </cell>
          <cell r="BD53" t="e">
            <v>#DIV/0!</v>
          </cell>
          <cell r="BE53">
            <v>12000</v>
          </cell>
          <cell r="BF53">
            <v>0</v>
          </cell>
          <cell r="BG53">
            <v>-12000</v>
          </cell>
          <cell r="BH53">
            <v>1500</v>
          </cell>
          <cell r="BI53">
            <v>1.3107161971754065E-2</v>
          </cell>
          <cell r="BJ53">
            <v>0</v>
          </cell>
          <cell r="BK53" t="e">
            <v>#DIV/0!</v>
          </cell>
          <cell r="BL53">
            <v>13500</v>
          </cell>
          <cell r="BM53">
            <v>0</v>
          </cell>
          <cell r="BN53">
            <v>-13500</v>
          </cell>
          <cell r="BO53">
            <v>1500</v>
          </cell>
          <cell r="BP53">
            <v>1.3107161971754065E-2</v>
          </cell>
          <cell r="BQ53">
            <v>0</v>
          </cell>
          <cell r="BR53" t="e">
            <v>#DIV/0!</v>
          </cell>
          <cell r="BS53">
            <v>15000</v>
          </cell>
          <cell r="BT53">
            <v>0</v>
          </cell>
          <cell r="BU53">
            <v>-15000</v>
          </cell>
          <cell r="BV53">
            <v>1500</v>
          </cell>
          <cell r="BW53">
            <v>1.3107161971754065E-2</v>
          </cell>
          <cell r="BX53">
            <v>0</v>
          </cell>
          <cell r="BY53" t="e">
            <v>#DIV/0!</v>
          </cell>
          <cell r="BZ53">
            <v>16500</v>
          </cell>
          <cell r="CA53">
            <v>0</v>
          </cell>
          <cell r="CB53">
            <v>-16500</v>
          </cell>
          <cell r="CC53">
            <v>1500</v>
          </cell>
          <cell r="CD53">
            <v>1.3107161971754065E-2</v>
          </cell>
          <cell r="CE53">
            <v>0</v>
          </cell>
          <cell r="CF53" t="e">
            <v>#DIV/0!</v>
          </cell>
          <cell r="CG53">
            <v>18000</v>
          </cell>
          <cell r="CH53">
            <v>0</v>
          </cell>
        </row>
        <row r="54">
          <cell r="A54" t="str">
            <v>Daycoval - Total</v>
          </cell>
          <cell r="B54">
            <v>0.71682385541846794</v>
          </cell>
          <cell r="C54">
            <v>69959.405023540865</v>
          </cell>
          <cell r="D54">
            <v>47822.749564593913</v>
          </cell>
          <cell r="E54">
            <v>0.79704582607656527</v>
          </cell>
          <cell r="F54">
            <v>49537.424666528859</v>
          </cell>
          <cell r="G54">
            <v>0.53951986624928339</v>
          </cell>
          <cell r="H54">
            <v>47822.749564593913</v>
          </cell>
          <cell r="I54">
            <v>49537.424666528859</v>
          </cell>
          <cell r="J54">
            <v>1714.675101934954</v>
          </cell>
          <cell r="K54">
            <v>48876.749564593913</v>
          </cell>
          <cell r="L54">
            <v>0.81461249274323189</v>
          </cell>
          <cell r="M54">
            <v>48651.049459775415</v>
          </cell>
          <cell r="N54">
            <v>0.75686137927466424</v>
          </cell>
          <cell r="O54">
            <v>96699.499129187825</v>
          </cell>
          <cell r="P54">
            <v>98188.474126304282</v>
          </cell>
          <cell r="Q54">
            <v>1488.9749971164556</v>
          </cell>
          <cell r="R54">
            <v>48876.749564593913</v>
          </cell>
          <cell r="S54">
            <v>0.81461249274323189</v>
          </cell>
          <cell r="T54">
            <v>51761.141737250713</v>
          </cell>
          <cell r="U54">
            <v>0.65609295802226686</v>
          </cell>
          <cell r="V54">
            <v>145576.24869378173</v>
          </cell>
          <cell r="W54">
            <v>149949.61586355499</v>
          </cell>
          <cell r="X54">
            <v>4373.3671697732461</v>
          </cell>
          <cell r="Y54">
            <v>49421.162064593918</v>
          </cell>
          <cell r="Z54">
            <v>0.43184745067529334</v>
          </cell>
          <cell r="AA54">
            <v>0</v>
          </cell>
          <cell r="AB54">
            <v>0</v>
          </cell>
          <cell r="AC54">
            <v>194997.41075837566</v>
          </cell>
          <cell r="AD54">
            <v>149949.61586355499</v>
          </cell>
          <cell r="AE54">
            <v>-45047.794894820654</v>
          </cell>
          <cell r="AF54">
            <v>49421.162064593918</v>
          </cell>
          <cell r="AG54">
            <v>0.43184745067529334</v>
          </cell>
          <cell r="AH54">
            <v>0</v>
          </cell>
          <cell r="AI54">
            <v>0</v>
          </cell>
          <cell r="AJ54">
            <v>244418.57282296955</v>
          </cell>
          <cell r="AK54">
            <v>149949.61586355499</v>
          </cell>
          <cell r="AL54">
            <v>-94468.956959414572</v>
          </cell>
          <cell r="AM54">
            <v>49421.162064593918</v>
          </cell>
          <cell r="AN54">
            <v>0.43184745067529334</v>
          </cell>
          <cell r="AO54">
            <v>0</v>
          </cell>
          <cell r="AP54" t="e">
            <v>#DIV/0!</v>
          </cell>
          <cell r="AQ54">
            <v>293839.73488756351</v>
          </cell>
          <cell r="AR54">
            <v>149949.61586355499</v>
          </cell>
          <cell r="AS54">
            <v>-143890.11902400851</v>
          </cell>
          <cell r="AT54">
            <v>49421.162064593918</v>
          </cell>
          <cell r="AU54">
            <v>0.43184745067529334</v>
          </cell>
          <cell r="AV54">
            <v>0</v>
          </cell>
          <cell r="AW54" t="e">
            <v>#DIV/0!</v>
          </cell>
          <cell r="AX54">
            <v>343260.89695215737</v>
          </cell>
          <cell r="AY54">
            <v>149949.61586355499</v>
          </cell>
          <cell r="AZ54">
            <v>-193311.28108860241</v>
          </cell>
          <cell r="BA54">
            <v>49421.162064593918</v>
          </cell>
          <cell r="BB54">
            <v>0.43184745067529334</v>
          </cell>
          <cell r="BC54">
            <v>0</v>
          </cell>
          <cell r="BD54" t="e">
            <v>#DIV/0!</v>
          </cell>
          <cell r="BE54">
            <v>392682.0590167513</v>
          </cell>
          <cell r="BF54">
            <v>149949.61586355499</v>
          </cell>
          <cell r="BG54">
            <v>-242732.44315319631</v>
          </cell>
          <cell r="BH54">
            <v>49421.162064593918</v>
          </cell>
          <cell r="BI54">
            <v>0.43184745067529334</v>
          </cell>
          <cell r="BJ54">
            <v>0</v>
          </cell>
          <cell r="BK54" t="e">
            <v>#DIV/0!</v>
          </cell>
          <cell r="BL54">
            <v>442103.22108134523</v>
          </cell>
          <cell r="BM54">
            <v>149949.61586355499</v>
          </cell>
          <cell r="BN54">
            <v>-292153.60521779029</v>
          </cell>
          <cell r="BO54">
            <v>49962.355580303985</v>
          </cell>
          <cell r="BP54">
            <v>0.43657645805427664</v>
          </cell>
          <cell r="BQ54">
            <v>0</v>
          </cell>
          <cell r="BR54" t="e">
            <v>#DIV/0!</v>
          </cell>
          <cell r="BS54">
            <v>492065.57666164916</v>
          </cell>
          <cell r="BT54">
            <v>149949.61586355499</v>
          </cell>
          <cell r="BU54">
            <v>-342115.96079809422</v>
          </cell>
          <cell r="BV54">
            <v>50987.355580303985</v>
          </cell>
          <cell r="BW54">
            <v>0.44553301873497525</v>
          </cell>
          <cell r="BX54">
            <v>0</v>
          </cell>
          <cell r="BY54" t="e">
            <v>#DIV/0!</v>
          </cell>
          <cell r="BZ54">
            <v>543052.93224195321</v>
          </cell>
          <cell r="CA54">
            <v>149949.61586355499</v>
          </cell>
          <cell r="CB54">
            <v>-393103.31637839827</v>
          </cell>
          <cell r="CC54">
            <v>50987.355580303985</v>
          </cell>
          <cell r="CD54">
            <v>0.44553301873497525</v>
          </cell>
          <cell r="CE54">
            <v>0</v>
          </cell>
          <cell r="CF54" t="e">
            <v>#DIV/0!</v>
          </cell>
          <cell r="CG54">
            <v>594040.28782225715</v>
          </cell>
          <cell r="CH54">
            <v>149949.61586355499</v>
          </cell>
        </row>
        <row r="55">
          <cell r="A55" t="str">
            <v>Distribuição Anual de Lucros</v>
          </cell>
          <cell r="M55">
            <v>81042.7</v>
          </cell>
          <cell r="T55">
            <v>1046.67</v>
          </cell>
          <cell r="AO55">
            <v>0</v>
          </cell>
          <cell r="BC55">
            <v>0</v>
          </cell>
        </row>
        <row r="56">
          <cell r="A56" t="str">
            <v>Ajuste Mensal de Lucros</v>
          </cell>
          <cell r="F56">
            <v>1717.2749999999999</v>
          </cell>
          <cell r="M56">
            <v>7491.64</v>
          </cell>
          <cell r="T56">
            <v>191.63</v>
          </cell>
          <cell r="AA56">
            <v>0</v>
          </cell>
          <cell r="AH56">
            <v>0</v>
          </cell>
          <cell r="AO56">
            <v>0</v>
          </cell>
          <cell r="AV56">
            <v>0</v>
          </cell>
          <cell r="BC56">
            <v>0</v>
          </cell>
          <cell r="BJ56">
            <v>0</v>
          </cell>
          <cell r="BQ56">
            <v>0</v>
          </cell>
          <cell r="BX56">
            <v>0</v>
          </cell>
          <cell r="CE56">
            <v>0</v>
          </cell>
        </row>
        <row r="57">
          <cell r="A57" t="str">
            <v>Impostos</v>
          </cell>
          <cell r="B57">
            <v>0.17349999999999999</v>
          </cell>
          <cell r="C57">
            <v>16932.969905833332</v>
          </cell>
          <cell r="D57">
            <v>10410</v>
          </cell>
          <cell r="F57">
            <v>22898.912435104525</v>
          </cell>
          <cell r="H57">
            <v>10410</v>
          </cell>
          <cell r="I57">
            <v>22898.912435104525</v>
          </cell>
          <cell r="J57">
            <v>12488.912435104525</v>
          </cell>
          <cell r="K57">
            <v>10410</v>
          </cell>
          <cell r="M57">
            <v>15236.461334592253</v>
          </cell>
          <cell r="O57">
            <v>20820</v>
          </cell>
          <cell r="P57">
            <v>38135.37376969678</v>
          </cell>
          <cell r="Q57">
            <v>17315.37376969678</v>
          </cell>
          <cell r="R57">
            <v>10410</v>
          </cell>
          <cell r="T57">
            <v>14959.270775077724</v>
          </cell>
          <cell r="V57">
            <v>31230</v>
          </cell>
          <cell r="W57">
            <v>53094.644544774506</v>
          </cell>
          <cell r="X57">
            <v>21864.644544774506</v>
          </cell>
          <cell r="Y57">
            <v>19855.556874999998</v>
          </cell>
          <cell r="AA57">
            <v>0</v>
          </cell>
          <cell r="AC57">
            <v>51085.556874999995</v>
          </cell>
          <cell r="AD57">
            <v>53094.644544774506</v>
          </cell>
          <cell r="AE57">
            <v>2009.0876697745116</v>
          </cell>
          <cell r="AF57">
            <v>19855.556874999998</v>
          </cell>
          <cell r="AH57">
            <v>0</v>
          </cell>
          <cell r="AJ57">
            <v>70941.11374999999</v>
          </cell>
          <cell r="AK57">
            <v>53094.644544774506</v>
          </cell>
          <cell r="AL57">
            <v>-17846.469205225483</v>
          </cell>
          <cell r="AM57">
            <v>19855.556874999998</v>
          </cell>
          <cell r="AO57">
            <v>0</v>
          </cell>
          <cell r="AQ57">
            <v>90796.670624999984</v>
          </cell>
          <cell r="AR57">
            <v>53094.644544774506</v>
          </cell>
          <cell r="AS57">
            <v>-37702.026080225478</v>
          </cell>
          <cell r="AT57">
            <v>19855.556874999998</v>
          </cell>
          <cell r="AV57">
            <v>0</v>
          </cell>
          <cell r="AX57">
            <v>110652.22749999998</v>
          </cell>
          <cell r="AY57">
            <v>53094.644544774506</v>
          </cell>
          <cell r="AZ57">
            <v>-57557.582955225473</v>
          </cell>
          <cell r="BA57">
            <v>19855.556874999998</v>
          </cell>
          <cell r="BC57">
            <v>0</v>
          </cell>
          <cell r="BE57">
            <v>130507.78437499997</v>
          </cell>
          <cell r="BF57">
            <v>53094.644544774506</v>
          </cell>
          <cell r="BG57">
            <v>-77413.139830225467</v>
          </cell>
          <cell r="BH57">
            <v>19855.556874999998</v>
          </cell>
          <cell r="BJ57">
            <v>0</v>
          </cell>
          <cell r="BL57">
            <v>150363.34124999997</v>
          </cell>
          <cell r="BM57">
            <v>53094.644544774506</v>
          </cell>
          <cell r="BN57">
            <v>-97268.696705225462</v>
          </cell>
          <cell r="BO57">
            <v>19855.556874999998</v>
          </cell>
          <cell r="BQ57">
            <v>0</v>
          </cell>
          <cell r="BS57">
            <v>170218.89812499998</v>
          </cell>
          <cell r="BT57">
            <v>53094.644544774506</v>
          </cell>
          <cell r="BU57">
            <v>-117124.25358022547</v>
          </cell>
          <cell r="BV57">
            <v>19855.556874999998</v>
          </cell>
          <cell r="BX57">
            <v>0</v>
          </cell>
          <cell r="BZ57">
            <v>190074.45499999999</v>
          </cell>
          <cell r="CA57">
            <v>53094.644544774506</v>
          </cell>
          <cell r="CB57">
            <v>-136979.81045522547</v>
          </cell>
          <cell r="CC57">
            <v>19855.556874999998</v>
          </cell>
          <cell r="CE57">
            <v>0</v>
          </cell>
          <cell r="CG57">
            <v>209930.011875</v>
          </cell>
          <cell r="CH57">
            <v>53094.644544774506</v>
          </cell>
        </row>
        <row r="59">
          <cell r="A59" t="str">
            <v>Margem de Contribuição</v>
          </cell>
          <cell r="B59">
            <v>0.10967614458153217</v>
          </cell>
          <cell r="C59">
            <v>10703.993403959135</v>
          </cell>
          <cell r="D59">
            <v>2.9454173923434791E-2</v>
          </cell>
          <cell r="F59">
            <v>0.21108448475588307</v>
          </cell>
          <cell r="H59">
            <v>2.9454173923434791E-2</v>
          </cell>
          <cell r="I59">
            <v>0.21108448475588307</v>
          </cell>
          <cell r="K59">
            <v>1.1887507256768124E-2</v>
          </cell>
          <cell r="M59">
            <v>6.1059303925378268E-3</v>
          </cell>
          <cell r="O59">
            <v>2.0670840590101457E-2</v>
          </cell>
          <cell r="P59">
            <v>0.12667562369468005</v>
          </cell>
          <cell r="R59">
            <v>1.1887507256768124E-2</v>
          </cell>
          <cell r="T59">
            <v>0.15429236418530873</v>
          </cell>
          <cell r="V59">
            <v>1.7743062812323719E-2</v>
          </cell>
          <cell r="W59">
            <v>0.1359473452648618</v>
          </cell>
          <cell r="Y59">
            <v>0.39465254932470661</v>
          </cell>
          <cell r="AA59">
            <v>0</v>
          </cell>
          <cell r="AC59">
            <v>0.16423745778359639</v>
          </cell>
          <cell r="AD59">
            <v>0.1359473452648618</v>
          </cell>
          <cell r="AF59">
            <v>0.39465254932470661</v>
          </cell>
          <cell r="AH59">
            <v>0</v>
          </cell>
          <cell r="AJ59">
            <v>0.22872784584087227</v>
          </cell>
          <cell r="AK59">
            <v>0.1359473452648618</v>
          </cell>
          <cell r="AM59">
            <v>0.39465254932470661</v>
          </cell>
          <cell r="AO59">
            <v>0</v>
          </cell>
          <cell r="AQ59">
            <v>0.26501251756190414</v>
          </cell>
          <cell r="AR59">
            <v>0.1359473452648618</v>
          </cell>
          <cell r="AT59">
            <v>0.39465254932470661</v>
          </cell>
          <cell r="AV59">
            <v>0</v>
          </cell>
          <cell r="AX59">
            <v>0.2882752668268761</v>
          </cell>
          <cell r="AY59">
            <v>0.1359473452648618</v>
          </cell>
          <cell r="BA59">
            <v>0.39465254932470661</v>
          </cell>
          <cell r="BC59">
            <v>0</v>
          </cell>
          <cell r="BE59">
            <v>0.30445959018320934</v>
          </cell>
          <cell r="BF59">
            <v>0.1359473452648618</v>
          </cell>
          <cell r="BH59">
            <v>0.39465254932470661</v>
          </cell>
          <cell r="BJ59">
            <v>0</v>
          </cell>
          <cell r="BL59">
            <v>0.31636961702267052</v>
          </cell>
          <cell r="BM59">
            <v>0.1359473452648618</v>
          </cell>
          <cell r="BO59">
            <v>0.38992354194572337</v>
          </cell>
          <cell r="BQ59">
            <v>0</v>
          </cell>
          <cell r="BS59">
            <v>0.32494947599118928</v>
          </cell>
          <cell r="BT59">
            <v>0.1359473452648618</v>
          </cell>
          <cell r="BV59">
            <v>0.38096698126502476</v>
          </cell>
          <cell r="BX59">
            <v>0</v>
          </cell>
          <cell r="BZ59">
            <v>0.33080117637859924</v>
          </cell>
          <cell r="CA59">
            <v>0.1359473452648618</v>
          </cell>
          <cell r="CC59">
            <v>0.38096698126502476</v>
          </cell>
          <cell r="CE59">
            <v>0</v>
          </cell>
          <cell r="CG59">
            <v>0.33554594813946437</v>
          </cell>
          <cell r="CH59">
            <v>0.1359473452648618</v>
          </cell>
        </row>
        <row r="61">
          <cell r="A61" t="str">
            <v>Rateio</v>
          </cell>
          <cell r="C61">
            <v>13378.464347387222</v>
          </cell>
          <cell r="F61">
            <v>20041.680596443362</v>
          </cell>
          <cell r="I61">
            <v>20041.680596443362</v>
          </cell>
          <cell r="M61">
            <v>14139.721509117271</v>
          </cell>
          <cell r="P61">
            <v>34181.402105560635</v>
          </cell>
          <cell r="T61">
            <v>16935.943301651045</v>
          </cell>
          <cell r="W61">
            <v>51117.34540721168</v>
          </cell>
          <cell r="AA61">
            <v>0</v>
          </cell>
          <cell r="AD61">
            <v>51117.34540721168</v>
          </cell>
          <cell r="AH61">
            <v>0</v>
          </cell>
          <cell r="AK61">
            <v>51117.34540721168</v>
          </cell>
          <cell r="AO61">
            <v>0</v>
          </cell>
          <cell r="AR61">
            <v>51117.34540721168</v>
          </cell>
          <cell r="AV61">
            <v>0</v>
          </cell>
          <cell r="AY61">
            <v>51117.34540721168</v>
          </cell>
          <cell r="BC61">
            <v>0</v>
          </cell>
          <cell r="BF61">
            <v>51117.34540721168</v>
          </cell>
          <cell r="BJ61">
            <v>0</v>
          </cell>
          <cell r="BM61">
            <v>51117.34540721168</v>
          </cell>
          <cell r="BQ61">
            <v>0</v>
          </cell>
          <cell r="BT61">
            <v>51117.34540721168</v>
          </cell>
          <cell r="BX61">
            <v>0</v>
          </cell>
          <cell r="CA61">
            <v>51117.34540721168</v>
          </cell>
          <cell r="CE61">
            <v>0</v>
          </cell>
          <cell r="CH61">
            <v>51117.34540721168</v>
          </cell>
        </row>
        <row r="63">
          <cell r="A63" t="str">
            <v>Resultado</v>
          </cell>
          <cell r="C63">
            <v>-11509.943760838587</v>
          </cell>
          <cell r="F63">
            <v>-660.40769807674587</v>
          </cell>
          <cell r="G63">
            <v>-7.1926038815075437E-3</v>
          </cell>
          <cell r="I63">
            <v>-660.40769807674587</v>
          </cell>
          <cell r="J63">
            <v>-7.1926038815075437E-3</v>
          </cell>
          <cell r="M63">
            <v>-13747.23230348494</v>
          </cell>
          <cell r="N63">
            <v>-0.21386484604052489</v>
          </cell>
          <cell r="P63">
            <v>-14407.640001561685</v>
          </cell>
          <cell r="Q63">
            <v>-9.2298914772376631E-2</v>
          </cell>
          <cell r="T63">
            <v>-4763.3558139794823</v>
          </cell>
          <cell r="U63">
            <v>-6.0377420227136533E-2</v>
          </cell>
          <cell r="W63">
            <v>-19170.995815541166</v>
          </cell>
          <cell r="X63">
            <v>-8.1581965405090731E-2</v>
          </cell>
          <cell r="AA63">
            <v>0</v>
          </cell>
          <cell r="AB63" t="e">
            <v>#DIV/0!</v>
          </cell>
          <cell r="AD63">
            <v>-19170.995815541166</v>
          </cell>
          <cell r="AE63">
            <v>-8.1581965405090731E-2</v>
          </cell>
          <cell r="AH63">
            <v>0</v>
          </cell>
          <cell r="AI63" t="e">
            <v>#DIV/0!</v>
          </cell>
          <cell r="AK63">
            <v>-19170.995815541166</v>
          </cell>
          <cell r="AL63">
            <v>-8.1581965405090731E-2</v>
          </cell>
          <cell r="AO63">
            <v>0</v>
          </cell>
          <cell r="AP63" t="e">
            <v>#DIV/0!</v>
          </cell>
          <cell r="AR63">
            <v>-19170.995815541166</v>
          </cell>
          <cell r="AS63">
            <v>-8.1581965405090731E-2</v>
          </cell>
          <cell r="AV63">
            <v>0</v>
          </cell>
          <cell r="AW63" t="e">
            <v>#DIV/0!</v>
          </cell>
          <cell r="AY63">
            <v>-19170.995815541166</v>
          </cell>
          <cell r="AZ63">
            <v>-8.1581965405090731E-2</v>
          </cell>
          <cell r="BC63">
            <v>0</v>
          </cell>
          <cell r="BD63" t="e">
            <v>#DIV/0!</v>
          </cell>
          <cell r="BF63">
            <v>-19170.995815541166</v>
          </cell>
          <cell r="BG63">
            <v>-8.1581965405090731E-2</v>
          </cell>
          <cell r="BJ63">
            <v>0</v>
          </cell>
          <cell r="BK63" t="e">
            <v>#DIV/0!</v>
          </cell>
          <cell r="BM63">
            <v>-19170.995815541166</v>
          </cell>
          <cell r="BN63">
            <v>-8.1581965405090731E-2</v>
          </cell>
          <cell r="BQ63">
            <v>0</v>
          </cell>
          <cell r="BR63" t="e">
            <v>#DIV/0!</v>
          </cell>
          <cell r="BT63">
            <v>-19170.995815541166</v>
          </cell>
          <cell r="BU63">
            <v>-8.1581965405090731E-2</v>
          </cell>
          <cell r="BX63">
            <v>0</v>
          </cell>
          <cell r="BY63" t="e">
            <v>#DIV/0!</v>
          </cell>
          <cell r="CA63">
            <v>-19170.995815541166</v>
          </cell>
          <cell r="CB63">
            <v>-8.1581965405090731E-2</v>
          </cell>
          <cell r="CE63">
            <v>0</v>
          </cell>
          <cell r="CF63" t="e">
            <v>#DIV/0!</v>
          </cell>
          <cell r="CH63">
            <v>-19170.995815541166</v>
          </cell>
        </row>
        <row r="65">
          <cell r="A65" t="str">
            <v>Daycoval Pronto? N</v>
          </cell>
          <cell r="CG65" t="str">
            <v>Total Ano</v>
          </cell>
        </row>
        <row r="66">
          <cell r="CG66" t="str">
            <v>Receita</v>
          </cell>
          <cell r="CH66">
            <v>1209971.25</v>
          </cell>
        </row>
        <row r="67">
          <cell r="A67" t="str">
            <v>Impostos - Cálculo Aproximado %</v>
          </cell>
          <cell r="B67">
            <v>0.17349999999999999</v>
          </cell>
          <cell r="CG67" t="str">
            <v>Desp Dir</v>
          </cell>
          <cell r="CH67">
            <v>594040.28782225715</v>
          </cell>
        </row>
        <row r="68">
          <cell r="CG68" t="str">
            <v>Imposto</v>
          </cell>
          <cell r="CH68">
            <v>209930.011875</v>
          </cell>
        </row>
        <row r="69">
          <cell r="CG69" t="str">
            <v>MC</v>
          </cell>
          <cell r="CH69">
            <v>406000.95030274289</v>
          </cell>
        </row>
        <row r="70">
          <cell r="CG70" t="str">
            <v>MC %</v>
          </cell>
          <cell r="CH70">
            <v>0.33554594813946437</v>
          </cell>
        </row>
        <row r="71">
          <cell r="CG71" t="str">
            <v>Rateio</v>
          </cell>
          <cell r="CH71">
            <v>267577.60438709334</v>
          </cell>
        </row>
        <row r="72">
          <cell r="CG72" t="str">
            <v>ML</v>
          </cell>
          <cell r="CH72">
            <v>138423.34591564955</v>
          </cell>
        </row>
        <row r="73">
          <cell r="CG73" t="str">
            <v>ML %</v>
          </cell>
          <cell r="CH73">
            <v>0.11440217766798141</v>
          </cell>
        </row>
      </sheetData>
      <sheetData sheetId="25">
        <row r="12">
          <cell r="A12" t="str">
            <v>13º (+ Encargos)</v>
          </cell>
          <cell r="B12">
            <v>5.5507045609257998E-3</v>
          </cell>
          <cell r="C12">
            <v>679.49874999999997</v>
          </cell>
          <cell r="D12">
            <v>0</v>
          </cell>
          <cell r="E12">
            <v>0</v>
          </cell>
          <cell r="F12">
            <v>0</v>
          </cell>
          <cell r="G12" t="e">
            <v>#DIV/0!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e">
            <v>#DIV/0!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4247.0084999999999</v>
          </cell>
          <cell r="BW12">
            <v>3.7584146017699112E-2</v>
          </cell>
          <cell r="BX12">
            <v>0</v>
          </cell>
          <cell r="BY12" t="e">
            <v>#DIV/0!</v>
          </cell>
          <cell r="BZ12">
            <v>4247.0084999999999</v>
          </cell>
          <cell r="CA12">
            <v>0</v>
          </cell>
          <cell r="CB12">
            <v>-4247.0084999999999</v>
          </cell>
          <cell r="CC12">
            <v>4247.0084999999999</v>
          </cell>
          <cell r="CD12">
            <v>3.7584146017699112E-2</v>
          </cell>
          <cell r="CE12">
            <v>0</v>
          </cell>
          <cell r="CF12" t="e">
            <v>#DIV/0!</v>
          </cell>
          <cell r="CG12">
            <v>8494.0169999999998</v>
          </cell>
          <cell r="CH12">
            <v>0</v>
          </cell>
        </row>
        <row r="13">
          <cell r="A13" t="str">
            <v>Acordo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 t="e">
            <v>#DIV/0!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e">
            <v>#DIV/0!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Aluguel + IPTU + Condomínio + Energia Elétrica</v>
          </cell>
          <cell r="B14">
            <v>1.3163291052706567E-2</v>
          </cell>
          <cell r="C14">
            <v>1611.4062130354957</v>
          </cell>
          <cell r="D14">
            <v>1671.5123540698887</v>
          </cell>
          <cell r="E14">
            <v>1.4792144726282201E-2</v>
          </cell>
          <cell r="F14">
            <v>1590.5809919999999</v>
          </cell>
          <cell r="G14" t="e">
            <v>#DIV/0!</v>
          </cell>
          <cell r="H14">
            <v>1671.5123540698887</v>
          </cell>
          <cell r="I14">
            <v>1590.5809919999999</v>
          </cell>
          <cell r="J14">
            <v>-80.931362069888792</v>
          </cell>
          <cell r="K14">
            <v>1671.5123540698887</v>
          </cell>
          <cell r="L14">
            <v>1.4792144726282201E-2</v>
          </cell>
          <cell r="M14">
            <v>1610.2829819999999</v>
          </cell>
          <cell r="N14">
            <v>7.1251459380530973E-3</v>
          </cell>
          <cell r="O14">
            <v>3343.0247081397774</v>
          </cell>
          <cell r="P14">
            <v>3200.8639739999999</v>
          </cell>
          <cell r="Q14">
            <v>-142.16073413977756</v>
          </cell>
          <cell r="R14">
            <v>1671.5123540698887</v>
          </cell>
          <cell r="S14">
            <v>1.4792144726282201E-2</v>
          </cell>
          <cell r="T14">
            <v>1578.241896</v>
          </cell>
          <cell r="U14" t="e">
            <v>#DIV/0!</v>
          </cell>
          <cell r="V14">
            <v>5014.5370622096661</v>
          </cell>
          <cell r="W14">
            <v>4779.1058699999994</v>
          </cell>
          <cell r="X14">
            <v>-235.43119220966673</v>
          </cell>
          <cell r="Y14">
            <v>1671.5123540698887</v>
          </cell>
          <cell r="Z14">
            <v>1.4792144726282201E-2</v>
          </cell>
          <cell r="AA14">
            <v>0</v>
          </cell>
          <cell r="AB14" t="e">
            <v>#DIV/0!</v>
          </cell>
          <cell r="AC14">
            <v>6686.0494162795549</v>
          </cell>
          <cell r="AD14">
            <v>4779.1058699999994</v>
          </cell>
          <cell r="AE14">
            <v>-1906.9435462795554</v>
          </cell>
          <cell r="AF14">
            <v>1671.5123540698887</v>
          </cell>
          <cell r="AG14">
            <v>1.4792144726282201E-2</v>
          </cell>
          <cell r="AH14">
            <v>0</v>
          </cell>
          <cell r="AI14" t="e">
            <v>#DIV/0!</v>
          </cell>
          <cell r="AJ14">
            <v>8357.5617703494427</v>
          </cell>
          <cell r="AK14">
            <v>4779.1058699999994</v>
          </cell>
          <cell r="AL14">
            <v>-3578.4559003494433</v>
          </cell>
          <cell r="AM14">
            <v>1671.5123540698887</v>
          </cell>
          <cell r="AN14">
            <v>1.4792144726282201E-2</v>
          </cell>
          <cell r="AO14">
            <v>0</v>
          </cell>
          <cell r="AP14" t="e">
            <v>#DIV/0!</v>
          </cell>
          <cell r="AQ14">
            <v>10029.07412441933</v>
          </cell>
          <cell r="AR14">
            <v>4779.1058699999994</v>
          </cell>
          <cell r="AS14">
            <v>-5249.9682544193311</v>
          </cell>
          <cell r="AT14">
            <v>1671.5123540698887</v>
          </cell>
          <cell r="AU14">
            <v>1.4792144726282201E-2</v>
          </cell>
          <cell r="AV14">
            <v>0</v>
          </cell>
          <cell r="AW14" t="e">
            <v>#DIV/0!</v>
          </cell>
          <cell r="AX14">
            <v>11700.586478489218</v>
          </cell>
          <cell r="AY14">
            <v>4779.1058699999994</v>
          </cell>
          <cell r="AZ14">
            <v>-6921.4806084892189</v>
          </cell>
          <cell r="BA14">
            <v>1671.5123540698887</v>
          </cell>
          <cell r="BB14">
            <v>1.4792144726282201E-2</v>
          </cell>
          <cell r="BC14">
            <v>0</v>
          </cell>
          <cell r="BD14" t="e">
            <v>#DIV/0!</v>
          </cell>
          <cell r="BE14">
            <v>13372.098832559106</v>
          </cell>
          <cell r="BF14">
            <v>4779.1058699999994</v>
          </cell>
          <cell r="BG14">
            <v>-8592.9929625591067</v>
          </cell>
          <cell r="BH14">
            <v>1671.5123540698887</v>
          </cell>
          <cell r="BI14">
            <v>1.4792144726282201E-2</v>
          </cell>
          <cell r="BJ14">
            <v>0</v>
          </cell>
          <cell r="BK14" t="e">
            <v>#DIV/0!</v>
          </cell>
          <cell r="BL14">
            <v>15043.611186628994</v>
          </cell>
          <cell r="BM14">
            <v>4779.1058699999994</v>
          </cell>
          <cell r="BN14">
            <v>-10264.505316628994</v>
          </cell>
          <cell r="BO14">
            <v>1736.2864169101622</v>
          </cell>
          <cell r="BP14">
            <v>1.5365366521328869E-2</v>
          </cell>
          <cell r="BQ14">
            <v>0</v>
          </cell>
          <cell r="BR14" t="e">
            <v>#DIV/0!</v>
          </cell>
          <cell r="BS14">
            <v>16779.897603539157</v>
          </cell>
          <cell r="BT14">
            <v>4779.1058699999994</v>
          </cell>
          <cell r="BU14">
            <v>-12000.791733539158</v>
          </cell>
          <cell r="BV14">
            <v>1736.2864169101622</v>
          </cell>
          <cell r="BW14">
            <v>1.5365366521328869E-2</v>
          </cell>
          <cell r="BX14">
            <v>0</v>
          </cell>
          <cell r="BY14" t="e">
            <v>#DIV/0!</v>
          </cell>
          <cell r="BZ14">
            <v>18516.18402044932</v>
          </cell>
          <cell r="CA14">
            <v>4779.1058699999994</v>
          </cell>
          <cell r="CB14">
            <v>-13737.078150449321</v>
          </cell>
          <cell r="CC14">
            <v>1736.2864169101622</v>
          </cell>
          <cell r="CD14">
            <v>1.5365366521328869E-2</v>
          </cell>
          <cell r="CE14">
            <v>0</v>
          </cell>
          <cell r="CF14" t="e">
            <v>#DIV/0!</v>
          </cell>
          <cell r="CG14">
            <v>20252.470437359483</v>
          </cell>
          <cell r="CH14">
            <v>4779.1058699999994</v>
          </cell>
        </row>
        <row r="15">
          <cell r="A15" t="str">
            <v>Aperfeiçoamento - Treinamentos / Livros / Revistas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 t="e">
            <v>#DIV/0!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e">
            <v>#DIV/0!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e">
            <v>#DIV/0!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OAB / Associações</v>
          </cell>
          <cell r="B16">
            <v>1.1894400953029271E-2</v>
          </cell>
          <cell r="C16">
            <v>1456.0729166666667</v>
          </cell>
          <cell r="D16">
            <v>1212</v>
          </cell>
          <cell r="E16">
            <v>1.072566371681416E-2</v>
          </cell>
          <cell r="F16">
            <v>313.93</v>
          </cell>
          <cell r="G16" t="e">
            <v>#DIV/0!</v>
          </cell>
          <cell r="H16">
            <v>1212</v>
          </cell>
          <cell r="I16">
            <v>313.93</v>
          </cell>
          <cell r="J16">
            <v>-898.06999999999994</v>
          </cell>
          <cell r="K16">
            <v>1212</v>
          </cell>
          <cell r="L16">
            <v>1.072566371681416E-2</v>
          </cell>
          <cell r="M16">
            <v>141.55000000000001</v>
          </cell>
          <cell r="N16">
            <v>6.2632743362831867E-4</v>
          </cell>
          <cell r="O16">
            <v>2424</v>
          </cell>
          <cell r="P16">
            <v>455.48</v>
          </cell>
          <cell r="Q16">
            <v>-1968.52</v>
          </cell>
          <cell r="R16">
            <v>1212</v>
          </cell>
          <cell r="S16">
            <v>1.072566371681416E-2</v>
          </cell>
          <cell r="T16">
            <v>294.31</v>
          </cell>
          <cell r="U16" t="e">
            <v>#DIV/0!</v>
          </cell>
          <cell r="V16">
            <v>3636</v>
          </cell>
          <cell r="W16">
            <v>749.79</v>
          </cell>
          <cell r="X16">
            <v>-2886.21</v>
          </cell>
          <cell r="Y16">
            <v>1212</v>
          </cell>
          <cell r="Z16">
            <v>1.072566371681416E-2</v>
          </cell>
          <cell r="AA16">
            <v>0</v>
          </cell>
          <cell r="AB16" t="e">
            <v>#DIV/0!</v>
          </cell>
          <cell r="AC16">
            <v>4848</v>
          </cell>
          <cell r="AD16">
            <v>749.79</v>
          </cell>
          <cell r="AE16">
            <v>-4098.21</v>
          </cell>
          <cell r="AF16">
            <v>1212</v>
          </cell>
          <cell r="AG16">
            <v>1.072566371681416E-2</v>
          </cell>
          <cell r="AH16">
            <v>0</v>
          </cell>
          <cell r="AI16" t="e">
            <v>#DIV/0!</v>
          </cell>
          <cell r="AJ16">
            <v>6060</v>
          </cell>
          <cell r="AK16">
            <v>749.79</v>
          </cell>
          <cell r="AL16">
            <v>-5310.21</v>
          </cell>
          <cell r="AM16">
            <v>1212</v>
          </cell>
          <cell r="AN16">
            <v>1.072566371681416E-2</v>
          </cell>
          <cell r="AO16">
            <v>0</v>
          </cell>
          <cell r="AP16" t="e">
            <v>#DIV/0!</v>
          </cell>
          <cell r="AQ16">
            <v>7272</v>
          </cell>
          <cell r="AR16">
            <v>749.79</v>
          </cell>
          <cell r="AS16">
            <v>-6522.21</v>
          </cell>
          <cell r="AT16">
            <v>1212</v>
          </cell>
          <cell r="AU16">
            <v>1.072566371681416E-2</v>
          </cell>
          <cell r="AV16">
            <v>0</v>
          </cell>
          <cell r="AW16" t="e">
            <v>#DIV/0!</v>
          </cell>
          <cell r="AX16">
            <v>8484</v>
          </cell>
          <cell r="AY16">
            <v>749.79</v>
          </cell>
          <cell r="AZ16">
            <v>-7734.21</v>
          </cell>
          <cell r="BA16">
            <v>1212</v>
          </cell>
          <cell r="BB16">
            <v>1.072566371681416E-2</v>
          </cell>
          <cell r="BC16">
            <v>0</v>
          </cell>
          <cell r="BD16" t="e">
            <v>#DIV/0!</v>
          </cell>
          <cell r="BE16">
            <v>9696</v>
          </cell>
          <cell r="BF16">
            <v>749.79</v>
          </cell>
          <cell r="BG16">
            <v>-8946.2099999999991</v>
          </cell>
          <cell r="BH16">
            <v>1212</v>
          </cell>
          <cell r="BI16">
            <v>1.072566371681416E-2</v>
          </cell>
          <cell r="BJ16">
            <v>0</v>
          </cell>
          <cell r="BK16" t="e">
            <v>#DIV/0!</v>
          </cell>
          <cell r="BL16">
            <v>10908</v>
          </cell>
          <cell r="BM16">
            <v>749.79</v>
          </cell>
          <cell r="BN16">
            <v>-10158.209999999999</v>
          </cell>
          <cell r="BO16">
            <v>1212</v>
          </cell>
          <cell r="BP16">
            <v>1.072566371681416E-2</v>
          </cell>
          <cell r="BQ16">
            <v>0</v>
          </cell>
          <cell r="BR16" t="e">
            <v>#DIV/0!</v>
          </cell>
          <cell r="BS16">
            <v>12120</v>
          </cell>
          <cell r="BT16">
            <v>749.79</v>
          </cell>
          <cell r="BU16">
            <v>-11370.21</v>
          </cell>
          <cell r="BV16">
            <v>1212</v>
          </cell>
          <cell r="BW16">
            <v>1.072566371681416E-2</v>
          </cell>
          <cell r="BX16">
            <v>0</v>
          </cell>
          <cell r="BY16" t="e">
            <v>#DIV/0!</v>
          </cell>
          <cell r="BZ16">
            <v>13332</v>
          </cell>
          <cell r="CA16">
            <v>749.79</v>
          </cell>
          <cell r="CB16">
            <v>-12582.21</v>
          </cell>
          <cell r="CC16">
            <v>1212</v>
          </cell>
          <cell r="CD16">
            <v>1.072566371681416E-2</v>
          </cell>
          <cell r="CE16">
            <v>0</v>
          </cell>
          <cell r="CF16" t="e">
            <v>#DIV/0!</v>
          </cell>
          <cell r="CG16">
            <v>14544</v>
          </cell>
          <cell r="CH16">
            <v>749.79</v>
          </cell>
        </row>
        <row r="17">
          <cell r="A17" t="str">
            <v>Back Office / Encerramento</v>
          </cell>
          <cell r="B17">
            <v>6.9903367935662666E-2</v>
          </cell>
          <cell r="C17">
            <v>8557.337291457372</v>
          </cell>
          <cell r="D17">
            <v>5000</v>
          </cell>
          <cell r="E17">
            <v>4.4247787610619468E-2</v>
          </cell>
          <cell r="F17">
            <v>6230.9303728213827</v>
          </cell>
          <cell r="G17" t="e">
            <v>#DIV/0!</v>
          </cell>
          <cell r="H17">
            <v>5000</v>
          </cell>
          <cell r="I17">
            <v>6230.9303728213827</v>
          </cell>
          <cell r="J17">
            <v>1230.9303728213827</v>
          </cell>
          <cell r="K17">
            <v>5000</v>
          </cell>
          <cell r="L17">
            <v>4.4247787610619468E-2</v>
          </cell>
          <cell r="M17">
            <v>7514.9245504751543</v>
          </cell>
          <cell r="N17">
            <v>3.3251878541925461E-2</v>
          </cell>
          <cell r="O17">
            <v>10000</v>
          </cell>
          <cell r="P17">
            <v>13745.854923296538</v>
          </cell>
          <cell r="Q17">
            <v>3745.8549232965379</v>
          </cell>
          <cell r="R17">
            <v>5000</v>
          </cell>
          <cell r="S17">
            <v>4.4247787610619468E-2</v>
          </cell>
          <cell r="T17">
            <v>8425.1675295026107</v>
          </cell>
          <cell r="U17" t="e">
            <v>#DIV/0!</v>
          </cell>
          <cell r="V17">
            <v>15000</v>
          </cell>
          <cell r="W17">
            <v>22171.022452799149</v>
          </cell>
          <cell r="X17">
            <v>7171.0224527991486</v>
          </cell>
          <cell r="Y17">
            <v>5000</v>
          </cell>
          <cell r="Z17">
            <v>4.4247787610619468E-2</v>
          </cell>
          <cell r="AA17">
            <v>0</v>
          </cell>
          <cell r="AB17" t="e">
            <v>#DIV/0!</v>
          </cell>
          <cell r="AC17">
            <v>20000</v>
          </cell>
          <cell r="AD17">
            <v>22171.022452799149</v>
          </cell>
          <cell r="AE17">
            <v>2171.0224527991486</v>
          </cell>
          <cell r="AF17">
            <v>5000</v>
          </cell>
          <cell r="AG17">
            <v>4.4247787610619468E-2</v>
          </cell>
          <cell r="AH17">
            <v>0</v>
          </cell>
          <cell r="AI17" t="e">
            <v>#DIV/0!</v>
          </cell>
          <cell r="AJ17">
            <v>25000</v>
          </cell>
          <cell r="AK17">
            <v>22171.022452799149</v>
          </cell>
          <cell r="AL17">
            <v>-2828.9775472008514</v>
          </cell>
          <cell r="AM17">
            <v>5000</v>
          </cell>
          <cell r="AN17">
            <v>4.4247787610619468E-2</v>
          </cell>
          <cell r="AO17">
            <v>0</v>
          </cell>
          <cell r="AP17" t="e">
            <v>#DIV/0!</v>
          </cell>
          <cell r="AQ17">
            <v>30000</v>
          </cell>
          <cell r="AR17">
            <v>22171.022452799149</v>
          </cell>
          <cell r="AS17">
            <v>-7828.9775472008514</v>
          </cell>
          <cell r="AT17">
            <v>5000</v>
          </cell>
          <cell r="AU17">
            <v>4.4247787610619468E-2</v>
          </cell>
          <cell r="AV17">
            <v>0</v>
          </cell>
          <cell r="AW17" t="e">
            <v>#DIV/0!</v>
          </cell>
          <cell r="AX17">
            <v>35000</v>
          </cell>
          <cell r="AY17">
            <v>22171.022452799149</v>
          </cell>
          <cell r="AZ17">
            <v>-12828.977547200851</v>
          </cell>
          <cell r="BA17">
            <v>5000</v>
          </cell>
          <cell r="BB17">
            <v>4.4247787610619468E-2</v>
          </cell>
          <cell r="BC17">
            <v>0</v>
          </cell>
          <cell r="BD17" t="e">
            <v>#DIV/0!</v>
          </cell>
          <cell r="BE17">
            <v>40000</v>
          </cell>
          <cell r="BF17">
            <v>22171.022452799149</v>
          </cell>
          <cell r="BG17">
            <v>-17828.977547200851</v>
          </cell>
          <cell r="BH17">
            <v>5000</v>
          </cell>
          <cell r="BI17">
            <v>4.4247787610619468E-2</v>
          </cell>
          <cell r="BJ17">
            <v>0</v>
          </cell>
          <cell r="BK17" t="e">
            <v>#DIV/0!</v>
          </cell>
          <cell r="BL17">
            <v>45000</v>
          </cell>
          <cell r="BM17">
            <v>22171.022452799149</v>
          </cell>
          <cell r="BN17">
            <v>-22828.977547200851</v>
          </cell>
          <cell r="BO17">
            <v>5000</v>
          </cell>
          <cell r="BP17">
            <v>4.4247787610619468E-2</v>
          </cell>
          <cell r="BQ17">
            <v>0</v>
          </cell>
          <cell r="BR17" t="e">
            <v>#DIV/0!</v>
          </cell>
          <cell r="BS17">
            <v>50000</v>
          </cell>
          <cell r="BT17">
            <v>22171.022452799149</v>
          </cell>
          <cell r="BU17">
            <v>-27828.977547200851</v>
          </cell>
          <cell r="BV17">
            <v>5000</v>
          </cell>
          <cell r="BW17">
            <v>4.4247787610619468E-2</v>
          </cell>
          <cell r="BX17">
            <v>0</v>
          </cell>
          <cell r="BY17" t="e">
            <v>#DIV/0!</v>
          </cell>
          <cell r="BZ17">
            <v>55000</v>
          </cell>
          <cell r="CA17">
            <v>22171.022452799149</v>
          </cell>
          <cell r="CB17">
            <v>-32828.977547200848</v>
          </cell>
          <cell r="CC17">
            <v>5000</v>
          </cell>
          <cell r="CD17">
            <v>4.4247787610619468E-2</v>
          </cell>
          <cell r="CE17">
            <v>0</v>
          </cell>
          <cell r="CF17" t="e">
            <v>#DIV/0!</v>
          </cell>
          <cell r="CG17">
            <v>60000</v>
          </cell>
          <cell r="CH17">
            <v>22171.022452799149</v>
          </cell>
        </row>
        <row r="18">
          <cell r="A18" t="str">
            <v>Bonificações/Premiações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#DIV/0!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 t="e">
            <v>#DIV/0!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Cadastro</v>
          </cell>
          <cell r="B19">
            <v>3.0372367559973402E-2</v>
          </cell>
          <cell r="C19">
            <v>3718.083995466744</v>
          </cell>
          <cell r="D19">
            <v>3700</v>
          </cell>
          <cell r="E19">
            <v>3.2743362831858407E-2</v>
          </cell>
          <cell r="F19">
            <v>5163.6903420981398</v>
          </cell>
          <cell r="G19" t="e">
            <v>#DIV/0!</v>
          </cell>
          <cell r="H19">
            <v>3700</v>
          </cell>
          <cell r="I19">
            <v>5163.6903420981398</v>
          </cell>
          <cell r="J19">
            <v>1463.6903420981398</v>
          </cell>
          <cell r="K19">
            <v>3700</v>
          </cell>
          <cell r="L19">
            <v>3.2743362831858407E-2</v>
          </cell>
          <cell r="M19">
            <v>8975.7031232665977</v>
          </cell>
          <cell r="N19">
            <v>3.9715500545427426E-2</v>
          </cell>
          <cell r="O19">
            <v>7400</v>
          </cell>
          <cell r="P19">
            <v>14139.393465364737</v>
          </cell>
          <cell r="Q19">
            <v>6739.3934653647375</v>
          </cell>
          <cell r="R19">
            <v>3700</v>
          </cell>
          <cell r="S19">
            <v>3.2743362831858407E-2</v>
          </cell>
          <cell r="T19">
            <v>4275.7830853615505</v>
          </cell>
          <cell r="U19" t="e">
            <v>#DIV/0!</v>
          </cell>
          <cell r="V19">
            <v>11100</v>
          </cell>
          <cell r="W19">
            <v>18415.17655072629</v>
          </cell>
          <cell r="X19">
            <v>7315.1765507262899</v>
          </cell>
          <cell r="Y19">
            <v>3700</v>
          </cell>
          <cell r="Z19">
            <v>3.2743362831858407E-2</v>
          </cell>
          <cell r="AA19">
            <v>0</v>
          </cell>
          <cell r="AB19" t="e">
            <v>#DIV/0!</v>
          </cell>
          <cell r="AC19">
            <v>14800</v>
          </cell>
          <cell r="AD19">
            <v>18415.17655072629</v>
          </cell>
          <cell r="AE19">
            <v>3615.1765507262899</v>
          </cell>
          <cell r="AF19">
            <v>3700</v>
          </cell>
          <cell r="AG19">
            <v>3.2743362831858407E-2</v>
          </cell>
          <cell r="AH19">
            <v>0</v>
          </cell>
          <cell r="AI19" t="e">
            <v>#DIV/0!</v>
          </cell>
          <cell r="AJ19">
            <v>18500</v>
          </cell>
          <cell r="AK19">
            <v>18415.17655072629</v>
          </cell>
          <cell r="AL19">
            <v>-84.823449273710139</v>
          </cell>
          <cell r="AM19">
            <v>3700</v>
          </cell>
          <cell r="AN19">
            <v>3.2743362831858407E-2</v>
          </cell>
          <cell r="AO19">
            <v>0</v>
          </cell>
          <cell r="AP19" t="e">
            <v>#DIV/0!</v>
          </cell>
          <cell r="AQ19">
            <v>22200</v>
          </cell>
          <cell r="AR19">
            <v>18415.17655072629</v>
          </cell>
          <cell r="AS19">
            <v>-3784.8234492737101</v>
          </cell>
          <cell r="AT19">
            <v>3700</v>
          </cell>
          <cell r="AU19">
            <v>3.2743362831858407E-2</v>
          </cell>
          <cell r="AV19">
            <v>0</v>
          </cell>
          <cell r="AW19" t="e">
            <v>#DIV/0!</v>
          </cell>
          <cell r="AX19">
            <v>25900</v>
          </cell>
          <cell r="AY19">
            <v>18415.17655072629</v>
          </cell>
          <cell r="AZ19">
            <v>13251.48620862815</v>
          </cell>
          <cell r="BA19">
            <v>3700</v>
          </cell>
          <cell r="BB19">
            <v>3.2743362831858407E-2</v>
          </cell>
          <cell r="BC19">
            <v>0</v>
          </cell>
          <cell r="BD19" t="e">
            <v>#DIV/0!</v>
          </cell>
          <cell r="BE19">
            <v>29600</v>
          </cell>
          <cell r="BF19">
            <v>18415.17655072629</v>
          </cell>
          <cell r="BG19">
            <v>-11184.82344927371</v>
          </cell>
          <cell r="BH19">
            <v>3700</v>
          </cell>
          <cell r="BI19">
            <v>3.2743362831858407E-2</v>
          </cell>
          <cell r="BJ19">
            <v>0</v>
          </cell>
          <cell r="BK19" t="e">
            <v>#DIV/0!</v>
          </cell>
          <cell r="BL19">
            <v>33300</v>
          </cell>
          <cell r="BM19">
            <v>18415.17655072629</v>
          </cell>
          <cell r="BN19">
            <v>-14884.82344927371</v>
          </cell>
          <cell r="BO19">
            <v>3700</v>
          </cell>
          <cell r="BP19">
            <v>3.2743362831858407E-2</v>
          </cell>
          <cell r="BQ19">
            <v>0</v>
          </cell>
          <cell r="BR19" t="e">
            <v>#DIV/0!</v>
          </cell>
          <cell r="BS19">
            <v>37000</v>
          </cell>
          <cell r="BT19">
            <v>18415.17655072629</v>
          </cell>
          <cell r="BU19">
            <v>-18584.82344927371</v>
          </cell>
          <cell r="BV19">
            <v>3700</v>
          </cell>
          <cell r="BW19">
            <v>3.2743362831858407E-2</v>
          </cell>
          <cell r="BX19">
            <v>0</v>
          </cell>
          <cell r="BY19" t="e">
            <v>#DIV/0!</v>
          </cell>
          <cell r="BZ19">
            <v>40700</v>
          </cell>
          <cell r="CA19">
            <v>18415.17655072629</v>
          </cell>
          <cell r="CB19">
            <v>-22284.82344927371</v>
          </cell>
          <cell r="CC19">
            <v>3700</v>
          </cell>
          <cell r="CD19">
            <v>3.2743362831858407E-2</v>
          </cell>
          <cell r="CE19">
            <v>0</v>
          </cell>
          <cell r="CF19" t="e">
            <v>#DIV/0!</v>
          </cell>
          <cell r="CG19">
            <v>44400</v>
          </cell>
          <cell r="CH19">
            <v>18415.17655072629</v>
          </cell>
        </row>
        <row r="20">
          <cell r="A20" t="str">
            <v>Cartório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#DIV/0!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 t="e">
            <v>#DIV/0!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6.0721579305650093E-4</v>
          </cell>
          <cell r="C21">
            <v>74.333333333333329</v>
          </cell>
          <cell r="D21">
            <v>0</v>
          </cell>
          <cell r="E21">
            <v>0</v>
          </cell>
          <cell r="F21">
            <v>0</v>
          </cell>
          <cell r="G21" t="e">
            <v>#DIV/0!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e">
            <v>#DIV/0!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#DIV/0!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e">
            <v>#DIV/0!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2.8486863892861515E-3</v>
          </cell>
          <cell r="C23">
            <v>348.72669215511308</v>
          </cell>
          <cell r="D23">
            <v>1000</v>
          </cell>
          <cell r="E23">
            <v>8.8495575221238937E-3</v>
          </cell>
          <cell r="F23">
            <v>1041.6537956146155</v>
          </cell>
          <cell r="G23" t="e">
            <v>#DIV/0!</v>
          </cell>
          <cell r="H23">
            <v>1000</v>
          </cell>
          <cell r="I23">
            <v>1041.6537956146155</v>
          </cell>
          <cell r="J23">
            <v>41.653795614615547</v>
          </cell>
          <cell r="K23">
            <v>1000</v>
          </cell>
          <cell r="L23">
            <v>8.8495575221238937E-3</v>
          </cell>
          <cell r="M23">
            <v>1060.8789298594565</v>
          </cell>
          <cell r="N23">
            <v>4.6941545569002506E-3</v>
          </cell>
          <cell r="O23">
            <v>2000</v>
          </cell>
          <cell r="P23">
            <v>2102.5327254740723</v>
          </cell>
          <cell r="Q23">
            <v>102.53272547407232</v>
          </cell>
          <cell r="R23">
            <v>1000</v>
          </cell>
          <cell r="S23">
            <v>8.8495575221238937E-3</v>
          </cell>
          <cell r="T23">
            <v>1199.8844985745593</v>
          </cell>
          <cell r="U23" t="e">
            <v>#DIV/0!</v>
          </cell>
          <cell r="V23">
            <v>3000</v>
          </cell>
          <cell r="W23">
            <v>3302.4172240486314</v>
          </cell>
          <cell r="X23">
            <v>302.4172240486314</v>
          </cell>
          <cell r="Y23">
            <v>1000</v>
          </cell>
          <cell r="Z23">
            <v>8.8495575221238937E-3</v>
          </cell>
          <cell r="AA23">
            <v>0</v>
          </cell>
          <cell r="AB23" t="e">
            <v>#DIV/0!</v>
          </cell>
          <cell r="AC23">
            <v>4000</v>
          </cell>
          <cell r="AD23">
            <v>3302.4172240486314</v>
          </cell>
          <cell r="AE23">
            <v>-697.5827759513686</v>
          </cell>
          <cell r="AF23">
            <v>1000</v>
          </cell>
          <cell r="AG23">
            <v>8.8495575221238937E-3</v>
          </cell>
          <cell r="AH23">
            <v>0</v>
          </cell>
          <cell r="AI23" t="e">
            <v>#DIV/0!</v>
          </cell>
          <cell r="AJ23">
            <v>5000</v>
          </cell>
          <cell r="AK23">
            <v>3302.4172240486314</v>
          </cell>
          <cell r="AL23">
            <v>-1697.5827759513686</v>
          </cell>
          <cell r="AM23">
            <v>1000</v>
          </cell>
          <cell r="AN23">
            <v>8.8495575221238937E-3</v>
          </cell>
          <cell r="AO23">
            <v>0</v>
          </cell>
          <cell r="AP23" t="e">
            <v>#DIV/0!</v>
          </cell>
          <cell r="AQ23">
            <v>6000</v>
          </cell>
          <cell r="AR23">
            <v>3302.4172240486314</v>
          </cell>
          <cell r="AS23">
            <v>-2697.5827759513686</v>
          </cell>
          <cell r="AT23">
            <v>1000</v>
          </cell>
          <cell r="AU23">
            <v>8.8495575221238937E-3</v>
          </cell>
          <cell r="AV23">
            <v>0</v>
          </cell>
          <cell r="AW23" t="e">
            <v>#DIV/0!</v>
          </cell>
          <cell r="AX23">
            <v>7000</v>
          </cell>
          <cell r="AY23">
            <v>3302.4172240486314</v>
          </cell>
          <cell r="AZ23">
            <v>-3697.5827759513686</v>
          </cell>
          <cell r="BA23">
            <v>1000</v>
          </cell>
          <cell r="BB23">
            <v>8.8495575221238937E-3</v>
          </cell>
          <cell r="BC23">
            <v>0</v>
          </cell>
          <cell r="BD23" t="e">
            <v>#DIV/0!</v>
          </cell>
          <cell r="BE23">
            <v>8000</v>
          </cell>
          <cell r="BF23">
            <v>3302.4172240486314</v>
          </cell>
          <cell r="BG23">
            <v>-4697.5827759513686</v>
          </cell>
          <cell r="BH23">
            <v>1000</v>
          </cell>
          <cell r="BI23">
            <v>8.8495575221238937E-3</v>
          </cell>
          <cell r="BJ23">
            <v>0</v>
          </cell>
          <cell r="BK23" t="e">
            <v>#DIV/0!</v>
          </cell>
          <cell r="BL23">
            <v>9000</v>
          </cell>
          <cell r="BM23">
            <v>3302.4172240486314</v>
          </cell>
          <cell r="BN23">
            <v>-5697.5827759513686</v>
          </cell>
          <cell r="BO23">
            <v>1000</v>
          </cell>
          <cell r="BP23">
            <v>8.8495575221238937E-3</v>
          </cell>
          <cell r="BQ23">
            <v>0</v>
          </cell>
          <cell r="BR23" t="e">
            <v>#DIV/0!</v>
          </cell>
          <cell r="BS23">
            <v>10000</v>
          </cell>
          <cell r="BT23">
            <v>3302.4172240486314</v>
          </cell>
          <cell r="BU23">
            <v>-6697.5827759513686</v>
          </cell>
          <cell r="BV23">
            <v>1000</v>
          </cell>
          <cell r="BW23">
            <v>8.8495575221238937E-3</v>
          </cell>
          <cell r="BX23">
            <v>0</v>
          </cell>
          <cell r="BY23" t="e">
            <v>#DIV/0!</v>
          </cell>
          <cell r="BZ23">
            <v>11000</v>
          </cell>
          <cell r="CA23">
            <v>3302.4172240486314</v>
          </cell>
          <cell r="CB23">
            <v>-7697.5827759513686</v>
          </cell>
          <cell r="CC23">
            <v>1000</v>
          </cell>
          <cell r="CD23">
            <v>8.8495575221238937E-3</v>
          </cell>
          <cell r="CE23">
            <v>0</v>
          </cell>
          <cell r="CF23" t="e">
            <v>#DIV/0!</v>
          </cell>
          <cell r="CG23">
            <v>12000</v>
          </cell>
          <cell r="CH23">
            <v>3302.4172240486314</v>
          </cell>
        </row>
        <row r="24">
          <cell r="A24" t="str">
            <v>GNA</v>
          </cell>
          <cell r="B24">
            <v>2.4138290835106373E-2</v>
          </cell>
          <cell r="C24">
            <v>2954.9291030642721</v>
          </cell>
          <cell r="D24">
            <v>1130</v>
          </cell>
          <cell r="E24">
            <v>0.01</v>
          </cell>
          <cell r="F24">
            <v>0</v>
          </cell>
          <cell r="G24" t="e">
            <v>#DIV/0!</v>
          </cell>
          <cell r="H24">
            <v>1130</v>
          </cell>
          <cell r="I24">
            <v>0</v>
          </cell>
          <cell r="J24">
            <v>-1130</v>
          </cell>
          <cell r="K24">
            <v>1130</v>
          </cell>
          <cell r="L24">
            <v>0.01</v>
          </cell>
          <cell r="M24">
            <v>2976.1406680679606</v>
          </cell>
          <cell r="N24">
            <v>1.3168764017999825E-2</v>
          </cell>
          <cell r="O24">
            <v>2260</v>
          </cell>
          <cell r="P24">
            <v>2976.1406680679606</v>
          </cell>
          <cell r="Q24">
            <v>716.14066806796063</v>
          </cell>
          <cell r="R24">
            <v>1130</v>
          </cell>
          <cell r="S24">
            <v>0.01</v>
          </cell>
          <cell r="T24">
            <v>0</v>
          </cell>
          <cell r="U24" t="e">
            <v>#DIV/0!</v>
          </cell>
          <cell r="V24">
            <v>3390</v>
          </cell>
          <cell r="W24">
            <v>2976.1406680679606</v>
          </cell>
          <cell r="X24">
            <v>-413.85933193203937</v>
          </cell>
          <cell r="Y24">
            <v>1130</v>
          </cell>
          <cell r="Z24">
            <v>0.01</v>
          </cell>
          <cell r="AA24">
            <v>0</v>
          </cell>
          <cell r="AB24" t="e">
            <v>#DIV/0!</v>
          </cell>
          <cell r="AC24">
            <v>4520</v>
          </cell>
          <cell r="AD24">
            <v>2976.1406680679606</v>
          </cell>
          <cell r="AE24">
            <v>-1543.8593319320394</v>
          </cell>
          <cell r="AF24">
            <v>1130</v>
          </cell>
          <cell r="AG24">
            <v>0.01</v>
          </cell>
          <cell r="AH24">
            <v>0</v>
          </cell>
          <cell r="AI24" t="e">
            <v>#DIV/0!</v>
          </cell>
          <cell r="AJ24">
            <v>5650</v>
          </cell>
          <cell r="AK24">
            <v>2976.1406680679606</v>
          </cell>
          <cell r="AL24">
            <v>-2673.8593319320394</v>
          </cell>
          <cell r="AM24">
            <v>1130</v>
          </cell>
          <cell r="AN24">
            <v>0.01</v>
          </cell>
          <cell r="AO24">
            <v>0</v>
          </cell>
          <cell r="AP24" t="e">
            <v>#DIV/0!</v>
          </cell>
          <cell r="AQ24">
            <v>6780</v>
          </cell>
          <cell r="AR24">
            <v>2976.1406680679606</v>
          </cell>
          <cell r="AS24">
            <v>-3803.8593319320394</v>
          </cell>
          <cell r="AT24">
            <v>1130</v>
          </cell>
          <cell r="AU24">
            <v>0.01</v>
          </cell>
          <cell r="AV24">
            <v>0</v>
          </cell>
          <cell r="AW24" t="e">
            <v>#DIV/0!</v>
          </cell>
          <cell r="AX24">
            <v>7910</v>
          </cell>
          <cell r="AY24">
            <v>2976.1406680679606</v>
          </cell>
          <cell r="AZ24">
            <v>-4933.8593319320389</v>
          </cell>
          <cell r="BA24">
            <v>1130</v>
          </cell>
          <cell r="BB24">
            <v>0.01</v>
          </cell>
          <cell r="BC24">
            <v>0</v>
          </cell>
          <cell r="BD24" t="e">
            <v>#DIV/0!</v>
          </cell>
          <cell r="BE24">
            <v>9040</v>
          </cell>
          <cell r="BF24">
            <v>2976.1406680679606</v>
          </cell>
          <cell r="BG24">
            <v>-6063.8593319320389</v>
          </cell>
          <cell r="BH24">
            <v>1130</v>
          </cell>
          <cell r="BI24">
            <v>0.01</v>
          </cell>
          <cell r="BJ24">
            <v>0</v>
          </cell>
          <cell r="BK24" t="e">
            <v>#DIV/0!</v>
          </cell>
          <cell r="BL24">
            <v>10170</v>
          </cell>
          <cell r="BM24">
            <v>2976.1406680679606</v>
          </cell>
          <cell r="BN24">
            <v>-7193.8593319320389</v>
          </cell>
          <cell r="BO24">
            <v>1130</v>
          </cell>
          <cell r="BP24">
            <v>0.01</v>
          </cell>
          <cell r="BQ24">
            <v>0</v>
          </cell>
          <cell r="BR24" t="e">
            <v>#DIV/0!</v>
          </cell>
          <cell r="BS24">
            <v>11300</v>
          </cell>
          <cell r="BT24">
            <v>2976.1406680679606</v>
          </cell>
          <cell r="BU24">
            <v>-8323.8593319320389</v>
          </cell>
          <cell r="BV24">
            <v>1130</v>
          </cell>
          <cell r="BW24">
            <v>0.01</v>
          </cell>
          <cell r="BX24">
            <v>0</v>
          </cell>
          <cell r="BY24" t="e">
            <v>#DIV/0!</v>
          </cell>
          <cell r="BZ24">
            <v>12430</v>
          </cell>
          <cell r="CA24">
            <v>2976.1406680679606</v>
          </cell>
          <cell r="CB24">
            <v>-9453.8593319320389</v>
          </cell>
          <cell r="CC24">
            <v>1130</v>
          </cell>
          <cell r="CD24">
            <v>0.01</v>
          </cell>
          <cell r="CE24">
            <v>0</v>
          </cell>
          <cell r="CF24" t="e">
            <v>#DIV/0!</v>
          </cell>
          <cell r="CG24">
            <v>13560</v>
          </cell>
          <cell r="CH24">
            <v>2976.1406680679606</v>
          </cell>
        </row>
        <row r="25">
          <cell r="A25" t="str">
            <v>Correios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31.95</v>
          </cell>
          <cell r="G25" t="e">
            <v>#DIV/0!</v>
          </cell>
          <cell r="H25">
            <v>0</v>
          </cell>
          <cell r="I25">
            <v>31.95</v>
          </cell>
          <cell r="J25">
            <v>31.95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31.95</v>
          </cell>
          <cell r="Q25">
            <v>31.95</v>
          </cell>
          <cell r="R25">
            <v>0</v>
          </cell>
          <cell r="S25">
            <v>0</v>
          </cell>
          <cell r="T25">
            <v>0</v>
          </cell>
          <cell r="U25" t="e">
            <v>#DIV/0!</v>
          </cell>
          <cell r="V25">
            <v>0</v>
          </cell>
          <cell r="W25">
            <v>31.95</v>
          </cell>
          <cell r="X25">
            <v>31.95</v>
          </cell>
          <cell r="Y25">
            <v>0</v>
          </cell>
          <cell r="Z25">
            <v>0</v>
          </cell>
          <cell r="AA25">
            <v>0</v>
          </cell>
          <cell r="AB25" t="e">
            <v>#DIV/0!</v>
          </cell>
          <cell r="AC25">
            <v>0</v>
          </cell>
          <cell r="AD25">
            <v>31.95</v>
          </cell>
          <cell r="AE25">
            <v>31.95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31.95</v>
          </cell>
          <cell r="AL25">
            <v>31.95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31.95</v>
          </cell>
          <cell r="AS25">
            <v>31.95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31.95</v>
          </cell>
          <cell r="AZ25">
            <v>31.95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31.95</v>
          </cell>
          <cell r="BG25">
            <v>31.95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31.95</v>
          </cell>
          <cell r="BN25">
            <v>31.95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31.95</v>
          </cell>
          <cell r="BU25">
            <v>31.95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31.95</v>
          </cell>
          <cell r="CB25">
            <v>31.95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31.95</v>
          </cell>
        </row>
        <row r="26">
          <cell r="A26" t="str">
            <v xml:space="preserve">Correspondentes </v>
          </cell>
          <cell r="B26">
            <v>0.11901035657590196</v>
          </cell>
          <cell r="C26">
            <v>14568.851150833332</v>
          </cell>
          <cell r="D26">
            <v>12000</v>
          </cell>
          <cell r="E26">
            <v>0.10619469026548672</v>
          </cell>
          <cell r="F26">
            <v>12505.600871000001</v>
          </cell>
          <cell r="G26" t="e">
            <v>#DIV/0!</v>
          </cell>
          <cell r="H26">
            <v>12000</v>
          </cell>
          <cell r="I26">
            <v>12505.600871000001</v>
          </cell>
          <cell r="J26">
            <v>505.60087100000055</v>
          </cell>
          <cell r="K26">
            <v>12000</v>
          </cell>
          <cell r="L26">
            <v>0.10619469026548672</v>
          </cell>
          <cell r="M26">
            <v>9391.5354549999993</v>
          </cell>
          <cell r="N26">
            <v>4.1555466615044244E-2</v>
          </cell>
          <cell r="O26">
            <v>24000</v>
          </cell>
          <cell r="P26">
            <v>21897.136326</v>
          </cell>
          <cell r="Q26">
            <v>-2102.8636740000002</v>
          </cell>
          <cell r="R26">
            <v>12000</v>
          </cell>
          <cell r="S26">
            <v>0.10619469026548672</v>
          </cell>
          <cell r="T26">
            <v>4660.4574190000012</v>
          </cell>
          <cell r="U26" t="e">
            <v>#DIV/0!</v>
          </cell>
          <cell r="V26">
            <v>36000</v>
          </cell>
          <cell r="W26">
            <v>26557.593745000002</v>
          </cell>
          <cell r="X26">
            <v>-9442.4062549999981</v>
          </cell>
          <cell r="Y26">
            <v>12000</v>
          </cell>
          <cell r="Z26">
            <v>0.10619469026548672</v>
          </cell>
          <cell r="AA26">
            <v>0</v>
          </cell>
          <cell r="AB26" t="e">
            <v>#DIV/0!</v>
          </cell>
          <cell r="AC26">
            <v>48000</v>
          </cell>
          <cell r="AD26">
            <v>26557.593745000002</v>
          </cell>
          <cell r="AE26">
            <v>-21442.406254999998</v>
          </cell>
          <cell r="AF26">
            <v>12000</v>
          </cell>
          <cell r="AG26">
            <v>0.10619469026548672</v>
          </cell>
          <cell r="AH26">
            <v>0</v>
          </cell>
          <cell r="AI26" t="e">
            <v>#DIV/0!</v>
          </cell>
          <cell r="AJ26">
            <v>60000</v>
          </cell>
          <cell r="AK26">
            <v>26557.593745000002</v>
          </cell>
          <cell r="AL26">
            <v>-33442.406254999994</v>
          </cell>
          <cell r="AM26">
            <v>12000</v>
          </cell>
          <cell r="AN26">
            <v>0.10619469026548672</v>
          </cell>
          <cell r="AO26">
            <v>0</v>
          </cell>
          <cell r="AP26" t="e">
            <v>#DIV/0!</v>
          </cell>
          <cell r="AQ26">
            <v>72000</v>
          </cell>
          <cell r="AR26">
            <v>26557.593745000002</v>
          </cell>
          <cell r="AS26">
            <v>-45442.406254999994</v>
          </cell>
          <cell r="AT26">
            <v>12000</v>
          </cell>
          <cell r="AU26">
            <v>0.10619469026548672</v>
          </cell>
          <cell r="AV26">
            <v>0</v>
          </cell>
          <cell r="AW26" t="e">
            <v>#DIV/0!</v>
          </cell>
          <cell r="AX26">
            <v>84000</v>
          </cell>
          <cell r="AY26">
            <v>26557.593745000002</v>
          </cell>
          <cell r="AZ26">
            <v>-57442.406254999994</v>
          </cell>
          <cell r="BA26">
            <v>12000</v>
          </cell>
          <cell r="BB26">
            <v>0.10619469026548672</v>
          </cell>
          <cell r="BC26">
            <v>0</v>
          </cell>
          <cell r="BD26" t="e">
            <v>#DIV/0!</v>
          </cell>
          <cell r="BE26">
            <v>96000</v>
          </cell>
          <cell r="BF26">
            <v>26557.593745000002</v>
          </cell>
          <cell r="BG26">
            <v>-69442.406254999994</v>
          </cell>
          <cell r="BH26">
            <v>12000</v>
          </cell>
          <cell r="BI26">
            <v>0.10619469026548672</v>
          </cell>
          <cell r="BJ26">
            <v>0</v>
          </cell>
          <cell r="BK26" t="e">
            <v>#DIV/0!</v>
          </cell>
          <cell r="BL26">
            <v>108000</v>
          </cell>
          <cell r="BM26">
            <v>26557.593745000002</v>
          </cell>
          <cell r="BN26">
            <v>-81442.406254999994</v>
          </cell>
          <cell r="BO26">
            <v>12000</v>
          </cell>
          <cell r="BP26">
            <v>0.10619469026548672</v>
          </cell>
          <cell r="BQ26">
            <v>0</v>
          </cell>
          <cell r="BR26" t="e">
            <v>#DIV/0!</v>
          </cell>
          <cell r="BS26">
            <v>120000</v>
          </cell>
          <cell r="BT26">
            <v>26557.593745000002</v>
          </cell>
          <cell r="BU26">
            <v>-93442.406254999994</v>
          </cell>
          <cell r="BV26">
            <v>12000</v>
          </cell>
          <cell r="BW26">
            <v>0.10619469026548672</v>
          </cell>
          <cell r="BX26">
            <v>0</v>
          </cell>
          <cell r="BY26" t="e">
            <v>#DIV/0!</v>
          </cell>
          <cell r="BZ26">
            <v>132000</v>
          </cell>
          <cell r="CA26">
            <v>26557.593745000002</v>
          </cell>
          <cell r="CB26">
            <v>-105442.40625499999</v>
          </cell>
          <cell r="CC26">
            <v>12000</v>
          </cell>
          <cell r="CD26">
            <v>0.10619469026548672</v>
          </cell>
          <cell r="CE26">
            <v>0</v>
          </cell>
          <cell r="CF26" t="e">
            <v>#DIV/0!</v>
          </cell>
          <cell r="CG26">
            <v>144000</v>
          </cell>
          <cell r="CH26">
            <v>26557.593745000002</v>
          </cell>
        </row>
        <row r="27">
          <cell r="A27" t="str">
            <v>Custas/Guias/Despesas</v>
          </cell>
          <cell r="B27">
            <v>4.5622872702518728E-5</v>
          </cell>
          <cell r="C27">
            <v>5.5850000000000009</v>
          </cell>
          <cell r="D27">
            <v>0</v>
          </cell>
          <cell r="E27">
            <v>0</v>
          </cell>
          <cell r="F27">
            <v>0</v>
          </cell>
          <cell r="G27" t="e">
            <v>#DIV/0!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e">
            <v>#DIV/0!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Deslocamento</v>
          </cell>
          <cell r="B28">
            <v>1.870592219196732E-4</v>
          </cell>
          <cell r="C28">
            <v>22.899166416666663</v>
          </cell>
          <cell r="D28">
            <v>25</v>
          </cell>
          <cell r="E28">
            <v>2.2123893805309734E-4</v>
          </cell>
          <cell r="F28">
            <v>0</v>
          </cell>
          <cell r="G28" t="e">
            <v>#DIV/0!</v>
          </cell>
          <cell r="H28">
            <v>25</v>
          </cell>
          <cell r="I28">
            <v>0</v>
          </cell>
          <cell r="J28">
            <v>-25</v>
          </cell>
          <cell r="K28">
            <v>25</v>
          </cell>
          <cell r="L28">
            <v>2.2123893805309734E-4</v>
          </cell>
          <cell r="M28">
            <v>68.599677999999997</v>
          </cell>
          <cell r="N28">
            <v>3.0353839823008851E-4</v>
          </cell>
          <cell r="O28">
            <v>50</v>
          </cell>
          <cell r="P28">
            <v>68.599677999999997</v>
          </cell>
          <cell r="Q28">
            <v>18.599677999999997</v>
          </cell>
          <cell r="R28">
            <v>25</v>
          </cell>
          <cell r="S28">
            <v>2.2123893805309734E-4</v>
          </cell>
          <cell r="T28">
            <v>0</v>
          </cell>
          <cell r="U28" t="e">
            <v>#DIV/0!</v>
          </cell>
          <cell r="V28">
            <v>75</v>
          </cell>
          <cell r="W28">
            <v>68.599677999999997</v>
          </cell>
          <cell r="X28">
            <v>-6.4003220000000027</v>
          </cell>
          <cell r="Y28">
            <v>25</v>
          </cell>
          <cell r="Z28">
            <v>2.2123893805309734E-4</v>
          </cell>
          <cell r="AA28">
            <v>0</v>
          </cell>
          <cell r="AB28" t="e">
            <v>#DIV/0!</v>
          </cell>
          <cell r="AC28">
            <v>100</v>
          </cell>
          <cell r="AD28">
            <v>68.599677999999997</v>
          </cell>
          <cell r="AE28">
            <v>-31.400322000000003</v>
          </cell>
          <cell r="AF28">
            <v>25</v>
          </cell>
          <cell r="AG28">
            <v>2.2123893805309734E-4</v>
          </cell>
          <cell r="AH28">
            <v>0</v>
          </cell>
          <cell r="AI28" t="e">
            <v>#DIV/0!</v>
          </cell>
          <cell r="AJ28">
            <v>125</v>
          </cell>
          <cell r="AK28">
            <v>68.599677999999997</v>
          </cell>
          <cell r="AL28">
            <v>-56.400322000000003</v>
          </cell>
          <cell r="AM28">
            <v>25</v>
          </cell>
          <cell r="AN28">
            <v>2.2123893805309734E-4</v>
          </cell>
          <cell r="AO28">
            <v>0</v>
          </cell>
          <cell r="AP28" t="e">
            <v>#DIV/0!</v>
          </cell>
          <cell r="AQ28">
            <v>150</v>
          </cell>
          <cell r="AR28">
            <v>68.599677999999997</v>
          </cell>
          <cell r="AS28">
            <v>-81.400322000000003</v>
          </cell>
          <cell r="AT28">
            <v>25</v>
          </cell>
          <cell r="AU28">
            <v>2.2123893805309734E-4</v>
          </cell>
          <cell r="AV28">
            <v>0</v>
          </cell>
          <cell r="AW28" t="e">
            <v>#DIV/0!</v>
          </cell>
          <cell r="AX28">
            <v>175</v>
          </cell>
          <cell r="AY28">
            <v>68.599677999999997</v>
          </cell>
          <cell r="AZ28">
            <v>-106.400322</v>
          </cell>
          <cell r="BA28">
            <v>25</v>
          </cell>
          <cell r="BB28">
            <v>2.2123893805309734E-4</v>
          </cell>
          <cell r="BC28">
            <v>0</v>
          </cell>
          <cell r="BD28" t="e">
            <v>#DIV/0!</v>
          </cell>
          <cell r="BE28">
            <v>200</v>
          </cell>
          <cell r="BF28">
            <v>68.599677999999997</v>
          </cell>
          <cell r="BG28">
            <v>-131.40032200000002</v>
          </cell>
          <cell r="BH28">
            <v>25</v>
          </cell>
          <cell r="BI28">
            <v>2.2123893805309734E-4</v>
          </cell>
          <cell r="BJ28">
            <v>0</v>
          </cell>
          <cell r="BK28" t="e">
            <v>#DIV/0!</v>
          </cell>
          <cell r="BL28">
            <v>225</v>
          </cell>
          <cell r="BM28">
            <v>68.599677999999997</v>
          </cell>
          <cell r="BN28">
            <v>-156.40032200000002</v>
          </cell>
          <cell r="BO28">
            <v>25</v>
          </cell>
          <cell r="BP28">
            <v>2.2123893805309734E-4</v>
          </cell>
          <cell r="BQ28">
            <v>0</v>
          </cell>
          <cell r="BR28" t="e">
            <v>#DIV/0!</v>
          </cell>
          <cell r="BS28">
            <v>250</v>
          </cell>
          <cell r="BT28">
            <v>68.599677999999997</v>
          </cell>
          <cell r="BU28">
            <v>-181.40032200000002</v>
          </cell>
          <cell r="BV28">
            <v>25</v>
          </cell>
          <cell r="BW28">
            <v>2.2123893805309734E-4</v>
          </cell>
          <cell r="BX28">
            <v>0</v>
          </cell>
          <cell r="BY28" t="e">
            <v>#DIV/0!</v>
          </cell>
          <cell r="BZ28">
            <v>275</v>
          </cell>
          <cell r="CA28">
            <v>68.599677999999997</v>
          </cell>
          <cell r="CB28">
            <v>-206.40032200000002</v>
          </cell>
          <cell r="CC28">
            <v>25</v>
          </cell>
          <cell r="CD28">
            <v>2.2123893805309734E-4</v>
          </cell>
          <cell r="CE28">
            <v>0</v>
          </cell>
          <cell r="CF28" t="e">
            <v>#DIV/0!</v>
          </cell>
          <cell r="CG28">
            <v>300</v>
          </cell>
          <cell r="CH28">
            <v>68.599677999999997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 t="e">
            <v>#DIV/0!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e">
            <v>#DIV/0!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#DIV/0!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e">
            <v>#DIV/0!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</v>
          </cell>
          <cell r="B31">
            <v>1.5543410671434504E-2</v>
          </cell>
          <cell r="C31">
            <v>1902.7725230281073</v>
          </cell>
          <cell r="D31">
            <v>3372.7511982501451</v>
          </cell>
          <cell r="E31">
            <v>2.9847355736726949E-2</v>
          </cell>
          <cell r="F31">
            <v>3545.900882515572</v>
          </cell>
          <cell r="G31" t="e">
            <v>#DIV/0!</v>
          </cell>
          <cell r="H31">
            <v>3372.7511982501451</v>
          </cell>
          <cell r="I31">
            <v>3545.900882515572</v>
          </cell>
          <cell r="J31">
            <v>173.14968426542691</v>
          </cell>
          <cell r="K31">
            <v>3372.7511982501451</v>
          </cell>
          <cell r="L31">
            <v>2.9847355736726949E-2</v>
          </cell>
          <cell r="M31">
            <v>3372.7511982501451</v>
          </cell>
          <cell r="N31">
            <v>1.4923677868363475E-2</v>
          </cell>
          <cell r="O31">
            <v>6745.5023965002902</v>
          </cell>
          <cell r="P31">
            <v>6918.6520807657171</v>
          </cell>
          <cell r="Q31">
            <v>173.14968426542691</v>
          </cell>
          <cell r="R31">
            <v>3372.7511982501451</v>
          </cell>
          <cell r="S31">
            <v>2.9847355736726949E-2</v>
          </cell>
          <cell r="T31">
            <v>3443.0334072406699</v>
          </cell>
          <cell r="U31" t="e">
            <v>#DIV/0!</v>
          </cell>
          <cell r="V31">
            <v>10118.253594750435</v>
          </cell>
          <cell r="W31">
            <v>10361.685488006387</v>
          </cell>
          <cell r="X31">
            <v>243.43189325595267</v>
          </cell>
          <cell r="Y31">
            <v>3372.7511982501451</v>
          </cell>
          <cell r="Z31">
            <v>2.9847355736726949E-2</v>
          </cell>
          <cell r="AA31">
            <v>0</v>
          </cell>
          <cell r="AB31" t="e">
            <v>#DIV/0!</v>
          </cell>
          <cell r="AC31">
            <v>13491.00479300058</v>
          </cell>
          <cell r="AD31">
            <v>10361.685488006387</v>
          </cell>
          <cell r="AE31">
            <v>-3129.3193049941929</v>
          </cell>
          <cell r="AF31">
            <v>3372.7511982501451</v>
          </cell>
          <cell r="AG31">
            <v>2.9847355736726949E-2</v>
          </cell>
          <cell r="AH31">
            <v>0</v>
          </cell>
          <cell r="AI31" t="e">
            <v>#DIV/0!</v>
          </cell>
          <cell r="AJ31">
            <v>16863.755991250724</v>
          </cell>
          <cell r="AK31">
            <v>10361.685488006387</v>
          </cell>
          <cell r="AL31">
            <v>-6502.0705032443366</v>
          </cell>
          <cell r="AM31">
            <v>3372.7511982501451</v>
          </cell>
          <cell r="AN31">
            <v>2.9847355736726949E-2</v>
          </cell>
          <cell r="AO31">
            <v>0</v>
          </cell>
          <cell r="AP31" t="e">
            <v>#DIV/0!</v>
          </cell>
          <cell r="AQ31">
            <v>20236.50718950087</v>
          </cell>
          <cell r="AR31">
            <v>10361.685488006387</v>
          </cell>
          <cell r="AS31">
            <v>-9874.8217014944821</v>
          </cell>
          <cell r="AT31">
            <v>3372.7511982501451</v>
          </cell>
          <cell r="AU31">
            <v>2.9847355736726949E-2</v>
          </cell>
          <cell r="AV31">
            <v>0</v>
          </cell>
          <cell r="AW31" t="e">
            <v>#DIV/0!</v>
          </cell>
          <cell r="AX31">
            <v>23609.258387751015</v>
          </cell>
          <cell r="AY31">
            <v>10361.685488006387</v>
          </cell>
          <cell r="AZ31">
            <v>-13247.572899744628</v>
          </cell>
          <cell r="BA31">
            <v>3372.7511982501451</v>
          </cell>
          <cell r="BB31">
            <v>2.9847355736726949E-2</v>
          </cell>
          <cell r="BC31">
            <v>0</v>
          </cell>
          <cell r="BD31" t="e">
            <v>#DIV/0!</v>
          </cell>
          <cell r="BE31">
            <v>26982.009586001161</v>
          </cell>
          <cell r="BF31">
            <v>10361.685488006387</v>
          </cell>
          <cell r="BG31">
            <v>-16620.324097994773</v>
          </cell>
          <cell r="BH31">
            <v>3372.7511982501451</v>
          </cell>
          <cell r="BI31">
            <v>2.9847355736726949E-2</v>
          </cell>
          <cell r="BJ31">
            <v>0</v>
          </cell>
          <cell r="BK31" t="e">
            <v>#DIV/0!</v>
          </cell>
          <cell r="BL31">
            <v>30354.760784251306</v>
          </cell>
          <cell r="BM31">
            <v>10361.685488006387</v>
          </cell>
          <cell r="BN31">
            <v>-19993.075296244919</v>
          </cell>
          <cell r="BO31">
            <v>3372.7511982501451</v>
          </cell>
          <cell r="BP31">
            <v>2.9847355736726949E-2</v>
          </cell>
          <cell r="BQ31">
            <v>0</v>
          </cell>
          <cell r="BR31" t="e">
            <v>#DIV/0!</v>
          </cell>
          <cell r="BS31">
            <v>33727.511982501448</v>
          </cell>
          <cell r="BT31">
            <v>10361.685488006387</v>
          </cell>
          <cell r="BU31">
            <v>-23365.826494495061</v>
          </cell>
          <cell r="BV31">
            <v>3372.7511982501451</v>
          </cell>
          <cell r="BW31">
            <v>2.9847355736726949E-2</v>
          </cell>
          <cell r="BX31">
            <v>0</v>
          </cell>
          <cell r="BY31" t="e">
            <v>#DIV/0!</v>
          </cell>
          <cell r="BZ31">
            <v>37100.263180751594</v>
          </cell>
          <cell r="CA31">
            <v>10361.685488006387</v>
          </cell>
          <cell r="CB31">
            <v>-26738.577692745206</v>
          </cell>
          <cell r="CC31">
            <v>3372.7511982501451</v>
          </cell>
          <cell r="CD31">
            <v>2.9847355736726949E-2</v>
          </cell>
          <cell r="CE31">
            <v>0</v>
          </cell>
          <cell r="CF31" t="e">
            <v>#DIV/0!</v>
          </cell>
          <cell r="CG31">
            <v>40473.014379001739</v>
          </cell>
          <cell r="CH31">
            <v>10361.685488006387</v>
          </cell>
        </row>
        <row r="32">
          <cell r="A32" t="str">
            <v>Encargos Rescisórios</v>
          </cell>
          <cell r="B32">
            <v>3.0751803948264127E-3</v>
          </cell>
          <cell r="C32">
            <v>376.45333333333338</v>
          </cell>
          <cell r="D32">
            <v>0</v>
          </cell>
          <cell r="E32">
            <v>0</v>
          </cell>
          <cell r="F32">
            <v>0</v>
          </cell>
          <cell r="G32" t="e">
            <v>#DIV/0!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e">
            <v>#DIV/0!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 t="e">
            <v>#DIV/0!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e">
            <v>#DIV/0!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#DIV/0!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 t="e">
            <v>#DIV/0!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Férias</v>
          </cell>
          <cell r="B35">
            <v>7.5636997957794407E-3</v>
          </cell>
          <cell r="C35">
            <v>925.92291666666654</v>
          </cell>
          <cell r="D35">
            <v>235.94491666666667</v>
          </cell>
          <cell r="E35">
            <v>2.0880081120943955E-3</v>
          </cell>
          <cell r="F35">
            <v>1000.74</v>
          </cell>
          <cell r="G35" t="e">
            <v>#DIV/0!</v>
          </cell>
          <cell r="H35">
            <v>235.94491666666667</v>
          </cell>
          <cell r="I35">
            <v>1000.74</v>
          </cell>
          <cell r="J35">
            <v>764.79508333333331</v>
          </cell>
          <cell r="K35">
            <v>235.94491666666667</v>
          </cell>
          <cell r="L35">
            <v>2.0880081120943955E-3</v>
          </cell>
          <cell r="M35">
            <v>0</v>
          </cell>
          <cell r="N35">
            <v>0</v>
          </cell>
          <cell r="O35">
            <v>471.88983333333334</v>
          </cell>
          <cell r="P35">
            <v>1000.74</v>
          </cell>
          <cell r="Q35">
            <v>528.85016666666661</v>
          </cell>
          <cell r="R35">
            <v>235.94491666666667</v>
          </cell>
          <cell r="S35">
            <v>2.0880081120943955E-3</v>
          </cell>
          <cell r="T35">
            <v>0</v>
          </cell>
          <cell r="U35" t="e">
            <v>#DIV/0!</v>
          </cell>
          <cell r="V35">
            <v>707.83474999999999</v>
          </cell>
          <cell r="W35">
            <v>1000.74</v>
          </cell>
          <cell r="X35">
            <v>292.90525000000002</v>
          </cell>
          <cell r="Y35">
            <v>235.94491666666667</v>
          </cell>
          <cell r="Z35">
            <v>2.0880081120943955E-3</v>
          </cell>
          <cell r="AA35">
            <v>0</v>
          </cell>
          <cell r="AB35" t="e">
            <v>#DIV/0!</v>
          </cell>
          <cell r="AC35">
            <v>943.77966666666669</v>
          </cell>
          <cell r="AD35">
            <v>1000.74</v>
          </cell>
          <cell r="AE35">
            <v>56.960333333333324</v>
          </cell>
          <cell r="AF35">
            <v>235.94491666666667</v>
          </cell>
          <cell r="AG35">
            <v>2.0880081120943955E-3</v>
          </cell>
          <cell r="AH35">
            <v>0</v>
          </cell>
          <cell r="AI35" t="e">
            <v>#DIV/0!</v>
          </cell>
          <cell r="AJ35">
            <v>1179.7245833333334</v>
          </cell>
          <cell r="AK35">
            <v>1000.74</v>
          </cell>
          <cell r="AL35">
            <v>-178.98458333333338</v>
          </cell>
          <cell r="AM35">
            <v>235.94491666666667</v>
          </cell>
          <cell r="AN35">
            <v>2.0880081120943955E-3</v>
          </cell>
          <cell r="AO35">
            <v>0</v>
          </cell>
          <cell r="AP35" t="e">
            <v>#DIV/0!</v>
          </cell>
          <cell r="AQ35">
            <v>1415.6695</v>
          </cell>
          <cell r="AR35">
            <v>1000.74</v>
          </cell>
          <cell r="AS35">
            <v>-414.92949999999996</v>
          </cell>
          <cell r="AT35">
            <v>235.94491666666667</v>
          </cell>
          <cell r="AU35">
            <v>2.0880081120943955E-3</v>
          </cell>
          <cell r="AV35">
            <v>0</v>
          </cell>
          <cell r="AW35" t="e">
            <v>#DIV/0!</v>
          </cell>
          <cell r="AX35">
            <v>1651.6144166666666</v>
          </cell>
          <cell r="AY35">
            <v>1000.74</v>
          </cell>
          <cell r="AZ35">
            <v>-650.87441666666655</v>
          </cell>
          <cell r="BA35">
            <v>235.94491666666667</v>
          </cell>
          <cell r="BB35">
            <v>2.0880081120943955E-3</v>
          </cell>
          <cell r="BC35">
            <v>0</v>
          </cell>
          <cell r="BD35" t="e">
            <v>#DIV/0!</v>
          </cell>
          <cell r="BE35">
            <v>1887.5593333333331</v>
          </cell>
          <cell r="BF35">
            <v>1000.74</v>
          </cell>
          <cell r="BG35">
            <v>-886.81933333333313</v>
          </cell>
          <cell r="BH35">
            <v>235.94491666666667</v>
          </cell>
          <cell r="BI35">
            <v>2.0880081120943955E-3</v>
          </cell>
          <cell r="BJ35">
            <v>0</v>
          </cell>
          <cell r="BK35" t="e">
            <v>#DIV/0!</v>
          </cell>
          <cell r="BL35">
            <v>2123.50425</v>
          </cell>
          <cell r="BM35">
            <v>1000.74</v>
          </cell>
          <cell r="BN35">
            <v>-1122.7642499999999</v>
          </cell>
          <cell r="BO35">
            <v>235.94491666666667</v>
          </cell>
          <cell r="BP35">
            <v>2.0880081120943955E-3</v>
          </cell>
          <cell r="BQ35">
            <v>0</v>
          </cell>
          <cell r="BR35" t="e">
            <v>#DIV/0!</v>
          </cell>
          <cell r="BS35">
            <v>2359.4491666666668</v>
          </cell>
          <cell r="BT35">
            <v>1000.74</v>
          </cell>
          <cell r="BU35">
            <v>-1358.7091666666668</v>
          </cell>
          <cell r="BV35">
            <v>235.94491666666667</v>
          </cell>
          <cell r="BW35">
            <v>2.0880081120943955E-3</v>
          </cell>
          <cell r="BX35">
            <v>0</v>
          </cell>
          <cell r="BY35" t="e">
            <v>#DIV/0!</v>
          </cell>
          <cell r="BZ35">
            <v>2595.3940833333336</v>
          </cell>
          <cell r="CA35">
            <v>1000.74</v>
          </cell>
          <cell r="CB35">
            <v>-1594.6540833333336</v>
          </cell>
          <cell r="CC35">
            <v>235.94491666666667</v>
          </cell>
          <cell r="CD35">
            <v>2.0880081120943955E-3</v>
          </cell>
          <cell r="CE35">
            <v>0</v>
          </cell>
          <cell r="CF35" t="e">
            <v>#DIV/0!</v>
          </cell>
          <cell r="CG35">
            <v>2831.3390000000004</v>
          </cell>
          <cell r="CH35">
            <v>1000.74</v>
          </cell>
        </row>
        <row r="36">
          <cell r="A36" t="str">
            <v>Parcerias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#DIV/0!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e">
            <v>#DIV/0!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Fotocópia/Xerox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 t="e">
            <v>#DIV/0!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e">
            <v>#DIV/0!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IR s/ Salário</v>
          </cell>
          <cell r="B38">
            <v>9.3137508509189926E-4</v>
          </cell>
          <cell r="C38">
            <v>114.01583333333333</v>
          </cell>
          <cell r="D38">
            <v>0</v>
          </cell>
          <cell r="E38">
            <v>0</v>
          </cell>
          <cell r="F38">
            <v>0</v>
          </cell>
          <cell r="G38" t="e">
            <v>#DIV/0!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e">
            <v>#DIV/0!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Material de Escritório/Informática/Elétrico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 t="e">
            <v>#DIV/0!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e">
            <v>#DIV/0!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#DIV/0!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2.0106105282299735E-2</v>
          </cell>
          <cell r="C41">
            <v>2461.3223883081928</v>
          </cell>
          <cell r="D41">
            <v>2000</v>
          </cell>
          <cell r="E41">
            <v>1.7699115044247787E-2</v>
          </cell>
          <cell r="F41">
            <v>2113.4319117842033</v>
          </cell>
          <cell r="G41" t="e">
            <v>#DIV/0!</v>
          </cell>
          <cell r="H41">
            <v>2000</v>
          </cell>
          <cell r="I41">
            <v>2113.4319117842033</v>
          </cell>
          <cell r="J41">
            <v>113.43191178420329</v>
          </cell>
          <cell r="K41">
            <v>2000</v>
          </cell>
          <cell r="L41">
            <v>1.7699115044247787E-2</v>
          </cell>
          <cell r="M41">
            <v>1452.3780211295682</v>
          </cell>
          <cell r="N41">
            <v>6.4264514209272927E-3</v>
          </cell>
          <cell r="O41">
            <v>4000</v>
          </cell>
          <cell r="P41">
            <v>3565.8099329137713</v>
          </cell>
          <cell r="Q41">
            <v>-434.19006708622874</v>
          </cell>
          <cell r="R41">
            <v>2000</v>
          </cell>
          <cell r="S41">
            <v>1.7699115044247787E-2</v>
          </cell>
          <cell r="T41">
            <v>3083.1313395793195</v>
          </cell>
          <cell r="U41" t="e">
            <v>#DIV/0!</v>
          </cell>
          <cell r="V41">
            <v>6000</v>
          </cell>
          <cell r="W41">
            <v>6648.9412724930908</v>
          </cell>
          <cell r="X41">
            <v>648.94127249309076</v>
          </cell>
          <cell r="Y41">
            <v>2000</v>
          </cell>
          <cell r="Z41">
            <v>1.7699115044247787E-2</v>
          </cell>
          <cell r="AA41">
            <v>0</v>
          </cell>
          <cell r="AB41" t="e">
            <v>#DIV/0!</v>
          </cell>
          <cell r="AC41">
            <v>8000</v>
          </cell>
          <cell r="AD41">
            <v>6648.9412724930908</v>
          </cell>
          <cell r="AE41">
            <v>-1351.0587275069092</v>
          </cell>
          <cell r="AF41">
            <v>2000</v>
          </cell>
          <cell r="AG41">
            <v>1.7699115044247787E-2</v>
          </cell>
          <cell r="AH41">
            <v>0</v>
          </cell>
          <cell r="AI41" t="e">
            <v>#DIV/0!</v>
          </cell>
          <cell r="AJ41">
            <v>10000</v>
          </cell>
          <cell r="AK41">
            <v>6648.9412724930908</v>
          </cell>
          <cell r="AL41">
            <v>-3351.0587275069092</v>
          </cell>
          <cell r="AM41">
            <v>2000</v>
          </cell>
          <cell r="AN41">
            <v>1.7699115044247787E-2</v>
          </cell>
          <cell r="AO41">
            <v>0</v>
          </cell>
          <cell r="AP41" t="e">
            <v>#DIV/0!</v>
          </cell>
          <cell r="AQ41">
            <v>12000</v>
          </cell>
          <cell r="AR41">
            <v>6648.9412724930908</v>
          </cell>
          <cell r="AS41">
            <v>-5351.0587275069092</v>
          </cell>
          <cell r="AT41">
            <v>2000</v>
          </cell>
          <cell r="AU41">
            <v>1.7699115044247787E-2</v>
          </cell>
          <cell r="AV41">
            <v>0</v>
          </cell>
          <cell r="AW41" t="e">
            <v>#DIV/0!</v>
          </cell>
          <cell r="AX41">
            <v>14000</v>
          </cell>
          <cell r="AY41">
            <v>6648.9412724930908</v>
          </cell>
          <cell r="AZ41">
            <v>-7351.0587275069092</v>
          </cell>
          <cell r="BA41">
            <v>2000</v>
          </cell>
          <cell r="BB41">
            <v>1.7699115044247787E-2</v>
          </cell>
          <cell r="BC41">
            <v>0</v>
          </cell>
          <cell r="BD41" t="e">
            <v>#DIV/0!</v>
          </cell>
          <cell r="BE41">
            <v>16000</v>
          </cell>
          <cell r="BF41">
            <v>6648.9412724930908</v>
          </cell>
          <cell r="BG41">
            <v>-9351.0587275069083</v>
          </cell>
          <cell r="BH41">
            <v>2000</v>
          </cell>
          <cell r="BI41">
            <v>1.7699115044247787E-2</v>
          </cell>
          <cell r="BJ41">
            <v>0</v>
          </cell>
          <cell r="BK41" t="e">
            <v>#DIV/0!</v>
          </cell>
          <cell r="BL41">
            <v>18000</v>
          </cell>
          <cell r="BM41">
            <v>6648.9412724930908</v>
          </cell>
          <cell r="BN41">
            <v>-11351.058727506908</v>
          </cell>
          <cell r="BO41">
            <v>2000</v>
          </cell>
          <cell r="BP41">
            <v>1.7699115044247787E-2</v>
          </cell>
          <cell r="BQ41">
            <v>0</v>
          </cell>
          <cell r="BR41" t="e">
            <v>#DIV/0!</v>
          </cell>
          <cell r="BS41">
            <v>20000</v>
          </cell>
          <cell r="BT41">
            <v>6648.9412724930908</v>
          </cell>
          <cell r="BU41">
            <v>-13351.058727506908</v>
          </cell>
          <cell r="BV41">
            <v>2000</v>
          </cell>
          <cell r="BW41">
            <v>1.7699115044247787E-2</v>
          </cell>
          <cell r="BX41">
            <v>0</v>
          </cell>
          <cell r="BY41" t="e">
            <v>#DIV/0!</v>
          </cell>
          <cell r="BZ41">
            <v>22000</v>
          </cell>
          <cell r="CA41">
            <v>6648.9412724930908</v>
          </cell>
          <cell r="CB41">
            <v>-15351.058727506908</v>
          </cell>
          <cell r="CC41">
            <v>2000</v>
          </cell>
          <cell r="CD41">
            <v>1.7699115044247787E-2</v>
          </cell>
          <cell r="CE41">
            <v>0</v>
          </cell>
          <cell r="CF41" t="e">
            <v>#DIV/0!</v>
          </cell>
          <cell r="CG41">
            <v>24000</v>
          </cell>
          <cell r="CH41">
            <v>6648.9412724930908</v>
          </cell>
        </row>
        <row r="42">
          <cell r="A42" t="str">
            <v>Pauta - Gestão de Pauta</v>
          </cell>
          <cell r="B42">
            <v>4.0143157989112763E-2</v>
          </cell>
          <cell r="C42">
            <v>4914.1915905005544</v>
          </cell>
          <cell r="D42">
            <v>4000</v>
          </cell>
          <cell r="E42">
            <v>3.5398230088495575E-2</v>
          </cell>
          <cell r="F42">
            <v>3612.3417027221608</v>
          </cell>
          <cell r="G42" t="e">
            <v>#DIV/0!</v>
          </cell>
          <cell r="H42">
            <v>4000</v>
          </cell>
          <cell r="I42">
            <v>3612.3417027221608</v>
          </cell>
          <cell r="J42">
            <v>-387.65829727783921</v>
          </cell>
          <cell r="K42">
            <v>4000</v>
          </cell>
          <cell r="L42">
            <v>3.5398230088495575E-2</v>
          </cell>
          <cell r="M42">
            <v>1972.3176198125248</v>
          </cell>
          <cell r="N42">
            <v>8.7270691142147111E-3</v>
          </cell>
          <cell r="O42">
            <v>8000</v>
          </cell>
          <cell r="P42">
            <v>5584.659322534686</v>
          </cell>
          <cell r="Q42">
            <v>-2415.340677465314</v>
          </cell>
          <cell r="R42">
            <v>4000</v>
          </cell>
          <cell r="S42">
            <v>3.5398230088495575E-2</v>
          </cell>
          <cell r="T42">
            <v>4445.2977906616934</v>
          </cell>
          <cell r="U42" t="e">
            <v>#DIV/0!</v>
          </cell>
          <cell r="V42">
            <v>12000</v>
          </cell>
          <cell r="W42">
            <v>10029.957113196378</v>
          </cell>
          <cell r="X42">
            <v>-1970.0428868036215</v>
          </cell>
          <cell r="Y42">
            <v>4000</v>
          </cell>
          <cell r="Z42">
            <v>3.5398230088495575E-2</v>
          </cell>
          <cell r="AA42">
            <v>0</v>
          </cell>
          <cell r="AB42" t="e">
            <v>#DIV/0!</v>
          </cell>
          <cell r="AC42">
            <v>16000</v>
          </cell>
          <cell r="AD42">
            <v>10029.957113196378</v>
          </cell>
          <cell r="AE42">
            <v>-5970.0428868036215</v>
          </cell>
          <cell r="AF42">
            <v>4000</v>
          </cell>
          <cell r="AG42">
            <v>3.5398230088495575E-2</v>
          </cell>
          <cell r="AH42">
            <v>0</v>
          </cell>
          <cell r="AI42" t="e">
            <v>#DIV/0!</v>
          </cell>
          <cell r="AJ42">
            <v>20000</v>
          </cell>
          <cell r="AK42">
            <v>10029.957113196378</v>
          </cell>
          <cell r="AL42">
            <v>-9970.0428868036215</v>
          </cell>
          <cell r="AM42">
            <v>4000</v>
          </cell>
          <cell r="AN42">
            <v>3.5398230088495575E-2</v>
          </cell>
          <cell r="AO42">
            <v>0</v>
          </cell>
          <cell r="AP42" t="e">
            <v>#DIV/0!</v>
          </cell>
          <cell r="AQ42">
            <v>24000</v>
          </cell>
          <cell r="AR42">
            <v>10029.957113196378</v>
          </cell>
          <cell r="AS42">
            <v>-13970.042886803622</v>
          </cell>
          <cell r="AT42">
            <v>4000</v>
          </cell>
          <cell r="AU42">
            <v>3.5398230088495575E-2</v>
          </cell>
          <cell r="AV42">
            <v>0</v>
          </cell>
          <cell r="AW42" t="e">
            <v>#DIV/0!</v>
          </cell>
          <cell r="AX42">
            <v>28000</v>
          </cell>
          <cell r="AY42">
            <v>10029.957113196378</v>
          </cell>
          <cell r="AZ42">
            <v>-17970.042886803622</v>
          </cell>
          <cell r="BA42">
            <v>4000</v>
          </cell>
          <cell r="BB42">
            <v>3.5398230088495575E-2</v>
          </cell>
          <cell r="BC42">
            <v>0</v>
          </cell>
          <cell r="BD42" t="e">
            <v>#DIV/0!</v>
          </cell>
          <cell r="BE42">
            <v>32000</v>
          </cell>
          <cell r="BF42">
            <v>10029.957113196378</v>
          </cell>
          <cell r="BG42">
            <v>-21970.042886803622</v>
          </cell>
          <cell r="BH42">
            <v>4000</v>
          </cell>
          <cell r="BI42">
            <v>3.5398230088495575E-2</v>
          </cell>
          <cell r="BJ42">
            <v>0</v>
          </cell>
          <cell r="BK42" t="e">
            <v>#DIV/0!</v>
          </cell>
          <cell r="BL42">
            <v>36000</v>
          </cell>
          <cell r="BM42">
            <v>10029.957113196378</v>
          </cell>
          <cell r="BN42">
            <v>-25970.042886803622</v>
          </cell>
          <cell r="BO42">
            <v>4000</v>
          </cell>
          <cell r="BP42">
            <v>3.5398230088495575E-2</v>
          </cell>
          <cell r="BQ42">
            <v>0</v>
          </cell>
          <cell r="BR42" t="e">
            <v>#DIV/0!</v>
          </cell>
          <cell r="BS42">
            <v>40000</v>
          </cell>
          <cell r="BT42">
            <v>10029.957113196378</v>
          </cell>
          <cell r="BU42">
            <v>-29970.042886803622</v>
          </cell>
          <cell r="BV42">
            <v>4000</v>
          </cell>
          <cell r="BW42">
            <v>3.5398230088495575E-2</v>
          </cell>
          <cell r="BX42">
            <v>0</v>
          </cell>
          <cell r="BY42" t="e">
            <v>#DIV/0!</v>
          </cell>
          <cell r="BZ42">
            <v>44000</v>
          </cell>
          <cell r="CA42">
            <v>10029.957113196378</v>
          </cell>
          <cell r="CB42">
            <v>-33970.042886803625</v>
          </cell>
          <cell r="CC42">
            <v>4000</v>
          </cell>
          <cell r="CD42">
            <v>3.5398230088495575E-2</v>
          </cell>
          <cell r="CE42">
            <v>0</v>
          </cell>
          <cell r="CF42" t="e">
            <v>#DIV/0!</v>
          </cell>
          <cell r="CG42">
            <v>48000</v>
          </cell>
          <cell r="CH42">
            <v>10029.957113196378</v>
          </cell>
        </row>
        <row r="43">
          <cell r="A43" t="str">
            <v>Exames Médicos</v>
          </cell>
          <cell r="B43">
            <v>0</v>
          </cell>
          <cell r="C43">
            <v>0</v>
          </cell>
          <cell r="D43">
            <v>64</v>
          </cell>
          <cell r="E43">
            <v>5.6637168141592919E-4</v>
          </cell>
          <cell r="F43">
            <v>0</v>
          </cell>
          <cell r="G43" t="e">
            <v>#DIV/0!</v>
          </cell>
          <cell r="H43">
            <v>64</v>
          </cell>
          <cell r="I43">
            <v>0</v>
          </cell>
          <cell r="J43">
            <v>-64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64</v>
          </cell>
          <cell r="P43">
            <v>0</v>
          </cell>
          <cell r="Q43">
            <v>-64</v>
          </cell>
          <cell r="R43">
            <v>0</v>
          </cell>
          <cell r="S43">
            <v>0</v>
          </cell>
          <cell r="T43">
            <v>0</v>
          </cell>
          <cell r="U43" t="e">
            <v>#DIV/0!</v>
          </cell>
          <cell r="V43">
            <v>64</v>
          </cell>
          <cell r="W43">
            <v>0</v>
          </cell>
          <cell r="X43">
            <v>-64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64</v>
          </cell>
          <cell r="AD43">
            <v>0</v>
          </cell>
          <cell r="AE43">
            <v>-64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64</v>
          </cell>
          <cell r="AK43">
            <v>0</v>
          </cell>
          <cell r="AL43">
            <v>-64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64</v>
          </cell>
          <cell r="AR43">
            <v>0</v>
          </cell>
          <cell r="AS43">
            <v>-64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64</v>
          </cell>
          <cell r="AY43">
            <v>0</v>
          </cell>
          <cell r="AZ43">
            <v>-64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64</v>
          </cell>
          <cell r="BF43">
            <v>0</v>
          </cell>
          <cell r="BG43">
            <v>-64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64</v>
          </cell>
          <cell r="BM43">
            <v>0</v>
          </cell>
          <cell r="BN43">
            <v>-64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64</v>
          </cell>
          <cell r="BT43">
            <v>0</v>
          </cell>
          <cell r="BU43">
            <v>-64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64</v>
          </cell>
          <cell r="CA43">
            <v>0</v>
          </cell>
          <cell r="CB43">
            <v>-64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64</v>
          </cell>
          <cell r="CH43">
            <v>0</v>
          </cell>
        </row>
        <row r="44">
          <cell r="A44" t="str">
            <v>Seguro de Vida</v>
          </cell>
          <cell r="B44">
            <v>1.5456924622191963E-3</v>
          </cell>
          <cell r="C44">
            <v>189.21851891666662</v>
          </cell>
          <cell r="D44">
            <v>146.71</v>
          </cell>
          <cell r="E44">
            <v>1.2983185840707966E-3</v>
          </cell>
          <cell r="F44">
            <v>140.05999600000001</v>
          </cell>
          <cell r="G44" t="e">
            <v>#DIV/0!</v>
          </cell>
          <cell r="H44">
            <v>146.71</v>
          </cell>
          <cell r="I44">
            <v>140.05999600000001</v>
          </cell>
          <cell r="J44">
            <v>-6.6500039999999956</v>
          </cell>
          <cell r="K44">
            <v>146.71</v>
          </cell>
          <cell r="L44">
            <v>1.2983185840707966E-3</v>
          </cell>
          <cell r="M44">
            <v>140.060025</v>
          </cell>
          <cell r="N44">
            <v>6.1973462389380526E-4</v>
          </cell>
          <cell r="O44">
            <v>293.42</v>
          </cell>
          <cell r="P44">
            <v>280.12002100000001</v>
          </cell>
          <cell r="Q44">
            <v>-13.299979000000008</v>
          </cell>
          <cell r="R44">
            <v>146.71</v>
          </cell>
          <cell r="S44">
            <v>1.2983185840707966E-3</v>
          </cell>
          <cell r="T44">
            <v>140.06000399999999</v>
          </cell>
          <cell r="U44" t="e">
            <v>#DIV/0!</v>
          </cell>
          <cell r="V44">
            <v>440.13</v>
          </cell>
          <cell r="W44">
            <v>420.180025</v>
          </cell>
          <cell r="X44">
            <v>-19.949974999999995</v>
          </cell>
          <cell r="Y44">
            <v>146.71</v>
          </cell>
          <cell r="Z44">
            <v>1.2983185840707966E-3</v>
          </cell>
          <cell r="AA44">
            <v>0</v>
          </cell>
          <cell r="AB44" t="e">
            <v>#DIV/0!</v>
          </cell>
          <cell r="AC44">
            <v>586.84</v>
          </cell>
          <cell r="AD44">
            <v>420.180025</v>
          </cell>
          <cell r="AE44">
            <v>-166.65997500000003</v>
          </cell>
          <cell r="AF44">
            <v>146.71</v>
          </cell>
          <cell r="AG44">
            <v>1.2983185840707966E-3</v>
          </cell>
          <cell r="AH44">
            <v>0</v>
          </cell>
          <cell r="AI44" t="e">
            <v>#DIV/0!</v>
          </cell>
          <cell r="AJ44">
            <v>733.55000000000007</v>
          </cell>
          <cell r="AK44">
            <v>420.180025</v>
          </cell>
          <cell r="AL44">
            <v>-313.36997500000007</v>
          </cell>
          <cell r="AM44">
            <v>146.71</v>
          </cell>
          <cell r="AN44">
            <v>1.2983185840707966E-3</v>
          </cell>
          <cell r="AO44">
            <v>0</v>
          </cell>
          <cell r="AP44" t="e">
            <v>#DIV/0!</v>
          </cell>
          <cell r="AQ44">
            <v>880.2600000000001</v>
          </cell>
          <cell r="AR44">
            <v>420.180025</v>
          </cell>
          <cell r="AS44">
            <v>-460.0799750000001</v>
          </cell>
          <cell r="AT44">
            <v>146.71</v>
          </cell>
          <cell r="AU44">
            <v>1.2983185840707966E-3</v>
          </cell>
          <cell r="AV44">
            <v>0</v>
          </cell>
          <cell r="AW44" t="e">
            <v>#DIV/0!</v>
          </cell>
          <cell r="AX44">
            <v>1026.97</v>
          </cell>
          <cell r="AY44">
            <v>420.180025</v>
          </cell>
          <cell r="AZ44">
            <v>-606.78997500000003</v>
          </cell>
          <cell r="BA44">
            <v>146.71</v>
          </cell>
          <cell r="BB44">
            <v>1.2983185840707966E-3</v>
          </cell>
          <cell r="BC44">
            <v>0</v>
          </cell>
          <cell r="BD44" t="e">
            <v>#DIV/0!</v>
          </cell>
          <cell r="BE44">
            <v>1173.68</v>
          </cell>
          <cell r="BF44">
            <v>420.180025</v>
          </cell>
          <cell r="BG44">
            <v>-753.49997500000006</v>
          </cell>
          <cell r="BH44">
            <v>146.71</v>
          </cell>
          <cell r="BI44">
            <v>1.2983185840707966E-3</v>
          </cell>
          <cell r="BJ44">
            <v>0</v>
          </cell>
          <cell r="BK44" t="e">
            <v>#DIV/0!</v>
          </cell>
          <cell r="BL44">
            <v>1320.39</v>
          </cell>
          <cell r="BM44">
            <v>420.180025</v>
          </cell>
          <cell r="BN44">
            <v>-900.2099750000001</v>
          </cell>
          <cell r="BO44">
            <v>146.71</v>
          </cell>
          <cell r="BP44">
            <v>1.2983185840707966E-3</v>
          </cell>
          <cell r="BQ44">
            <v>0</v>
          </cell>
          <cell r="BR44" t="e">
            <v>#DIV/0!</v>
          </cell>
          <cell r="BS44">
            <v>1467.1000000000001</v>
          </cell>
          <cell r="BT44">
            <v>420.180025</v>
          </cell>
          <cell r="BU44">
            <v>-1046.9199750000002</v>
          </cell>
          <cell r="BV44">
            <v>146.71</v>
          </cell>
          <cell r="BW44">
            <v>1.2983185840707966E-3</v>
          </cell>
          <cell r="BX44">
            <v>0</v>
          </cell>
          <cell r="BY44" t="e">
            <v>#DIV/0!</v>
          </cell>
          <cell r="BZ44">
            <v>1613.8100000000002</v>
          </cell>
          <cell r="CA44">
            <v>420.180025</v>
          </cell>
          <cell r="CB44">
            <v>-1193.6299750000003</v>
          </cell>
          <cell r="CC44">
            <v>146.71</v>
          </cell>
          <cell r="CD44">
            <v>1.2983185840707966E-3</v>
          </cell>
          <cell r="CE44">
            <v>0</v>
          </cell>
          <cell r="CF44" t="e">
            <v>#DIV/0!</v>
          </cell>
          <cell r="CG44">
            <v>1760.5200000000002</v>
          </cell>
          <cell r="CH44">
            <v>420.180025</v>
          </cell>
        </row>
        <row r="45">
          <cell r="A45" t="str">
            <v>Plano de Saúde</v>
          </cell>
          <cell r="B45">
            <v>6.5969758649171151E-2</v>
          </cell>
          <cell r="C45">
            <v>8075.7979546360357</v>
          </cell>
          <cell r="D45">
            <v>8500</v>
          </cell>
          <cell r="E45">
            <v>7.5221238938053103E-2</v>
          </cell>
          <cell r="F45">
            <v>13091.507638799392</v>
          </cell>
          <cell r="G45" t="e">
            <v>#DIV/0!</v>
          </cell>
          <cell r="H45">
            <v>8500</v>
          </cell>
          <cell r="I45">
            <v>13091.507638799392</v>
          </cell>
          <cell r="J45">
            <v>4591.5076387993922</v>
          </cell>
          <cell r="K45">
            <v>8500</v>
          </cell>
          <cell r="L45">
            <v>7.5221238938053103E-2</v>
          </cell>
          <cell r="M45">
            <v>12423.746700714286</v>
          </cell>
          <cell r="N45">
            <v>5.4972330534134008E-2</v>
          </cell>
          <cell r="O45">
            <v>17000</v>
          </cell>
          <cell r="P45">
            <v>25515.254339513678</v>
          </cell>
          <cell r="Q45">
            <v>8515.2543395136781</v>
          </cell>
          <cell r="R45">
            <v>8500</v>
          </cell>
          <cell r="S45">
            <v>7.5221238938053103E-2</v>
          </cell>
          <cell r="T45">
            <v>12422.999540583332</v>
          </cell>
          <cell r="U45" t="e">
            <v>#DIV/0!</v>
          </cell>
          <cell r="V45">
            <v>25500</v>
          </cell>
          <cell r="W45">
            <v>37938.253880097007</v>
          </cell>
          <cell r="X45">
            <v>12438.253880097007</v>
          </cell>
          <cell r="Y45">
            <v>8500</v>
          </cell>
          <cell r="Z45">
            <v>7.5221238938053103E-2</v>
          </cell>
          <cell r="AA45">
            <v>0</v>
          </cell>
          <cell r="AB45" t="e">
            <v>#DIV/0!</v>
          </cell>
          <cell r="AC45">
            <v>34000</v>
          </cell>
          <cell r="AD45">
            <v>37938.253880097007</v>
          </cell>
          <cell r="AE45">
            <v>3938.2538800970069</v>
          </cell>
          <cell r="AF45">
            <v>8500</v>
          </cell>
          <cell r="AG45">
            <v>7.5221238938053103E-2</v>
          </cell>
          <cell r="AH45">
            <v>0</v>
          </cell>
          <cell r="AI45" t="e">
            <v>#DIV/0!</v>
          </cell>
          <cell r="AJ45">
            <v>42500</v>
          </cell>
          <cell r="AK45">
            <v>37938.253880097007</v>
          </cell>
          <cell r="AL45">
            <v>-4561.7461199029931</v>
          </cell>
          <cell r="AM45">
            <v>8500</v>
          </cell>
          <cell r="AN45">
            <v>7.5221238938053103E-2</v>
          </cell>
          <cell r="AO45">
            <v>0</v>
          </cell>
          <cell r="AP45" t="e">
            <v>#DIV/0!</v>
          </cell>
          <cell r="AQ45">
            <v>51000</v>
          </cell>
          <cell r="AR45">
            <v>37938.253880097007</v>
          </cell>
          <cell r="AS45">
            <v>-13061.746119902993</v>
          </cell>
          <cell r="AT45">
            <v>8500</v>
          </cell>
          <cell r="AU45">
            <v>7.5221238938053103E-2</v>
          </cell>
          <cell r="AV45">
            <v>0</v>
          </cell>
          <cell r="AW45" t="e">
            <v>#DIV/0!</v>
          </cell>
          <cell r="AX45">
            <v>59500</v>
          </cell>
          <cell r="AY45">
            <v>37938.253880097007</v>
          </cell>
          <cell r="AZ45">
            <v>-21561.746119902993</v>
          </cell>
          <cell r="BA45">
            <v>8500</v>
          </cell>
          <cell r="BB45">
            <v>7.5221238938053103E-2</v>
          </cell>
          <cell r="BC45">
            <v>0</v>
          </cell>
          <cell r="BD45" t="e">
            <v>#DIV/0!</v>
          </cell>
          <cell r="BE45">
            <v>68000</v>
          </cell>
          <cell r="BF45">
            <v>37938.253880097007</v>
          </cell>
          <cell r="BG45">
            <v>-30061.746119902993</v>
          </cell>
          <cell r="BH45">
            <v>8500</v>
          </cell>
          <cell r="BI45">
            <v>7.5221238938053103E-2</v>
          </cell>
          <cell r="BJ45">
            <v>0</v>
          </cell>
          <cell r="BK45" t="e">
            <v>#DIV/0!</v>
          </cell>
          <cell r="BL45">
            <v>76500</v>
          </cell>
          <cell r="BM45">
            <v>37938.253880097007</v>
          </cell>
          <cell r="BN45">
            <v>-38561.746119902993</v>
          </cell>
          <cell r="BO45">
            <v>9775</v>
          </cell>
          <cell r="BP45">
            <v>8.6504424778761066E-2</v>
          </cell>
          <cell r="BQ45">
            <v>0</v>
          </cell>
          <cell r="BR45" t="e">
            <v>#DIV/0!</v>
          </cell>
          <cell r="BS45">
            <v>86275</v>
          </cell>
          <cell r="BT45">
            <v>37938.253880097007</v>
          </cell>
          <cell r="BU45">
            <v>-48336.746119902993</v>
          </cell>
          <cell r="BV45">
            <v>9775</v>
          </cell>
          <cell r="BW45">
            <v>8.6504424778761066E-2</v>
          </cell>
          <cell r="BX45">
            <v>0</v>
          </cell>
          <cell r="BY45" t="e">
            <v>#DIV/0!</v>
          </cell>
          <cell r="BZ45">
            <v>96050</v>
          </cell>
          <cell r="CA45">
            <v>37938.253880097007</v>
          </cell>
          <cell r="CB45">
            <v>-58111.746119902993</v>
          </cell>
          <cell r="CC45">
            <v>9775</v>
          </cell>
          <cell r="CD45">
            <v>8.6504424778761066E-2</v>
          </cell>
          <cell r="CE45">
            <v>0</v>
          </cell>
          <cell r="CF45" t="e">
            <v>#DIV/0!</v>
          </cell>
          <cell r="CG45">
            <v>105825</v>
          </cell>
          <cell r="CH45">
            <v>37938.253880097007</v>
          </cell>
        </row>
        <row r="46">
          <cell r="A46" t="str">
            <v>Plano Odontológico</v>
          </cell>
          <cell r="B46">
            <v>1.009900897889721E-4</v>
          </cell>
          <cell r="C46">
            <v>12.362870158333335</v>
          </cell>
          <cell r="D46">
            <v>0</v>
          </cell>
          <cell r="E46">
            <v>0</v>
          </cell>
          <cell r="F46">
            <v>51.310003000000002</v>
          </cell>
          <cell r="G46" t="e">
            <v>#DIV/0!</v>
          </cell>
          <cell r="H46">
            <v>0</v>
          </cell>
          <cell r="I46">
            <v>51.310003000000002</v>
          </cell>
          <cell r="J46">
            <v>51.310003000000002</v>
          </cell>
          <cell r="K46">
            <v>0</v>
          </cell>
          <cell r="L46">
            <v>0</v>
          </cell>
          <cell r="M46">
            <v>51.310006999999999</v>
          </cell>
          <cell r="N46">
            <v>2.2703542920353981E-4</v>
          </cell>
          <cell r="O46">
            <v>0</v>
          </cell>
          <cell r="P46">
            <v>102.62001000000001</v>
          </cell>
          <cell r="Q46">
            <v>102.62001000000001</v>
          </cell>
          <cell r="R46">
            <v>0</v>
          </cell>
          <cell r="S46">
            <v>0</v>
          </cell>
          <cell r="T46">
            <v>51.31</v>
          </cell>
          <cell r="U46" t="e">
            <v>#DIV/0!</v>
          </cell>
          <cell r="V46">
            <v>0</v>
          </cell>
          <cell r="W46">
            <v>153.93001000000001</v>
          </cell>
          <cell r="X46">
            <v>153.93001000000001</v>
          </cell>
          <cell r="Y46">
            <v>0</v>
          </cell>
          <cell r="Z46">
            <v>0</v>
          </cell>
          <cell r="AA46">
            <v>0</v>
          </cell>
          <cell r="AB46" t="e">
            <v>#DIV/0!</v>
          </cell>
          <cell r="AC46">
            <v>0</v>
          </cell>
          <cell r="AD46">
            <v>153.93001000000001</v>
          </cell>
          <cell r="AE46">
            <v>153.93001000000001</v>
          </cell>
          <cell r="AF46">
            <v>0</v>
          </cell>
          <cell r="AG46">
            <v>0</v>
          </cell>
          <cell r="AH46">
            <v>0</v>
          </cell>
          <cell r="AI46" t="e">
            <v>#DIV/0!</v>
          </cell>
          <cell r="AJ46">
            <v>0</v>
          </cell>
          <cell r="AK46">
            <v>153.93001000000001</v>
          </cell>
          <cell r="AL46">
            <v>153.93001000000001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153.93001000000001</v>
          </cell>
          <cell r="AS46">
            <v>153.93001000000001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153.93001000000001</v>
          </cell>
          <cell r="AZ46">
            <v>153.93001000000001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153.93001000000001</v>
          </cell>
          <cell r="BG46">
            <v>153.93001000000001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153.93001000000001</v>
          </cell>
          <cell r="BN46">
            <v>153.93001000000001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153.93001000000001</v>
          </cell>
          <cell r="BU46">
            <v>153.93001000000001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153.93001000000001</v>
          </cell>
          <cell r="CB46">
            <v>153.93001000000001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153.93001000000001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 t="e">
            <v>#DIV/0!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e">
            <v>#DIV/0!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0.40329245234853645</v>
          </cell>
          <cell r="C48">
            <v>49369.717708333337</v>
          </cell>
          <cell r="D48">
            <v>41500</v>
          </cell>
          <cell r="E48">
            <v>0.36725663716814161</v>
          </cell>
          <cell r="F48">
            <v>41286.154999999999</v>
          </cell>
          <cell r="G48" t="e">
            <v>#DIV/0!</v>
          </cell>
          <cell r="H48">
            <v>41500</v>
          </cell>
          <cell r="I48">
            <v>41286.154999999999</v>
          </cell>
          <cell r="J48">
            <v>-213.84500000000116</v>
          </cell>
          <cell r="K48">
            <v>38600</v>
          </cell>
          <cell r="L48">
            <v>0.34159292035398231</v>
          </cell>
          <cell r="M48">
            <v>38753.509999999995</v>
          </cell>
          <cell r="N48">
            <v>0.17147570796460174</v>
          </cell>
          <cell r="O48">
            <v>80100</v>
          </cell>
          <cell r="P48">
            <v>80039.664999999994</v>
          </cell>
          <cell r="Q48">
            <v>-60.335000000006403</v>
          </cell>
          <cell r="R48">
            <v>35700</v>
          </cell>
          <cell r="S48">
            <v>0.31592920353982301</v>
          </cell>
          <cell r="T48">
            <v>43298.165000000001</v>
          </cell>
          <cell r="U48" t="e">
            <v>#DIV/0!</v>
          </cell>
          <cell r="V48">
            <v>115800</v>
          </cell>
          <cell r="W48">
            <v>123337.82999999999</v>
          </cell>
          <cell r="X48">
            <v>7537.8299999999872</v>
          </cell>
          <cell r="Y48">
            <v>32800</v>
          </cell>
          <cell r="Z48">
            <v>0.29026548672566371</v>
          </cell>
          <cell r="AA48">
            <v>0</v>
          </cell>
          <cell r="AB48" t="e">
            <v>#DIV/0!</v>
          </cell>
          <cell r="AC48">
            <v>148600</v>
          </cell>
          <cell r="AD48">
            <v>123337.82999999999</v>
          </cell>
          <cell r="AE48">
            <v>-25262.170000000013</v>
          </cell>
          <cell r="AF48">
            <v>30754</v>
          </cell>
          <cell r="AG48">
            <v>0.27215929203539824</v>
          </cell>
          <cell r="AH48">
            <v>0</v>
          </cell>
          <cell r="AI48" t="e">
            <v>#DIV/0!</v>
          </cell>
          <cell r="AJ48">
            <v>179354</v>
          </cell>
          <cell r="AK48">
            <v>123337.82999999999</v>
          </cell>
          <cell r="AL48">
            <v>-56016.170000000013</v>
          </cell>
          <cell r="AM48">
            <v>37000</v>
          </cell>
          <cell r="AN48">
            <v>0.32743362831858408</v>
          </cell>
          <cell r="AO48">
            <v>0</v>
          </cell>
          <cell r="AP48" t="e">
            <v>#DIV/0!</v>
          </cell>
          <cell r="AQ48">
            <v>216354</v>
          </cell>
          <cell r="AR48">
            <v>123337.82999999999</v>
          </cell>
          <cell r="AS48">
            <v>-93016.170000000013</v>
          </cell>
          <cell r="AT48">
            <v>37000</v>
          </cell>
          <cell r="AU48">
            <v>0.32743362831858408</v>
          </cell>
          <cell r="AV48">
            <v>0</v>
          </cell>
          <cell r="AW48" t="e">
            <v>#DIV/0!</v>
          </cell>
          <cell r="AX48">
            <v>253354</v>
          </cell>
          <cell r="AY48">
            <v>123337.82999999999</v>
          </cell>
          <cell r="AZ48">
            <v>-130016.17000000001</v>
          </cell>
          <cell r="BA48">
            <v>37000</v>
          </cell>
          <cell r="BB48">
            <v>0.32743362831858408</v>
          </cell>
          <cell r="BC48">
            <v>0</v>
          </cell>
          <cell r="BD48" t="e">
            <v>#DIV/0!</v>
          </cell>
          <cell r="BE48">
            <v>290354</v>
          </cell>
          <cell r="BF48">
            <v>123337.82999999999</v>
          </cell>
          <cell r="BG48">
            <v>-167016.17000000001</v>
          </cell>
          <cell r="BH48">
            <v>37000</v>
          </cell>
          <cell r="BI48">
            <v>0.32743362831858408</v>
          </cell>
          <cell r="BJ48">
            <v>0</v>
          </cell>
          <cell r="BK48" t="e">
            <v>#DIV/0!</v>
          </cell>
          <cell r="BL48">
            <v>327354</v>
          </cell>
          <cell r="BM48">
            <v>123337.82999999999</v>
          </cell>
          <cell r="BN48">
            <v>-204016.17</v>
          </cell>
          <cell r="BO48">
            <v>37000</v>
          </cell>
          <cell r="BP48">
            <v>0.32743362831858408</v>
          </cell>
          <cell r="BQ48">
            <v>0</v>
          </cell>
          <cell r="BR48" t="e">
            <v>#DIV/0!</v>
          </cell>
          <cell r="BS48">
            <v>364354</v>
          </cell>
          <cell r="BT48">
            <v>123337.82999999999</v>
          </cell>
          <cell r="BU48">
            <v>-241016.17</v>
          </cell>
          <cell r="BV48">
            <v>37000</v>
          </cell>
          <cell r="BW48">
            <v>0.32743362831858408</v>
          </cell>
          <cell r="BX48">
            <v>0</v>
          </cell>
          <cell r="BY48" t="e">
            <v>#DIV/0!</v>
          </cell>
          <cell r="BZ48">
            <v>401354</v>
          </cell>
          <cell r="CA48">
            <v>123337.82999999999</v>
          </cell>
          <cell r="CB48">
            <v>-278016.17000000004</v>
          </cell>
          <cell r="CC48">
            <v>37000</v>
          </cell>
          <cell r="CD48">
            <v>0.32743362831858408</v>
          </cell>
          <cell r="CE48">
            <v>0</v>
          </cell>
          <cell r="CF48" t="e">
            <v>#DIV/0!</v>
          </cell>
          <cell r="CG48">
            <v>438354</v>
          </cell>
          <cell r="CH48">
            <v>123337.82999999999</v>
          </cell>
        </row>
        <row r="49">
          <cell r="A49" t="str">
            <v>Pesquisas/Consultas</v>
          </cell>
          <cell r="B49">
            <v>3.8591558883594281E-4</v>
          </cell>
          <cell r="C49">
            <v>47.2425</v>
          </cell>
          <cell r="D49">
            <v>50</v>
          </cell>
          <cell r="E49">
            <v>4.4247787610619468E-4</v>
          </cell>
          <cell r="F49">
            <v>58.9</v>
          </cell>
          <cell r="G49" t="e">
            <v>#DIV/0!</v>
          </cell>
          <cell r="H49">
            <v>50</v>
          </cell>
          <cell r="I49">
            <v>58.9</v>
          </cell>
          <cell r="J49">
            <v>8.8999999999999986</v>
          </cell>
          <cell r="K49">
            <v>50</v>
          </cell>
          <cell r="L49">
            <v>4.4247787610619468E-4</v>
          </cell>
          <cell r="M49">
            <v>58.9</v>
          </cell>
          <cell r="N49">
            <v>2.6061946902654868E-4</v>
          </cell>
          <cell r="O49">
            <v>100</v>
          </cell>
          <cell r="P49">
            <v>117.8</v>
          </cell>
          <cell r="Q49">
            <v>17.799999999999997</v>
          </cell>
          <cell r="R49">
            <v>50</v>
          </cell>
          <cell r="S49">
            <v>4.4247787610619468E-4</v>
          </cell>
          <cell r="T49">
            <v>40.479999999999997</v>
          </cell>
          <cell r="U49" t="e">
            <v>#DIV/0!</v>
          </cell>
          <cell r="V49">
            <v>150</v>
          </cell>
          <cell r="W49">
            <v>158.28</v>
          </cell>
          <cell r="X49">
            <v>8.2800000000000011</v>
          </cell>
          <cell r="Y49">
            <v>50</v>
          </cell>
          <cell r="Z49">
            <v>4.4247787610619468E-4</v>
          </cell>
          <cell r="AA49">
            <v>0</v>
          </cell>
          <cell r="AB49" t="e">
            <v>#DIV/0!</v>
          </cell>
          <cell r="AC49">
            <v>200</v>
          </cell>
          <cell r="AD49">
            <v>158.28</v>
          </cell>
          <cell r="AE49">
            <v>-41.72</v>
          </cell>
          <cell r="AF49">
            <v>50</v>
          </cell>
          <cell r="AG49">
            <v>4.4247787610619468E-4</v>
          </cell>
          <cell r="AH49">
            <v>0</v>
          </cell>
          <cell r="AI49" t="e">
            <v>#DIV/0!</v>
          </cell>
          <cell r="AJ49">
            <v>250</v>
          </cell>
          <cell r="AK49">
            <v>158.28</v>
          </cell>
          <cell r="AL49">
            <v>-91.72</v>
          </cell>
          <cell r="AM49">
            <v>50</v>
          </cell>
          <cell r="AN49">
            <v>4.4247787610619468E-4</v>
          </cell>
          <cell r="AO49">
            <v>0</v>
          </cell>
          <cell r="AP49" t="e">
            <v>#DIV/0!</v>
          </cell>
          <cell r="AQ49">
            <v>300</v>
          </cell>
          <cell r="AR49">
            <v>158.28</v>
          </cell>
          <cell r="AS49">
            <v>-141.72</v>
          </cell>
          <cell r="AT49">
            <v>50</v>
          </cell>
          <cell r="AU49">
            <v>4.4247787610619468E-4</v>
          </cell>
          <cell r="AV49">
            <v>0</v>
          </cell>
          <cell r="AW49" t="e">
            <v>#DIV/0!</v>
          </cell>
          <cell r="AX49">
            <v>350</v>
          </cell>
          <cell r="AY49">
            <v>158.28</v>
          </cell>
          <cell r="AZ49">
            <v>-191.72</v>
          </cell>
          <cell r="BA49">
            <v>50</v>
          </cell>
          <cell r="BB49">
            <v>4.4247787610619468E-4</v>
          </cell>
          <cell r="BC49">
            <v>0</v>
          </cell>
          <cell r="BD49" t="e">
            <v>#DIV/0!</v>
          </cell>
          <cell r="BE49">
            <v>400</v>
          </cell>
          <cell r="BF49">
            <v>158.28</v>
          </cell>
          <cell r="BG49">
            <v>-241.72</v>
          </cell>
          <cell r="BH49">
            <v>50</v>
          </cell>
          <cell r="BI49">
            <v>4.4247787610619468E-4</v>
          </cell>
          <cell r="BJ49">
            <v>0</v>
          </cell>
          <cell r="BK49" t="e">
            <v>#DIV/0!</v>
          </cell>
          <cell r="BL49">
            <v>450</v>
          </cell>
          <cell r="BM49">
            <v>158.28</v>
          </cell>
          <cell r="BN49">
            <v>-291.72000000000003</v>
          </cell>
          <cell r="BO49">
            <v>50</v>
          </cell>
          <cell r="BP49">
            <v>4.4247787610619468E-4</v>
          </cell>
          <cell r="BQ49">
            <v>0</v>
          </cell>
          <cell r="BR49" t="e">
            <v>#DIV/0!</v>
          </cell>
          <cell r="BS49">
            <v>500</v>
          </cell>
          <cell r="BT49">
            <v>158.28</v>
          </cell>
          <cell r="BU49">
            <v>-341.72</v>
          </cell>
          <cell r="BV49">
            <v>50</v>
          </cell>
          <cell r="BW49">
            <v>4.4247787610619468E-4</v>
          </cell>
          <cell r="BX49">
            <v>0</v>
          </cell>
          <cell r="BY49" t="e">
            <v>#DIV/0!</v>
          </cell>
          <cell r="BZ49">
            <v>550</v>
          </cell>
          <cell r="CA49">
            <v>158.28</v>
          </cell>
          <cell r="CB49">
            <v>-391.72</v>
          </cell>
          <cell r="CC49">
            <v>50</v>
          </cell>
          <cell r="CD49">
            <v>4.4247787610619468E-4</v>
          </cell>
          <cell r="CE49">
            <v>0</v>
          </cell>
          <cell r="CF49" t="e">
            <v>#DIV/0!</v>
          </cell>
          <cell r="CG49">
            <v>600</v>
          </cell>
          <cell r="CH49">
            <v>158.28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#DIV/0!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e">
            <v>#DIV/0!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2.3103471666167462E-2</v>
          </cell>
          <cell r="C51">
            <v>2828.2499898000001</v>
          </cell>
          <cell r="D51">
            <v>2814</v>
          </cell>
          <cell r="E51">
            <v>2.4902654867256638E-2</v>
          </cell>
          <cell r="F51">
            <v>1494.4051810000001</v>
          </cell>
          <cell r="G51" t="e">
            <v>#DIV/0!</v>
          </cell>
          <cell r="H51">
            <v>2814</v>
          </cell>
          <cell r="I51">
            <v>1494.4051810000001</v>
          </cell>
          <cell r="J51">
            <v>-1319.5948189999999</v>
          </cell>
          <cell r="K51">
            <v>2814</v>
          </cell>
          <cell r="L51">
            <v>2.4902654867256638E-2</v>
          </cell>
          <cell r="M51">
            <v>2341.3197869999999</v>
          </cell>
          <cell r="N51">
            <v>1.035982206637168E-2</v>
          </cell>
          <cell r="O51">
            <v>5628</v>
          </cell>
          <cell r="P51">
            <v>3835.724968</v>
          </cell>
          <cell r="Q51">
            <v>-1792.275032</v>
          </cell>
          <cell r="R51">
            <v>2814</v>
          </cell>
          <cell r="S51">
            <v>2.4902654867256638E-2</v>
          </cell>
          <cell r="T51">
            <v>2176.2601159999999</v>
          </cell>
          <cell r="U51" t="e">
            <v>#DIV/0!</v>
          </cell>
          <cell r="V51">
            <v>8442</v>
          </cell>
          <cell r="W51">
            <v>6011.9850839999999</v>
          </cell>
          <cell r="X51">
            <v>-2430.0149160000001</v>
          </cell>
          <cell r="Y51">
            <v>2814</v>
          </cell>
          <cell r="Z51">
            <v>2.4902654867256638E-2</v>
          </cell>
          <cell r="AA51">
            <v>0</v>
          </cell>
          <cell r="AB51" t="e">
            <v>#DIV/0!</v>
          </cell>
          <cell r="AC51">
            <v>11256</v>
          </cell>
          <cell r="AD51">
            <v>6011.9850839999999</v>
          </cell>
          <cell r="AE51">
            <v>-5244.0149160000001</v>
          </cell>
          <cell r="AF51">
            <v>2814</v>
          </cell>
          <cell r="AG51">
            <v>2.4902654867256638E-2</v>
          </cell>
          <cell r="AH51">
            <v>0</v>
          </cell>
          <cell r="AI51" t="e">
            <v>#DIV/0!</v>
          </cell>
          <cell r="AJ51">
            <v>14070</v>
          </cell>
          <cell r="AK51">
            <v>6011.9850839999999</v>
          </cell>
          <cell r="AL51">
            <v>-8058.0149160000001</v>
          </cell>
          <cell r="AM51">
            <v>2110.5</v>
          </cell>
          <cell r="AN51">
            <v>1.8676991150442478E-2</v>
          </cell>
          <cell r="AO51">
            <v>0</v>
          </cell>
          <cell r="AP51" t="e">
            <v>#DIV/0!</v>
          </cell>
          <cell r="AQ51">
            <v>16180.5</v>
          </cell>
          <cell r="AR51">
            <v>6011.9850839999999</v>
          </cell>
          <cell r="AS51">
            <v>-10168.514916</v>
          </cell>
          <cell r="AT51">
            <v>2110.5</v>
          </cell>
          <cell r="AU51">
            <v>1.8676991150442478E-2</v>
          </cell>
          <cell r="AV51">
            <v>0</v>
          </cell>
          <cell r="AW51" t="e">
            <v>#DIV/0!</v>
          </cell>
          <cell r="AX51">
            <v>18291</v>
          </cell>
          <cell r="AY51">
            <v>6011.9850839999999</v>
          </cell>
          <cell r="AZ51">
            <v>-12279.014916</v>
          </cell>
          <cell r="BA51">
            <v>2110.5</v>
          </cell>
          <cell r="BB51">
            <v>1.8676991150442478E-2</v>
          </cell>
          <cell r="BC51">
            <v>0</v>
          </cell>
          <cell r="BD51" t="e">
            <v>#DIV/0!</v>
          </cell>
          <cell r="BE51">
            <v>20401.5</v>
          </cell>
          <cell r="BF51">
            <v>6011.9850839999999</v>
          </cell>
          <cell r="BG51">
            <v>-14389.514916</v>
          </cell>
          <cell r="BH51">
            <v>2110.5</v>
          </cell>
          <cell r="BI51">
            <v>1.8676991150442478E-2</v>
          </cell>
          <cell r="BJ51">
            <v>0</v>
          </cell>
          <cell r="BK51" t="e">
            <v>#DIV/0!</v>
          </cell>
          <cell r="BL51">
            <v>22512</v>
          </cell>
          <cell r="BM51">
            <v>6011.9850839999999</v>
          </cell>
          <cell r="BN51">
            <v>-16500.014916</v>
          </cell>
          <cell r="BO51">
            <v>2110.5</v>
          </cell>
          <cell r="BP51">
            <v>1.8676991150442478E-2</v>
          </cell>
          <cell r="BQ51">
            <v>0</v>
          </cell>
          <cell r="BR51" t="e">
            <v>#DIV/0!</v>
          </cell>
          <cell r="BS51">
            <v>24622.5</v>
          </cell>
          <cell r="BT51">
            <v>6011.9850839999999</v>
          </cell>
          <cell r="BU51">
            <v>-18610.514916</v>
          </cell>
          <cell r="BV51">
            <v>2110.5</v>
          </cell>
          <cell r="BW51">
            <v>1.8676991150442478E-2</v>
          </cell>
          <cell r="BX51">
            <v>0</v>
          </cell>
          <cell r="BY51" t="e">
            <v>#DIV/0!</v>
          </cell>
          <cell r="BZ51">
            <v>26733</v>
          </cell>
          <cell r="CA51">
            <v>6011.9850839999999</v>
          </cell>
          <cell r="CB51">
            <v>-20721.014916</v>
          </cell>
          <cell r="CC51">
            <v>2110.5</v>
          </cell>
          <cell r="CD51">
            <v>1.8676991150442478E-2</v>
          </cell>
          <cell r="CE51">
            <v>0</v>
          </cell>
          <cell r="CF51" t="e">
            <v>#DIV/0!</v>
          </cell>
          <cell r="CG51">
            <v>28843.5</v>
          </cell>
          <cell r="CH51">
            <v>6011.9850839999999</v>
          </cell>
        </row>
        <row r="52">
          <cell r="A52" t="str">
            <v>Vale Transporte</v>
          </cell>
          <cell r="B52">
            <v>3.3579033233492165E-3</v>
          </cell>
          <cell r="C52">
            <v>411.06333183333328</v>
          </cell>
          <cell r="D52">
            <v>400</v>
          </cell>
          <cell r="E52">
            <v>3.5398230088495575E-3</v>
          </cell>
          <cell r="F52">
            <v>0</v>
          </cell>
          <cell r="G52" t="e">
            <v>#DIV/0!</v>
          </cell>
          <cell r="H52">
            <v>400</v>
          </cell>
          <cell r="I52">
            <v>0</v>
          </cell>
          <cell r="J52">
            <v>-400</v>
          </cell>
          <cell r="K52">
            <v>400</v>
          </cell>
          <cell r="L52">
            <v>3.5398230088495575E-3</v>
          </cell>
          <cell r="M52">
            <v>237.59999699999997</v>
          </cell>
          <cell r="N52">
            <v>1.0513274203539822E-3</v>
          </cell>
          <cell r="O52">
            <v>800</v>
          </cell>
          <cell r="P52">
            <v>237.59999699999997</v>
          </cell>
          <cell r="Q52">
            <v>-562.40000299999997</v>
          </cell>
          <cell r="R52">
            <v>400</v>
          </cell>
          <cell r="S52">
            <v>3.5398230088495575E-3</v>
          </cell>
          <cell r="T52">
            <v>126.4</v>
          </cell>
          <cell r="U52" t="e">
            <v>#DIV/0!</v>
          </cell>
          <cell r="V52">
            <v>1200</v>
          </cell>
          <cell r="W52">
            <v>363.99999700000001</v>
          </cell>
          <cell r="X52">
            <v>-836.00000299999999</v>
          </cell>
          <cell r="Y52">
            <v>400</v>
          </cell>
          <cell r="Z52">
            <v>3.5398230088495575E-3</v>
          </cell>
          <cell r="AA52">
            <v>0</v>
          </cell>
          <cell r="AB52" t="e">
            <v>#DIV/0!</v>
          </cell>
          <cell r="AC52">
            <v>1600</v>
          </cell>
          <cell r="AD52">
            <v>363.99999700000001</v>
          </cell>
          <cell r="AE52">
            <v>-1236.0000030000001</v>
          </cell>
          <cell r="AF52">
            <v>400</v>
          </cell>
          <cell r="AG52">
            <v>3.5398230088495575E-3</v>
          </cell>
          <cell r="AH52">
            <v>0</v>
          </cell>
          <cell r="AI52" t="e">
            <v>#DIV/0!</v>
          </cell>
          <cell r="AJ52">
            <v>2000</v>
          </cell>
          <cell r="AK52">
            <v>363.99999700000001</v>
          </cell>
          <cell r="AL52">
            <v>-1636.0000030000001</v>
          </cell>
          <cell r="AM52">
            <v>400</v>
          </cell>
          <cell r="AN52">
            <v>3.5398230088495575E-3</v>
          </cell>
          <cell r="AO52">
            <v>0</v>
          </cell>
          <cell r="AP52" t="e">
            <v>#DIV/0!</v>
          </cell>
          <cell r="AQ52">
            <v>2400</v>
          </cell>
          <cell r="AR52">
            <v>363.99999700000001</v>
          </cell>
          <cell r="AS52">
            <v>-2036.0000030000001</v>
          </cell>
          <cell r="AT52">
            <v>400</v>
          </cell>
          <cell r="AU52">
            <v>3.5398230088495575E-3</v>
          </cell>
          <cell r="AV52">
            <v>0</v>
          </cell>
          <cell r="AW52" t="e">
            <v>#DIV/0!</v>
          </cell>
          <cell r="AX52">
            <v>2800</v>
          </cell>
          <cell r="AY52">
            <v>363.99999700000001</v>
          </cell>
          <cell r="AZ52">
            <v>-2436.0000030000001</v>
          </cell>
          <cell r="BA52">
            <v>400</v>
          </cell>
          <cell r="BB52">
            <v>3.5398230088495575E-3</v>
          </cell>
          <cell r="BC52">
            <v>0</v>
          </cell>
          <cell r="BD52" t="e">
            <v>#DIV/0!</v>
          </cell>
          <cell r="BE52">
            <v>3200</v>
          </cell>
          <cell r="BF52">
            <v>363.99999700000001</v>
          </cell>
          <cell r="BG52">
            <v>-2836.0000030000001</v>
          </cell>
          <cell r="BH52">
            <v>400</v>
          </cell>
          <cell r="BI52">
            <v>3.5398230088495575E-3</v>
          </cell>
          <cell r="BJ52">
            <v>0</v>
          </cell>
          <cell r="BK52" t="e">
            <v>#DIV/0!</v>
          </cell>
          <cell r="BL52">
            <v>3600</v>
          </cell>
          <cell r="BM52">
            <v>363.99999700000001</v>
          </cell>
          <cell r="BN52">
            <v>-3236.0000030000001</v>
          </cell>
          <cell r="BO52">
            <v>400</v>
          </cell>
          <cell r="BP52">
            <v>3.5398230088495575E-3</v>
          </cell>
          <cell r="BQ52">
            <v>0</v>
          </cell>
          <cell r="BR52" t="e">
            <v>#DIV/0!</v>
          </cell>
          <cell r="BS52">
            <v>4000</v>
          </cell>
          <cell r="BT52">
            <v>363.99999700000001</v>
          </cell>
          <cell r="BU52">
            <v>-3636.0000030000001</v>
          </cell>
          <cell r="BV52">
            <v>400</v>
          </cell>
          <cell r="BW52">
            <v>3.5398230088495575E-3</v>
          </cell>
          <cell r="BX52">
            <v>0</v>
          </cell>
          <cell r="BY52" t="e">
            <v>#DIV/0!</v>
          </cell>
          <cell r="BZ52">
            <v>4400</v>
          </cell>
          <cell r="CA52">
            <v>363.99999700000001</v>
          </cell>
          <cell r="CB52">
            <v>-4036.0000030000001</v>
          </cell>
          <cell r="CC52">
            <v>400</v>
          </cell>
          <cell r="CD52">
            <v>3.5398230088495575E-3</v>
          </cell>
          <cell r="CE52">
            <v>0</v>
          </cell>
          <cell r="CF52" t="e">
            <v>#DIV/0!</v>
          </cell>
          <cell r="CG52">
            <v>4800</v>
          </cell>
          <cell r="CH52">
            <v>363.99999700000001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 t="e">
            <v>#DIV/0!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 t="e">
            <v>#DIV/0!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</row>
        <row r="54">
          <cell r="A54" t="str">
            <v>Viagens - Passagens / Traslados</v>
          </cell>
          <cell r="B54">
            <v>1.0256228727025187E-3</v>
          </cell>
          <cell r="C54">
            <v>125.55333333333333</v>
          </cell>
          <cell r="D54">
            <v>125</v>
          </cell>
          <cell r="E54">
            <v>1.1061946902654867E-3</v>
          </cell>
          <cell r="F54">
            <v>0</v>
          </cell>
          <cell r="G54" t="e">
            <v>#DIV/0!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1.1061946902654867E-3</v>
          </cell>
          <cell r="M54">
            <v>0</v>
          </cell>
          <cell r="N54">
            <v>0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1.1061946902654867E-3</v>
          </cell>
          <cell r="T54">
            <v>0</v>
          </cell>
          <cell r="U54" t="e">
            <v>#DIV/0!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1.1061946902654867E-3</v>
          </cell>
          <cell r="AA54">
            <v>0</v>
          </cell>
          <cell r="AB54" t="e">
            <v>#DIV/0!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1.1061946902654867E-3</v>
          </cell>
          <cell r="AH54">
            <v>0</v>
          </cell>
          <cell r="AI54" t="e">
            <v>#DIV/0!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1.1061946902654867E-3</v>
          </cell>
          <cell r="AO54">
            <v>0</v>
          </cell>
          <cell r="AP54" t="e">
            <v>#DIV/0!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1.1061946902654867E-3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1.1061946902654867E-3</v>
          </cell>
          <cell r="BC54">
            <v>0</v>
          </cell>
          <cell r="BD54" t="e">
            <v>#DIV/0!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1.1061946902654867E-3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1.1061946902654867E-3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1.1061946902654867E-3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1.1061946902654867E-3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</sheetData>
      <sheetData sheetId="26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4.4473844305643025E-3</v>
          </cell>
          <cell r="C13">
            <v>401.95342257137389</v>
          </cell>
          <cell r="D13">
            <v>417.87808851747218</v>
          </cell>
          <cell r="E13">
            <v>4.0180585434372324E-3</v>
          </cell>
          <cell r="F13">
            <v>395.92383999999998</v>
          </cell>
          <cell r="G13">
            <v>2.6609866524505009E-3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3.0726330038049424E-3</v>
          </cell>
          <cell r="M13">
            <v>400.82801499999999</v>
          </cell>
          <cell r="N13">
            <v>6.8782937525605175E-4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3.0726330038049424E-3</v>
          </cell>
          <cell r="T13">
            <v>392.85242</v>
          </cell>
          <cell r="U13">
            <v>1.0464470179427066E-3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3.0726330038049424E-3</v>
          </cell>
          <cell r="AA13">
            <v>0</v>
          </cell>
          <cell r="AB13">
            <v>0</v>
          </cell>
          <cell r="AC13">
            <v>1671.5123540698887</v>
          </cell>
          <cell r="AD13">
            <v>1189.6042749999999</v>
          </cell>
          <cell r="AE13">
            <v>-481.9080790698888</v>
          </cell>
          <cell r="AF13">
            <v>417.87808851747218</v>
          </cell>
          <cell r="AG13">
            <v>3.0726330038049424E-3</v>
          </cell>
          <cell r="AH13">
            <v>0</v>
          </cell>
          <cell r="AI13">
            <v>0</v>
          </cell>
          <cell r="AJ13">
            <v>2089.3904425873607</v>
          </cell>
          <cell r="AK13">
            <v>1189.6042749999999</v>
          </cell>
          <cell r="AL13">
            <v>-899.78616758736075</v>
          </cell>
          <cell r="AM13">
            <v>417.87808851747218</v>
          </cell>
          <cell r="AN13">
            <v>3.0726330038049424E-3</v>
          </cell>
          <cell r="AO13">
            <v>0</v>
          </cell>
          <cell r="AP13" t="e">
            <v>#DIV/0!</v>
          </cell>
          <cell r="AQ13">
            <v>2507.2685311048326</v>
          </cell>
          <cell r="AR13">
            <v>1189.6042749999999</v>
          </cell>
          <cell r="AS13">
            <v>-1317.6642561048327</v>
          </cell>
          <cell r="AT13">
            <v>417.87808851747218</v>
          </cell>
          <cell r="AU13">
            <v>3.0726330038049424E-3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1189.6042749999999</v>
          </cell>
          <cell r="AZ13">
            <v>-1735.5423446223047</v>
          </cell>
          <cell r="BA13">
            <v>417.87808851747218</v>
          </cell>
          <cell r="BB13">
            <v>3.0726330038049424E-3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1189.6042749999999</v>
          </cell>
          <cell r="BG13">
            <v>-2153.4204331397768</v>
          </cell>
          <cell r="BH13">
            <v>417.87808851747218</v>
          </cell>
          <cell r="BI13">
            <v>3.0726330038049424E-3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1189.6042749999999</v>
          </cell>
          <cell r="BN13">
            <v>-2571.2985216572488</v>
          </cell>
          <cell r="BO13">
            <v>434.07160422754055</v>
          </cell>
          <cell r="BP13">
            <v>3.1917029722613277E-3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1189.6042749999999</v>
          </cell>
          <cell r="BU13">
            <v>-3005.3701258847896</v>
          </cell>
          <cell r="BV13">
            <v>434.07160422754055</v>
          </cell>
          <cell r="BW13">
            <v>3.1917029722613277E-3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1189.6042749999999</v>
          </cell>
          <cell r="CB13">
            <v>-3439.4417301123303</v>
          </cell>
          <cell r="CC13">
            <v>434.07160422754055</v>
          </cell>
          <cell r="CD13">
            <v>3.1917029722613277E-3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1189.6042749999999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4.5032726317028975E-3</v>
          </cell>
          <cell r="C15">
            <v>407.00458333333336</v>
          </cell>
          <cell r="D15">
            <v>606</v>
          </cell>
          <cell r="E15">
            <v>5.8269230769230768E-3</v>
          </cell>
          <cell r="F15">
            <v>88.47</v>
          </cell>
          <cell r="G15">
            <v>5.9460296490935181E-4</v>
          </cell>
          <cell r="H15">
            <v>606</v>
          </cell>
          <cell r="I15">
            <v>88.47</v>
          </cell>
          <cell r="J15">
            <v>-517.53</v>
          </cell>
          <cell r="K15">
            <v>606</v>
          </cell>
          <cell r="L15">
            <v>4.4558823529411767E-3</v>
          </cell>
          <cell r="M15">
            <v>163.77000000000001</v>
          </cell>
          <cell r="N15">
            <v>2.810327935428456E-4</v>
          </cell>
          <cell r="O15">
            <v>1212</v>
          </cell>
          <cell r="P15">
            <v>252.24</v>
          </cell>
          <cell r="Q15">
            <v>-959.76</v>
          </cell>
          <cell r="R15">
            <v>606</v>
          </cell>
          <cell r="S15">
            <v>4.4558823529411767E-3</v>
          </cell>
          <cell r="T15">
            <v>163.53</v>
          </cell>
          <cell r="U15">
            <v>4.3559736973026872E-4</v>
          </cell>
          <cell r="V15">
            <v>1818</v>
          </cell>
          <cell r="W15">
            <v>415.77</v>
          </cell>
          <cell r="X15">
            <v>-1402.23</v>
          </cell>
          <cell r="Y15">
            <v>606</v>
          </cell>
          <cell r="Z15">
            <v>4.4558823529411767E-3</v>
          </cell>
          <cell r="AA15">
            <v>0</v>
          </cell>
          <cell r="AB15">
            <v>0</v>
          </cell>
          <cell r="AC15">
            <v>2424</v>
          </cell>
          <cell r="AD15">
            <v>415.77</v>
          </cell>
          <cell r="AE15">
            <v>-2008.23</v>
          </cell>
          <cell r="AF15">
            <v>606</v>
          </cell>
          <cell r="AG15">
            <v>4.4558823529411767E-3</v>
          </cell>
          <cell r="AH15">
            <v>0</v>
          </cell>
          <cell r="AI15">
            <v>0</v>
          </cell>
          <cell r="AJ15">
            <v>3030</v>
          </cell>
          <cell r="AK15">
            <v>415.77</v>
          </cell>
          <cell r="AL15">
            <v>-2614.23</v>
          </cell>
          <cell r="AM15">
            <v>606</v>
          </cell>
          <cell r="AN15">
            <v>4.4558823529411767E-3</v>
          </cell>
          <cell r="AO15">
            <v>0</v>
          </cell>
          <cell r="AP15" t="e">
            <v>#DIV/0!</v>
          </cell>
          <cell r="AQ15">
            <v>3636</v>
          </cell>
          <cell r="AR15">
            <v>415.77</v>
          </cell>
          <cell r="AS15">
            <v>-3220.23</v>
          </cell>
          <cell r="AT15">
            <v>606</v>
          </cell>
          <cell r="AU15">
            <v>4.4558823529411767E-3</v>
          </cell>
          <cell r="AV15">
            <v>0</v>
          </cell>
          <cell r="AW15" t="e">
            <v>#DIV/0!</v>
          </cell>
          <cell r="AX15">
            <v>4242</v>
          </cell>
          <cell r="AY15">
            <v>415.77</v>
          </cell>
          <cell r="AZ15">
            <v>-3826.23</v>
          </cell>
          <cell r="BA15">
            <v>606</v>
          </cell>
          <cell r="BB15">
            <v>4.4558823529411767E-3</v>
          </cell>
          <cell r="BC15">
            <v>0</v>
          </cell>
          <cell r="BD15" t="e">
            <v>#DIV/0!</v>
          </cell>
          <cell r="BE15">
            <v>4848</v>
          </cell>
          <cell r="BF15">
            <v>415.77</v>
          </cell>
          <cell r="BG15">
            <v>-4432.2299999999996</v>
          </cell>
          <cell r="BH15">
            <v>606</v>
          </cell>
          <cell r="BI15">
            <v>4.4558823529411767E-3</v>
          </cell>
          <cell r="BJ15">
            <v>0</v>
          </cell>
          <cell r="BK15" t="e">
            <v>#DIV/0!</v>
          </cell>
          <cell r="BL15">
            <v>5454</v>
          </cell>
          <cell r="BM15">
            <v>415.77</v>
          </cell>
          <cell r="BN15">
            <v>-5038.2299999999996</v>
          </cell>
          <cell r="BO15">
            <v>606</v>
          </cell>
          <cell r="BP15">
            <v>4.4558823529411767E-3</v>
          </cell>
          <cell r="BQ15">
            <v>0</v>
          </cell>
          <cell r="BR15" t="e">
            <v>#DIV/0!</v>
          </cell>
          <cell r="BS15">
            <v>6060</v>
          </cell>
          <cell r="BT15">
            <v>415.77</v>
          </cell>
          <cell r="BU15">
            <v>-5644.23</v>
          </cell>
          <cell r="BV15">
            <v>606</v>
          </cell>
          <cell r="BW15">
            <v>4.4558823529411767E-3</v>
          </cell>
          <cell r="BX15">
            <v>0</v>
          </cell>
          <cell r="BY15" t="e">
            <v>#DIV/0!</v>
          </cell>
          <cell r="BZ15">
            <v>6666</v>
          </cell>
          <cell r="CA15">
            <v>415.77</v>
          </cell>
          <cell r="CB15">
            <v>-6250.23</v>
          </cell>
          <cell r="CC15">
            <v>606</v>
          </cell>
          <cell r="CD15">
            <v>4.4558823529411767E-3</v>
          </cell>
          <cell r="CE15">
            <v>0</v>
          </cell>
          <cell r="CF15" t="e">
            <v>#DIV/0!</v>
          </cell>
          <cell r="CG15">
            <v>7272</v>
          </cell>
          <cell r="CH15">
            <v>415.77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8.541737891996638E-5</v>
          </cell>
          <cell r="C18">
            <v>7.72</v>
          </cell>
          <cell r="D18">
            <v>100</v>
          </cell>
          <cell r="E18">
            <v>9.6153846153846159E-4</v>
          </cell>
          <cell r="F18">
            <v>0</v>
          </cell>
          <cell r="G18">
            <v>0</v>
          </cell>
          <cell r="H18">
            <v>100</v>
          </cell>
          <cell r="I18">
            <v>0</v>
          </cell>
          <cell r="J18">
            <v>-100</v>
          </cell>
          <cell r="K18">
            <v>100</v>
          </cell>
          <cell r="L18">
            <v>7.3529411764705881E-4</v>
          </cell>
          <cell r="M18">
            <v>0</v>
          </cell>
          <cell r="N18">
            <v>0</v>
          </cell>
          <cell r="O18">
            <v>200</v>
          </cell>
          <cell r="P18">
            <v>0</v>
          </cell>
          <cell r="Q18">
            <v>-200</v>
          </cell>
          <cell r="R18">
            <v>100</v>
          </cell>
          <cell r="S18">
            <v>7.3529411764705881E-4</v>
          </cell>
          <cell r="T18">
            <v>0</v>
          </cell>
          <cell r="U18">
            <v>0</v>
          </cell>
          <cell r="V18">
            <v>300</v>
          </cell>
          <cell r="W18">
            <v>0</v>
          </cell>
          <cell r="X18">
            <v>-300</v>
          </cell>
          <cell r="Y18">
            <v>100</v>
          </cell>
          <cell r="Z18">
            <v>7.3529411764705881E-4</v>
          </cell>
          <cell r="AA18">
            <v>0</v>
          </cell>
          <cell r="AB18">
            <v>0</v>
          </cell>
          <cell r="AC18">
            <v>400</v>
          </cell>
          <cell r="AD18">
            <v>0</v>
          </cell>
          <cell r="AE18">
            <v>-400</v>
          </cell>
          <cell r="AF18">
            <v>100</v>
          </cell>
          <cell r="AG18">
            <v>7.3529411764705881E-4</v>
          </cell>
          <cell r="AH18">
            <v>0</v>
          </cell>
          <cell r="AI18">
            <v>0</v>
          </cell>
          <cell r="AJ18">
            <v>500</v>
          </cell>
          <cell r="AK18">
            <v>0</v>
          </cell>
          <cell r="AL18">
            <v>-500</v>
          </cell>
          <cell r="AM18">
            <v>100</v>
          </cell>
          <cell r="AN18">
            <v>7.3529411764705881E-4</v>
          </cell>
          <cell r="AO18">
            <v>0</v>
          </cell>
          <cell r="AP18" t="e">
            <v>#DIV/0!</v>
          </cell>
          <cell r="AQ18">
            <v>600</v>
          </cell>
          <cell r="AR18">
            <v>0</v>
          </cell>
          <cell r="AS18">
            <v>-600</v>
          </cell>
          <cell r="AT18">
            <v>100</v>
          </cell>
          <cell r="AU18">
            <v>7.3529411764705881E-4</v>
          </cell>
          <cell r="AV18">
            <v>0</v>
          </cell>
          <cell r="AW18" t="e">
            <v>#DIV/0!</v>
          </cell>
          <cell r="AX18">
            <v>700</v>
          </cell>
          <cell r="AY18">
            <v>0</v>
          </cell>
          <cell r="AZ18">
            <v>-700</v>
          </cell>
          <cell r="BA18">
            <v>100</v>
          </cell>
          <cell r="BB18">
            <v>7.3529411764705881E-4</v>
          </cell>
          <cell r="BC18">
            <v>0</v>
          </cell>
          <cell r="BD18" t="e">
            <v>#DIV/0!</v>
          </cell>
          <cell r="BE18">
            <v>800</v>
          </cell>
          <cell r="BF18">
            <v>0</v>
          </cell>
          <cell r="BG18">
            <v>-800</v>
          </cell>
          <cell r="BH18">
            <v>100</v>
          </cell>
          <cell r="BI18">
            <v>7.3529411764705881E-4</v>
          </cell>
          <cell r="BJ18">
            <v>0</v>
          </cell>
          <cell r="BK18" t="e">
            <v>#DIV/0!</v>
          </cell>
          <cell r="BL18">
            <v>900</v>
          </cell>
          <cell r="BM18">
            <v>0</v>
          </cell>
          <cell r="BN18">
            <v>-900</v>
          </cell>
          <cell r="BO18">
            <v>100</v>
          </cell>
          <cell r="BP18">
            <v>7.3529411764705881E-4</v>
          </cell>
          <cell r="BQ18">
            <v>0</v>
          </cell>
          <cell r="BR18" t="e">
            <v>#DIV/0!</v>
          </cell>
          <cell r="BS18">
            <v>1000</v>
          </cell>
          <cell r="BT18">
            <v>0</v>
          </cell>
          <cell r="BU18">
            <v>-1000</v>
          </cell>
          <cell r="BV18">
            <v>100</v>
          </cell>
          <cell r="BW18">
            <v>7.3529411764705881E-4</v>
          </cell>
          <cell r="BX18">
            <v>0</v>
          </cell>
          <cell r="BY18" t="e">
            <v>#DIV/0!</v>
          </cell>
          <cell r="BZ18">
            <v>1100</v>
          </cell>
          <cell r="CA18">
            <v>0</v>
          </cell>
          <cell r="CB18">
            <v>-1100</v>
          </cell>
          <cell r="CC18">
            <v>100</v>
          </cell>
          <cell r="CD18">
            <v>7.3529411764705881E-4</v>
          </cell>
          <cell r="CE18">
            <v>0</v>
          </cell>
          <cell r="CF18" t="e">
            <v>#DIV/0!</v>
          </cell>
          <cell r="CG18">
            <v>1200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1.3268912622216546E-2</v>
          </cell>
          <cell r="C23">
            <v>1199.2407954766595</v>
          </cell>
          <cell r="D23">
            <v>1040</v>
          </cell>
          <cell r="E23">
            <v>0.01</v>
          </cell>
          <cell r="F23">
            <v>1921.0356160677279</v>
          </cell>
          <cell r="G23">
            <v>1.2911195580539554E-2</v>
          </cell>
          <cell r="H23">
            <v>1040</v>
          </cell>
          <cell r="I23">
            <v>1921.0356160677279</v>
          </cell>
          <cell r="J23">
            <v>881.03561606772791</v>
          </cell>
          <cell r="K23">
            <v>1360</v>
          </cell>
          <cell r="L23">
            <v>0.01</v>
          </cell>
          <cell r="M23">
            <v>7674.0100542716</v>
          </cell>
          <cell r="N23">
            <v>1.3168764017999827E-2</v>
          </cell>
          <cell r="O23">
            <v>2400</v>
          </cell>
          <cell r="P23">
            <v>9595.0456703393284</v>
          </cell>
          <cell r="Q23">
            <v>7195.0456703393284</v>
          </cell>
          <cell r="R23">
            <v>1360</v>
          </cell>
          <cell r="S23">
            <v>0.01</v>
          </cell>
          <cell r="T23">
            <v>3861.8307296100543</v>
          </cell>
          <cell r="U23">
            <v>1.0286817759198093E-2</v>
          </cell>
          <cell r="V23">
            <v>3760</v>
          </cell>
          <cell r="W23">
            <v>13456.876399949382</v>
          </cell>
          <cell r="X23">
            <v>9696.8763999493822</v>
          </cell>
          <cell r="Y23">
            <v>1360</v>
          </cell>
          <cell r="Z23">
            <v>0.01</v>
          </cell>
          <cell r="AA23">
            <v>0</v>
          </cell>
          <cell r="AB23">
            <v>0</v>
          </cell>
          <cell r="AC23">
            <v>5120</v>
          </cell>
          <cell r="AD23">
            <v>13456.876399949382</v>
          </cell>
          <cell r="AE23">
            <v>8336.8763999493822</v>
          </cell>
          <cell r="AF23">
            <v>1360</v>
          </cell>
          <cell r="AG23">
            <v>0.01</v>
          </cell>
          <cell r="AH23">
            <v>0</v>
          </cell>
          <cell r="AI23">
            <v>0</v>
          </cell>
          <cell r="AJ23">
            <v>6480</v>
          </cell>
          <cell r="AK23">
            <v>13456.876399949382</v>
          </cell>
          <cell r="AL23">
            <v>6976.8763999493822</v>
          </cell>
          <cell r="AM23">
            <v>1360</v>
          </cell>
          <cell r="AN23">
            <v>0.01</v>
          </cell>
          <cell r="AO23">
            <v>0</v>
          </cell>
          <cell r="AP23" t="e">
            <v>#DIV/0!</v>
          </cell>
          <cell r="AQ23">
            <v>7840</v>
          </cell>
          <cell r="AR23">
            <v>13456.876399949382</v>
          </cell>
          <cell r="AS23">
            <v>5616.8763999493822</v>
          </cell>
          <cell r="AT23">
            <v>1360</v>
          </cell>
          <cell r="AU23">
            <v>0.01</v>
          </cell>
          <cell r="AV23">
            <v>0</v>
          </cell>
          <cell r="AW23" t="e">
            <v>#DIV/0!</v>
          </cell>
          <cell r="AX23">
            <v>9200</v>
          </cell>
          <cell r="AY23">
            <v>13456.876399949382</v>
          </cell>
          <cell r="AZ23">
            <v>4256.8763999493822</v>
          </cell>
          <cell r="BA23">
            <v>1360</v>
          </cell>
          <cell r="BB23">
            <v>0.01</v>
          </cell>
          <cell r="BC23">
            <v>0</v>
          </cell>
          <cell r="BD23" t="e">
            <v>#DIV/0!</v>
          </cell>
          <cell r="BE23">
            <v>10560</v>
          </cell>
          <cell r="BF23">
            <v>13456.876399949382</v>
          </cell>
          <cell r="BG23">
            <v>2896.8763999493822</v>
          </cell>
          <cell r="BH23">
            <v>1360</v>
          </cell>
          <cell r="BI23">
            <v>0.01</v>
          </cell>
          <cell r="BJ23">
            <v>0</v>
          </cell>
          <cell r="BK23" t="e">
            <v>#DIV/0!</v>
          </cell>
          <cell r="BL23">
            <v>11920</v>
          </cell>
          <cell r="BM23">
            <v>13456.876399949382</v>
          </cell>
          <cell r="BN23">
            <v>1536.8763999493822</v>
          </cell>
          <cell r="BO23">
            <v>1360</v>
          </cell>
          <cell r="BP23">
            <v>0.01</v>
          </cell>
          <cell r="BQ23">
            <v>0</v>
          </cell>
          <cell r="BR23" t="e">
            <v>#DIV/0!</v>
          </cell>
          <cell r="BS23">
            <v>13280</v>
          </cell>
          <cell r="BT23">
            <v>13456.876399949382</v>
          </cell>
          <cell r="BU23">
            <v>176.87639994938218</v>
          </cell>
          <cell r="BV23">
            <v>1360</v>
          </cell>
          <cell r="BW23">
            <v>0.01</v>
          </cell>
          <cell r="BX23">
            <v>0</v>
          </cell>
          <cell r="BY23" t="e">
            <v>#DIV/0!</v>
          </cell>
          <cell r="BZ23">
            <v>14640</v>
          </cell>
          <cell r="CA23">
            <v>13456.876399949382</v>
          </cell>
          <cell r="CB23">
            <v>-1183.1236000506178</v>
          </cell>
          <cell r="CC23">
            <v>1360</v>
          </cell>
          <cell r="CD23">
            <v>0.01</v>
          </cell>
          <cell r="CE23">
            <v>0</v>
          </cell>
          <cell r="CF23" t="e">
            <v>#DIV/0!</v>
          </cell>
          <cell r="CG23">
            <v>16000</v>
          </cell>
          <cell r="CH23">
            <v>13456.876399949382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1.8066988763825106E-3</v>
          </cell>
          <cell r="C25">
            <v>163.28896416666669</v>
          </cell>
          <cell r="D25">
            <v>400</v>
          </cell>
          <cell r="E25">
            <v>3.8461538461538464E-3</v>
          </cell>
          <cell r="F25">
            <v>134.99960999999999</v>
          </cell>
          <cell r="G25">
            <v>9.0732641988929778E-4</v>
          </cell>
          <cell r="H25">
            <v>400</v>
          </cell>
          <cell r="I25">
            <v>134.99960999999999</v>
          </cell>
          <cell r="J25">
            <v>-265.00039000000004</v>
          </cell>
          <cell r="K25">
            <v>400</v>
          </cell>
          <cell r="L25">
            <v>2.9411764705882353E-3</v>
          </cell>
          <cell r="M25">
            <v>62.946598000000002</v>
          </cell>
          <cell r="N25">
            <v>1.080176972580967E-4</v>
          </cell>
          <cell r="O25">
            <v>800</v>
          </cell>
          <cell r="P25">
            <v>197.94620799999998</v>
          </cell>
          <cell r="Q25">
            <v>-602.05379200000004</v>
          </cell>
          <cell r="R25">
            <v>400</v>
          </cell>
          <cell r="S25">
            <v>2.9411764705882353E-3</v>
          </cell>
          <cell r="T25">
            <v>4.7477209999999967</v>
          </cell>
          <cell r="U25">
            <v>1.2646577262968016E-5</v>
          </cell>
          <cell r="V25">
            <v>1200</v>
          </cell>
          <cell r="W25">
            <v>202.69392899999997</v>
          </cell>
          <cell r="X25">
            <v>-997.30607099999997</v>
          </cell>
          <cell r="Y25">
            <v>400</v>
          </cell>
          <cell r="Z25">
            <v>2.9411764705882353E-3</v>
          </cell>
          <cell r="AA25">
            <v>0</v>
          </cell>
          <cell r="AB25">
            <v>0</v>
          </cell>
          <cell r="AC25">
            <v>1600</v>
          </cell>
          <cell r="AD25">
            <v>202.69392899999997</v>
          </cell>
          <cell r="AE25">
            <v>-1397.306071</v>
          </cell>
          <cell r="AF25">
            <v>400</v>
          </cell>
          <cell r="AG25">
            <v>2.9411764705882353E-3</v>
          </cell>
          <cell r="AH25">
            <v>0</v>
          </cell>
          <cell r="AI25">
            <v>0</v>
          </cell>
          <cell r="AJ25">
            <v>2000</v>
          </cell>
          <cell r="AK25">
            <v>202.69392899999997</v>
          </cell>
          <cell r="AL25">
            <v>-1797.306071</v>
          </cell>
          <cell r="AM25">
            <v>400</v>
          </cell>
          <cell r="AN25">
            <v>2.9411764705882353E-3</v>
          </cell>
          <cell r="AO25">
            <v>0</v>
          </cell>
          <cell r="AP25" t="e">
            <v>#DIV/0!</v>
          </cell>
          <cell r="AQ25">
            <v>2400</v>
          </cell>
          <cell r="AR25">
            <v>202.69392899999997</v>
          </cell>
          <cell r="AS25">
            <v>-2197.306071</v>
          </cell>
          <cell r="AT25">
            <v>400</v>
          </cell>
          <cell r="AU25">
            <v>2.9411764705882353E-3</v>
          </cell>
          <cell r="AV25">
            <v>0</v>
          </cell>
          <cell r="AW25" t="e">
            <v>#DIV/0!</v>
          </cell>
          <cell r="AX25">
            <v>2800</v>
          </cell>
          <cell r="AY25">
            <v>202.69392899999997</v>
          </cell>
          <cell r="AZ25">
            <v>-2597.306071</v>
          </cell>
          <cell r="BA25">
            <v>400</v>
          </cell>
          <cell r="BB25">
            <v>2.9411764705882353E-3</v>
          </cell>
          <cell r="BC25">
            <v>0</v>
          </cell>
          <cell r="BD25" t="e">
            <v>#DIV/0!</v>
          </cell>
          <cell r="BE25">
            <v>3200</v>
          </cell>
          <cell r="BF25">
            <v>202.69392899999997</v>
          </cell>
          <cell r="BG25">
            <v>-2997.306071</v>
          </cell>
          <cell r="BH25">
            <v>400</v>
          </cell>
          <cell r="BI25">
            <v>2.9411764705882353E-3</v>
          </cell>
          <cell r="BJ25">
            <v>0</v>
          </cell>
          <cell r="BK25" t="e">
            <v>#DIV/0!</v>
          </cell>
          <cell r="BL25">
            <v>3600</v>
          </cell>
          <cell r="BM25">
            <v>202.69392899999997</v>
          </cell>
          <cell r="BN25">
            <v>-3397.306071</v>
          </cell>
          <cell r="BO25">
            <v>400</v>
          </cell>
          <cell r="BP25">
            <v>2.9411764705882353E-3</v>
          </cell>
          <cell r="BQ25">
            <v>0</v>
          </cell>
          <cell r="BR25" t="e">
            <v>#DIV/0!</v>
          </cell>
          <cell r="BS25">
            <v>4000</v>
          </cell>
          <cell r="BT25">
            <v>202.69392899999997</v>
          </cell>
          <cell r="BU25">
            <v>-3797.306071</v>
          </cell>
          <cell r="BV25">
            <v>400</v>
          </cell>
          <cell r="BW25">
            <v>2.9411764705882353E-3</v>
          </cell>
          <cell r="BX25">
            <v>0</v>
          </cell>
          <cell r="BY25" t="e">
            <v>#DIV/0!</v>
          </cell>
          <cell r="BZ25">
            <v>4400</v>
          </cell>
          <cell r="CA25">
            <v>202.69392899999997</v>
          </cell>
          <cell r="CB25">
            <v>-4197.306071</v>
          </cell>
          <cell r="CC25">
            <v>400</v>
          </cell>
          <cell r="CD25">
            <v>2.9411764705882353E-3</v>
          </cell>
          <cell r="CE25">
            <v>0</v>
          </cell>
          <cell r="CF25" t="e">
            <v>#DIV/0!</v>
          </cell>
          <cell r="CG25">
            <v>4800</v>
          </cell>
          <cell r="CH25">
            <v>202.69392899999997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6.4514828872818566E-5</v>
          </cell>
          <cell r="C27">
            <v>5.8308330833333342</v>
          </cell>
          <cell r="D27">
            <v>100</v>
          </cell>
          <cell r="E27">
            <v>9.6153846153846159E-4</v>
          </cell>
          <cell r="F27">
            <v>0</v>
          </cell>
          <cell r="G27">
            <v>0</v>
          </cell>
          <cell r="H27">
            <v>100</v>
          </cell>
          <cell r="I27">
            <v>0</v>
          </cell>
          <cell r="J27">
            <v>-100</v>
          </cell>
          <cell r="K27">
            <v>100</v>
          </cell>
          <cell r="L27">
            <v>7.3529411764705881E-4</v>
          </cell>
          <cell r="M27">
            <v>405.99985700000002</v>
          </cell>
          <cell r="N27">
            <v>6.9670436582222519E-4</v>
          </cell>
          <cell r="O27">
            <v>200</v>
          </cell>
          <cell r="P27">
            <v>405.99985700000002</v>
          </cell>
          <cell r="Q27">
            <v>205.99985700000002</v>
          </cell>
          <cell r="R27">
            <v>100</v>
          </cell>
          <cell r="S27">
            <v>7.3529411764705881E-4</v>
          </cell>
          <cell r="T27">
            <v>0</v>
          </cell>
          <cell r="U27">
            <v>0</v>
          </cell>
          <cell r="V27">
            <v>300</v>
          </cell>
          <cell r="W27">
            <v>405.99985700000002</v>
          </cell>
          <cell r="X27">
            <v>105.99985700000002</v>
          </cell>
          <cell r="Y27">
            <v>100</v>
          </cell>
          <cell r="Z27">
            <v>7.3529411764705881E-4</v>
          </cell>
          <cell r="AA27">
            <v>0</v>
          </cell>
          <cell r="AB27">
            <v>0</v>
          </cell>
          <cell r="AC27">
            <v>400</v>
          </cell>
          <cell r="AD27">
            <v>405.99985700000002</v>
          </cell>
          <cell r="AE27">
            <v>5.99985700000002</v>
          </cell>
          <cell r="AF27">
            <v>100</v>
          </cell>
          <cell r="AG27">
            <v>7.3529411764705881E-4</v>
          </cell>
          <cell r="AH27">
            <v>0</v>
          </cell>
          <cell r="AI27">
            <v>0</v>
          </cell>
          <cell r="AJ27">
            <v>500</v>
          </cell>
          <cell r="AK27">
            <v>405.99985700000002</v>
          </cell>
          <cell r="AL27">
            <v>-94.00014299999998</v>
          </cell>
          <cell r="AM27">
            <v>100</v>
          </cell>
          <cell r="AN27">
            <v>7.3529411764705881E-4</v>
          </cell>
          <cell r="AO27">
            <v>0</v>
          </cell>
          <cell r="AP27" t="e">
            <v>#DIV/0!</v>
          </cell>
          <cell r="AQ27">
            <v>600</v>
          </cell>
          <cell r="AR27">
            <v>405.99985700000002</v>
          </cell>
          <cell r="AS27">
            <v>-194.00014299999998</v>
          </cell>
          <cell r="AT27">
            <v>100</v>
          </cell>
          <cell r="AU27">
            <v>7.3529411764705881E-4</v>
          </cell>
          <cell r="AV27">
            <v>0</v>
          </cell>
          <cell r="AW27" t="e">
            <v>#DIV/0!</v>
          </cell>
          <cell r="AX27">
            <v>700</v>
          </cell>
          <cell r="AY27">
            <v>405.99985700000002</v>
          </cell>
          <cell r="AZ27">
            <v>-294.00014299999998</v>
          </cell>
          <cell r="BA27">
            <v>100</v>
          </cell>
          <cell r="BB27">
            <v>7.3529411764705881E-4</v>
          </cell>
          <cell r="BC27">
            <v>0</v>
          </cell>
          <cell r="BD27" t="e">
            <v>#DIV/0!</v>
          </cell>
          <cell r="BE27">
            <v>800</v>
          </cell>
          <cell r="BF27">
            <v>405.99985700000002</v>
          </cell>
          <cell r="BG27">
            <v>-394.00014299999998</v>
          </cell>
          <cell r="BH27">
            <v>100</v>
          </cell>
          <cell r="BI27">
            <v>7.3529411764705881E-4</v>
          </cell>
          <cell r="BJ27">
            <v>0</v>
          </cell>
          <cell r="BK27" t="e">
            <v>#DIV/0!</v>
          </cell>
          <cell r="BL27">
            <v>900</v>
          </cell>
          <cell r="BM27">
            <v>405.99985700000002</v>
          </cell>
          <cell r="BN27">
            <v>-494.00014299999998</v>
          </cell>
          <cell r="BO27">
            <v>100</v>
          </cell>
          <cell r="BP27">
            <v>7.3529411764705881E-4</v>
          </cell>
          <cell r="BQ27">
            <v>0</v>
          </cell>
          <cell r="BR27" t="e">
            <v>#DIV/0!</v>
          </cell>
          <cell r="BS27">
            <v>1000</v>
          </cell>
          <cell r="BT27">
            <v>405.99985700000002</v>
          </cell>
          <cell r="BU27">
            <v>-594.00014299999998</v>
          </cell>
          <cell r="BV27">
            <v>100</v>
          </cell>
          <cell r="BW27">
            <v>7.3529411764705881E-4</v>
          </cell>
          <cell r="BX27">
            <v>0</v>
          </cell>
          <cell r="BY27" t="e">
            <v>#DIV/0!</v>
          </cell>
          <cell r="BZ27">
            <v>1100</v>
          </cell>
          <cell r="CA27">
            <v>405.99985700000002</v>
          </cell>
          <cell r="CB27">
            <v>-694.00014299999998</v>
          </cell>
          <cell r="CC27">
            <v>100</v>
          </cell>
          <cell r="CD27">
            <v>7.3529411764705881E-4</v>
          </cell>
          <cell r="CE27">
            <v>0</v>
          </cell>
          <cell r="CF27" t="e">
            <v>#DIV/0!</v>
          </cell>
          <cell r="CG27">
            <v>1200</v>
          </cell>
          <cell r="CH27">
            <v>405.99985700000002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3.2073642935855008E-4</v>
          </cell>
          <cell r="C39">
            <v>28.98807322299162</v>
          </cell>
          <cell r="D39">
            <v>20</v>
          </cell>
          <cell r="E39">
            <v>1.9230769230769231E-4</v>
          </cell>
          <cell r="F39">
            <v>0</v>
          </cell>
          <cell r="G39">
            <v>0</v>
          </cell>
          <cell r="H39">
            <v>20</v>
          </cell>
          <cell r="I39">
            <v>0</v>
          </cell>
          <cell r="J39">
            <v>-20</v>
          </cell>
          <cell r="K39">
            <v>20</v>
          </cell>
          <cell r="L39">
            <v>1.4705882352941175E-4</v>
          </cell>
          <cell r="M39">
            <v>80.68766784053156</v>
          </cell>
          <cell r="N39">
            <v>1.3846174939049767E-4</v>
          </cell>
          <cell r="O39">
            <v>40</v>
          </cell>
          <cell r="P39">
            <v>80.68766784053156</v>
          </cell>
          <cell r="Q39">
            <v>40.68766784053156</v>
          </cell>
          <cell r="R39">
            <v>20</v>
          </cell>
          <cell r="S39">
            <v>1.4705882352941175E-4</v>
          </cell>
          <cell r="T39">
            <v>64.908028201669879</v>
          </cell>
          <cell r="U39">
            <v>1.7289651048141321E-4</v>
          </cell>
          <cell r="V39">
            <v>60</v>
          </cell>
          <cell r="W39">
            <v>145.59569604220144</v>
          </cell>
          <cell r="X39">
            <v>85.595696042201439</v>
          </cell>
          <cell r="Y39">
            <v>20</v>
          </cell>
          <cell r="Z39">
            <v>1.4705882352941175E-4</v>
          </cell>
          <cell r="AA39">
            <v>0</v>
          </cell>
          <cell r="AB39">
            <v>0</v>
          </cell>
          <cell r="AC39">
            <v>80</v>
          </cell>
          <cell r="AD39">
            <v>145.59569604220144</v>
          </cell>
          <cell r="AE39">
            <v>65.595696042201439</v>
          </cell>
          <cell r="AF39">
            <v>20</v>
          </cell>
          <cell r="AG39">
            <v>1.4705882352941175E-4</v>
          </cell>
          <cell r="AH39">
            <v>0</v>
          </cell>
          <cell r="AI39">
            <v>0</v>
          </cell>
          <cell r="AJ39">
            <v>100</v>
          </cell>
          <cell r="AK39">
            <v>145.59569604220144</v>
          </cell>
          <cell r="AL39">
            <v>45.595696042201439</v>
          </cell>
          <cell r="AM39">
            <v>20</v>
          </cell>
          <cell r="AN39">
            <v>1.4705882352941175E-4</v>
          </cell>
          <cell r="AO39">
            <v>0</v>
          </cell>
          <cell r="AP39" t="e">
            <v>#DIV/0!</v>
          </cell>
          <cell r="AQ39">
            <v>120</v>
          </cell>
          <cell r="AR39">
            <v>145.59569604220144</v>
          </cell>
          <cell r="AS39">
            <v>25.595696042201439</v>
          </cell>
          <cell r="AT39">
            <v>20</v>
          </cell>
          <cell r="AU39">
            <v>1.4705882352941175E-4</v>
          </cell>
          <cell r="AV39">
            <v>0</v>
          </cell>
          <cell r="AW39" t="e">
            <v>#DIV/0!</v>
          </cell>
          <cell r="AX39">
            <v>140</v>
          </cell>
          <cell r="AY39">
            <v>145.59569604220144</v>
          </cell>
          <cell r="AZ39">
            <v>5.595696042201439</v>
          </cell>
          <cell r="BA39">
            <v>20</v>
          </cell>
          <cell r="BB39">
            <v>1.4705882352941175E-4</v>
          </cell>
          <cell r="BC39">
            <v>0</v>
          </cell>
          <cell r="BD39" t="e">
            <v>#DIV/0!</v>
          </cell>
          <cell r="BE39">
            <v>160</v>
          </cell>
          <cell r="BF39">
            <v>145.59569604220144</v>
          </cell>
          <cell r="BG39">
            <v>-14.404303957798561</v>
          </cell>
          <cell r="BH39">
            <v>20</v>
          </cell>
          <cell r="BI39">
            <v>1.4705882352941175E-4</v>
          </cell>
          <cell r="BJ39">
            <v>0</v>
          </cell>
          <cell r="BK39" t="e">
            <v>#DIV/0!</v>
          </cell>
          <cell r="BL39">
            <v>180</v>
          </cell>
          <cell r="BM39">
            <v>145.59569604220144</v>
          </cell>
          <cell r="BN39">
            <v>-34.404303957798561</v>
          </cell>
          <cell r="BO39">
            <v>20</v>
          </cell>
          <cell r="BP39">
            <v>1.4705882352941175E-4</v>
          </cell>
          <cell r="BQ39">
            <v>0</v>
          </cell>
          <cell r="BR39" t="e">
            <v>#DIV/0!</v>
          </cell>
          <cell r="BS39">
            <v>200</v>
          </cell>
          <cell r="BT39">
            <v>145.59569604220144</v>
          </cell>
          <cell r="BU39">
            <v>-54.404303957798561</v>
          </cell>
          <cell r="BV39">
            <v>20</v>
          </cell>
          <cell r="BW39">
            <v>1.4705882352941175E-4</v>
          </cell>
          <cell r="BX39">
            <v>0</v>
          </cell>
          <cell r="BY39" t="e">
            <v>#DIV/0!</v>
          </cell>
          <cell r="BZ39">
            <v>220</v>
          </cell>
          <cell r="CA39">
            <v>145.59569604220144</v>
          </cell>
          <cell r="CB39">
            <v>-74.404303957798561</v>
          </cell>
          <cell r="CC39">
            <v>20</v>
          </cell>
          <cell r="CD39">
            <v>1.4705882352941175E-4</v>
          </cell>
          <cell r="CE39">
            <v>0</v>
          </cell>
          <cell r="CF39" t="e">
            <v>#DIV/0!</v>
          </cell>
          <cell r="CG39">
            <v>240</v>
          </cell>
          <cell r="CH39">
            <v>145.59569604220144</v>
          </cell>
        </row>
        <row r="40">
          <cell r="A40" t="str">
            <v>Pauta - Gestão de Pauta</v>
          </cell>
          <cell r="B40">
            <v>1.9229630467489361E-4</v>
          </cell>
          <cell r="C40">
            <v>17.379688897749226</v>
          </cell>
          <cell r="D40">
            <v>20</v>
          </cell>
          <cell r="E40">
            <v>1.9230769230769231E-4</v>
          </cell>
          <cell r="F40">
            <v>0</v>
          </cell>
          <cell r="G40">
            <v>0</v>
          </cell>
          <cell r="H40">
            <v>20</v>
          </cell>
          <cell r="I40">
            <v>0</v>
          </cell>
          <cell r="J40">
            <v>-20</v>
          </cell>
          <cell r="K40">
            <v>20</v>
          </cell>
          <cell r="L40">
            <v>1.4705882352941175E-4</v>
          </cell>
          <cell r="M40">
            <v>11.238277035968801</v>
          </cell>
          <cell r="N40">
            <v>1.9285121756284562E-5</v>
          </cell>
          <cell r="O40">
            <v>40</v>
          </cell>
          <cell r="P40">
            <v>11.238277035968801</v>
          </cell>
          <cell r="Q40">
            <v>-28.7617229640312</v>
          </cell>
          <cell r="R40">
            <v>20</v>
          </cell>
          <cell r="S40">
            <v>1.4705882352941175E-4</v>
          </cell>
          <cell r="T40">
            <v>19.518321803124884</v>
          </cell>
          <cell r="U40">
            <v>5.1991253219532538E-5</v>
          </cell>
          <cell r="V40">
            <v>60</v>
          </cell>
          <cell r="W40">
            <v>30.756598839093684</v>
          </cell>
          <cell r="X40">
            <v>-29.243401160906316</v>
          </cell>
          <cell r="Y40">
            <v>20</v>
          </cell>
          <cell r="Z40">
            <v>1.4705882352941175E-4</v>
          </cell>
          <cell r="AA40">
            <v>0</v>
          </cell>
          <cell r="AB40">
            <v>0</v>
          </cell>
          <cell r="AC40">
            <v>80</v>
          </cell>
          <cell r="AD40">
            <v>30.756598839093684</v>
          </cell>
          <cell r="AE40">
            <v>-49.243401160906316</v>
          </cell>
          <cell r="AF40">
            <v>20</v>
          </cell>
          <cell r="AG40">
            <v>1.4705882352941175E-4</v>
          </cell>
          <cell r="AH40">
            <v>0</v>
          </cell>
          <cell r="AI40">
            <v>0</v>
          </cell>
          <cell r="AJ40">
            <v>100</v>
          </cell>
          <cell r="AK40">
            <v>30.756598839093684</v>
          </cell>
          <cell r="AL40">
            <v>-69.243401160906316</v>
          </cell>
          <cell r="AM40">
            <v>20</v>
          </cell>
          <cell r="AN40">
            <v>1.4705882352941175E-4</v>
          </cell>
          <cell r="AO40">
            <v>0</v>
          </cell>
          <cell r="AP40" t="e">
            <v>#DIV/0!</v>
          </cell>
          <cell r="AQ40">
            <v>120</v>
          </cell>
          <cell r="AR40">
            <v>30.756598839093684</v>
          </cell>
          <cell r="AS40">
            <v>-89.243401160906316</v>
          </cell>
          <cell r="AT40">
            <v>20</v>
          </cell>
          <cell r="AU40">
            <v>1.4705882352941175E-4</v>
          </cell>
          <cell r="AV40">
            <v>0</v>
          </cell>
          <cell r="AW40" t="e">
            <v>#DIV/0!</v>
          </cell>
          <cell r="AX40">
            <v>140</v>
          </cell>
          <cell r="AY40">
            <v>30.756598839093684</v>
          </cell>
          <cell r="AZ40">
            <v>-109.24340116090632</v>
          </cell>
          <cell r="BA40">
            <v>20</v>
          </cell>
          <cell r="BB40">
            <v>1.4705882352941175E-4</v>
          </cell>
          <cell r="BC40">
            <v>0</v>
          </cell>
          <cell r="BD40" t="e">
            <v>#DIV/0!</v>
          </cell>
          <cell r="BE40">
            <v>160</v>
          </cell>
          <cell r="BF40">
            <v>30.756598839093684</v>
          </cell>
          <cell r="BG40">
            <v>-129.24340116090633</v>
          </cell>
          <cell r="BH40">
            <v>20</v>
          </cell>
          <cell r="BI40">
            <v>1.4705882352941175E-4</v>
          </cell>
          <cell r="BJ40">
            <v>0</v>
          </cell>
          <cell r="BK40" t="e">
            <v>#DIV/0!</v>
          </cell>
          <cell r="BL40">
            <v>180</v>
          </cell>
          <cell r="BM40">
            <v>30.756598839093684</v>
          </cell>
          <cell r="BN40">
            <v>-149.24340116090633</v>
          </cell>
          <cell r="BO40">
            <v>20</v>
          </cell>
          <cell r="BP40">
            <v>1.4705882352941175E-4</v>
          </cell>
          <cell r="BQ40">
            <v>0</v>
          </cell>
          <cell r="BR40" t="e">
            <v>#DIV/0!</v>
          </cell>
          <cell r="BS40">
            <v>200</v>
          </cell>
          <cell r="BT40">
            <v>30.756598839093684</v>
          </cell>
          <cell r="BU40">
            <v>-169.24340116090633</v>
          </cell>
          <cell r="BV40">
            <v>20</v>
          </cell>
          <cell r="BW40">
            <v>1.4705882352941175E-4</v>
          </cell>
          <cell r="BX40">
            <v>0</v>
          </cell>
          <cell r="BY40" t="e">
            <v>#DIV/0!</v>
          </cell>
          <cell r="BZ40">
            <v>220</v>
          </cell>
          <cell r="CA40">
            <v>30.756598839093684</v>
          </cell>
          <cell r="CB40">
            <v>-189.24340116090633</v>
          </cell>
          <cell r="CC40">
            <v>20</v>
          </cell>
          <cell r="CD40">
            <v>1.4705882352941175E-4</v>
          </cell>
          <cell r="CE40">
            <v>0</v>
          </cell>
          <cell r="CF40" t="e">
            <v>#DIV/0!</v>
          </cell>
          <cell r="CG40">
            <v>240</v>
          </cell>
          <cell r="CH40">
            <v>30.756598839093684</v>
          </cell>
        </row>
        <row r="41">
          <cell r="A41" t="str">
            <v>Seguro de Vida</v>
          </cell>
          <cell r="B41">
            <v>4.1814342210437088E-4</v>
          </cell>
          <cell r="C41">
            <v>37.791691333333333</v>
          </cell>
          <cell r="D41">
            <v>72.84</v>
          </cell>
          <cell r="E41">
            <v>7.0038461538461541E-4</v>
          </cell>
          <cell r="F41">
            <v>57.549984000000002</v>
          </cell>
          <cell r="G41">
            <v>3.8679090219154248E-4</v>
          </cell>
          <cell r="H41">
            <v>72.84</v>
          </cell>
          <cell r="I41">
            <v>57.549984000000002</v>
          </cell>
          <cell r="J41">
            <v>-15.290016000000001</v>
          </cell>
          <cell r="K41">
            <v>72.84</v>
          </cell>
          <cell r="L41">
            <v>5.3558823529411767E-4</v>
          </cell>
          <cell r="M41">
            <v>69.060013999999995</v>
          </cell>
          <cell r="N41">
            <v>1.1850844877894623E-4</v>
          </cell>
          <cell r="O41">
            <v>145.68</v>
          </cell>
          <cell r="P41">
            <v>126.60999799999999</v>
          </cell>
          <cell r="Q41">
            <v>-19.070002000000017</v>
          </cell>
          <cell r="R41">
            <v>72.84</v>
          </cell>
          <cell r="S41">
            <v>5.3558823529411767E-4</v>
          </cell>
          <cell r="T41">
            <v>69.060016000000005</v>
          </cell>
          <cell r="U41">
            <v>1.8395622407588991E-4</v>
          </cell>
          <cell r="V41">
            <v>218.52</v>
          </cell>
          <cell r="W41">
            <v>195.67001399999998</v>
          </cell>
          <cell r="X41">
            <v>-22.84998600000003</v>
          </cell>
          <cell r="Y41">
            <v>72.84</v>
          </cell>
          <cell r="Z41">
            <v>5.3558823529411767E-4</v>
          </cell>
          <cell r="AA41">
            <v>0</v>
          </cell>
          <cell r="AB41">
            <v>0</v>
          </cell>
          <cell r="AC41">
            <v>291.36</v>
          </cell>
          <cell r="AD41">
            <v>195.67001399999998</v>
          </cell>
          <cell r="AE41">
            <v>-95.689986000000033</v>
          </cell>
          <cell r="AF41">
            <v>72.84</v>
          </cell>
          <cell r="AG41">
            <v>5.3558823529411767E-4</v>
          </cell>
          <cell r="AH41">
            <v>0</v>
          </cell>
          <cell r="AI41">
            <v>0</v>
          </cell>
          <cell r="AJ41">
            <v>364.20000000000005</v>
          </cell>
          <cell r="AK41">
            <v>195.67001399999998</v>
          </cell>
          <cell r="AL41">
            <v>-168.52998600000006</v>
          </cell>
          <cell r="AM41">
            <v>72.84</v>
          </cell>
          <cell r="AN41">
            <v>5.3558823529411767E-4</v>
          </cell>
          <cell r="AO41">
            <v>0</v>
          </cell>
          <cell r="AP41" t="e">
            <v>#DIV/0!</v>
          </cell>
          <cell r="AQ41">
            <v>437.04000000000008</v>
          </cell>
          <cell r="AR41">
            <v>195.67001399999998</v>
          </cell>
          <cell r="AS41">
            <v>-241.3699860000001</v>
          </cell>
          <cell r="AT41">
            <v>72.84</v>
          </cell>
          <cell r="AU41">
            <v>5.3558823529411767E-4</v>
          </cell>
          <cell r="AV41">
            <v>0</v>
          </cell>
          <cell r="AW41" t="e">
            <v>#DIV/0!</v>
          </cell>
          <cell r="AX41">
            <v>509.88000000000011</v>
          </cell>
          <cell r="AY41">
            <v>195.67001399999998</v>
          </cell>
          <cell r="AZ41">
            <v>-314.20998600000013</v>
          </cell>
          <cell r="BA41">
            <v>72.84</v>
          </cell>
          <cell r="BB41">
            <v>5.3558823529411767E-4</v>
          </cell>
          <cell r="BC41">
            <v>0</v>
          </cell>
          <cell r="BD41" t="e">
            <v>#DIV/0!</v>
          </cell>
          <cell r="BE41">
            <v>582.72000000000014</v>
          </cell>
          <cell r="BF41">
            <v>195.67001399999998</v>
          </cell>
          <cell r="BG41">
            <v>-387.04998600000016</v>
          </cell>
          <cell r="BH41">
            <v>72.84</v>
          </cell>
          <cell r="BI41">
            <v>5.3558823529411767E-4</v>
          </cell>
          <cell r="BJ41">
            <v>0</v>
          </cell>
          <cell r="BK41" t="e">
            <v>#DIV/0!</v>
          </cell>
          <cell r="BL41">
            <v>655.56000000000017</v>
          </cell>
          <cell r="BM41">
            <v>195.67001399999998</v>
          </cell>
          <cell r="BN41">
            <v>-459.88998600000019</v>
          </cell>
          <cell r="BO41">
            <v>72.84</v>
          </cell>
          <cell r="BP41">
            <v>5.3558823529411767E-4</v>
          </cell>
          <cell r="BQ41">
            <v>0</v>
          </cell>
          <cell r="BR41" t="e">
            <v>#DIV/0!</v>
          </cell>
          <cell r="BS41">
            <v>728.4000000000002</v>
          </cell>
          <cell r="BT41">
            <v>195.67001399999998</v>
          </cell>
          <cell r="BU41">
            <v>-532.72998600000028</v>
          </cell>
          <cell r="BV41">
            <v>72.84</v>
          </cell>
          <cell r="BW41">
            <v>5.3558823529411767E-4</v>
          </cell>
          <cell r="BX41">
            <v>0</v>
          </cell>
          <cell r="BY41" t="e">
            <v>#DIV/0!</v>
          </cell>
          <cell r="BZ41">
            <v>801.24000000000024</v>
          </cell>
          <cell r="CA41">
            <v>195.67001399999998</v>
          </cell>
          <cell r="CB41">
            <v>-605.5699860000002</v>
          </cell>
          <cell r="CC41">
            <v>72.84</v>
          </cell>
          <cell r="CD41">
            <v>5.3558823529411767E-4</v>
          </cell>
          <cell r="CE41">
            <v>0</v>
          </cell>
          <cell r="CF41" t="e">
            <v>#DIV/0!</v>
          </cell>
          <cell r="CG41">
            <v>874.08000000000027</v>
          </cell>
          <cell r="CH41">
            <v>195.67001399999998</v>
          </cell>
        </row>
        <row r="42">
          <cell r="A42" t="str">
            <v>Plano de Saúde</v>
          </cell>
          <cell r="B42">
            <v>3.0655857549776476E-2</v>
          </cell>
          <cell r="C42">
            <v>2770.6682559999995</v>
          </cell>
          <cell r="D42">
            <v>2860</v>
          </cell>
          <cell r="E42">
            <v>2.75E-2</v>
          </cell>
          <cell r="F42">
            <v>4915.3094950000004</v>
          </cell>
          <cell r="G42">
            <v>3.3035578152753355E-2</v>
          </cell>
          <cell r="H42">
            <v>2860</v>
          </cell>
          <cell r="I42">
            <v>4915.3094950000004</v>
          </cell>
          <cell r="J42">
            <v>2055.3094950000004</v>
          </cell>
          <cell r="K42">
            <v>2860</v>
          </cell>
          <cell r="L42">
            <v>2.1029411764705883E-2</v>
          </cell>
          <cell r="M42">
            <v>3418.5290949999999</v>
          </cell>
          <cell r="N42">
            <v>5.8662684336285376E-3</v>
          </cell>
          <cell r="O42">
            <v>5720</v>
          </cell>
          <cell r="P42">
            <v>8333.8385899999994</v>
          </cell>
          <cell r="Q42">
            <v>2613.8385899999994</v>
          </cell>
          <cell r="R42">
            <v>2860</v>
          </cell>
          <cell r="S42">
            <v>2.1029411764705883E-2</v>
          </cell>
          <cell r="T42">
            <v>3417.7501809999999</v>
          </cell>
          <cell r="U42">
            <v>9.1039135891808828E-3</v>
          </cell>
          <cell r="V42">
            <v>8580</v>
          </cell>
          <cell r="W42">
            <v>11751.588770999999</v>
          </cell>
          <cell r="X42">
            <v>3171.5887709999988</v>
          </cell>
          <cell r="Y42">
            <v>2860</v>
          </cell>
          <cell r="Z42">
            <v>2.1029411764705883E-2</v>
          </cell>
          <cell r="AA42">
            <v>0</v>
          </cell>
          <cell r="AB42">
            <v>0</v>
          </cell>
          <cell r="AC42">
            <v>11440</v>
          </cell>
          <cell r="AD42">
            <v>11751.588770999999</v>
          </cell>
          <cell r="AE42">
            <v>311.58877099999881</v>
          </cell>
          <cell r="AF42">
            <v>2860</v>
          </cell>
          <cell r="AG42">
            <v>2.1029411764705883E-2</v>
          </cell>
          <cell r="AH42">
            <v>0</v>
          </cell>
          <cell r="AI42">
            <v>0</v>
          </cell>
          <cell r="AJ42">
            <v>14300</v>
          </cell>
          <cell r="AK42">
            <v>11751.588770999999</v>
          </cell>
          <cell r="AL42">
            <v>-2548.4112290000012</v>
          </cell>
          <cell r="AM42">
            <v>2860</v>
          </cell>
          <cell r="AN42">
            <v>2.1029411764705883E-2</v>
          </cell>
          <cell r="AO42">
            <v>0</v>
          </cell>
          <cell r="AP42" t="e">
            <v>#DIV/0!</v>
          </cell>
          <cell r="AQ42">
            <v>17160</v>
          </cell>
          <cell r="AR42">
            <v>11751.588770999999</v>
          </cell>
          <cell r="AS42">
            <v>-5408.4112290000012</v>
          </cell>
          <cell r="AT42">
            <v>2860</v>
          </cell>
          <cell r="AU42">
            <v>2.1029411764705883E-2</v>
          </cell>
          <cell r="AV42">
            <v>0</v>
          </cell>
          <cell r="AW42" t="e">
            <v>#DIV/0!</v>
          </cell>
          <cell r="AX42">
            <v>20020</v>
          </cell>
          <cell r="AY42">
            <v>11751.588770999999</v>
          </cell>
          <cell r="AZ42">
            <v>-8268.4112290000012</v>
          </cell>
          <cell r="BA42">
            <v>2860</v>
          </cell>
          <cell r="BB42">
            <v>2.1029411764705883E-2</v>
          </cell>
          <cell r="BC42">
            <v>0</v>
          </cell>
          <cell r="BD42" t="e">
            <v>#DIV/0!</v>
          </cell>
          <cell r="BE42">
            <v>22880</v>
          </cell>
          <cell r="BF42">
            <v>11751.588770999999</v>
          </cell>
          <cell r="BG42">
            <v>-11128.411229000001</v>
          </cell>
          <cell r="BH42">
            <v>2860</v>
          </cell>
          <cell r="BI42">
            <v>2.1029411764705883E-2</v>
          </cell>
          <cell r="BJ42">
            <v>0</v>
          </cell>
          <cell r="BK42" t="e">
            <v>#DIV/0!</v>
          </cell>
          <cell r="BL42">
            <v>25740</v>
          </cell>
          <cell r="BM42">
            <v>11751.588770999999</v>
          </cell>
          <cell r="BN42">
            <v>-13988.411229000001</v>
          </cell>
          <cell r="BO42">
            <v>3289</v>
          </cell>
          <cell r="BP42">
            <v>2.4183823529411765E-2</v>
          </cell>
          <cell r="BQ42">
            <v>0</v>
          </cell>
          <cell r="BR42" t="e">
            <v>#DIV/0!</v>
          </cell>
          <cell r="BS42">
            <v>29029</v>
          </cell>
          <cell r="BT42">
            <v>11751.588770999999</v>
          </cell>
          <cell r="BU42">
            <v>-17277.411229000001</v>
          </cell>
          <cell r="BV42">
            <v>3289</v>
          </cell>
          <cell r="BW42">
            <v>2.4183823529411765E-2</v>
          </cell>
          <cell r="BX42">
            <v>0</v>
          </cell>
          <cell r="BY42" t="e">
            <v>#DIV/0!</v>
          </cell>
          <cell r="BZ42">
            <v>32318</v>
          </cell>
          <cell r="CA42">
            <v>11751.588770999999</v>
          </cell>
          <cell r="CB42">
            <v>-20566.411229000001</v>
          </cell>
          <cell r="CC42">
            <v>3289</v>
          </cell>
          <cell r="CD42">
            <v>2.4183823529411765E-2</v>
          </cell>
          <cell r="CE42">
            <v>0</v>
          </cell>
          <cell r="CF42" t="e">
            <v>#DIV/0!</v>
          </cell>
          <cell r="CG42">
            <v>35607</v>
          </cell>
          <cell r="CH42">
            <v>11751.588770999999</v>
          </cell>
        </row>
        <row r="43">
          <cell r="A43" t="str">
            <v>Plano Odontológico</v>
          </cell>
          <cell r="B43">
            <v>4.8550150913717469E-4</v>
          </cell>
          <cell r="C43">
            <v>43.87949733333334</v>
          </cell>
          <cell r="D43">
            <v>58.8</v>
          </cell>
          <cell r="E43">
            <v>5.6538461538461538E-4</v>
          </cell>
          <cell r="F43">
            <v>43.980003000000004</v>
          </cell>
          <cell r="G43">
            <v>2.9558765887331516E-4</v>
          </cell>
          <cell r="H43">
            <v>58.8</v>
          </cell>
          <cell r="I43">
            <v>43.980003000000004</v>
          </cell>
          <cell r="J43">
            <v>-14.819996999999994</v>
          </cell>
          <cell r="K43">
            <v>58.8</v>
          </cell>
          <cell r="L43">
            <v>4.3235294117647058E-4</v>
          </cell>
          <cell r="M43">
            <v>43.980007000000001</v>
          </cell>
          <cell r="N43">
            <v>7.5470624822885157E-5</v>
          </cell>
          <cell r="O43">
            <v>117.6</v>
          </cell>
          <cell r="P43">
            <v>87.960010000000011</v>
          </cell>
          <cell r="Q43">
            <v>-29.639989999999983</v>
          </cell>
          <cell r="R43">
            <v>58.8</v>
          </cell>
          <cell r="S43">
            <v>4.3235294117647058E-4</v>
          </cell>
          <cell r="T43">
            <v>43.980001000000001</v>
          </cell>
          <cell r="U43">
            <v>1.171502033653433E-4</v>
          </cell>
          <cell r="V43">
            <v>176.39999999999998</v>
          </cell>
          <cell r="W43">
            <v>131.94001100000003</v>
          </cell>
          <cell r="X43">
            <v>-44.45998899999995</v>
          </cell>
          <cell r="Y43">
            <v>58.8</v>
          </cell>
          <cell r="Z43">
            <v>4.3235294117647058E-4</v>
          </cell>
          <cell r="AA43">
            <v>0</v>
          </cell>
          <cell r="AB43">
            <v>0</v>
          </cell>
          <cell r="AC43">
            <v>235.2</v>
          </cell>
          <cell r="AD43">
            <v>131.94001100000003</v>
          </cell>
          <cell r="AE43">
            <v>-103.25998899999996</v>
          </cell>
          <cell r="AF43">
            <v>58.8</v>
          </cell>
          <cell r="AG43">
            <v>4.3235294117647058E-4</v>
          </cell>
          <cell r="AH43">
            <v>0</v>
          </cell>
          <cell r="AI43">
            <v>0</v>
          </cell>
          <cell r="AJ43">
            <v>294</v>
          </cell>
          <cell r="AK43">
            <v>131.94001100000003</v>
          </cell>
          <cell r="AL43">
            <v>-162.05998899999997</v>
          </cell>
          <cell r="AM43">
            <v>58.8</v>
          </cell>
          <cell r="AN43">
            <v>4.3235294117647058E-4</v>
          </cell>
          <cell r="AO43">
            <v>0</v>
          </cell>
          <cell r="AP43" t="e">
            <v>#DIV/0!</v>
          </cell>
          <cell r="AQ43">
            <v>352.8</v>
          </cell>
          <cell r="AR43">
            <v>131.94001100000003</v>
          </cell>
          <cell r="AS43">
            <v>-220.85998899999998</v>
          </cell>
          <cell r="AT43">
            <v>58.8</v>
          </cell>
          <cell r="AU43">
            <v>4.3235294117647058E-4</v>
          </cell>
          <cell r="AV43">
            <v>0</v>
          </cell>
          <cell r="AW43" t="e">
            <v>#DIV/0!</v>
          </cell>
          <cell r="AX43">
            <v>411.6</v>
          </cell>
          <cell r="AY43">
            <v>131.94001100000003</v>
          </cell>
          <cell r="AZ43">
            <v>-279.659989</v>
          </cell>
          <cell r="BA43">
            <v>58.8</v>
          </cell>
          <cell r="BB43">
            <v>4.3235294117647058E-4</v>
          </cell>
          <cell r="BC43">
            <v>0</v>
          </cell>
          <cell r="BD43" t="e">
            <v>#DIV/0!</v>
          </cell>
          <cell r="BE43">
            <v>470.40000000000003</v>
          </cell>
          <cell r="BF43">
            <v>131.94001100000003</v>
          </cell>
          <cell r="BG43">
            <v>-338.45998900000001</v>
          </cell>
          <cell r="BH43">
            <v>58.8</v>
          </cell>
          <cell r="BI43">
            <v>4.3235294117647058E-4</v>
          </cell>
          <cell r="BJ43">
            <v>0</v>
          </cell>
          <cell r="BK43" t="e">
            <v>#DIV/0!</v>
          </cell>
          <cell r="BL43">
            <v>529.20000000000005</v>
          </cell>
          <cell r="BM43">
            <v>131.94001100000003</v>
          </cell>
          <cell r="BN43">
            <v>-397.25998900000002</v>
          </cell>
          <cell r="BO43">
            <v>58.8</v>
          </cell>
          <cell r="BP43">
            <v>4.3235294117647058E-4</v>
          </cell>
          <cell r="BQ43">
            <v>0</v>
          </cell>
          <cell r="BR43" t="e">
            <v>#DIV/0!</v>
          </cell>
          <cell r="BS43">
            <v>588</v>
          </cell>
          <cell r="BT43">
            <v>131.94001100000003</v>
          </cell>
          <cell r="BU43">
            <v>-456.05998899999997</v>
          </cell>
          <cell r="BV43">
            <v>58.8</v>
          </cell>
          <cell r="BW43">
            <v>4.3235294117647058E-4</v>
          </cell>
          <cell r="BX43">
            <v>0</v>
          </cell>
          <cell r="BY43" t="e">
            <v>#DIV/0!</v>
          </cell>
          <cell r="BZ43">
            <v>646.79999999999995</v>
          </cell>
          <cell r="CA43">
            <v>131.94001100000003</v>
          </cell>
          <cell r="CB43">
            <v>-514.85998899999993</v>
          </cell>
          <cell r="CC43">
            <v>58.8</v>
          </cell>
          <cell r="CD43">
            <v>4.3235294117647058E-4</v>
          </cell>
          <cell r="CE43">
            <v>0</v>
          </cell>
          <cell r="CF43" t="e">
            <v>#DIV/0!</v>
          </cell>
          <cell r="CG43">
            <v>705.59999999999991</v>
          </cell>
          <cell r="CH43">
            <v>131.94001100000003</v>
          </cell>
        </row>
        <row r="44">
          <cell r="A44" t="str">
            <v>Remuneração</v>
          </cell>
          <cell r="B44">
            <v>0.16178896751383637</v>
          </cell>
          <cell r="C44">
            <v>14622.443875000003</v>
          </cell>
          <cell r="D44">
            <v>27000</v>
          </cell>
          <cell r="E44">
            <v>0.25961538461538464</v>
          </cell>
          <cell r="F44">
            <v>24280.005000000001</v>
          </cell>
          <cell r="G44">
            <v>0.1631848418787599</v>
          </cell>
          <cell r="H44">
            <v>27000</v>
          </cell>
          <cell r="I44">
            <v>24280.005000000001</v>
          </cell>
          <cell r="J44">
            <v>-2719.994999999999</v>
          </cell>
          <cell r="K44">
            <v>27000</v>
          </cell>
          <cell r="L44">
            <v>0.19852941176470587</v>
          </cell>
          <cell r="M44">
            <v>24697.51</v>
          </cell>
          <cell r="N44">
            <v>4.238145099134373E-2</v>
          </cell>
          <cell r="O44">
            <v>54000</v>
          </cell>
          <cell r="P44">
            <v>48977.514999999999</v>
          </cell>
          <cell r="Q44">
            <v>-5022.4850000000006</v>
          </cell>
          <cell r="R44">
            <v>27000</v>
          </cell>
          <cell r="S44">
            <v>0.19852941176470587</v>
          </cell>
          <cell r="T44">
            <v>24557.59</v>
          </cell>
          <cell r="U44">
            <v>6.5414429223471834E-2</v>
          </cell>
          <cell r="V44">
            <v>81000</v>
          </cell>
          <cell r="W44">
            <v>73535.104999999996</v>
          </cell>
          <cell r="X44">
            <v>-7464.8950000000041</v>
          </cell>
          <cell r="Y44">
            <v>27000</v>
          </cell>
          <cell r="Z44">
            <v>0.19852941176470587</v>
          </cell>
          <cell r="AA44">
            <v>0</v>
          </cell>
          <cell r="AB44">
            <v>0</v>
          </cell>
          <cell r="AC44">
            <v>108000</v>
          </cell>
          <cell r="AD44">
            <v>73535.104999999996</v>
          </cell>
          <cell r="AE44">
            <v>-34464.895000000004</v>
          </cell>
          <cell r="AF44">
            <v>27000</v>
          </cell>
          <cell r="AG44">
            <v>0.19852941176470587</v>
          </cell>
          <cell r="AH44">
            <v>0</v>
          </cell>
          <cell r="AI44">
            <v>0</v>
          </cell>
          <cell r="AJ44">
            <v>135000</v>
          </cell>
          <cell r="AK44">
            <v>73535.104999999996</v>
          </cell>
          <cell r="AL44">
            <v>-61464.895000000004</v>
          </cell>
          <cell r="AM44">
            <v>27000</v>
          </cell>
          <cell r="AN44">
            <v>0.19852941176470587</v>
          </cell>
          <cell r="AO44">
            <v>0</v>
          </cell>
          <cell r="AP44" t="e">
            <v>#DIV/0!</v>
          </cell>
          <cell r="AQ44">
            <v>162000</v>
          </cell>
          <cell r="AR44">
            <v>73535.104999999996</v>
          </cell>
          <cell r="AS44">
            <v>-88464.895000000004</v>
          </cell>
          <cell r="AT44">
            <v>27000</v>
          </cell>
          <cell r="AU44">
            <v>0.19852941176470587</v>
          </cell>
          <cell r="AV44">
            <v>0</v>
          </cell>
          <cell r="AW44" t="e">
            <v>#DIV/0!</v>
          </cell>
          <cell r="AX44">
            <v>189000</v>
          </cell>
          <cell r="AY44">
            <v>73535.104999999996</v>
          </cell>
          <cell r="AZ44">
            <v>-115464.895</v>
          </cell>
          <cell r="BA44">
            <v>27000</v>
          </cell>
          <cell r="BB44">
            <v>0.19852941176470587</v>
          </cell>
          <cell r="BC44">
            <v>0</v>
          </cell>
          <cell r="BD44" t="e">
            <v>#DIV/0!</v>
          </cell>
          <cell r="BE44">
            <v>216000</v>
          </cell>
          <cell r="BF44">
            <v>73535.104999999996</v>
          </cell>
          <cell r="BG44">
            <v>-142464.89500000002</v>
          </cell>
          <cell r="BH44">
            <v>27000</v>
          </cell>
          <cell r="BI44">
            <v>0.19852941176470587</v>
          </cell>
          <cell r="BJ44">
            <v>0</v>
          </cell>
          <cell r="BK44" t="e">
            <v>#DIV/0!</v>
          </cell>
          <cell r="BL44">
            <v>243000</v>
          </cell>
          <cell r="BM44">
            <v>73535.104999999996</v>
          </cell>
          <cell r="BN44">
            <v>-169464.89500000002</v>
          </cell>
          <cell r="BO44">
            <v>27000</v>
          </cell>
          <cell r="BP44">
            <v>0.19852941176470587</v>
          </cell>
          <cell r="BQ44">
            <v>0</v>
          </cell>
          <cell r="BR44" t="e">
            <v>#DIV/0!</v>
          </cell>
          <cell r="BS44">
            <v>270000</v>
          </cell>
          <cell r="BT44">
            <v>73535.104999999996</v>
          </cell>
          <cell r="BU44">
            <v>-196464.89500000002</v>
          </cell>
          <cell r="BV44">
            <v>27000</v>
          </cell>
          <cell r="BW44">
            <v>0.19852941176470587</v>
          </cell>
          <cell r="BX44">
            <v>0</v>
          </cell>
          <cell r="BY44" t="e">
            <v>#DIV/0!</v>
          </cell>
          <cell r="BZ44">
            <v>297000</v>
          </cell>
          <cell r="CA44">
            <v>73535.104999999996</v>
          </cell>
          <cell r="CB44">
            <v>-223464.89500000002</v>
          </cell>
          <cell r="CC44">
            <v>27000</v>
          </cell>
          <cell r="CD44">
            <v>0.19852941176470587</v>
          </cell>
          <cell r="CE44">
            <v>0</v>
          </cell>
          <cell r="CF44" t="e">
            <v>#DIV/0!</v>
          </cell>
          <cell r="CG44">
            <v>324000</v>
          </cell>
          <cell r="CH44">
            <v>73535.104999999996</v>
          </cell>
        </row>
        <row r="45">
          <cell r="A45" t="str">
            <v>Pesquisas/Consultas</v>
          </cell>
          <cell r="B45">
            <v>7.1301935764895501E-4</v>
          </cell>
          <cell r="C45">
            <v>64.442499999999981</v>
          </cell>
          <cell r="D45">
            <v>70</v>
          </cell>
          <cell r="E45">
            <v>6.7307692307692305E-4</v>
          </cell>
          <cell r="F45">
            <v>58.9</v>
          </cell>
          <cell r="G45">
            <v>3.9586430013745699E-4</v>
          </cell>
          <cell r="H45">
            <v>70</v>
          </cell>
          <cell r="I45">
            <v>58.9</v>
          </cell>
          <cell r="J45">
            <v>-11.100000000000001</v>
          </cell>
          <cell r="K45">
            <v>70</v>
          </cell>
          <cell r="L45">
            <v>5.1470588235294121E-4</v>
          </cell>
          <cell r="M45">
            <v>58.9</v>
          </cell>
          <cell r="N45">
            <v>1.0107364926221898E-4</v>
          </cell>
          <cell r="O45">
            <v>140</v>
          </cell>
          <cell r="P45">
            <v>117.8</v>
          </cell>
          <cell r="Q45">
            <v>-22.200000000000003</v>
          </cell>
          <cell r="R45">
            <v>70</v>
          </cell>
          <cell r="S45">
            <v>5.1470588235294121E-4</v>
          </cell>
          <cell r="T45">
            <v>40.479999999999997</v>
          </cell>
          <cell r="U45">
            <v>1.0782719700777397E-4</v>
          </cell>
          <cell r="V45">
            <v>210</v>
          </cell>
          <cell r="W45">
            <v>158.28</v>
          </cell>
          <cell r="X45">
            <v>-51.72</v>
          </cell>
          <cell r="Y45">
            <v>70</v>
          </cell>
          <cell r="Z45">
            <v>5.1470588235294121E-4</v>
          </cell>
          <cell r="AA45">
            <v>0</v>
          </cell>
          <cell r="AB45">
            <v>0</v>
          </cell>
          <cell r="AC45">
            <v>280</v>
          </cell>
          <cell r="AD45">
            <v>158.28</v>
          </cell>
          <cell r="AE45">
            <v>-121.72</v>
          </cell>
          <cell r="AF45">
            <v>70</v>
          </cell>
          <cell r="AG45">
            <v>5.1470588235294121E-4</v>
          </cell>
          <cell r="AH45">
            <v>0</v>
          </cell>
          <cell r="AI45">
            <v>0</v>
          </cell>
          <cell r="AJ45">
            <v>350</v>
          </cell>
          <cell r="AK45">
            <v>158.28</v>
          </cell>
          <cell r="AL45">
            <v>-191.72</v>
          </cell>
          <cell r="AM45">
            <v>70</v>
          </cell>
          <cell r="AN45">
            <v>5.1470588235294121E-4</v>
          </cell>
          <cell r="AO45">
            <v>0</v>
          </cell>
          <cell r="AP45" t="e">
            <v>#DIV/0!</v>
          </cell>
          <cell r="AQ45">
            <v>420</v>
          </cell>
          <cell r="AR45">
            <v>158.28</v>
          </cell>
          <cell r="AS45">
            <v>-261.72000000000003</v>
          </cell>
          <cell r="AT45">
            <v>70</v>
          </cell>
          <cell r="AU45">
            <v>5.1470588235294121E-4</v>
          </cell>
          <cell r="AV45">
            <v>0</v>
          </cell>
          <cell r="AW45" t="e">
            <v>#DIV/0!</v>
          </cell>
          <cell r="AX45">
            <v>490</v>
          </cell>
          <cell r="AY45">
            <v>158.28</v>
          </cell>
          <cell r="AZ45">
            <v>-331.72</v>
          </cell>
          <cell r="BA45">
            <v>70</v>
          </cell>
          <cell r="BB45">
            <v>5.1470588235294121E-4</v>
          </cell>
          <cell r="BC45">
            <v>0</v>
          </cell>
          <cell r="BD45" t="e">
            <v>#DIV/0!</v>
          </cell>
          <cell r="BE45">
            <v>560</v>
          </cell>
          <cell r="BF45">
            <v>158.28</v>
          </cell>
          <cell r="BG45">
            <v>-401.72</v>
          </cell>
          <cell r="BH45">
            <v>70</v>
          </cell>
          <cell r="BI45">
            <v>5.1470588235294121E-4</v>
          </cell>
          <cell r="BJ45">
            <v>0</v>
          </cell>
          <cell r="BK45" t="e">
            <v>#DIV/0!</v>
          </cell>
          <cell r="BL45">
            <v>630</v>
          </cell>
          <cell r="BM45">
            <v>158.28</v>
          </cell>
          <cell r="BN45">
            <v>-471.72</v>
          </cell>
          <cell r="BO45">
            <v>70</v>
          </cell>
          <cell r="BP45">
            <v>5.1470588235294121E-4</v>
          </cell>
          <cell r="BQ45">
            <v>0</v>
          </cell>
          <cell r="BR45" t="e">
            <v>#DIV/0!</v>
          </cell>
          <cell r="BS45">
            <v>700</v>
          </cell>
          <cell r="BT45">
            <v>158.28</v>
          </cell>
          <cell r="BU45">
            <v>-541.72</v>
          </cell>
          <cell r="BV45">
            <v>70</v>
          </cell>
          <cell r="BW45">
            <v>5.1470588235294121E-4</v>
          </cell>
          <cell r="BX45">
            <v>0</v>
          </cell>
          <cell r="BY45" t="e">
            <v>#DIV/0!</v>
          </cell>
          <cell r="BZ45">
            <v>770</v>
          </cell>
          <cell r="CA45">
            <v>158.28</v>
          </cell>
          <cell r="CB45">
            <v>-611.72</v>
          </cell>
          <cell r="CC45">
            <v>70</v>
          </cell>
          <cell r="CD45">
            <v>5.1470588235294121E-4</v>
          </cell>
          <cell r="CE45">
            <v>0</v>
          </cell>
          <cell r="CF45" t="e">
            <v>#DIV/0!</v>
          </cell>
          <cell r="CG45">
            <v>840</v>
          </cell>
          <cell r="CH45">
            <v>158.28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63.9</v>
          </cell>
          <cell r="U50">
            <v>1.7021141029636256E-4</v>
          </cell>
          <cell r="V50">
            <v>0</v>
          </cell>
          <cell r="W50">
            <v>63.9</v>
          </cell>
          <cell r="X50">
            <v>63.9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63.9</v>
          </cell>
          <cell r="AE50">
            <v>63.9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63.9</v>
          </cell>
          <cell r="AL50">
            <v>63.9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63.9</v>
          </cell>
          <cell r="AS50">
            <v>63.9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63.9</v>
          </cell>
          <cell r="AZ50">
            <v>63.9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63.9</v>
          </cell>
          <cell r="BG50">
            <v>63.9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63.9</v>
          </cell>
          <cell r="BN50">
            <v>63.9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63.9</v>
          </cell>
          <cell r="BU50">
            <v>63.9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63.9</v>
          </cell>
          <cell r="CB50">
            <v>63.9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63.9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20</v>
          </cell>
          <cell r="E51">
            <v>1.9230769230769231E-4</v>
          </cell>
          <cell r="F51">
            <v>0</v>
          </cell>
          <cell r="G51">
            <v>0</v>
          </cell>
          <cell r="H51">
            <v>20</v>
          </cell>
          <cell r="I51">
            <v>0</v>
          </cell>
          <cell r="J51">
            <v>-20</v>
          </cell>
          <cell r="K51">
            <v>20</v>
          </cell>
          <cell r="L51">
            <v>1.4705882352941175E-4</v>
          </cell>
          <cell r="M51">
            <v>0</v>
          </cell>
          <cell r="N51">
            <v>0</v>
          </cell>
          <cell r="O51">
            <v>40</v>
          </cell>
          <cell r="P51">
            <v>0</v>
          </cell>
          <cell r="Q51">
            <v>-40</v>
          </cell>
          <cell r="R51">
            <v>20</v>
          </cell>
          <cell r="S51">
            <v>1.4705882352941175E-4</v>
          </cell>
          <cell r="T51">
            <v>0</v>
          </cell>
          <cell r="U51">
            <v>0</v>
          </cell>
          <cell r="V51">
            <v>60</v>
          </cell>
          <cell r="W51">
            <v>0</v>
          </cell>
          <cell r="X51">
            <v>-60</v>
          </cell>
          <cell r="Y51">
            <v>20</v>
          </cell>
          <cell r="Z51">
            <v>1.4705882352941175E-4</v>
          </cell>
          <cell r="AA51">
            <v>0</v>
          </cell>
          <cell r="AB51">
            <v>0</v>
          </cell>
          <cell r="AC51">
            <v>80</v>
          </cell>
          <cell r="AD51">
            <v>0</v>
          </cell>
          <cell r="AE51">
            <v>-80</v>
          </cell>
          <cell r="AF51">
            <v>20</v>
          </cell>
          <cell r="AG51">
            <v>1.4705882352941175E-4</v>
          </cell>
          <cell r="AH51">
            <v>0</v>
          </cell>
          <cell r="AI51">
            <v>0</v>
          </cell>
          <cell r="AJ51">
            <v>100</v>
          </cell>
          <cell r="AK51">
            <v>0</v>
          </cell>
          <cell r="AL51">
            <v>-100</v>
          </cell>
          <cell r="AM51">
            <v>20</v>
          </cell>
          <cell r="AN51">
            <v>1.4705882352941175E-4</v>
          </cell>
          <cell r="AO51">
            <v>0</v>
          </cell>
          <cell r="AP51" t="e">
            <v>#DIV/0!</v>
          </cell>
          <cell r="AQ51">
            <v>120</v>
          </cell>
          <cell r="AR51">
            <v>0</v>
          </cell>
          <cell r="AS51">
            <v>-120</v>
          </cell>
          <cell r="AT51">
            <v>20</v>
          </cell>
          <cell r="AU51">
            <v>1.4705882352941175E-4</v>
          </cell>
          <cell r="AV51">
            <v>0</v>
          </cell>
          <cell r="AW51" t="e">
            <v>#DIV/0!</v>
          </cell>
          <cell r="AX51">
            <v>140</v>
          </cell>
          <cell r="AY51">
            <v>0</v>
          </cell>
          <cell r="AZ51">
            <v>-140</v>
          </cell>
          <cell r="BA51">
            <v>20</v>
          </cell>
          <cell r="BB51">
            <v>1.4705882352941175E-4</v>
          </cell>
          <cell r="BC51">
            <v>0</v>
          </cell>
          <cell r="BD51" t="e">
            <v>#DIV/0!</v>
          </cell>
          <cell r="BE51">
            <v>160</v>
          </cell>
          <cell r="BF51">
            <v>0</v>
          </cell>
          <cell r="BG51">
            <v>-160</v>
          </cell>
          <cell r="BH51">
            <v>20</v>
          </cell>
          <cell r="BI51">
            <v>1.4705882352941175E-4</v>
          </cell>
          <cell r="BJ51">
            <v>0</v>
          </cell>
          <cell r="BK51" t="e">
            <v>#DIV/0!</v>
          </cell>
          <cell r="BL51">
            <v>180</v>
          </cell>
          <cell r="BM51">
            <v>0</v>
          </cell>
          <cell r="BN51">
            <v>-180</v>
          </cell>
          <cell r="BO51">
            <v>20</v>
          </cell>
          <cell r="BP51">
            <v>1.4705882352941175E-4</v>
          </cell>
          <cell r="BQ51">
            <v>0</v>
          </cell>
          <cell r="BR51" t="e">
            <v>#DIV/0!</v>
          </cell>
          <cell r="BS51">
            <v>200</v>
          </cell>
          <cell r="BT51">
            <v>0</v>
          </cell>
          <cell r="BU51">
            <v>-200</v>
          </cell>
          <cell r="BV51">
            <v>20</v>
          </cell>
          <cell r="BW51">
            <v>1.4705882352941175E-4</v>
          </cell>
          <cell r="BX51">
            <v>0</v>
          </cell>
          <cell r="BY51" t="e">
            <v>#DIV/0!</v>
          </cell>
          <cell r="BZ51">
            <v>220</v>
          </cell>
          <cell r="CA51">
            <v>0</v>
          </cell>
          <cell r="CB51">
            <v>-220</v>
          </cell>
          <cell r="CC51">
            <v>20</v>
          </cell>
          <cell r="CD51">
            <v>1.4705882352941175E-4</v>
          </cell>
          <cell r="CE51">
            <v>0</v>
          </cell>
          <cell r="CF51" t="e">
            <v>#DIV/0!</v>
          </cell>
          <cell r="CG51">
            <v>240</v>
          </cell>
          <cell r="CH51">
            <v>0</v>
          </cell>
        </row>
        <row r="52">
          <cell r="A52" t="str">
            <v>Viagens - Passagens / Traslados</v>
          </cell>
          <cell r="B52">
            <v>1.3830534151548961E-3</v>
          </cell>
          <cell r="C52">
            <v>125</v>
          </cell>
          <cell r="D52">
            <v>250</v>
          </cell>
          <cell r="E52">
            <v>2.403846153846154E-3</v>
          </cell>
          <cell r="F52">
            <v>0</v>
          </cell>
          <cell r="G52">
            <v>0</v>
          </cell>
          <cell r="H52">
            <v>250</v>
          </cell>
          <cell r="I52">
            <v>0</v>
          </cell>
          <cell r="J52">
            <v>-250</v>
          </cell>
          <cell r="K52">
            <v>250</v>
          </cell>
          <cell r="L52">
            <v>1.838235294117647E-3</v>
          </cell>
          <cell r="M52">
            <v>0</v>
          </cell>
          <cell r="N52">
            <v>0</v>
          </cell>
          <cell r="O52">
            <v>500</v>
          </cell>
          <cell r="P52">
            <v>0</v>
          </cell>
          <cell r="Q52">
            <v>-500</v>
          </cell>
          <cell r="R52">
            <v>250</v>
          </cell>
          <cell r="S52">
            <v>1.838235294117647E-3</v>
          </cell>
          <cell r="T52">
            <v>0</v>
          </cell>
          <cell r="U52">
            <v>0</v>
          </cell>
          <cell r="V52">
            <v>750</v>
          </cell>
          <cell r="W52">
            <v>0</v>
          </cell>
          <cell r="X52">
            <v>-750</v>
          </cell>
          <cell r="Y52">
            <v>250</v>
          </cell>
          <cell r="Z52">
            <v>1.838235294117647E-3</v>
          </cell>
          <cell r="AA52">
            <v>0</v>
          </cell>
          <cell r="AB52">
            <v>0</v>
          </cell>
          <cell r="AC52">
            <v>1000</v>
          </cell>
          <cell r="AD52">
            <v>0</v>
          </cell>
          <cell r="AE52">
            <v>-1000</v>
          </cell>
          <cell r="AF52">
            <v>250</v>
          </cell>
          <cell r="AG52">
            <v>1.838235294117647E-3</v>
          </cell>
          <cell r="AH52">
            <v>0</v>
          </cell>
          <cell r="AI52">
            <v>0</v>
          </cell>
          <cell r="AJ52">
            <v>1250</v>
          </cell>
          <cell r="AK52">
            <v>0</v>
          </cell>
          <cell r="AL52">
            <v>-1250</v>
          </cell>
          <cell r="AM52">
            <v>250</v>
          </cell>
          <cell r="AN52">
            <v>1.838235294117647E-3</v>
          </cell>
          <cell r="AO52">
            <v>0</v>
          </cell>
          <cell r="AP52" t="e">
            <v>#DIV/0!</v>
          </cell>
          <cell r="AQ52">
            <v>1500</v>
          </cell>
          <cell r="AR52">
            <v>0</v>
          </cell>
          <cell r="AS52">
            <v>-1500</v>
          </cell>
          <cell r="AT52">
            <v>250</v>
          </cell>
          <cell r="AU52">
            <v>1.838235294117647E-3</v>
          </cell>
          <cell r="AV52">
            <v>0</v>
          </cell>
          <cell r="AW52" t="e">
            <v>#DIV/0!</v>
          </cell>
          <cell r="AX52">
            <v>1750</v>
          </cell>
          <cell r="AY52">
            <v>0</v>
          </cell>
          <cell r="AZ52">
            <v>-1750</v>
          </cell>
          <cell r="BA52">
            <v>250</v>
          </cell>
          <cell r="BB52">
            <v>1.838235294117647E-3</v>
          </cell>
          <cell r="BC52">
            <v>0</v>
          </cell>
          <cell r="BD52" t="e">
            <v>#DIV/0!</v>
          </cell>
          <cell r="BE52">
            <v>2000</v>
          </cell>
          <cell r="BF52">
            <v>0</v>
          </cell>
          <cell r="BG52">
            <v>-2000</v>
          </cell>
          <cell r="BH52">
            <v>250</v>
          </cell>
          <cell r="BI52">
            <v>1.838235294117647E-3</v>
          </cell>
          <cell r="BJ52">
            <v>0</v>
          </cell>
          <cell r="BK52" t="e">
            <v>#DIV/0!</v>
          </cell>
          <cell r="BL52">
            <v>2250</v>
          </cell>
          <cell r="BM52">
            <v>0</v>
          </cell>
          <cell r="BN52">
            <v>-2250</v>
          </cell>
          <cell r="BO52">
            <v>250</v>
          </cell>
          <cell r="BP52">
            <v>1.838235294117647E-3</v>
          </cell>
          <cell r="BQ52">
            <v>0</v>
          </cell>
          <cell r="BR52" t="e">
            <v>#DIV/0!</v>
          </cell>
          <cell r="BS52">
            <v>2500</v>
          </cell>
          <cell r="BT52">
            <v>0</v>
          </cell>
          <cell r="BU52">
            <v>-2500</v>
          </cell>
          <cell r="BV52">
            <v>250</v>
          </cell>
          <cell r="BW52">
            <v>1.838235294117647E-3</v>
          </cell>
          <cell r="BX52">
            <v>0</v>
          </cell>
          <cell r="BY52" t="e">
            <v>#DIV/0!</v>
          </cell>
          <cell r="BZ52">
            <v>2750</v>
          </cell>
          <cell r="CA52">
            <v>0</v>
          </cell>
          <cell r="CB52">
            <v>-2750</v>
          </cell>
          <cell r="CC52">
            <v>250</v>
          </cell>
          <cell r="CD52">
            <v>1.838235294117647E-3</v>
          </cell>
          <cell r="CE52">
            <v>0</v>
          </cell>
          <cell r="CF52" t="e">
            <v>#DIV/0!</v>
          </cell>
          <cell r="CG52">
            <v>3000</v>
          </cell>
          <cell r="CH52">
            <v>0</v>
          </cell>
        </row>
        <row r="53">
          <cell r="A53" t="str">
            <v>MRS - Total</v>
          </cell>
          <cell r="B53">
            <v>0.22013377627035072</v>
          </cell>
          <cell r="C53">
            <v>19895.632180418779</v>
          </cell>
          <cell r="D53">
            <v>33035.51808851747</v>
          </cell>
          <cell r="E53">
            <v>0.31764921238959115</v>
          </cell>
          <cell r="F53">
            <v>31896.173548067731</v>
          </cell>
          <cell r="G53">
            <v>0.21437277451050427</v>
          </cell>
          <cell r="H53">
            <v>33035.51808851747</v>
          </cell>
          <cell r="I53">
            <v>31896.173548067731</v>
          </cell>
          <cell r="J53">
            <v>-1139.3445404497429</v>
          </cell>
          <cell r="K53">
            <v>33355.51808851747</v>
          </cell>
          <cell r="L53">
            <v>0.24526116241556964</v>
          </cell>
          <cell r="M53">
            <v>37087.459585148106</v>
          </cell>
          <cell r="N53">
            <v>6.3642867268862147E-2</v>
          </cell>
          <cell r="O53">
            <v>66391.036177034941</v>
          </cell>
          <cell r="P53">
            <v>68983.63313321583</v>
          </cell>
          <cell r="Q53">
            <v>2592.5969561808824</v>
          </cell>
          <cell r="R53">
            <v>33355.51808851747</v>
          </cell>
          <cell r="S53">
            <v>0.24526116241556964</v>
          </cell>
          <cell r="T53">
            <v>32700.147418614852</v>
          </cell>
          <cell r="U53">
            <v>8.7103884335233056E-2</v>
          </cell>
          <cell r="V53">
            <v>99746.554265552419</v>
          </cell>
          <cell r="W53">
            <v>101683.78055183066</v>
          </cell>
          <cell r="X53">
            <v>1937.2262862782554</v>
          </cell>
          <cell r="Y53">
            <v>33355.51808851747</v>
          </cell>
          <cell r="Z53">
            <v>0.24526116241556964</v>
          </cell>
          <cell r="AA53">
            <v>0</v>
          </cell>
          <cell r="AB53">
            <v>0</v>
          </cell>
          <cell r="AC53">
            <v>133102.07235406988</v>
          </cell>
          <cell r="AD53">
            <v>101683.78055183066</v>
          </cell>
          <cell r="AE53">
            <v>-31418.291802239215</v>
          </cell>
          <cell r="AF53">
            <v>33355.51808851747</v>
          </cell>
          <cell r="AG53">
            <v>0.24526116241556964</v>
          </cell>
          <cell r="AH53">
            <v>0</v>
          </cell>
          <cell r="AI53">
            <v>0</v>
          </cell>
          <cell r="AJ53">
            <v>166457.59044258736</v>
          </cell>
          <cell r="AK53">
            <v>101683.78055183066</v>
          </cell>
          <cell r="AL53">
            <v>-64773.809890756689</v>
          </cell>
          <cell r="AM53">
            <v>33355.51808851747</v>
          </cell>
          <cell r="AN53">
            <v>0.24526116241556964</v>
          </cell>
          <cell r="AO53">
            <v>0</v>
          </cell>
          <cell r="AP53" t="e">
            <v>#DIV/0!</v>
          </cell>
          <cell r="AQ53">
            <v>199813.10853110484</v>
          </cell>
          <cell r="AR53">
            <v>101683.78055183066</v>
          </cell>
          <cell r="AS53">
            <v>-98129.327979274167</v>
          </cell>
          <cell r="AT53">
            <v>33355.51808851747</v>
          </cell>
          <cell r="AU53">
            <v>0.24526116241556964</v>
          </cell>
          <cell r="AV53">
            <v>0</v>
          </cell>
          <cell r="AW53" t="e">
            <v>#DIV/0!</v>
          </cell>
          <cell r="AX53">
            <v>233168.62661962232</v>
          </cell>
          <cell r="AY53">
            <v>101683.78055183066</v>
          </cell>
          <cell r="AZ53">
            <v>-131484.84606779163</v>
          </cell>
          <cell r="BA53">
            <v>33355.51808851747</v>
          </cell>
          <cell r="BB53">
            <v>0.24526116241556964</v>
          </cell>
          <cell r="BC53">
            <v>0</v>
          </cell>
          <cell r="BD53" t="e">
            <v>#DIV/0!</v>
          </cell>
          <cell r="BE53">
            <v>266524.14470813976</v>
          </cell>
          <cell r="BF53">
            <v>101683.78055183066</v>
          </cell>
          <cell r="BG53">
            <v>-164840.36415630914</v>
          </cell>
          <cell r="BH53">
            <v>33355.51808851747</v>
          </cell>
          <cell r="BI53">
            <v>0.24526116241556964</v>
          </cell>
          <cell r="BJ53">
            <v>0</v>
          </cell>
          <cell r="BK53" t="e">
            <v>#DIV/0!</v>
          </cell>
          <cell r="BL53">
            <v>299879.66279665724</v>
          </cell>
          <cell r="BM53">
            <v>101683.78055183066</v>
          </cell>
          <cell r="BN53">
            <v>-198195.88224482659</v>
          </cell>
          <cell r="BO53">
            <v>33800.711604227545</v>
          </cell>
          <cell r="BP53">
            <v>0.24853464414873191</v>
          </cell>
          <cell r="BQ53">
            <v>0</v>
          </cell>
          <cell r="BR53" t="e">
            <v>#DIV/0!</v>
          </cell>
          <cell r="BS53">
            <v>333680.37440088479</v>
          </cell>
          <cell r="BT53">
            <v>101683.78055183066</v>
          </cell>
          <cell r="BU53">
            <v>-231996.59384905413</v>
          </cell>
          <cell r="BV53">
            <v>33800.711604227545</v>
          </cell>
          <cell r="BW53">
            <v>0.24853464414873191</v>
          </cell>
          <cell r="BX53">
            <v>0</v>
          </cell>
          <cell r="BY53" t="e">
            <v>#DIV/0!</v>
          </cell>
          <cell r="BZ53">
            <v>367481.08600511233</v>
          </cell>
          <cell r="CA53">
            <v>101683.78055183066</v>
          </cell>
          <cell r="CB53">
            <v>-265797.30545328162</v>
          </cell>
          <cell r="CC53">
            <v>33800.711604227545</v>
          </cell>
          <cell r="CD53">
            <v>0.24853464414873191</v>
          </cell>
          <cell r="CE53">
            <v>0</v>
          </cell>
          <cell r="CF53" t="e">
            <v>#DIV/0!</v>
          </cell>
          <cell r="CG53">
            <v>401281.79760933988</v>
          </cell>
          <cell r="CH53">
            <v>101683.78055183066</v>
          </cell>
        </row>
        <row r="54">
          <cell r="A54" t="str">
            <v>Distribuição Anual de Lucros</v>
          </cell>
          <cell r="F54">
            <v>0</v>
          </cell>
          <cell r="M54">
            <v>56483.05</v>
          </cell>
          <cell r="T54">
            <v>3615.01</v>
          </cell>
          <cell r="AA54">
            <v>0</v>
          </cell>
          <cell r="AH54">
            <v>0</v>
          </cell>
          <cell r="AO54">
            <v>0</v>
          </cell>
          <cell r="AV54">
            <v>0</v>
          </cell>
          <cell r="BC54">
            <v>0</v>
          </cell>
          <cell r="BJ54">
            <v>0</v>
          </cell>
          <cell r="BQ54">
            <v>0</v>
          </cell>
          <cell r="BX54">
            <v>0</v>
          </cell>
          <cell r="CE54">
            <v>0</v>
          </cell>
        </row>
        <row r="55">
          <cell r="A55" t="str">
            <v>Ajuste Mensal de Lucros</v>
          </cell>
          <cell r="F55">
            <v>997.65499999999997</v>
          </cell>
          <cell r="M55">
            <v>5330.59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15680.883877916667</v>
          </cell>
          <cell r="D56">
            <v>18044</v>
          </cell>
          <cell r="F56">
            <v>37107.169605076939</v>
          </cell>
          <cell r="H56">
            <v>18044</v>
          </cell>
          <cell r="I56">
            <v>37107.169605076939</v>
          </cell>
          <cell r="J56">
            <v>19063.169605076939</v>
          </cell>
          <cell r="K56">
            <v>23596</v>
          </cell>
          <cell r="M56">
            <v>138129.23113502801</v>
          </cell>
          <cell r="O56">
            <v>41640</v>
          </cell>
          <cell r="P56">
            <v>175236.40074010496</v>
          </cell>
          <cell r="Q56">
            <v>133596.40074010496</v>
          </cell>
          <cell r="R56">
            <v>23596</v>
          </cell>
          <cell r="T56">
            <v>71184.287174635057</v>
          </cell>
          <cell r="V56">
            <v>65236</v>
          </cell>
          <cell r="W56">
            <v>246420.68791474</v>
          </cell>
          <cell r="X56">
            <v>181184.68791474</v>
          </cell>
          <cell r="Y56">
            <v>23596</v>
          </cell>
          <cell r="AA56">
            <v>0</v>
          </cell>
          <cell r="AC56">
            <v>88832</v>
          </cell>
          <cell r="AD56">
            <v>246420.68791474</v>
          </cell>
          <cell r="AE56">
            <v>157588.68791474</v>
          </cell>
          <cell r="AF56">
            <v>23596</v>
          </cell>
          <cell r="AH56">
            <v>0</v>
          </cell>
          <cell r="AJ56">
            <v>112428</v>
          </cell>
          <cell r="AK56">
            <v>246420.68791474</v>
          </cell>
          <cell r="AL56">
            <v>133992.68791474</v>
          </cell>
          <cell r="AM56">
            <v>23596</v>
          </cell>
          <cell r="AO56">
            <v>0</v>
          </cell>
          <cell r="AQ56">
            <v>136024</v>
          </cell>
          <cell r="AR56">
            <v>246420.68791474</v>
          </cell>
          <cell r="AS56">
            <v>110396.68791474</v>
          </cell>
          <cell r="AT56">
            <v>23596</v>
          </cell>
          <cell r="AV56">
            <v>0</v>
          </cell>
          <cell r="AX56">
            <v>159620</v>
          </cell>
          <cell r="AY56">
            <v>246420.68791474</v>
          </cell>
          <cell r="AZ56">
            <v>86800.687914740003</v>
          </cell>
          <cell r="BA56">
            <v>23596</v>
          </cell>
          <cell r="BC56">
            <v>0</v>
          </cell>
          <cell r="BE56">
            <v>183216</v>
          </cell>
          <cell r="BF56">
            <v>246420.68791474</v>
          </cell>
          <cell r="BG56">
            <v>63204.687914740003</v>
          </cell>
          <cell r="BH56">
            <v>23596</v>
          </cell>
          <cell r="BJ56">
            <v>0</v>
          </cell>
          <cell r="BL56">
            <v>206812</v>
          </cell>
          <cell r="BM56">
            <v>246420.68791474</v>
          </cell>
          <cell r="BN56">
            <v>39608.687914740003</v>
          </cell>
          <cell r="BO56">
            <v>23596</v>
          </cell>
          <cell r="BQ56">
            <v>0</v>
          </cell>
          <cell r="BS56">
            <v>230408</v>
          </cell>
          <cell r="BT56">
            <v>246420.68791474</v>
          </cell>
          <cell r="BU56">
            <v>16012.687914740003</v>
          </cell>
          <cell r="BV56">
            <v>23596</v>
          </cell>
          <cell r="BX56">
            <v>0</v>
          </cell>
          <cell r="BZ56">
            <v>254004</v>
          </cell>
          <cell r="CA56">
            <v>246420.68791474</v>
          </cell>
          <cell r="CB56">
            <v>-7583.3120852599968</v>
          </cell>
          <cell r="CC56">
            <v>23596</v>
          </cell>
          <cell r="CE56">
            <v>0</v>
          </cell>
          <cell r="CG56">
            <v>277600</v>
          </cell>
          <cell r="CH56">
            <v>246420.68791474</v>
          </cell>
        </row>
        <row r="58">
          <cell r="A58" t="str">
            <v>Margem de Contribuição</v>
          </cell>
          <cell r="B58">
            <v>0.60636622372964921</v>
          </cell>
          <cell r="C58">
            <v>54803.218108331232</v>
          </cell>
          <cell r="D58">
            <v>0.50885078761040892</v>
          </cell>
          <cell r="F58">
            <v>0.53623157649466213</v>
          </cell>
          <cell r="H58">
            <v>0.50885078761040892</v>
          </cell>
          <cell r="I58">
            <v>0.53623157649466213</v>
          </cell>
          <cell r="K58">
            <v>0.58123883758443029</v>
          </cell>
          <cell r="M58">
            <v>0.6993244423983398</v>
          </cell>
          <cell r="O58">
            <v>0.54987068259568772</v>
          </cell>
          <cell r="P58">
            <v>0.66615251188783575</v>
          </cell>
          <cell r="R58">
            <v>0.58123883758443029</v>
          </cell>
          <cell r="T58">
            <v>0.72328143787234278</v>
          </cell>
          <cell r="V58">
            <v>0.56121661099587117</v>
          </cell>
          <cell r="W58">
            <v>0.68552749486841336</v>
          </cell>
          <cell r="Y58">
            <v>0.58123883758443029</v>
          </cell>
          <cell r="AA58">
            <v>0</v>
          </cell>
          <cell r="AC58">
            <v>0.56653501493345726</v>
          </cell>
          <cell r="AD58">
            <v>0.68552749486841336</v>
          </cell>
          <cell r="AF58">
            <v>0.58123883758443029</v>
          </cell>
          <cell r="AH58">
            <v>0</v>
          </cell>
          <cell r="AJ58">
            <v>0.56962100240341451</v>
          </cell>
          <cell r="AK58">
            <v>0.68552749486841336</v>
          </cell>
          <cell r="AM58">
            <v>0.58123883758443029</v>
          </cell>
          <cell r="AO58" t="e">
            <v>#DIV/0!</v>
          </cell>
          <cell r="AQ58">
            <v>0.57163634115930506</v>
          </cell>
          <cell r="AR58">
            <v>0.68552749486841336</v>
          </cell>
          <cell r="AT58">
            <v>0.58123883758443029</v>
          </cell>
          <cell r="AV58" t="e">
            <v>#DIV/0!</v>
          </cell>
          <cell r="AX58">
            <v>0.57305584063084525</v>
          </cell>
          <cell r="AY58">
            <v>0.68552749486841336</v>
          </cell>
          <cell r="BA58">
            <v>0.58123883758443029</v>
          </cell>
          <cell r="BC58" t="e">
            <v>#DIV/0!</v>
          </cell>
          <cell r="BE58">
            <v>0.57410971145062517</v>
          </cell>
          <cell r="BF58">
            <v>0.68552749486841336</v>
          </cell>
          <cell r="BH58">
            <v>0.58123883758443029</v>
          </cell>
          <cell r="BJ58" t="e">
            <v>#DIV/0!</v>
          </cell>
          <cell r="BL58">
            <v>0.57492310168065663</v>
          </cell>
          <cell r="BM58">
            <v>0.68552749486841336</v>
          </cell>
          <cell r="BO58">
            <v>0.57796535585126807</v>
          </cell>
          <cell r="BQ58" t="e">
            <v>#DIV/0!</v>
          </cell>
          <cell r="BS58">
            <v>0.57523465783065897</v>
          </cell>
          <cell r="BT58">
            <v>0.68552749486841336</v>
          </cell>
          <cell r="BV58">
            <v>0.57796535585126807</v>
          </cell>
          <cell r="BX58" t="e">
            <v>#DIV/0!</v>
          </cell>
          <cell r="BZ58">
            <v>0.57548832923148063</v>
          </cell>
          <cell r="CA58">
            <v>0.68552749486841336</v>
          </cell>
          <cell r="CC58">
            <v>0.57796535585126807</v>
          </cell>
          <cell r="CE58" t="e">
            <v>#DIV/0!</v>
          </cell>
          <cell r="CG58">
            <v>0.57569887649416251</v>
          </cell>
          <cell r="CH58">
            <v>0.68552749486841336</v>
          </cell>
        </row>
        <row r="60">
          <cell r="A60" t="str">
            <v>Rateio</v>
          </cell>
          <cell r="C60">
            <v>20800</v>
          </cell>
          <cell r="F60">
            <v>32477.090043931981</v>
          </cell>
          <cell r="M60">
            <v>128186.5137598273</v>
          </cell>
          <cell r="T60">
            <v>80590.362303392496</v>
          </cell>
          <cell r="AA60">
            <v>0</v>
          </cell>
          <cell r="AH60">
            <v>0</v>
          </cell>
          <cell r="AO60">
            <v>0</v>
          </cell>
          <cell r="AV60">
            <v>0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47307.926802923335</v>
          </cell>
          <cell r="M62">
            <v>279340.17551999656</v>
          </cell>
          <cell r="T62">
            <v>190940.69310335763</v>
          </cell>
          <cell r="AA62">
            <v>0</v>
          </cell>
          <cell r="AH62">
            <v>0</v>
          </cell>
          <cell r="AO62">
            <v>0</v>
          </cell>
          <cell r="AV62">
            <v>0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MRS Pronto? N</v>
          </cell>
          <cell r="D64">
            <v>52920.481911482522</v>
          </cell>
          <cell r="E64">
            <v>0.50885078761040892</v>
          </cell>
          <cell r="CG64" t="str">
            <v>Total Ano</v>
          </cell>
        </row>
        <row r="65">
          <cell r="CG65" t="str">
            <v>Receita</v>
          </cell>
          <cell r="CH65">
            <v>1600000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32120.481911482522</v>
          </cell>
          <cell r="E66">
            <v>0.30885078761040885</v>
          </cell>
          <cell r="CG66" t="str">
            <v>Desp Dir</v>
          </cell>
          <cell r="CH66">
            <v>401281.79760933988</v>
          </cell>
        </row>
        <row r="67">
          <cell r="CG67" t="str">
            <v>Imposto</v>
          </cell>
          <cell r="CH67">
            <v>277600</v>
          </cell>
        </row>
        <row r="68">
          <cell r="CG68" t="str">
            <v>MC</v>
          </cell>
          <cell r="CH68">
            <v>921118.20239066007</v>
          </cell>
        </row>
        <row r="69">
          <cell r="CG69" t="str">
            <v>MC %</v>
          </cell>
          <cell r="CH69">
            <v>0.57569887649416251</v>
          </cell>
        </row>
        <row r="70">
          <cell r="CG70" t="str">
            <v>Rateio</v>
          </cell>
          <cell r="CH70">
            <v>353830.03275437275</v>
          </cell>
        </row>
        <row r="71">
          <cell r="CG71" t="str">
            <v>ML</v>
          </cell>
          <cell r="CH71">
            <v>567288.16963628726</v>
          </cell>
        </row>
        <row r="72">
          <cell r="CG72" t="str">
            <v>ML %</v>
          </cell>
          <cell r="CH72">
            <v>0.35455510602267953</v>
          </cell>
        </row>
      </sheetData>
      <sheetData sheetId="27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4.8444667295377006E-3</v>
          </cell>
          <cell r="C16">
            <v>7.8722584354987637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7.5909239052282026E-3</v>
          </cell>
          <cell r="C18">
            <v>12.335251345995829</v>
          </cell>
          <cell r="D18">
            <v>20</v>
          </cell>
          <cell r="E18">
            <v>0.02</v>
          </cell>
          <cell r="F18">
            <v>5.3124386235577568</v>
          </cell>
          <cell r="G18">
            <v>0</v>
          </cell>
          <cell r="H18">
            <v>20</v>
          </cell>
          <cell r="I18">
            <v>5.3124386235577568</v>
          </cell>
          <cell r="J18">
            <v>-14.687561376442243</v>
          </cell>
          <cell r="K18">
            <v>20</v>
          </cell>
          <cell r="L18">
            <v>0.02</v>
          </cell>
          <cell r="M18">
            <v>11.836092030681229</v>
          </cell>
          <cell r="N18">
            <v>1.183609203068123E-2</v>
          </cell>
          <cell r="O18">
            <v>40</v>
          </cell>
          <cell r="P18">
            <v>17.148530654238986</v>
          </cell>
          <cell r="Q18">
            <v>-22.851469345761014</v>
          </cell>
          <cell r="R18">
            <v>20</v>
          </cell>
          <cell r="S18">
            <v>0.02</v>
          </cell>
          <cell r="T18">
            <v>27.625303494798246</v>
          </cell>
          <cell r="U18">
            <v>1.4940559398034979E-2</v>
          </cell>
          <cell r="V18">
            <v>60</v>
          </cell>
          <cell r="W18">
            <v>44.773834149037228</v>
          </cell>
          <cell r="X18">
            <v>-15.226165850962772</v>
          </cell>
          <cell r="Y18">
            <v>20</v>
          </cell>
          <cell r="Z18">
            <v>0.02</v>
          </cell>
          <cell r="AA18">
            <v>0</v>
          </cell>
          <cell r="AB18">
            <v>0</v>
          </cell>
          <cell r="AC18">
            <v>80</v>
          </cell>
          <cell r="AD18">
            <v>44.773834149037228</v>
          </cell>
          <cell r="AE18">
            <v>-35.226165850962772</v>
          </cell>
          <cell r="AF18">
            <v>20</v>
          </cell>
          <cell r="AG18">
            <v>0.02</v>
          </cell>
          <cell r="AH18">
            <v>0</v>
          </cell>
          <cell r="AI18">
            <v>0</v>
          </cell>
          <cell r="AJ18">
            <v>100</v>
          </cell>
          <cell r="AK18">
            <v>44.773834149037228</v>
          </cell>
          <cell r="AL18">
            <v>-55.226165850962772</v>
          </cell>
          <cell r="AM18">
            <v>20</v>
          </cell>
          <cell r="AN18">
            <v>0.02</v>
          </cell>
          <cell r="AO18">
            <v>0</v>
          </cell>
          <cell r="AP18" t="e">
            <v>#DIV/0!</v>
          </cell>
          <cell r="AQ18">
            <v>120</v>
          </cell>
          <cell r="AR18">
            <v>44.773834149037228</v>
          </cell>
          <cell r="AS18">
            <v>-75.226165850962772</v>
          </cell>
          <cell r="AT18">
            <v>20</v>
          </cell>
          <cell r="AU18">
            <v>0.02</v>
          </cell>
          <cell r="AV18">
            <v>0</v>
          </cell>
          <cell r="AW18" t="e">
            <v>#DIV/0!</v>
          </cell>
          <cell r="AX18">
            <v>140</v>
          </cell>
          <cell r="AY18">
            <v>44.773834149037228</v>
          </cell>
          <cell r="AZ18">
            <v>-95.226165850962772</v>
          </cell>
          <cell r="BA18">
            <v>20</v>
          </cell>
          <cell r="BB18">
            <v>0.02</v>
          </cell>
          <cell r="BC18">
            <v>0</v>
          </cell>
          <cell r="BD18" t="e">
            <v>#DIV/0!</v>
          </cell>
          <cell r="BE18">
            <v>160</v>
          </cell>
          <cell r="BF18">
            <v>44.773834149037228</v>
          </cell>
          <cell r="BG18">
            <v>-115.22616585096277</v>
          </cell>
          <cell r="BH18">
            <v>20</v>
          </cell>
          <cell r="BI18">
            <v>0.02</v>
          </cell>
          <cell r="BJ18">
            <v>0</v>
          </cell>
          <cell r="BK18" t="e">
            <v>#DIV/0!</v>
          </cell>
          <cell r="BL18">
            <v>180</v>
          </cell>
          <cell r="BM18">
            <v>44.773834149037228</v>
          </cell>
          <cell r="BN18">
            <v>-135.22616585096279</v>
          </cell>
          <cell r="BO18">
            <v>20</v>
          </cell>
          <cell r="BP18">
            <v>0.02</v>
          </cell>
          <cell r="BQ18">
            <v>0</v>
          </cell>
          <cell r="BR18" t="e">
            <v>#DIV/0!</v>
          </cell>
          <cell r="BS18">
            <v>200</v>
          </cell>
          <cell r="BT18">
            <v>44.773834149037228</v>
          </cell>
          <cell r="BU18">
            <v>-155.22616585096279</v>
          </cell>
          <cell r="BV18">
            <v>20</v>
          </cell>
          <cell r="BW18">
            <v>0.02</v>
          </cell>
          <cell r="BX18">
            <v>0</v>
          </cell>
          <cell r="BY18" t="e">
            <v>#DIV/0!</v>
          </cell>
          <cell r="BZ18">
            <v>220</v>
          </cell>
          <cell r="CA18">
            <v>44.773834149037228</v>
          </cell>
          <cell r="CB18">
            <v>-175.22616585096279</v>
          </cell>
          <cell r="CC18">
            <v>20</v>
          </cell>
          <cell r="CD18">
            <v>0.02</v>
          </cell>
          <cell r="CE18">
            <v>0</v>
          </cell>
          <cell r="CF18" t="e">
            <v>#DIV/0!</v>
          </cell>
          <cell r="CG18">
            <v>240</v>
          </cell>
          <cell r="CH18">
            <v>44.773834149037228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4.8420781169465849E-3</v>
          </cell>
          <cell r="C23">
            <v>7.8683769400382007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13.168764017999827</v>
          </cell>
          <cell r="N23">
            <v>1.3168764017999827E-2</v>
          </cell>
          <cell r="O23">
            <v>0</v>
          </cell>
          <cell r="P23">
            <v>13.168764017999827</v>
          </cell>
          <cell r="Q23">
            <v>13.168764017999827</v>
          </cell>
          <cell r="R23">
            <v>0</v>
          </cell>
          <cell r="S23">
            <v>0</v>
          </cell>
          <cell r="T23">
            <v>19.020470052205901</v>
          </cell>
          <cell r="U23">
            <v>1.0286817759198093E-2</v>
          </cell>
          <cell r="V23">
            <v>0</v>
          </cell>
          <cell r="W23">
            <v>32.189234070205728</v>
          </cell>
          <cell r="X23">
            <v>32.189234070205728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32.189234070205728</v>
          </cell>
          <cell r="AE23">
            <v>32.189234070205728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32.189234070205728</v>
          </cell>
          <cell r="AL23">
            <v>32.189234070205728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32.189234070205728</v>
          </cell>
          <cell r="AS23">
            <v>32.189234070205728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32.189234070205728</v>
          </cell>
          <cell r="AZ23">
            <v>32.189234070205728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32.189234070205728</v>
          </cell>
          <cell r="BG23">
            <v>32.189234070205728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32.189234070205728</v>
          </cell>
          <cell r="BN23">
            <v>32.189234070205728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32.189234070205728</v>
          </cell>
          <cell r="BU23">
            <v>32.189234070205728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32.189234070205728</v>
          </cell>
          <cell r="CB23">
            <v>32.189234070205728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32.189234070205728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4.1592346102564105E-2</v>
          </cell>
          <cell r="C25">
            <v>67.587562416666671</v>
          </cell>
          <cell r="D25">
            <v>100</v>
          </cell>
          <cell r="E25">
            <v>0.1</v>
          </cell>
          <cell r="F25">
            <v>234.79935699999999</v>
          </cell>
          <cell r="G25">
            <v>0</v>
          </cell>
          <cell r="H25">
            <v>100</v>
          </cell>
          <cell r="I25">
            <v>234.79935699999999</v>
          </cell>
          <cell r="J25">
            <v>134.79935699999999</v>
          </cell>
          <cell r="K25">
            <v>100</v>
          </cell>
          <cell r="L25">
            <v>0.1</v>
          </cell>
          <cell r="M25">
            <v>48.513756000000001</v>
          </cell>
          <cell r="N25">
            <v>4.8513755999999998E-2</v>
          </cell>
          <cell r="O25">
            <v>200</v>
          </cell>
          <cell r="P25">
            <v>283.31311299999999</v>
          </cell>
          <cell r="Q25">
            <v>83.313112999999987</v>
          </cell>
          <cell r="R25">
            <v>100</v>
          </cell>
          <cell r="S25">
            <v>0.1</v>
          </cell>
          <cell r="T25">
            <v>347.79538000000014</v>
          </cell>
          <cell r="U25">
            <v>0.18809775372171339</v>
          </cell>
          <cell r="V25">
            <v>300</v>
          </cell>
          <cell r="W25">
            <v>631.10849300000018</v>
          </cell>
          <cell r="X25">
            <v>331.10849300000018</v>
          </cell>
          <cell r="Y25">
            <v>100</v>
          </cell>
          <cell r="Z25">
            <v>0.1</v>
          </cell>
          <cell r="AA25">
            <v>0</v>
          </cell>
          <cell r="AB25">
            <v>0</v>
          </cell>
          <cell r="AC25">
            <v>400</v>
          </cell>
          <cell r="AD25">
            <v>631.10849300000018</v>
          </cell>
          <cell r="AE25">
            <v>231.10849300000018</v>
          </cell>
          <cell r="AF25">
            <v>100</v>
          </cell>
          <cell r="AG25">
            <v>0.1</v>
          </cell>
          <cell r="AH25">
            <v>0</v>
          </cell>
          <cell r="AI25">
            <v>0</v>
          </cell>
          <cell r="AJ25">
            <v>500</v>
          </cell>
          <cell r="AK25">
            <v>631.10849300000018</v>
          </cell>
          <cell r="AL25">
            <v>131.10849300000018</v>
          </cell>
          <cell r="AM25">
            <v>100</v>
          </cell>
          <cell r="AN25">
            <v>0.1</v>
          </cell>
          <cell r="AO25">
            <v>0</v>
          </cell>
          <cell r="AP25" t="e">
            <v>#DIV/0!</v>
          </cell>
          <cell r="AQ25">
            <v>600</v>
          </cell>
          <cell r="AR25">
            <v>631.10849300000018</v>
          </cell>
          <cell r="AS25">
            <v>31.10849300000018</v>
          </cell>
          <cell r="AT25">
            <v>100</v>
          </cell>
          <cell r="AU25">
            <v>0.1</v>
          </cell>
          <cell r="AV25">
            <v>0</v>
          </cell>
          <cell r="AW25" t="e">
            <v>#DIV/0!</v>
          </cell>
          <cell r="AX25">
            <v>700</v>
          </cell>
          <cell r="AY25">
            <v>631.10849300000018</v>
          </cell>
          <cell r="AZ25">
            <v>-68.89150699999982</v>
          </cell>
          <cell r="BA25">
            <v>100</v>
          </cell>
          <cell r="BB25">
            <v>0.1</v>
          </cell>
          <cell r="BC25">
            <v>0</v>
          </cell>
          <cell r="BD25" t="e">
            <v>#DIV/0!</v>
          </cell>
          <cell r="BE25">
            <v>800</v>
          </cell>
          <cell r="BF25">
            <v>631.10849300000018</v>
          </cell>
          <cell r="BG25">
            <v>-168.89150699999982</v>
          </cell>
          <cell r="BH25">
            <v>100</v>
          </cell>
          <cell r="BI25">
            <v>0.1</v>
          </cell>
          <cell r="BJ25">
            <v>0</v>
          </cell>
          <cell r="BK25" t="e">
            <v>#DIV/0!</v>
          </cell>
          <cell r="BL25">
            <v>900</v>
          </cell>
          <cell r="BM25">
            <v>631.10849300000018</v>
          </cell>
          <cell r="BN25">
            <v>-268.89150699999982</v>
          </cell>
          <cell r="BO25">
            <v>100</v>
          </cell>
          <cell r="BP25">
            <v>0.1</v>
          </cell>
          <cell r="BQ25">
            <v>0</v>
          </cell>
          <cell r="BR25" t="e">
            <v>#DIV/0!</v>
          </cell>
          <cell r="BS25">
            <v>1000</v>
          </cell>
          <cell r="BT25">
            <v>631.10849300000018</v>
          </cell>
          <cell r="BU25">
            <v>-368.89150699999982</v>
          </cell>
          <cell r="BV25">
            <v>100</v>
          </cell>
          <cell r="BW25">
            <v>0.1</v>
          </cell>
          <cell r="BX25">
            <v>0</v>
          </cell>
          <cell r="BY25" t="e">
            <v>#DIV/0!</v>
          </cell>
          <cell r="BZ25">
            <v>1100</v>
          </cell>
          <cell r="CA25">
            <v>631.10849300000018</v>
          </cell>
          <cell r="CB25">
            <v>-468.89150699999982</v>
          </cell>
          <cell r="CC25">
            <v>100</v>
          </cell>
          <cell r="CD25">
            <v>0.1</v>
          </cell>
          <cell r="CE25">
            <v>0</v>
          </cell>
          <cell r="CF25" t="e">
            <v>#DIV/0!</v>
          </cell>
          <cell r="CG25">
            <v>1200</v>
          </cell>
          <cell r="CH25">
            <v>631.10849300000018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2.0890360997440488E-2</v>
          </cell>
          <cell r="C39">
            <v>33.946836620840791</v>
          </cell>
          <cell r="D39">
            <v>40</v>
          </cell>
          <cell r="E39">
            <v>0.04</v>
          </cell>
          <cell r="F39">
            <v>72.876962475317356</v>
          </cell>
          <cell r="G39">
            <v>0</v>
          </cell>
          <cell r="H39">
            <v>40</v>
          </cell>
          <cell r="I39">
            <v>72.876962475317356</v>
          </cell>
          <cell r="J39">
            <v>32.876962475317356</v>
          </cell>
          <cell r="K39">
            <v>40</v>
          </cell>
          <cell r="L39">
            <v>0.04</v>
          </cell>
          <cell r="M39">
            <v>0</v>
          </cell>
          <cell r="N39">
            <v>0</v>
          </cell>
          <cell r="O39">
            <v>80</v>
          </cell>
          <cell r="P39">
            <v>72.876962475317356</v>
          </cell>
          <cell r="Q39">
            <v>-7.1230375246826441</v>
          </cell>
          <cell r="R39">
            <v>40</v>
          </cell>
          <cell r="S39">
            <v>0.04</v>
          </cell>
          <cell r="T39">
            <v>0</v>
          </cell>
          <cell r="U39">
            <v>0</v>
          </cell>
          <cell r="V39">
            <v>120</v>
          </cell>
          <cell r="W39">
            <v>72.876962475317356</v>
          </cell>
          <cell r="X39">
            <v>-47.123037524682644</v>
          </cell>
          <cell r="Y39">
            <v>40</v>
          </cell>
          <cell r="Z39">
            <v>0.04</v>
          </cell>
          <cell r="AA39">
            <v>0</v>
          </cell>
          <cell r="AB39">
            <v>0</v>
          </cell>
          <cell r="AC39">
            <v>160</v>
          </cell>
          <cell r="AD39">
            <v>72.876962475317356</v>
          </cell>
          <cell r="AE39">
            <v>-87.123037524682644</v>
          </cell>
          <cell r="AF39">
            <v>40</v>
          </cell>
          <cell r="AG39">
            <v>0.04</v>
          </cell>
          <cell r="AH39">
            <v>0</v>
          </cell>
          <cell r="AI39">
            <v>0</v>
          </cell>
          <cell r="AJ39">
            <v>200</v>
          </cell>
          <cell r="AK39">
            <v>72.876962475317356</v>
          </cell>
          <cell r="AL39">
            <v>-127.12303752468264</v>
          </cell>
          <cell r="AM39">
            <v>40</v>
          </cell>
          <cell r="AN39">
            <v>0.04</v>
          </cell>
          <cell r="AO39">
            <v>0</v>
          </cell>
          <cell r="AP39" t="e">
            <v>#DIV/0!</v>
          </cell>
          <cell r="AQ39">
            <v>240</v>
          </cell>
          <cell r="AR39">
            <v>72.876962475317356</v>
          </cell>
          <cell r="AS39">
            <v>-167.12303752468264</v>
          </cell>
          <cell r="AT39">
            <v>40</v>
          </cell>
          <cell r="AU39">
            <v>0.04</v>
          </cell>
          <cell r="AV39">
            <v>0</v>
          </cell>
          <cell r="AW39" t="e">
            <v>#DIV/0!</v>
          </cell>
          <cell r="AX39">
            <v>280</v>
          </cell>
          <cell r="AY39">
            <v>72.876962475317356</v>
          </cell>
          <cell r="AZ39">
            <v>-207.12303752468264</v>
          </cell>
          <cell r="BA39">
            <v>40</v>
          </cell>
          <cell r="BB39">
            <v>0.04</v>
          </cell>
          <cell r="BC39">
            <v>0</v>
          </cell>
          <cell r="BD39" t="e">
            <v>#DIV/0!</v>
          </cell>
          <cell r="BE39">
            <v>320</v>
          </cell>
          <cell r="BF39">
            <v>72.876962475317356</v>
          </cell>
          <cell r="BG39">
            <v>-247.12303752468264</v>
          </cell>
          <cell r="BH39">
            <v>40</v>
          </cell>
          <cell r="BI39">
            <v>0.04</v>
          </cell>
          <cell r="BJ39">
            <v>0</v>
          </cell>
          <cell r="BK39" t="e">
            <v>#DIV/0!</v>
          </cell>
          <cell r="BL39">
            <v>360</v>
          </cell>
          <cell r="BM39">
            <v>72.876962475317356</v>
          </cell>
          <cell r="BN39">
            <v>-287.12303752468267</v>
          </cell>
          <cell r="BO39">
            <v>40</v>
          </cell>
          <cell r="BP39">
            <v>0.04</v>
          </cell>
          <cell r="BQ39">
            <v>0</v>
          </cell>
          <cell r="BR39" t="e">
            <v>#DIV/0!</v>
          </cell>
          <cell r="BS39">
            <v>400</v>
          </cell>
          <cell r="BT39">
            <v>72.876962475317356</v>
          </cell>
          <cell r="BU39">
            <v>-327.12303752468267</v>
          </cell>
          <cell r="BV39">
            <v>40</v>
          </cell>
          <cell r="BW39">
            <v>0.04</v>
          </cell>
          <cell r="BX39">
            <v>0</v>
          </cell>
          <cell r="BY39" t="e">
            <v>#DIV/0!</v>
          </cell>
          <cell r="BZ39">
            <v>440</v>
          </cell>
          <cell r="CA39">
            <v>72.876962475317356</v>
          </cell>
          <cell r="CB39">
            <v>-367.12303752468267</v>
          </cell>
          <cell r="CC39">
            <v>40</v>
          </cell>
          <cell r="CD39">
            <v>0.04</v>
          </cell>
          <cell r="CE39">
            <v>0</v>
          </cell>
          <cell r="CF39" t="e">
            <v>#DIV/0!</v>
          </cell>
          <cell r="CG39">
            <v>480</v>
          </cell>
          <cell r="CH39">
            <v>72.876962475317356</v>
          </cell>
        </row>
        <row r="40">
          <cell r="A40" t="str">
            <v>Pauta - Gestão de Pauta</v>
          </cell>
          <cell r="B40">
            <v>5.1740763581699578E-3</v>
          </cell>
          <cell r="C40">
            <v>8.407874082026181</v>
          </cell>
          <cell r="D40">
            <v>20</v>
          </cell>
          <cell r="E40">
            <v>0.02</v>
          </cell>
          <cell r="F40">
            <v>45.91959791595967</v>
          </cell>
          <cell r="G40">
            <v>0</v>
          </cell>
          <cell r="H40">
            <v>20</v>
          </cell>
          <cell r="I40">
            <v>45.91959791595967</v>
          </cell>
          <cell r="J40">
            <v>25.91959791595967</v>
          </cell>
          <cell r="K40">
            <v>20</v>
          </cell>
          <cell r="L40">
            <v>0.02</v>
          </cell>
          <cell r="M40">
            <v>5.6191385179844007</v>
          </cell>
          <cell r="N40">
            <v>5.6191385179844002E-3</v>
          </cell>
          <cell r="O40">
            <v>40</v>
          </cell>
          <cell r="P40">
            <v>51.538736433944074</v>
          </cell>
          <cell r="Q40">
            <v>11.538736433944074</v>
          </cell>
          <cell r="R40">
            <v>20</v>
          </cell>
          <cell r="S40">
            <v>0.02</v>
          </cell>
          <cell r="T40">
            <v>4.879580450781221</v>
          </cell>
          <cell r="U40">
            <v>2.6390175795214213E-3</v>
          </cell>
          <cell r="V40">
            <v>60</v>
          </cell>
          <cell r="W40">
            <v>56.418316884725293</v>
          </cell>
          <cell r="X40">
            <v>-3.5816831152747071</v>
          </cell>
          <cell r="Y40">
            <v>20</v>
          </cell>
          <cell r="Z40">
            <v>0.02</v>
          </cell>
          <cell r="AA40">
            <v>0</v>
          </cell>
          <cell r="AB40">
            <v>0</v>
          </cell>
          <cell r="AC40">
            <v>80</v>
          </cell>
          <cell r="AD40">
            <v>56.418316884725293</v>
          </cell>
          <cell r="AE40">
            <v>-23.581683115274707</v>
          </cell>
          <cell r="AF40">
            <v>20</v>
          </cell>
          <cell r="AG40">
            <v>0.02</v>
          </cell>
          <cell r="AH40">
            <v>0</v>
          </cell>
          <cell r="AI40">
            <v>0</v>
          </cell>
          <cell r="AJ40">
            <v>100</v>
          </cell>
          <cell r="AK40">
            <v>56.418316884725293</v>
          </cell>
          <cell r="AL40">
            <v>-43.581683115274707</v>
          </cell>
          <cell r="AM40">
            <v>20</v>
          </cell>
          <cell r="AN40">
            <v>0.02</v>
          </cell>
          <cell r="AO40">
            <v>0</v>
          </cell>
          <cell r="AP40" t="e">
            <v>#DIV/0!</v>
          </cell>
          <cell r="AQ40">
            <v>120</v>
          </cell>
          <cell r="AR40">
            <v>56.418316884725293</v>
          </cell>
          <cell r="AS40">
            <v>-63.581683115274707</v>
          </cell>
          <cell r="AT40">
            <v>20</v>
          </cell>
          <cell r="AU40">
            <v>0.02</v>
          </cell>
          <cell r="AV40">
            <v>0</v>
          </cell>
          <cell r="AW40" t="e">
            <v>#DIV/0!</v>
          </cell>
          <cell r="AX40">
            <v>140</v>
          </cell>
          <cell r="AY40">
            <v>56.418316884725293</v>
          </cell>
          <cell r="AZ40">
            <v>-83.5816831152747</v>
          </cell>
          <cell r="BA40">
            <v>20</v>
          </cell>
          <cell r="BB40">
            <v>0.02</v>
          </cell>
          <cell r="BC40">
            <v>0</v>
          </cell>
          <cell r="BD40" t="e">
            <v>#DIV/0!</v>
          </cell>
          <cell r="BE40">
            <v>160</v>
          </cell>
          <cell r="BF40">
            <v>56.418316884725293</v>
          </cell>
          <cell r="BG40">
            <v>-103.5816831152747</v>
          </cell>
          <cell r="BH40">
            <v>20</v>
          </cell>
          <cell r="BI40">
            <v>0.02</v>
          </cell>
          <cell r="BJ40">
            <v>0</v>
          </cell>
          <cell r="BK40" t="e">
            <v>#DIV/0!</v>
          </cell>
          <cell r="BL40">
            <v>180</v>
          </cell>
          <cell r="BM40">
            <v>56.418316884725293</v>
          </cell>
          <cell r="BN40">
            <v>-123.5816831152747</v>
          </cell>
          <cell r="BO40">
            <v>20</v>
          </cell>
          <cell r="BP40">
            <v>0.02</v>
          </cell>
          <cell r="BQ40">
            <v>0</v>
          </cell>
          <cell r="BR40" t="e">
            <v>#DIV/0!</v>
          </cell>
          <cell r="BS40">
            <v>200</v>
          </cell>
          <cell r="BT40">
            <v>56.418316884725293</v>
          </cell>
          <cell r="BU40">
            <v>-143.5816831152747</v>
          </cell>
          <cell r="BV40">
            <v>20</v>
          </cell>
          <cell r="BW40">
            <v>0.02</v>
          </cell>
          <cell r="BX40">
            <v>0</v>
          </cell>
          <cell r="BY40" t="e">
            <v>#DIV/0!</v>
          </cell>
          <cell r="BZ40">
            <v>220</v>
          </cell>
          <cell r="CA40">
            <v>56.418316884725293</v>
          </cell>
          <cell r="CB40">
            <v>-163.5816831152747</v>
          </cell>
          <cell r="CC40">
            <v>20</v>
          </cell>
          <cell r="CD40">
            <v>0.02</v>
          </cell>
          <cell r="CE40">
            <v>0</v>
          </cell>
          <cell r="CF40" t="e">
            <v>#DIV/0!</v>
          </cell>
          <cell r="CG40">
            <v>240</v>
          </cell>
          <cell r="CH40">
            <v>56.418316884725293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Indenização por Ruptura de Contrato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Telefonia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XS4 Capitalização - Total</v>
          </cell>
          <cell r="B53">
            <v>8.4934252209887026E-2</v>
          </cell>
          <cell r="C53">
            <v>138.01815984106645</v>
          </cell>
          <cell r="D53">
            <v>180</v>
          </cell>
          <cell r="E53">
            <v>0.18</v>
          </cell>
          <cell r="F53">
            <v>358.90835601483479</v>
          </cell>
          <cell r="G53">
            <v>0</v>
          </cell>
          <cell r="H53">
            <v>180</v>
          </cell>
          <cell r="I53">
            <v>358.90835601483479</v>
          </cell>
          <cell r="J53">
            <v>178.90835601483479</v>
          </cell>
          <cell r="K53">
            <v>180</v>
          </cell>
          <cell r="L53">
            <v>0.18</v>
          </cell>
          <cell r="M53">
            <v>79.13775056666546</v>
          </cell>
          <cell r="N53">
            <v>7.9137750566665457E-2</v>
          </cell>
          <cell r="O53">
            <v>360</v>
          </cell>
          <cell r="P53">
            <v>438.04610658150017</v>
          </cell>
          <cell r="Q53">
            <v>78.046106581500226</v>
          </cell>
          <cell r="R53">
            <v>180</v>
          </cell>
          <cell r="S53">
            <v>0.18</v>
          </cell>
          <cell r="T53">
            <v>399.32073399778551</v>
          </cell>
          <cell r="U53">
            <v>0.2159641484584679</v>
          </cell>
          <cell r="V53">
            <v>540</v>
          </cell>
          <cell r="W53">
            <v>837.36684057928574</v>
          </cell>
          <cell r="X53">
            <v>297.36684057928574</v>
          </cell>
          <cell r="Y53">
            <v>180</v>
          </cell>
          <cell r="Z53">
            <v>0.18</v>
          </cell>
          <cell r="AA53">
            <v>0</v>
          </cell>
          <cell r="AB53">
            <v>0</v>
          </cell>
          <cell r="AC53">
            <v>720</v>
          </cell>
          <cell r="AD53">
            <v>837.36684057928574</v>
          </cell>
          <cell r="AE53">
            <v>117.36684057928579</v>
          </cell>
          <cell r="AF53">
            <v>180</v>
          </cell>
          <cell r="AG53">
            <v>0.18</v>
          </cell>
          <cell r="AH53">
            <v>0</v>
          </cell>
          <cell r="AI53">
            <v>0</v>
          </cell>
          <cell r="AJ53">
            <v>900</v>
          </cell>
          <cell r="AK53">
            <v>837.36684057928574</v>
          </cell>
          <cell r="AL53">
            <v>-62.633159420714215</v>
          </cell>
          <cell r="AM53">
            <v>180</v>
          </cell>
          <cell r="AN53">
            <v>0.18</v>
          </cell>
          <cell r="AO53">
            <v>0</v>
          </cell>
          <cell r="AP53" t="e">
            <v>#DIV/0!</v>
          </cell>
          <cell r="AQ53">
            <v>1080</v>
          </cell>
          <cell r="AR53">
            <v>837.36684057928574</v>
          </cell>
          <cell r="AS53">
            <v>-242.63315942071421</v>
          </cell>
          <cell r="AT53">
            <v>180</v>
          </cell>
          <cell r="AU53">
            <v>0.18</v>
          </cell>
          <cell r="AV53">
            <v>0</v>
          </cell>
          <cell r="AW53" t="e">
            <v>#DIV/0!</v>
          </cell>
          <cell r="AX53">
            <v>1260</v>
          </cell>
          <cell r="AY53">
            <v>837.36684057928574</v>
          </cell>
          <cell r="AZ53">
            <v>-422.63315942071421</v>
          </cell>
          <cell r="BA53">
            <v>180</v>
          </cell>
          <cell r="BB53">
            <v>0.18</v>
          </cell>
          <cell r="BC53">
            <v>0</v>
          </cell>
          <cell r="BD53" t="e">
            <v>#DIV/0!</v>
          </cell>
          <cell r="BE53">
            <v>1440</v>
          </cell>
          <cell r="BF53">
            <v>837.36684057928574</v>
          </cell>
          <cell r="BG53">
            <v>-602.63315942071426</v>
          </cell>
          <cell r="BH53">
            <v>180</v>
          </cell>
          <cell r="BI53">
            <v>0.18</v>
          </cell>
          <cell r="BJ53">
            <v>0</v>
          </cell>
          <cell r="BK53" t="e">
            <v>#DIV/0!</v>
          </cell>
          <cell r="BL53">
            <v>1620</v>
          </cell>
          <cell r="BM53">
            <v>837.36684057928574</v>
          </cell>
          <cell r="BN53">
            <v>-782.63315942071426</v>
          </cell>
          <cell r="BO53">
            <v>180</v>
          </cell>
          <cell r="BP53">
            <v>0.18</v>
          </cell>
          <cell r="BQ53">
            <v>0</v>
          </cell>
          <cell r="BR53" t="e">
            <v>#DIV/0!</v>
          </cell>
          <cell r="BS53">
            <v>1800</v>
          </cell>
          <cell r="BT53">
            <v>837.36684057928574</v>
          </cell>
          <cell r="BU53">
            <v>-962.63315942071426</v>
          </cell>
          <cell r="BV53">
            <v>180</v>
          </cell>
          <cell r="BW53">
            <v>0.18</v>
          </cell>
          <cell r="BX53">
            <v>0</v>
          </cell>
          <cell r="BY53" t="e">
            <v>#DIV/0!</v>
          </cell>
          <cell r="BZ53">
            <v>1980</v>
          </cell>
          <cell r="CA53">
            <v>837.36684057928574</v>
          </cell>
          <cell r="CB53">
            <v>-1142.6331594207143</v>
          </cell>
          <cell r="CC53">
            <v>180</v>
          </cell>
          <cell r="CD53">
            <v>0.18</v>
          </cell>
          <cell r="CE53">
            <v>0</v>
          </cell>
          <cell r="CF53" t="e">
            <v>#DIV/0!</v>
          </cell>
          <cell r="CG53">
            <v>2160</v>
          </cell>
          <cell r="CH53">
            <v>837.36684057928574</v>
          </cell>
        </row>
        <row r="54">
          <cell r="A54" t="str">
            <v>Distribuição Anual de Lucros</v>
          </cell>
        </row>
        <row r="55">
          <cell r="A55" t="str">
            <v>Ajuste Mensal de Lucros</v>
          </cell>
          <cell r="F55">
            <v>0</v>
          </cell>
          <cell r="M55">
            <v>0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281.9375</v>
          </cell>
          <cell r="D56">
            <v>173.5</v>
          </cell>
          <cell r="F56">
            <v>0</v>
          </cell>
          <cell r="H56">
            <v>173.5</v>
          </cell>
          <cell r="I56">
            <v>0</v>
          </cell>
          <cell r="J56">
            <v>-173.5</v>
          </cell>
          <cell r="K56">
            <v>173.5</v>
          </cell>
          <cell r="M56">
            <v>237.03269033279798</v>
          </cell>
          <cell r="O56">
            <v>347</v>
          </cell>
          <cell r="P56">
            <v>237.03269033279798</v>
          </cell>
          <cell r="Q56">
            <v>-109.96730966720202</v>
          </cell>
          <cell r="R56">
            <v>173.5</v>
          </cell>
          <cell r="T56">
            <v>350.60019384368144</v>
          </cell>
          <cell r="V56">
            <v>520.5</v>
          </cell>
          <cell r="W56">
            <v>587.63288417647937</v>
          </cell>
          <cell r="X56">
            <v>67.132884176479365</v>
          </cell>
          <cell r="Y56">
            <v>173.5</v>
          </cell>
          <cell r="AA56">
            <v>0</v>
          </cell>
          <cell r="AC56">
            <v>694</v>
          </cell>
          <cell r="AD56">
            <v>587.63288417647937</v>
          </cell>
          <cell r="AE56">
            <v>-106.36711582352063</v>
          </cell>
          <cell r="AF56">
            <v>173.5</v>
          </cell>
          <cell r="AH56">
            <v>0</v>
          </cell>
          <cell r="AJ56">
            <v>867.5</v>
          </cell>
          <cell r="AK56">
            <v>587.63288417647937</v>
          </cell>
          <cell r="AL56">
            <v>-279.86711582352063</v>
          </cell>
          <cell r="AM56">
            <v>173.5</v>
          </cell>
          <cell r="AO56">
            <v>0</v>
          </cell>
          <cell r="AQ56">
            <v>1041</v>
          </cell>
          <cell r="AR56">
            <v>587.63288417647937</v>
          </cell>
          <cell r="AS56">
            <v>-453.36711582352063</v>
          </cell>
          <cell r="AT56">
            <v>173.5</v>
          </cell>
          <cell r="AV56">
            <v>0</v>
          </cell>
          <cell r="AX56">
            <v>1214.5</v>
          </cell>
          <cell r="AY56">
            <v>587.63288417647937</v>
          </cell>
          <cell r="AZ56">
            <v>-626.86711582352063</v>
          </cell>
          <cell r="BA56">
            <v>173.5</v>
          </cell>
          <cell r="BC56">
            <v>0</v>
          </cell>
          <cell r="BE56">
            <v>1388</v>
          </cell>
          <cell r="BF56">
            <v>587.63288417647937</v>
          </cell>
          <cell r="BG56">
            <v>-800.36711582352063</v>
          </cell>
          <cell r="BH56">
            <v>173.5</v>
          </cell>
          <cell r="BJ56">
            <v>0</v>
          </cell>
          <cell r="BL56">
            <v>1561.5</v>
          </cell>
          <cell r="BM56">
            <v>587.63288417647937</v>
          </cell>
          <cell r="BN56">
            <v>-973.86711582352063</v>
          </cell>
          <cell r="BO56">
            <v>173.5</v>
          </cell>
          <cell r="BQ56">
            <v>0</v>
          </cell>
          <cell r="BS56">
            <v>1735</v>
          </cell>
          <cell r="BT56">
            <v>587.63288417647937</v>
          </cell>
          <cell r="BU56">
            <v>-1147.3671158235206</v>
          </cell>
          <cell r="BV56">
            <v>173.5</v>
          </cell>
          <cell r="BX56">
            <v>0</v>
          </cell>
          <cell r="BZ56">
            <v>1908.5</v>
          </cell>
          <cell r="CA56">
            <v>587.63288417647937</v>
          </cell>
          <cell r="CB56">
            <v>-1320.8671158235206</v>
          </cell>
          <cell r="CC56">
            <v>173.5</v>
          </cell>
          <cell r="CE56">
            <v>0</v>
          </cell>
          <cell r="CG56">
            <v>2082</v>
          </cell>
          <cell r="CH56">
            <v>587.63288417647937</v>
          </cell>
        </row>
        <row r="58">
          <cell r="A58" t="str">
            <v>Margem de Contribuição</v>
          </cell>
          <cell r="B58">
            <v>0.74156574779011297</v>
          </cell>
          <cell r="C58">
            <v>1205.0443401589337</v>
          </cell>
          <cell r="D58">
            <v>0.64649999999999996</v>
          </cell>
          <cell r="F58">
            <v>0</v>
          </cell>
          <cell r="H58">
            <v>0.64649999999999996</v>
          </cell>
          <cell r="I58">
            <v>0</v>
          </cell>
          <cell r="K58">
            <v>0.64649999999999996</v>
          </cell>
          <cell r="M58">
            <v>0.68382955910053655</v>
          </cell>
          <cell r="O58">
            <v>0.64649999999999996</v>
          </cell>
          <cell r="P58">
            <v>0.32492120308570177</v>
          </cell>
          <cell r="R58">
            <v>0.64649999999999996</v>
          </cell>
          <cell r="T58">
            <v>0.59442117374910797</v>
          </cell>
          <cell r="V58">
            <v>0.64649999999999996</v>
          </cell>
          <cell r="W58">
            <v>0.49982705428763596</v>
          </cell>
          <cell r="Y58">
            <v>0.64649999999999996</v>
          </cell>
          <cell r="AA58">
            <v>0</v>
          </cell>
          <cell r="AC58">
            <v>0.64649999999999996</v>
          </cell>
          <cell r="AD58">
            <v>0.49982705428763596</v>
          </cell>
          <cell r="AF58">
            <v>0.64649999999999996</v>
          </cell>
          <cell r="AH58">
            <v>0</v>
          </cell>
          <cell r="AJ58">
            <v>0.64649999999999996</v>
          </cell>
          <cell r="AK58">
            <v>0.49982705428763596</v>
          </cell>
          <cell r="AM58">
            <v>0.64649999999999996</v>
          </cell>
          <cell r="AO58" t="e">
            <v>#DIV/0!</v>
          </cell>
          <cell r="AQ58">
            <v>0.64649999999999996</v>
          </cell>
          <cell r="AR58">
            <v>0.49982705428763596</v>
          </cell>
          <cell r="AT58">
            <v>0.64649999999999996</v>
          </cell>
          <cell r="AV58" t="e">
            <v>#DIV/0!</v>
          </cell>
          <cell r="AX58">
            <v>0.64649999999999996</v>
          </cell>
          <cell r="AY58">
            <v>0.49982705428763596</v>
          </cell>
          <cell r="BA58">
            <v>0.64649999999999996</v>
          </cell>
          <cell r="BC58" t="e">
            <v>#DIV/0!</v>
          </cell>
          <cell r="BE58">
            <v>0.64649999999999996</v>
          </cell>
          <cell r="BF58">
            <v>0.49982705428763596</v>
          </cell>
          <cell r="BH58">
            <v>0.64649999999999996</v>
          </cell>
          <cell r="BJ58" t="e">
            <v>#DIV/0!</v>
          </cell>
          <cell r="BL58">
            <v>0.64649999999999996</v>
          </cell>
          <cell r="BM58">
            <v>0.49982705428763596</v>
          </cell>
          <cell r="BO58">
            <v>0.64649999999999996</v>
          </cell>
          <cell r="BQ58" t="e">
            <v>#DIV/0!</v>
          </cell>
          <cell r="BS58">
            <v>0.64649999999999996</v>
          </cell>
          <cell r="BT58">
            <v>0.49982705428763596</v>
          </cell>
          <cell r="BV58">
            <v>0.64649999999999996</v>
          </cell>
          <cell r="BX58" t="e">
            <v>#DIV/0!</v>
          </cell>
          <cell r="BZ58">
            <v>0.64649999999999996</v>
          </cell>
          <cell r="CA58">
            <v>0.49982705428763596</v>
          </cell>
          <cell r="CC58">
            <v>0.64649999999999996</v>
          </cell>
          <cell r="CE58" t="e">
            <v>#DIV/0!</v>
          </cell>
          <cell r="CG58">
            <v>0.64649999999999996</v>
          </cell>
          <cell r="CH58">
            <v>0.49982705428763596</v>
          </cell>
        </row>
        <row r="60">
          <cell r="A60" t="str">
            <v>Rateio</v>
          </cell>
          <cell r="C60">
            <v>0</v>
          </cell>
          <cell r="F60">
            <v>0</v>
          </cell>
          <cell r="M60">
            <v>219.9707764330627</v>
          </cell>
          <cell r="T60">
            <v>396.92743675559308</v>
          </cell>
          <cell r="AA60">
            <v>0</v>
          </cell>
          <cell r="AH60">
            <v>0</v>
          </cell>
          <cell r="AO60">
            <v>0</v>
          </cell>
          <cell r="AV60">
            <v>0</v>
          </cell>
          <cell r="AY60">
            <v>616.89821318865575</v>
          </cell>
          <cell r="BC60">
            <v>0</v>
          </cell>
          <cell r="BJ60">
            <v>0</v>
          </cell>
          <cell r="BQ60">
            <v>0</v>
          </cell>
          <cell r="BX60">
            <v>0</v>
          </cell>
          <cell r="CE60">
            <v>0</v>
          </cell>
        </row>
        <row r="62">
          <cell r="A62" t="str">
            <v>Resultado</v>
          </cell>
          <cell r="C62">
            <v>0</v>
          </cell>
          <cell r="F62">
            <v>-358.90835601483479</v>
          </cell>
          <cell r="M62">
            <v>463.85878266747386</v>
          </cell>
          <cell r="T62">
            <v>702.16563540293987</v>
          </cell>
          <cell r="AA62">
            <v>0</v>
          </cell>
          <cell r="AH62">
            <v>0</v>
          </cell>
          <cell r="AO62">
            <v>0</v>
          </cell>
          <cell r="AV62">
            <v>0</v>
          </cell>
          <cell r="AY62">
            <v>807.11606205557894</v>
          </cell>
          <cell r="BC62">
            <v>0</v>
          </cell>
          <cell r="BJ62">
            <v>0</v>
          </cell>
          <cell r="BQ62">
            <v>0</v>
          </cell>
          <cell r="BX62">
            <v>0</v>
          </cell>
          <cell r="CE62">
            <v>0</v>
          </cell>
        </row>
        <row r="64">
          <cell r="A64" t="str">
            <v>XS4 Capitalização Pronto? N</v>
          </cell>
          <cell r="CG64" t="str">
            <v>Total Ano</v>
          </cell>
        </row>
        <row r="65">
          <cell r="CG65" t="str">
            <v>Receita</v>
          </cell>
          <cell r="CH65">
            <v>12000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2160</v>
          </cell>
        </row>
        <row r="67">
          <cell r="CG67" t="str">
            <v>Imposto</v>
          </cell>
          <cell r="CH67">
            <v>2082</v>
          </cell>
        </row>
        <row r="68">
          <cell r="CG68" t="str">
            <v>MC</v>
          </cell>
          <cell r="CH68">
            <v>7758</v>
          </cell>
        </row>
        <row r="69">
          <cell r="CG69" t="str">
            <v>MC %</v>
          </cell>
          <cell r="CH69">
            <v>0.64649999999999996</v>
          </cell>
        </row>
        <row r="70">
          <cell r="CG70" t="str">
            <v>Rateio</v>
          </cell>
          <cell r="CH70">
            <v>2653.7252456577953</v>
          </cell>
        </row>
        <row r="71">
          <cell r="CG71" t="str">
            <v>ML</v>
          </cell>
          <cell r="CH71">
            <v>5104.2747543422047</v>
          </cell>
        </row>
        <row r="72">
          <cell r="CG72" t="str">
            <v>ML %</v>
          </cell>
          <cell r="CH72">
            <v>0.42535622952851704</v>
          </cell>
        </row>
      </sheetData>
      <sheetData sheetId="28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375</v>
          </cell>
          <cell r="E11">
            <v>3.6764705882352941E-3</v>
          </cell>
          <cell r="F11">
            <v>0</v>
          </cell>
          <cell r="G11">
            <v>0</v>
          </cell>
          <cell r="H11">
            <v>375</v>
          </cell>
          <cell r="I11">
            <v>0</v>
          </cell>
          <cell r="J11">
            <v>-375</v>
          </cell>
          <cell r="K11">
            <v>375</v>
          </cell>
          <cell r="L11">
            <v>3.4090909090909089E-3</v>
          </cell>
          <cell r="M11">
            <v>0</v>
          </cell>
          <cell r="N11">
            <v>0</v>
          </cell>
          <cell r="O11">
            <v>750</v>
          </cell>
          <cell r="P11">
            <v>0</v>
          </cell>
          <cell r="Q11">
            <v>-750</v>
          </cell>
          <cell r="R11">
            <v>375</v>
          </cell>
          <cell r="S11">
            <v>1.0714285714285715E-3</v>
          </cell>
          <cell r="T11">
            <v>0</v>
          </cell>
          <cell r="U11">
            <v>0</v>
          </cell>
          <cell r="V11">
            <v>1125</v>
          </cell>
          <cell r="W11">
            <v>0</v>
          </cell>
          <cell r="X11">
            <v>-1125</v>
          </cell>
          <cell r="Y11">
            <v>375</v>
          </cell>
          <cell r="Z11">
            <v>2.2727272727272726E-3</v>
          </cell>
          <cell r="AA11">
            <v>0</v>
          </cell>
          <cell r="AB11">
            <v>0</v>
          </cell>
          <cell r="AC11">
            <v>1500</v>
          </cell>
          <cell r="AD11">
            <v>0</v>
          </cell>
          <cell r="AE11">
            <v>-1500</v>
          </cell>
          <cell r="AF11">
            <v>375</v>
          </cell>
          <cell r="AG11">
            <v>1.25E-3</v>
          </cell>
          <cell r="AH11">
            <v>0</v>
          </cell>
          <cell r="AI11">
            <v>0</v>
          </cell>
          <cell r="AJ11">
            <v>1875</v>
          </cell>
          <cell r="AK11">
            <v>0</v>
          </cell>
          <cell r="AL11">
            <v>-1875</v>
          </cell>
          <cell r="AM11">
            <v>375</v>
          </cell>
          <cell r="AN11">
            <v>2.2058823529411764E-3</v>
          </cell>
          <cell r="AO11">
            <v>0</v>
          </cell>
          <cell r="AP11">
            <v>0</v>
          </cell>
          <cell r="AQ11">
            <v>2250</v>
          </cell>
          <cell r="AR11">
            <v>0</v>
          </cell>
          <cell r="AS11">
            <v>-2250</v>
          </cell>
          <cell r="AT11">
            <v>375</v>
          </cell>
          <cell r="AU11">
            <v>2.2058823529411764E-3</v>
          </cell>
          <cell r="AV11">
            <v>0</v>
          </cell>
          <cell r="AW11" t="e">
            <v>#DIV/0!</v>
          </cell>
          <cell r="AX11">
            <v>2625</v>
          </cell>
          <cell r="AY11">
            <v>0</v>
          </cell>
          <cell r="AZ11">
            <v>-2625</v>
          </cell>
          <cell r="BA11">
            <v>375</v>
          </cell>
          <cell r="BB11">
            <v>2.2058823529411764E-3</v>
          </cell>
          <cell r="BC11">
            <v>0</v>
          </cell>
          <cell r="BD11" t="e">
            <v>#DIV/0!</v>
          </cell>
          <cell r="BE11">
            <v>3000</v>
          </cell>
          <cell r="BF11">
            <v>0</v>
          </cell>
          <cell r="BG11">
            <v>-3000</v>
          </cell>
          <cell r="BH11">
            <v>375</v>
          </cell>
          <cell r="BI11">
            <v>2.2058823529411764E-3</v>
          </cell>
          <cell r="BJ11">
            <v>0</v>
          </cell>
          <cell r="BK11" t="e">
            <v>#DIV/0!</v>
          </cell>
          <cell r="BL11">
            <v>3375</v>
          </cell>
          <cell r="BM11">
            <v>0</v>
          </cell>
          <cell r="BN11">
            <v>-3375</v>
          </cell>
          <cell r="BO11">
            <v>375</v>
          </cell>
          <cell r="BP11">
            <v>2.2058823529411764E-3</v>
          </cell>
          <cell r="BQ11">
            <v>0</v>
          </cell>
          <cell r="BR11" t="e">
            <v>#DIV/0!</v>
          </cell>
          <cell r="BS11">
            <v>3750</v>
          </cell>
          <cell r="BT11">
            <v>0</v>
          </cell>
          <cell r="BU11">
            <v>-3750</v>
          </cell>
          <cell r="BV11">
            <v>375</v>
          </cell>
          <cell r="BW11">
            <v>2.2058823529411764E-3</v>
          </cell>
          <cell r="BX11">
            <v>0</v>
          </cell>
          <cell r="BY11" t="e">
            <v>#DIV/0!</v>
          </cell>
          <cell r="BZ11">
            <v>4125</v>
          </cell>
          <cell r="CA11">
            <v>0</v>
          </cell>
          <cell r="CB11">
            <v>-4125</v>
          </cell>
          <cell r="CC11">
            <v>375</v>
          </cell>
          <cell r="CD11">
            <v>2.2058823529411764E-3</v>
          </cell>
          <cell r="CE11">
            <v>0</v>
          </cell>
          <cell r="CF11" t="e">
            <v>#DIV/0!</v>
          </cell>
          <cell r="CG11">
            <v>4500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1.4356359626592906E-3</v>
          </cell>
          <cell r="C13">
            <v>96.886285666666666</v>
          </cell>
          <cell r="D13">
            <v>626.81713277620838</v>
          </cell>
          <cell r="E13">
            <v>6.1452660076098857E-3</v>
          </cell>
          <cell r="F13">
            <v>595.607168</v>
          </cell>
          <cell r="G13">
            <v>6.2282460315800483E-3</v>
          </cell>
          <cell r="H13">
            <v>626.81713277620838</v>
          </cell>
          <cell r="I13">
            <v>595.607168</v>
          </cell>
          <cell r="J13">
            <v>-31.20996477620838</v>
          </cell>
          <cell r="K13">
            <v>626.81713277620838</v>
          </cell>
          <cell r="L13">
            <v>5.6983375706928033E-3</v>
          </cell>
          <cell r="M13">
            <v>602.98475299999996</v>
          </cell>
          <cell r="N13">
            <v>5.9313865138697613E-3</v>
          </cell>
          <cell r="O13">
            <v>1253.6342655524168</v>
          </cell>
          <cell r="P13">
            <v>1198.591921</v>
          </cell>
          <cell r="Q13">
            <v>-55.042344552416807</v>
          </cell>
          <cell r="R13">
            <v>626.81713277620838</v>
          </cell>
          <cell r="S13">
            <v>1.7909060936463098E-3</v>
          </cell>
          <cell r="T13">
            <v>590.98668399999997</v>
          </cell>
          <cell r="U13">
            <v>1.7167369179375454E-3</v>
          </cell>
          <cell r="V13">
            <v>1880.4513983286251</v>
          </cell>
          <cell r="W13">
            <v>1789.5786049999999</v>
          </cell>
          <cell r="X13">
            <v>-90.872793328625221</v>
          </cell>
          <cell r="Y13">
            <v>626.81713277620838</v>
          </cell>
          <cell r="Z13">
            <v>3.7988917137952022E-3</v>
          </cell>
          <cell r="AA13">
            <v>0</v>
          </cell>
          <cell r="AB13">
            <v>0</v>
          </cell>
          <cell r="AC13">
            <v>2507.2685311048335</v>
          </cell>
          <cell r="AD13">
            <v>1789.5786049999999</v>
          </cell>
          <cell r="AE13">
            <v>-717.6899261048336</v>
          </cell>
          <cell r="AF13">
            <v>626.81713277620838</v>
          </cell>
          <cell r="AG13">
            <v>2.0893904425873613E-3</v>
          </cell>
          <cell r="AH13">
            <v>0</v>
          </cell>
          <cell r="AI13">
            <v>0</v>
          </cell>
          <cell r="AJ13">
            <v>3134.0856638810419</v>
          </cell>
          <cell r="AK13">
            <v>1789.5786049999999</v>
          </cell>
          <cell r="AL13">
            <v>-1344.507058881042</v>
          </cell>
          <cell r="AM13">
            <v>626.81713277620838</v>
          </cell>
          <cell r="AN13">
            <v>3.6871596045659318E-3</v>
          </cell>
          <cell r="AO13">
            <v>0</v>
          </cell>
          <cell r="AP13">
            <v>0</v>
          </cell>
          <cell r="AQ13">
            <v>3760.9027966572503</v>
          </cell>
          <cell r="AR13">
            <v>1789.5786049999999</v>
          </cell>
          <cell r="AS13">
            <v>-1971.3241916572504</v>
          </cell>
          <cell r="AT13">
            <v>626.81713277620838</v>
          </cell>
          <cell r="AU13">
            <v>3.6871596045659318E-3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1789.5786049999999</v>
          </cell>
          <cell r="AZ13">
            <v>-2598.141324433459</v>
          </cell>
          <cell r="BA13">
            <v>626.81713277620838</v>
          </cell>
          <cell r="BB13">
            <v>3.6871596045659318E-3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1789.5786049999999</v>
          </cell>
          <cell r="BG13">
            <v>-3224.9584572096674</v>
          </cell>
          <cell r="BH13">
            <v>626.81713277620838</v>
          </cell>
          <cell r="BI13">
            <v>3.6871596045659318E-3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1789.5786049999999</v>
          </cell>
          <cell r="BN13">
            <v>-3851.7755899858757</v>
          </cell>
          <cell r="BO13">
            <v>651.10740634131093</v>
          </cell>
          <cell r="BP13">
            <v>3.8300435667135936E-3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1789.5786049999999</v>
          </cell>
          <cell r="BU13">
            <v>-4502.8829963271864</v>
          </cell>
          <cell r="BV13">
            <v>651.10740634131093</v>
          </cell>
          <cell r="BW13">
            <v>3.8300435667135936E-3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1789.5786049999999</v>
          </cell>
          <cell r="CB13">
            <v>-5153.9904026684972</v>
          </cell>
          <cell r="CC13">
            <v>651.10740634131093</v>
          </cell>
          <cell r="CD13">
            <v>3.8300435667135936E-3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1789.5786049999999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9.2145504050182743E-3</v>
          </cell>
          <cell r="C15">
            <v>621.85929166666665</v>
          </cell>
          <cell r="D15">
            <v>1200</v>
          </cell>
          <cell r="E15">
            <v>1.1764705882352941E-2</v>
          </cell>
          <cell r="F15">
            <v>290.26</v>
          </cell>
          <cell r="G15">
            <v>3.0352399874516364E-3</v>
          </cell>
          <cell r="H15">
            <v>1200</v>
          </cell>
          <cell r="I15">
            <v>290.26</v>
          </cell>
          <cell r="J15">
            <v>-909.74</v>
          </cell>
          <cell r="K15">
            <v>1200</v>
          </cell>
          <cell r="L15">
            <v>1.090909090909091E-2</v>
          </cell>
          <cell r="M15">
            <v>88.47</v>
          </cell>
          <cell r="N15">
            <v>8.7025378713358247E-4</v>
          </cell>
          <cell r="O15">
            <v>2400</v>
          </cell>
          <cell r="P15">
            <v>378.73</v>
          </cell>
          <cell r="Q15">
            <v>-2021.27</v>
          </cell>
          <cell r="R15">
            <v>1200</v>
          </cell>
          <cell r="S15">
            <v>3.4285714285714284E-3</v>
          </cell>
          <cell r="T15">
            <v>88.47</v>
          </cell>
          <cell r="U15">
            <v>2.569934640522876E-4</v>
          </cell>
          <cell r="V15">
            <v>3600</v>
          </cell>
          <cell r="W15">
            <v>467.20000000000005</v>
          </cell>
          <cell r="X15">
            <v>-3132.8</v>
          </cell>
          <cell r="Y15">
            <v>1200</v>
          </cell>
          <cell r="Z15">
            <v>7.2727272727272727E-3</v>
          </cell>
          <cell r="AA15">
            <v>0</v>
          </cell>
          <cell r="AB15">
            <v>0</v>
          </cell>
          <cell r="AC15">
            <v>4800</v>
          </cell>
          <cell r="AD15">
            <v>467.20000000000005</v>
          </cell>
          <cell r="AE15">
            <v>-4332.8</v>
          </cell>
          <cell r="AF15">
            <v>1200</v>
          </cell>
          <cell r="AG15">
            <v>4.0000000000000001E-3</v>
          </cell>
          <cell r="AH15">
            <v>0</v>
          </cell>
          <cell r="AI15">
            <v>0</v>
          </cell>
          <cell r="AJ15">
            <v>6000</v>
          </cell>
          <cell r="AK15">
            <v>467.20000000000005</v>
          </cell>
          <cell r="AL15">
            <v>-5532.8</v>
          </cell>
          <cell r="AM15">
            <v>1200</v>
          </cell>
          <cell r="AN15">
            <v>7.058823529411765E-3</v>
          </cell>
          <cell r="AO15">
            <v>0</v>
          </cell>
          <cell r="AP15">
            <v>0</v>
          </cell>
          <cell r="AQ15">
            <v>7200</v>
          </cell>
          <cell r="AR15">
            <v>467.20000000000005</v>
          </cell>
          <cell r="AS15">
            <v>-6732.8</v>
          </cell>
          <cell r="AT15">
            <v>1200</v>
          </cell>
          <cell r="AU15">
            <v>7.058823529411765E-3</v>
          </cell>
          <cell r="AV15">
            <v>0</v>
          </cell>
          <cell r="AW15" t="e">
            <v>#DIV/0!</v>
          </cell>
          <cell r="AX15">
            <v>8400</v>
          </cell>
          <cell r="AY15">
            <v>467.20000000000005</v>
          </cell>
          <cell r="AZ15">
            <v>-7932.8</v>
          </cell>
          <cell r="BA15">
            <v>1200</v>
          </cell>
          <cell r="BB15">
            <v>0</v>
          </cell>
          <cell r="BC15">
            <v>0</v>
          </cell>
          <cell r="BD15" t="e">
            <v>#DIV/0!</v>
          </cell>
          <cell r="BE15">
            <v>9600</v>
          </cell>
          <cell r="BF15">
            <v>467.20000000000005</v>
          </cell>
          <cell r="BG15">
            <v>-9132.7999999999993</v>
          </cell>
          <cell r="BH15">
            <v>1200</v>
          </cell>
          <cell r="BI15">
            <v>7.058823529411765E-3</v>
          </cell>
          <cell r="BJ15">
            <v>0</v>
          </cell>
          <cell r="BK15" t="e">
            <v>#DIV/0!</v>
          </cell>
          <cell r="BL15">
            <v>10800</v>
          </cell>
          <cell r="BM15">
            <v>467.20000000000005</v>
          </cell>
          <cell r="BN15">
            <v>-10332.799999999999</v>
          </cell>
          <cell r="BO15">
            <v>1200</v>
          </cell>
          <cell r="BP15">
            <v>7.058823529411765E-3</v>
          </cell>
          <cell r="BQ15">
            <v>0</v>
          </cell>
          <cell r="BR15" t="e">
            <v>#DIV/0!</v>
          </cell>
          <cell r="BS15">
            <v>12000</v>
          </cell>
          <cell r="BT15">
            <v>467.20000000000005</v>
          </cell>
          <cell r="BU15">
            <v>-11532.8</v>
          </cell>
          <cell r="BV15">
            <v>1200</v>
          </cell>
          <cell r="BW15">
            <v>7.058823529411765E-3</v>
          </cell>
          <cell r="BX15">
            <v>0</v>
          </cell>
          <cell r="BY15" t="e">
            <v>#DIV/0!</v>
          </cell>
          <cell r="BZ15">
            <v>13200</v>
          </cell>
          <cell r="CA15">
            <v>467.20000000000005</v>
          </cell>
          <cell r="CB15">
            <v>-12732.8</v>
          </cell>
          <cell r="CC15">
            <v>1200</v>
          </cell>
          <cell r="CD15">
            <v>7.058823529411765E-3</v>
          </cell>
          <cell r="CE15">
            <v>0</v>
          </cell>
          <cell r="CF15" t="e">
            <v>#DIV/0!</v>
          </cell>
          <cell r="CG15">
            <v>14400</v>
          </cell>
          <cell r="CH15">
            <v>467.20000000000005</v>
          </cell>
        </row>
        <row r="16">
          <cell r="A16" t="str">
            <v>Back Office / Encerramento</v>
          </cell>
          <cell r="B16">
            <v>5.1022424680966585E-3</v>
          </cell>
          <cell r="C16">
            <v>344.33333669694986</v>
          </cell>
          <cell r="D16">
            <v>375</v>
          </cell>
          <cell r="E16">
            <v>3.6764705882352941E-3</v>
          </cell>
          <cell r="F16">
            <v>0</v>
          </cell>
          <cell r="G16">
            <v>0</v>
          </cell>
          <cell r="H16">
            <v>375</v>
          </cell>
          <cell r="I16">
            <v>0</v>
          </cell>
          <cell r="J16">
            <v>-375</v>
          </cell>
          <cell r="K16">
            <v>375</v>
          </cell>
          <cell r="L16">
            <v>3.4090909090909089E-3</v>
          </cell>
          <cell r="M16">
            <v>0</v>
          </cell>
          <cell r="N16">
            <v>0</v>
          </cell>
          <cell r="O16">
            <v>750</v>
          </cell>
          <cell r="P16">
            <v>0</v>
          </cell>
          <cell r="Q16">
            <v>-750</v>
          </cell>
          <cell r="R16">
            <v>375</v>
          </cell>
          <cell r="S16">
            <v>1.0714285714285715E-3</v>
          </cell>
          <cell r="T16">
            <v>0</v>
          </cell>
          <cell r="U16">
            <v>0</v>
          </cell>
          <cell r="V16">
            <v>1125</v>
          </cell>
          <cell r="W16">
            <v>0</v>
          </cell>
          <cell r="X16">
            <v>-1125</v>
          </cell>
          <cell r="Y16">
            <v>375</v>
          </cell>
          <cell r="Z16">
            <v>2.2727272727272726E-3</v>
          </cell>
          <cell r="AA16">
            <v>0</v>
          </cell>
          <cell r="AB16">
            <v>0</v>
          </cell>
          <cell r="AC16">
            <v>1500</v>
          </cell>
          <cell r="AD16">
            <v>0</v>
          </cell>
          <cell r="AE16">
            <v>-1500</v>
          </cell>
          <cell r="AF16">
            <v>375</v>
          </cell>
          <cell r="AG16">
            <v>1.25E-3</v>
          </cell>
          <cell r="AH16">
            <v>0</v>
          </cell>
          <cell r="AI16">
            <v>0</v>
          </cell>
          <cell r="AJ16">
            <v>1875</v>
          </cell>
          <cell r="AK16">
            <v>0</v>
          </cell>
          <cell r="AL16">
            <v>-1875</v>
          </cell>
          <cell r="AM16">
            <v>375</v>
          </cell>
          <cell r="AN16">
            <v>2.2058823529411764E-3</v>
          </cell>
          <cell r="AO16">
            <v>0</v>
          </cell>
          <cell r="AP16">
            <v>0</v>
          </cell>
          <cell r="AQ16">
            <v>2250</v>
          </cell>
          <cell r="AR16">
            <v>0</v>
          </cell>
          <cell r="AS16">
            <v>-2250</v>
          </cell>
          <cell r="AT16">
            <v>375</v>
          </cell>
          <cell r="AU16">
            <v>2.2058823529411764E-3</v>
          </cell>
          <cell r="AV16">
            <v>0</v>
          </cell>
          <cell r="AW16" t="e">
            <v>#DIV/0!</v>
          </cell>
          <cell r="AX16">
            <v>2625</v>
          </cell>
          <cell r="AY16">
            <v>0</v>
          </cell>
          <cell r="AZ16">
            <v>-2625</v>
          </cell>
          <cell r="BA16">
            <v>375</v>
          </cell>
          <cell r="BB16">
            <v>2.2058823529411764E-3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375</v>
          </cell>
          <cell r="BI16">
            <v>2.2058823529411764E-3</v>
          </cell>
          <cell r="BJ16">
            <v>0</v>
          </cell>
          <cell r="BK16" t="e">
            <v>#DIV/0!</v>
          </cell>
          <cell r="BL16">
            <v>3375</v>
          </cell>
          <cell r="BM16">
            <v>0</v>
          </cell>
          <cell r="BN16">
            <v>-3375</v>
          </cell>
          <cell r="BO16">
            <v>375</v>
          </cell>
          <cell r="BP16">
            <v>2.2058823529411764E-3</v>
          </cell>
          <cell r="BQ16">
            <v>0</v>
          </cell>
          <cell r="BR16" t="e">
            <v>#DIV/0!</v>
          </cell>
          <cell r="BS16">
            <v>3750</v>
          </cell>
          <cell r="BT16">
            <v>0</v>
          </cell>
          <cell r="BU16">
            <v>-3750</v>
          </cell>
          <cell r="BV16">
            <v>375</v>
          </cell>
          <cell r="BW16">
            <v>2.2058823529411764E-3</v>
          </cell>
          <cell r="BX16">
            <v>0</v>
          </cell>
          <cell r="BY16" t="e">
            <v>#DIV/0!</v>
          </cell>
          <cell r="BZ16">
            <v>4125</v>
          </cell>
          <cell r="CA16">
            <v>0</v>
          </cell>
          <cell r="CB16">
            <v>-4125</v>
          </cell>
          <cell r="CC16">
            <v>375</v>
          </cell>
          <cell r="CD16">
            <v>2.2058823529411764E-3</v>
          </cell>
          <cell r="CE16">
            <v>0</v>
          </cell>
          <cell r="CF16" t="e">
            <v>#DIV/0!</v>
          </cell>
          <cell r="CG16">
            <v>4500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2.0031747755263875E-2</v>
          </cell>
          <cell r="C18">
            <v>1351.8758835102415</v>
          </cell>
          <cell r="D18">
            <v>750</v>
          </cell>
          <cell r="E18">
            <v>7.3529411764705881E-3</v>
          </cell>
          <cell r="F18">
            <v>2045.2888700697365</v>
          </cell>
          <cell r="G18">
            <v>2.1387523476625918E-2</v>
          </cell>
          <cell r="H18">
            <v>750</v>
          </cell>
          <cell r="I18">
            <v>2045.2888700697365</v>
          </cell>
          <cell r="J18">
            <v>1295.2888700697365</v>
          </cell>
          <cell r="K18">
            <v>750</v>
          </cell>
          <cell r="L18">
            <v>6.8181818181818179E-3</v>
          </cell>
          <cell r="M18">
            <v>2177.8409336453465</v>
          </cell>
          <cell r="N18">
            <v>2.1422791005757884E-2</v>
          </cell>
          <cell r="O18">
            <v>1500</v>
          </cell>
          <cell r="P18">
            <v>4223.1298037150827</v>
          </cell>
          <cell r="Q18">
            <v>2723.1298037150827</v>
          </cell>
          <cell r="R18">
            <v>750</v>
          </cell>
          <cell r="S18">
            <v>2.142857142857143E-3</v>
          </cell>
          <cell r="T18">
            <v>1617.6149935287415</v>
          </cell>
          <cell r="U18">
            <v>4.6989542295678768E-3</v>
          </cell>
          <cell r="V18">
            <v>2250</v>
          </cell>
          <cell r="W18">
            <v>5840.744797243824</v>
          </cell>
          <cell r="X18">
            <v>3590.744797243824</v>
          </cell>
          <cell r="Y18">
            <v>750</v>
          </cell>
          <cell r="Z18">
            <v>4.5454545454545452E-3</v>
          </cell>
          <cell r="AA18">
            <v>0</v>
          </cell>
          <cell r="AB18">
            <v>0</v>
          </cell>
          <cell r="AC18">
            <v>3000</v>
          </cell>
          <cell r="AD18">
            <v>5840.744797243824</v>
          </cell>
          <cell r="AE18">
            <v>2840.744797243824</v>
          </cell>
          <cell r="AF18">
            <v>750</v>
          </cell>
          <cell r="AG18">
            <v>2.5000000000000001E-3</v>
          </cell>
          <cell r="AH18">
            <v>0</v>
          </cell>
          <cell r="AI18">
            <v>0</v>
          </cell>
          <cell r="AJ18">
            <v>3750</v>
          </cell>
          <cell r="AK18">
            <v>5840.744797243824</v>
          </cell>
          <cell r="AL18">
            <v>2090.744797243824</v>
          </cell>
          <cell r="AM18">
            <v>750</v>
          </cell>
          <cell r="AN18">
            <v>4.4117647058823529E-3</v>
          </cell>
          <cell r="AO18">
            <v>0</v>
          </cell>
          <cell r="AP18">
            <v>0</v>
          </cell>
          <cell r="AQ18">
            <v>4500</v>
          </cell>
          <cell r="AR18">
            <v>5840.744797243824</v>
          </cell>
          <cell r="AS18">
            <v>1340.744797243824</v>
          </cell>
          <cell r="AT18">
            <v>750</v>
          </cell>
          <cell r="AU18">
            <v>4.4117647058823529E-3</v>
          </cell>
          <cell r="AV18">
            <v>0</v>
          </cell>
          <cell r="AW18" t="e">
            <v>#DIV/0!</v>
          </cell>
          <cell r="AX18">
            <v>5250</v>
          </cell>
          <cell r="AY18">
            <v>5840.744797243824</v>
          </cell>
          <cell r="AZ18">
            <v>590.744797243824</v>
          </cell>
          <cell r="BA18">
            <v>750</v>
          </cell>
          <cell r="BB18">
            <v>4.4117647058823529E-3</v>
          </cell>
          <cell r="BC18">
            <v>0</v>
          </cell>
          <cell r="BD18" t="e">
            <v>#DIV/0!</v>
          </cell>
          <cell r="BE18">
            <v>6000</v>
          </cell>
          <cell r="BF18">
            <v>5840.744797243824</v>
          </cell>
          <cell r="BG18">
            <v>-159.255202756176</v>
          </cell>
          <cell r="BH18">
            <v>750</v>
          </cell>
          <cell r="BI18">
            <v>4.4117647058823529E-3</v>
          </cell>
          <cell r="BJ18">
            <v>0</v>
          </cell>
          <cell r="BK18" t="e">
            <v>#DIV/0!</v>
          </cell>
          <cell r="BL18">
            <v>6750</v>
          </cell>
          <cell r="BM18">
            <v>5840.744797243824</v>
          </cell>
          <cell r="BN18">
            <v>-909.255202756176</v>
          </cell>
          <cell r="BO18">
            <v>750</v>
          </cell>
          <cell r="BP18">
            <v>4.4117647058823529E-3</v>
          </cell>
          <cell r="BQ18">
            <v>0</v>
          </cell>
          <cell r="BR18" t="e">
            <v>#DIV/0!</v>
          </cell>
          <cell r="BS18">
            <v>7500</v>
          </cell>
          <cell r="BT18">
            <v>5840.744797243824</v>
          </cell>
          <cell r="BU18">
            <v>-1659.255202756176</v>
          </cell>
          <cell r="BV18">
            <v>750</v>
          </cell>
          <cell r="BW18">
            <v>4.4117647058823529E-3</v>
          </cell>
          <cell r="BX18">
            <v>0</v>
          </cell>
          <cell r="BY18" t="e">
            <v>#DIV/0!</v>
          </cell>
          <cell r="BZ18">
            <v>8250</v>
          </cell>
          <cell r="CA18">
            <v>5840.744797243824</v>
          </cell>
          <cell r="CB18">
            <v>-2409.255202756176</v>
          </cell>
          <cell r="CC18">
            <v>750</v>
          </cell>
          <cell r="CD18">
            <v>4.4117647058823529E-3</v>
          </cell>
          <cell r="CE18">
            <v>0</v>
          </cell>
          <cell r="CF18" t="e">
            <v>#DIV/0!</v>
          </cell>
          <cell r="CG18">
            <v>9000</v>
          </cell>
          <cell r="CH18">
            <v>5840.744797243824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Controladoria Jurídica - Custas</v>
          </cell>
          <cell r="B22">
            <v>1.4319140689223039E-3</v>
          </cell>
          <cell r="C22">
            <v>96.635107464669886</v>
          </cell>
          <cell r="D22">
            <v>90</v>
          </cell>
          <cell r="E22">
            <v>8.8235294117647062E-4</v>
          </cell>
          <cell r="F22">
            <v>247.6062301051135</v>
          </cell>
          <cell r="G22">
            <v>2.5892108136057043E-3</v>
          </cell>
          <cell r="H22">
            <v>90</v>
          </cell>
          <cell r="I22">
            <v>247.6062301051135</v>
          </cell>
          <cell r="J22">
            <v>157.6062301051135</v>
          </cell>
          <cell r="K22">
            <v>90</v>
          </cell>
          <cell r="L22">
            <v>8.1818181818181816E-4</v>
          </cell>
          <cell r="M22">
            <v>672.3880541362754</v>
          </cell>
          <cell r="N22">
            <v>6.6140867021077651E-3</v>
          </cell>
          <cell r="O22">
            <v>180</v>
          </cell>
          <cell r="P22">
            <v>919.99428424138887</v>
          </cell>
          <cell r="Q22">
            <v>739.99428424138887</v>
          </cell>
          <cell r="R22">
            <v>90</v>
          </cell>
          <cell r="S22">
            <v>2.5714285714285715E-4</v>
          </cell>
          <cell r="T22">
            <v>2281.099101685701</v>
          </cell>
          <cell r="U22">
            <v>6.6262864246498217E-3</v>
          </cell>
          <cell r="V22">
            <v>270</v>
          </cell>
          <cell r="W22">
            <v>3201.0933859270899</v>
          </cell>
          <cell r="X22">
            <v>2931.0933859270899</v>
          </cell>
          <cell r="Y22">
            <v>90</v>
          </cell>
          <cell r="Z22">
            <v>5.4545454545454548E-4</v>
          </cell>
          <cell r="AA22">
            <v>0</v>
          </cell>
          <cell r="AB22">
            <v>0</v>
          </cell>
          <cell r="AC22">
            <v>360</v>
          </cell>
          <cell r="AD22">
            <v>3201.0933859270899</v>
          </cell>
          <cell r="AE22">
            <v>2841.0933859270899</v>
          </cell>
          <cell r="AF22">
            <v>90</v>
          </cell>
          <cell r="AG22">
            <v>2.9999999999999997E-4</v>
          </cell>
          <cell r="AH22">
            <v>0</v>
          </cell>
          <cell r="AI22">
            <v>0</v>
          </cell>
          <cell r="AJ22">
            <v>450</v>
          </cell>
          <cell r="AK22">
            <v>3201.0933859270899</v>
          </cell>
          <cell r="AL22">
            <v>2751.0933859270899</v>
          </cell>
          <cell r="AM22">
            <v>90</v>
          </cell>
          <cell r="AN22">
            <v>5.2941176470588231E-4</v>
          </cell>
          <cell r="AO22">
            <v>0</v>
          </cell>
          <cell r="AP22">
            <v>0</v>
          </cell>
          <cell r="AQ22">
            <v>540</v>
          </cell>
          <cell r="AR22">
            <v>3201.0933859270899</v>
          </cell>
          <cell r="AS22">
            <v>2661.0933859270899</v>
          </cell>
          <cell r="AT22">
            <v>90</v>
          </cell>
          <cell r="AU22">
            <v>5.2941176470588231E-4</v>
          </cell>
          <cell r="AV22">
            <v>0</v>
          </cell>
          <cell r="AW22" t="e">
            <v>#DIV/0!</v>
          </cell>
          <cell r="AX22">
            <v>630</v>
          </cell>
          <cell r="AY22">
            <v>3201.0933859270899</v>
          </cell>
          <cell r="AZ22">
            <v>2571.0933859270899</v>
          </cell>
          <cell r="BA22">
            <v>90</v>
          </cell>
          <cell r="BB22">
            <v>5.2941176470588231E-4</v>
          </cell>
          <cell r="BC22">
            <v>0</v>
          </cell>
          <cell r="BD22" t="e">
            <v>#DIV/0!</v>
          </cell>
          <cell r="BE22">
            <v>720</v>
          </cell>
          <cell r="BF22">
            <v>3201.0933859270899</v>
          </cell>
          <cell r="BG22">
            <v>2481.0933859270899</v>
          </cell>
          <cell r="BH22">
            <v>90</v>
          </cell>
          <cell r="BI22">
            <v>5.2941176470588231E-4</v>
          </cell>
          <cell r="BJ22">
            <v>0</v>
          </cell>
          <cell r="BK22" t="e">
            <v>#DIV/0!</v>
          </cell>
          <cell r="BL22">
            <v>810</v>
          </cell>
          <cell r="BM22">
            <v>3201.0933859270899</v>
          </cell>
          <cell r="BN22">
            <v>2391.0933859270899</v>
          </cell>
          <cell r="BO22">
            <v>90</v>
          </cell>
          <cell r="BP22">
            <v>5.2941176470588231E-4</v>
          </cell>
          <cell r="BQ22">
            <v>0</v>
          </cell>
          <cell r="BR22" t="e">
            <v>#DIV/0!</v>
          </cell>
          <cell r="BS22">
            <v>900</v>
          </cell>
          <cell r="BT22">
            <v>3201.0933859270899</v>
          </cell>
          <cell r="BU22">
            <v>2301.0933859270899</v>
          </cell>
          <cell r="BV22">
            <v>90</v>
          </cell>
          <cell r="BW22">
            <v>5.2941176470588231E-4</v>
          </cell>
          <cell r="BX22">
            <v>0</v>
          </cell>
          <cell r="BY22" t="e">
            <v>#DIV/0!</v>
          </cell>
          <cell r="BZ22">
            <v>990</v>
          </cell>
          <cell r="CA22">
            <v>3201.0933859270899</v>
          </cell>
          <cell r="CB22">
            <v>2211.0933859270899</v>
          </cell>
          <cell r="CC22">
            <v>90</v>
          </cell>
          <cell r="CD22">
            <v>5.2941176470588231E-4</v>
          </cell>
          <cell r="CE22">
            <v>0</v>
          </cell>
          <cell r="CF22" t="e">
            <v>#DIV/0!</v>
          </cell>
          <cell r="CG22">
            <v>1080</v>
          </cell>
          <cell r="CH22">
            <v>3201.0933859270899</v>
          </cell>
        </row>
        <row r="23">
          <cell r="A23" t="str">
            <v>GNA</v>
          </cell>
          <cell r="B23">
            <v>1.2747839792141774E-2</v>
          </cell>
          <cell r="C23">
            <v>860.30921477234131</v>
          </cell>
          <cell r="D23">
            <v>1020</v>
          </cell>
          <cell r="E23">
            <v>0.01</v>
          </cell>
          <cell r="F23">
            <v>1234.6976333669975</v>
          </cell>
          <cell r="G23">
            <v>1.2911195580539553E-2</v>
          </cell>
          <cell r="H23">
            <v>1020</v>
          </cell>
          <cell r="I23">
            <v>1234.6976333669975</v>
          </cell>
          <cell r="J23">
            <v>214.69763336699748</v>
          </cell>
          <cell r="K23">
            <v>1100</v>
          </cell>
          <cell r="L23">
            <v>0.01</v>
          </cell>
          <cell r="M23">
            <v>1338.7365500698625</v>
          </cell>
          <cell r="N23">
            <v>1.3168764017999827E-2</v>
          </cell>
          <cell r="O23">
            <v>2120</v>
          </cell>
          <cell r="P23">
            <v>2573.4341834368597</v>
          </cell>
          <cell r="Q23">
            <v>453.43418343685971</v>
          </cell>
          <cell r="R23">
            <v>3500</v>
          </cell>
          <cell r="S23">
            <v>0.01</v>
          </cell>
          <cell r="T23">
            <v>3541.2370136039435</v>
          </cell>
          <cell r="U23">
            <v>1.0286817759198093E-2</v>
          </cell>
          <cell r="V23">
            <v>5620</v>
          </cell>
          <cell r="W23">
            <v>6114.6711970408032</v>
          </cell>
          <cell r="X23">
            <v>494.67119704080324</v>
          </cell>
          <cell r="Y23">
            <v>1650</v>
          </cell>
          <cell r="Z23">
            <v>0.01</v>
          </cell>
          <cell r="AA23">
            <v>0</v>
          </cell>
          <cell r="AB23">
            <v>0</v>
          </cell>
          <cell r="AC23">
            <v>7270</v>
          </cell>
          <cell r="AD23">
            <v>6114.6711970408032</v>
          </cell>
          <cell r="AE23">
            <v>-1155.3288029591968</v>
          </cell>
          <cell r="AF23">
            <v>3000</v>
          </cell>
          <cell r="AG23">
            <v>0.01</v>
          </cell>
          <cell r="AH23">
            <v>0</v>
          </cell>
          <cell r="AI23">
            <v>0</v>
          </cell>
          <cell r="AJ23">
            <v>10270</v>
          </cell>
          <cell r="AK23">
            <v>6114.6711970408032</v>
          </cell>
          <cell r="AL23">
            <v>-4155.3288029591968</v>
          </cell>
          <cell r="AM23">
            <v>1700</v>
          </cell>
          <cell r="AN23">
            <v>0.01</v>
          </cell>
          <cell r="AO23">
            <v>0</v>
          </cell>
          <cell r="AP23">
            <v>0</v>
          </cell>
          <cell r="AQ23">
            <v>11970</v>
          </cell>
          <cell r="AR23">
            <v>6114.6711970408032</v>
          </cell>
          <cell r="AS23">
            <v>-5855.3288029591968</v>
          </cell>
          <cell r="AT23">
            <v>1700</v>
          </cell>
          <cell r="AU23">
            <v>0.01</v>
          </cell>
          <cell r="AV23">
            <v>0</v>
          </cell>
          <cell r="AW23" t="e">
            <v>#DIV/0!</v>
          </cell>
          <cell r="AX23">
            <v>13670</v>
          </cell>
          <cell r="AY23">
            <v>6114.6711970408032</v>
          </cell>
          <cell r="AZ23">
            <v>-7555.3288029591968</v>
          </cell>
          <cell r="BA23">
            <v>1700</v>
          </cell>
          <cell r="BB23">
            <v>0.01</v>
          </cell>
          <cell r="BC23">
            <v>0</v>
          </cell>
          <cell r="BD23" t="e">
            <v>#DIV/0!</v>
          </cell>
          <cell r="BE23">
            <v>15370</v>
          </cell>
          <cell r="BF23">
            <v>6114.6711970408032</v>
          </cell>
          <cell r="BG23">
            <v>-9255.3288029591968</v>
          </cell>
          <cell r="BH23">
            <v>1700</v>
          </cell>
          <cell r="BI23">
            <v>0.01</v>
          </cell>
          <cell r="BJ23">
            <v>0</v>
          </cell>
          <cell r="BK23" t="e">
            <v>#DIV/0!</v>
          </cell>
          <cell r="BL23">
            <v>17070</v>
          </cell>
          <cell r="BM23">
            <v>6114.6711970408032</v>
          </cell>
          <cell r="BN23">
            <v>-10955.328802959197</v>
          </cell>
          <cell r="BO23">
            <v>1700</v>
          </cell>
          <cell r="BP23">
            <v>0.01</v>
          </cell>
          <cell r="BQ23">
            <v>0</v>
          </cell>
          <cell r="BR23" t="e">
            <v>#DIV/0!</v>
          </cell>
          <cell r="BS23">
            <v>18770</v>
          </cell>
          <cell r="BT23">
            <v>6114.6711970408032</v>
          </cell>
          <cell r="BU23">
            <v>-12655.328802959197</v>
          </cell>
          <cell r="BV23">
            <v>1700</v>
          </cell>
          <cell r="BW23">
            <v>0.01</v>
          </cell>
          <cell r="BX23">
            <v>0</v>
          </cell>
          <cell r="BY23" t="e">
            <v>#DIV/0!</v>
          </cell>
          <cell r="BZ23">
            <v>20470</v>
          </cell>
          <cell r="CA23">
            <v>6114.6711970408032</v>
          </cell>
          <cell r="CB23">
            <v>-14355.328802959197</v>
          </cell>
          <cell r="CC23">
            <v>1700</v>
          </cell>
          <cell r="CD23">
            <v>0.01</v>
          </cell>
          <cell r="CE23">
            <v>0</v>
          </cell>
          <cell r="CF23" t="e">
            <v>#DIV/0!</v>
          </cell>
          <cell r="CG23">
            <v>22170</v>
          </cell>
          <cell r="CH23">
            <v>6114.6711970408032</v>
          </cell>
        </row>
        <row r="24">
          <cell r="A24" t="str">
            <v>Correios</v>
          </cell>
          <cell r="B24">
            <v>3.945223624419638E-5</v>
          </cell>
          <cell r="C24">
            <v>2.6624999166666665</v>
          </cell>
          <cell r="D24">
            <v>5</v>
          </cell>
          <cell r="E24">
            <v>4.9019607843137253E-5</v>
          </cell>
          <cell r="F24">
            <v>0</v>
          </cell>
          <cell r="G24">
            <v>0</v>
          </cell>
          <cell r="H24">
            <v>5</v>
          </cell>
          <cell r="I24">
            <v>0</v>
          </cell>
          <cell r="J24">
            <v>-5</v>
          </cell>
          <cell r="K24">
            <v>5</v>
          </cell>
          <cell r="L24">
            <v>4.5454545454545452E-5</v>
          </cell>
          <cell r="M24">
            <v>0</v>
          </cell>
          <cell r="N24">
            <v>0</v>
          </cell>
          <cell r="O24">
            <v>10</v>
          </cell>
          <cell r="P24">
            <v>0</v>
          </cell>
          <cell r="Q24">
            <v>-10</v>
          </cell>
          <cell r="R24">
            <v>5</v>
          </cell>
          <cell r="S24">
            <v>1.4285714285714285E-5</v>
          </cell>
          <cell r="T24">
            <v>0</v>
          </cell>
          <cell r="U24">
            <v>0</v>
          </cell>
          <cell r="V24">
            <v>15</v>
          </cell>
          <cell r="W24">
            <v>0</v>
          </cell>
          <cell r="X24">
            <v>-15</v>
          </cell>
          <cell r="Y24">
            <v>5</v>
          </cell>
          <cell r="Z24">
            <v>3.0303030303030302E-5</v>
          </cell>
          <cell r="AA24">
            <v>0</v>
          </cell>
          <cell r="AB24">
            <v>0</v>
          </cell>
          <cell r="AC24">
            <v>20</v>
          </cell>
          <cell r="AD24">
            <v>0</v>
          </cell>
          <cell r="AE24">
            <v>-20</v>
          </cell>
          <cell r="AF24">
            <v>5</v>
          </cell>
          <cell r="AG24">
            <v>1.6666666666666667E-5</v>
          </cell>
          <cell r="AH24">
            <v>0</v>
          </cell>
          <cell r="AI24">
            <v>0</v>
          </cell>
          <cell r="AJ24">
            <v>25</v>
          </cell>
          <cell r="AK24">
            <v>0</v>
          </cell>
          <cell r="AL24">
            <v>-25</v>
          </cell>
          <cell r="AM24">
            <v>5</v>
          </cell>
          <cell r="AN24">
            <v>2.9411764705882354E-5</v>
          </cell>
          <cell r="AO24">
            <v>0</v>
          </cell>
          <cell r="AP24">
            <v>0</v>
          </cell>
          <cell r="AQ24">
            <v>30</v>
          </cell>
          <cell r="AR24">
            <v>0</v>
          </cell>
          <cell r="AS24">
            <v>-30</v>
          </cell>
          <cell r="AT24">
            <v>5</v>
          </cell>
          <cell r="AU24">
            <v>2.9411764705882354E-5</v>
          </cell>
          <cell r="AV24">
            <v>0</v>
          </cell>
          <cell r="AW24" t="e">
            <v>#DIV/0!</v>
          </cell>
          <cell r="AX24">
            <v>35</v>
          </cell>
          <cell r="AY24">
            <v>0</v>
          </cell>
          <cell r="AZ24">
            <v>-35</v>
          </cell>
          <cell r="BA24">
            <v>5</v>
          </cell>
          <cell r="BB24">
            <v>2.9411764705882354E-5</v>
          </cell>
          <cell r="BC24">
            <v>0</v>
          </cell>
          <cell r="BD24" t="e">
            <v>#DIV/0!</v>
          </cell>
          <cell r="BE24">
            <v>40</v>
          </cell>
          <cell r="BF24">
            <v>0</v>
          </cell>
          <cell r="BG24">
            <v>-40</v>
          </cell>
          <cell r="BH24">
            <v>5</v>
          </cell>
          <cell r="BI24">
            <v>2.9411764705882354E-5</v>
          </cell>
          <cell r="BJ24">
            <v>0</v>
          </cell>
          <cell r="BK24" t="e">
            <v>#DIV/0!</v>
          </cell>
          <cell r="BL24">
            <v>45</v>
          </cell>
          <cell r="BM24">
            <v>0</v>
          </cell>
          <cell r="BN24">
            <v>-45</v>
          </cell>
          <cell r="BO24">
            <v>5</v>
          </cell>
          <cell r="BP24">
            <v>2.9411764705882354E-5</v>
          </cell>
          <cell r="BQ24">
            <v>0</v>
          </cell>
          <cell r="BR24" t="e">
            <v>#DIV/0!</v>
          </cell>
          <cell r="BS24">
            <v>50</v>
          </cell>
          <cell r="BT24">
            <v>0</v>
          </cell>
          <cell r="BU24">
            <v>-50</v>
          </cell>
          <cell r="BV24">
            <v>5</v>
          </cell>
          <cell r="BW24">
            <v>2.9411764705882354E-5</v>
          </cell>
          <cell r="BX24">
            <v>0</v>
          </cell>
          <cell r="BY24" t="e">
            <v>#DIV/0!</v>
          </cell>
          <cell r="BZ24">
            <v>55</v>
          </cell>
          <cell r="CA24">
            <v>0</v>
          </cell>
          <cell r="CB24">
            <v>-55</v>
          </cell>
          <cell r="CC24">
            <v>5</v>
          </cell>
          <cell r="CD24">
            <v>2.9411764705882354E-5</v>
          </cell>
          <cell r="CE24">
            <v>0</v>
          </cell>
          <cell r="CF24" t="e">
            <v>#DIV/0!</v>
          </cell>
          <cell r="CG24">
            <v>60</v>
          </cell>
          <cell r="CH24">
            <v>0</v>
          </cell>
        </row>
        <row r="25">
          <cell r="A25" t="str">
            <v xml:space="preserve">Correspondentes </v>
          </cell>
          <cell r="B25">
            <v>3.8890236873950403E-3</v>
          </cell>
          <cell r="C25">
            <v>262.45724524999997</v>
          </cell>
          <cell r="D25">
            <v>270</v>
          </cell>
          <cell r="E25">
            <v>2.6470588235294116E-3</v>
          </cell>
          <cell r="F25">
            <v>1308.1502290000001</v>
          </cell>
          <cell r="G25">
            <v>1.367928713792743E-2</v>
          </cell>
          <cell r="H25">
            <v>270</v>
          </cell>
          <cell r="I25">
            <v>1308.1502290000001</v>
          </cell>
          <cell r="J25">
            <v>1038.1502290000001</v>
          </cell>
          <cell r="K25">
            <v>270</v>
          </cell>
          <cell r="L25">
            <v>2.4545454545454545E-3</v>
          </cell>
          <cell r="M25">
            <v>688.53148199999998</v>
          </cell>
          <cell r="N25">
            <v>6.7728849301593548E-3</v>
          </cell>
          <cell r="O25">
            <v>540</v>
          </cell>
          <cell r="P25">
            <v>1996.6817110000002</v>
          </cell>
          <cell r="Q25">
            <v>1456.6817110000002</v>
          </cell>
          <cell r="R25">
            <v>270</v>
          </cell>
          <cell r="S25">
            <v>7.7142857142857145E-4</v>
          </cell>
          <cell r="T25">
            <v>1262.350387</v>
          </cell>
          <cell r="U25">
            <v>3.6669582774146695E-3</v>
          </cell>
          <cell r="V25">
            <v>810</v>
          </cell>
          <cell r="W25">
            <v>3259.0320980000001</v>
          </cell>
          <cell r="X25">
            <v>2449.0320980000001</v>
          </cell>
          <cell r="Y25">
            <v>270</v>
          </cell>
          <cell r="Z25">
            <v>1.6363636363636363E-3</v>
          </cell>
          <cell r="AA25">
            <v>0</v>
          </cell>
          <cell r="AB25">
            <v>0</v>
          </cell>
          <cell r="AC25">
            <v>1080</v>
          </cell>
          <cell r="AD25">
            <v>3259.0320980000001</v>
          </cell>
          <cell r="AE25">
            <v>2179.0320980000001</v>
          </cell>
          <cell r="AF25">
            <v>270</v>
          </cell>
          <cell r="AG25">
            <v>8.9999999999999998E-4</v>
          </cell>
          <cell r="AH25">
            <v>0</v>
          </cell>
          <cell r="AI25">
            <v>0</v>
          </cell>
          <cell r="AJ25">
            <v>1350</v>
          </cell>
          <cell r="AK25">
            <v>3259.0320980000001</v>
          </cell>
          <cell r="AL25">
            <v>1909.0320980000001</v>
          </cell>
          <cell r="AM25">
            <v>270</v>
          </cell>
          <cell r="AN25">
            <v>1.588235294117647E-3</v>
          </cell>
          <cell r="AO25">
            <v>0</v>
          </cell>
          <cell r="AP25">
            <v>0</v>
          </cell>
          <cell r="AQ25">
            <v>1620</v>
          </cell>
          <cell r="AR25">
            <v>3259.0320980000001</v>
          </cell>
          <cell r="AS25">
            <v>1639.0320980000001</v>
          </cell>
          <cell r="AT25">
            <v>270</v>
          </cell>
          <cell r="AU25">
            <v>1.588235294117647E-3</v>
          </cell>
          <cell r="AV25">
            <v>0</v>
          </cell>
          <cell r="AW25" t="e">
            <v>#DIV/0!</v>
          </cell>
          <cell r="AX25">
            <v>1890</v>
          </cell>
          <cell r="AY25">
            <v>3259.0320980000001</v>
          </cell>
          <cell r="AZ25">
            <v>1369.0320980000001</v>
          </cell>
          <cell r="BA25">
            <v>270</v>
          </cell>
          <cell r="BB25">
            <v>1.588235294117647E-3</v>
          </cell>
          <cell r="BC25">
            <v>0</v>
          </cell>
          <cell r="BD25" t="e">
            <v>#DIV/0!</v>
          </cell>
          <cell r="BE25">
            <v>2160</v>
          </cell>
          <cell r="BF25">
            <v>3259.0320980000001</v>
          </cell>
          <cell r="BG25">
            <v>1099.0320980000001</v>
          </cell>
          <cell r="BH25">
            <v>270</v>
          </cell>
          <cell r="BI25">
            <v>1.588235294117647E-3</v>
          </cell>
          <cell r="BJ25">
            <v>0</v>
          </cell>
          <cell r="BK25" t="e">
            <v>#DIV/0!</v>
          </cell>
          <cell r="BL25">
            <v>2430</v>
          </cell>
          <cell r="BM25">
            <v>3259.0320980000001</v>
          </cell>
          <cell r="BN25">
            <v>829.03209800000013</v>
          </cell>
          <cell r="BO25">
            <v>270</v>
          </cell>
          <cell r="BP25">
            <v>1.588235294117647E-3</v>
          </cell>
          <cell r="BQ25">
            <v>0</v>
          </cell>
          <cell r="BR25" t="e">
            <v>#DIV/0!</v>
          </cell>
          <cell r="BS25">
            <v>2700</v>
          </cell>
          <cell r="BT25">
            <v>3259.0320980000001</v>
          </cell>
          <cell r="BU25">
            <v>559.03209800000013</v>
          </cell>
          <cell r="BV25">
            <v>270</v>
          </cell>
          <cell r="BW25">
            <v>1.588235294117647E-3</v>
          </cell>
          <cell r="BX25">
            <v>0</v>
          </cell>
          <cell r="BY25" t="e">
            <v>#DIV/0!</v>
          </cell>
          <cell r="BZ25">
            <v>2970</v>
          </cell>
          <cell r="CA25">
            <v>3259.0320980000001</v>
          </cell>
          <cell r="CB25">
            <v>289.03209800000013</v>
          </cell>
          <cell r="CC25">
            <v>270</v>
          </cell>
          <cell r="CD25">
            <v>1.588235294117647E-3</v>
          </cell>
          <cell r="CE25">
            <v>0</v>
          </cell>
          <cell r="CF25" t="e">
            <v>#DIV/0!</v>
          </cell>
          <cell r="CG25">
            <v>3240</v>
          </cell>
          <cell r="CH25">
            <v>3259.0320980000001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5.3832578114222061E-3</v>
          </cell>
          <cell r="C30">
            <v>363.29812550017999</v>
          </cell>
          <cell r="D30">
            <v>2442.3192637757011</v>
          </cell>
          <cell r="E30">
            <v>2.3944306507604911E-2</v>
          </cell>
          <cell r="F30">
            <v>2437.3807787536084</v>
          </cell>
          <cell r="G30">
            <v>2.5487616634462078E-2</v>
          </cell>
          <cell r="H30">
            <v>2442.3192637757011</v>
          </cell>
          <cell r="I30">
            <v>2437.3807787536084</v>
          </cell>
          <cell r="J30">
            <v>-4.9384850220926637</v>
          </cell>
          <cell r="K30">
            <v>2442.3192637757011</v>
          </cell>
          <cell r="L30">
            <v>2.2202902397960918E-2</v>
          </cell>
          <cell r="M30">
            <v>2442.3192637757011</v>
          </cell>
          <cell r="N30">
            <v>2.4024387800272488E-2</v>
          </cell>
          <cell r="O30">
            <v>4884.6385275514021</v>
          </cell>
          <cell r="P30">
            <v>4879.7000425293099</v>
          </cell>
          <cell r="Q30">
            <v>-4.938485022092209</v>
          </cell>
          <cell r="R30">
            <v>2442.3192637757011</v>
          </cell>
          <cell r="S30">
            <v>6.9780550393591457E-3</v>
          </cell>
          <cell r="T30">
            <v>2892.1119899061468</v>
          </cell>
          <cell r="U30">
            <v>8.4011967753264971E-3</v>
          </cell>
          <cell r="V30">
            <v>7326.9577913271032</v>
          </cell>
          <cell r="W30">
            <v>7771.8120324354568</v>
          </cell>
          <cell r="X30">
            <v>444.85424110835356</v>
          </cell>
          <cell r="Y30">
            <v>2442.3192637757011</v>
          </cell>
          <cell r="Z30">
            <v>1.4801934931973945E-2</v>
          </cell>
          <cell r="AA30">
            <v>0</v>
          </cell>
          <cell r="AB30">
            <v>0</v>
          </cell>
          <cell r="AC30">
            <v>9769.2770551028043</v>
          </cell>
          <cell r="AD30">
            <v>7771.8120324354568</v>
          </cell>
          <cell r="AE30">
            <v>-1997.4650226673475</v>
          </cell>
          <cell r="AF30">
            <v>2442.3192637757011</v>
          </cell>
          <cell r="AG30">
            <v>8.1410642125856695E-3</v>
          </cell>
          <cell r="AH30">
            <v>0</v>
          </cell>
          <cell r="AI30">
            <v>0</v>
          </cell>
          <cell r="AJ30">
            <v>12211.596318878506</v>
          </cell>
          <cell r="AK30">
            <v>7771.8120324354568</v>
          </cell>
          <cell r="AL30">
            <v>-4439.7842864430495</v>
          </cell>
          <cell r="AM30">
            <v>2442.3192637757011</v>
          </cell>
          <cell r="AN30">
            <v>1.4366583904562948E-2</v>
          </cell>
          <cell r="AO30">
            <v>0</v>
          </cell>
          <cell r="AP30">
            <v>0</v>
          </cell>
          <cell r="AQ30">
            <v>14653.915582654208</v>
          </cell>
          <cell r="AR30">
            <v>7771.8120324354568</v>
          </cell>
          <cell r="AS30">
            <v>-6882.1035502187515</v>
          </cell>
          <cell r="AT30">
            <v>2442.3192637757011</v>
          </cell>
          <cell r="AU30">
            <v>1.4366583904562948E-2</v>
          </cell>
          <cell r="AV30">
            <v>0</v>
          </cell>
          <cell r="AW30" t="e">
            <v>#DIV/0!</v>
          </cell>
          <cell r="AX30">
            <v>17096.23484642991</v>
          </cell>
          <cell r="AY30">
            <v>7771.8120324354568</v>
          </cell>
          <cell r="AZ30">
            <v>-9324.4228139944535</v>
          </cell>
          <cell r="BA30">
            <v>2442.3192637757011</v>
          </cell>
          <cell r="BB30">
            <v>1.4366583904562948E-2</v>
          </cell>
          <cell r="BC30">
            <v>0</v>
          </cell>
          <cell r="BD30" t="e">
            <v>#DIV/0!</v>
          </cell>
          <cell r="BE30">
            <v>19538.554110205612</v>
          </cell>
          <cell r="BF30">
            <v>7771.8120324354568</v>
          </cell>
          <cell r="BG30">
            <v>-11766.742077770155</v>
          </cell>
          <cell r="BH30">
            <v>2442.3192637757011</v>
          </cell>
          <cell r="BI30">
            <v>1.4366583904562948E-2</v>
          </cell>
          <cell r="BJ30">
            <v>0</v>
          </cell>
          <cell r="BK30" t="e">
            <v>#DIV/0!</v>
          </cell>
          <cell r="BL30">
            <v>21980.873373981314</v>
          </cell>
          <cell r="BM30">
            <v>7771.8120324354568</v>
          </cell>
          <cell r="BN30">
            <v>-14209.061341545857</v>
          </cell>
          <cell r="BO30">
            <v>2442.3192637757011</v>
          </cell>
          <cell r="BP30">
            <v>1.4366583904562948E-2</v>
          </cell>
          <cell r="BQ30">
            <v>0</v>
          </cell>
          <cell r="BR30" t="e">
            <v>#DIV/0!</v>
          </cell>
          <cell r="BS30">
            <v>24423.192637757016</v>
          </cell>
          <cell r="BT30">
            <v>7771.8120324354568</v>
          </cell>
          <cell r="BU30">
            <v>-16651.380605321559</v>
          </cell>
          <cell r="BV30">
            <v>2442.3192637757011</v>
          </cell>
          <cell r="BW30">
            <v>1.4366583904562948E-2</v>
          </cell>
          <cell r="BX30">
            <v>0</v>
          </cell>
          <cell r="BY30" t="e">
            <v>#DIV/0!</v>
          </cell>
          <cell r="BZ30">
            <v>26865.511901532718</v>
          </cell>
          <cell r="CA30">
            <v>7771.8120324354568</v>
          </cell>
          <cell r="CB30">
            <v>-19093.699869097261</v>
          </cell>
          <cell r="CC30">
            <v>2442.3192637757011</v>
          </cell>
          <cell r="CD30">
            <v>1.4366583904562948E-2</v>
          </cell>
          <cell r="CE30">
            <v>0</v>
          </cell>
          <cell r="CF30" t="e">
            <v>#DIV/0!</v>
          </cell>
          <cell r="CG30">
            <v>29307.83116530842</v>
          </cell>
          <cell r="CH30">
            <v>7771.8120324354568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1.5141015509236393E-3</v>
          </cell>
          <cell r="C34">
            <v>102.18166666666667</v>
          </cell>
          <cell r="D34">
            <v>450</v>
          </cell>
          <cell r="E34">
            <v>4.4117647058823529E-3</v>
          </cell>
          <cell r="F34">
            <v>0</v>
          </cell>
          <cell r="G34">
            <v>0</v>
          </cell>
          <cell r="H34">
            <v>450</v>
          </cell>
          <cell r="I34">
            <v>0</v>
          </cell>
          <cell r="J34">
            <v>-450</v>
          </cell>
          <cell r="K34">
            <v>450</v>
          </cell>
          <cell r="L34">
            <v>4.0909090909090912E-3</v>
          </cell>
          <cell r="M34">
            <v>2969.74</v>
          </cell>
          <cell r="N34">
            <v>2.9212472949045838E-2</v>
          </cell>
          <cell r="O34">
            <v>900</v>
          </cell>
          <cell r="P34">
            <v>2969.74</v>
          </cell>
          <cell r="Q34">
            <v>2069.7399999999998</v>
          </cell>
          <cell r="R34">
            <v>450</v>
          </cell>
          <cell r="S34">
            <v>1.2857142857142856E-3</v>
          </cell>
          <cell r="T34">
            <v>0</v>
          </cell>
          <cell r="U34">
            <v>0</v>
          </cell>
          <cell r="V34">
            <v>1350</v>
          </cell>
          <cell r="W34">
            <v>2969.74</v>
          </cell>
          <cell r="X34">
            <v>1619.7399999999998</v>
          </cell>
          <cell r="Y34">
            <v>450</v>
          </cell>
          <cell r="Z34">
            <v>2.7272727272727275E-3</v>
          </cell>
          <cell r="AA34">
            <v>0</v>
          </cell>
          <cell r="AB34">
            <v>0</v>
          </cell>
          <cell r="AC34">
            <v>1800</v>
          </cell>
          <cell r="AD34">
            <v>2969.74</v>
          </cell>
          <cell r="AE34">
            <v>1169.7399999999998</v>
          </cell>
          <cell r="AF34">
            <v>450</v>
          </cell>
          <cell r="AG34">
            <v>1.5E-3</v>
          </cell>
          <cell r="AH34">
            <v>0</v>
          </cell>
          <cell r="AI34">
            <v>0</v>
          </cell>
          <cell r="AJ34">
            <v>2250</v>
          </cell>
          <cell r="AK34">
            <v>2969.74</v>
          </cell>
          <cell r="AL34">
            <v>719.73999999999978</v>
          </cell>
          <cell r="AM34">
            <v>450</v>
          </cell>
          <cell r="AN34">
            <v>2.6470588235294116E-3</v>
          </cell>
          <cell r="AO34">
            <v>0</v>
          </cell>
          <cell r="AP34">
            <v>0</v>
          </cell>
          <cell r="AQ34">
            <v>2700</v>
          </cell>
          <cell r="AR34">
            <v>2969.74</v>
          </cell>
          <cell r="AS34">
            <v>269.73999999999978</v>
          </cell>
          <cell r="AT34">
            <v>450</v>
          </cell>
          <cell r="AU34">
            <v>2.6470588235294116E-3</v>
          </cell>
          <cell r="AV34">
            <v>0</v>
          </cell>
          <cell r="AW34" t="e">
            <v>#DIV/0!</v>
          </cell>
          <cell r="AX34">
            <v>3150</v>
          </cell>
          <cell r="AY34">
            <v>2969.74</v>
          </cell>
          <cell r="AZ34">
            <v>-180.26000000000022</v>
          </cell>
          <cell r="BA34">
            <v>450</v>
          </cell>
          <cell r="BB34">
            <v>2.6470588235294116E-3</v>
          </cell>
          <cell r="BC34">
            <v>0</v>
          </cell>
          <cell r="BD34" t="e">
            <v>#DIV/0!</v>
          </cell>
          <cell r="BE34">
            <v>3600</v>
          </cell>
          <cell r="BF34">
            <v>2969.74</v>
          </cell>
          <cell r="BG34">
            <v>-630.26000000000022</v>
          </cell>
          <cell r="BH34">
            <v>450</v>
          </cell>
          <cell r="BI34">
            <v>2.6470588235294116E-3</v>
          </cell>
          <cell r="BJ34">
            <v>0</v>
          </cell>
          <cell r="BK34" t="e">
            <v>#DIV/0!</v>
          </cell>
          <cell r="BL34">
            <v>4050</v>
          </cell>
          <cell r="BM34">
            <v>2969.74</v>
          </cell>
          <cell r="BN34">
            <v>-1080.2600000000002</v>
          </cell>
          <cell r="BO34">
            <v>450</v>
          </cell>
          <cell r="BP34">
            <v>2.6470588235294116E-3</v>
          </cell>
          <cell r="BQ34">
            <v>0</v>
          </cell>
          <cell r="BR34" t="e">
            <v>#DIV/0!</v>
          </cell>
          <cell r="BS34">
            <v>4500</v>
          </cell>
          <cell r="BT34">
            <v>2969.74</v>
          </cell>
          <cell r="BU34">
            <v>-1530.2600000000002</v>
          </cell>
          <cell r="BV34">
            <v>450</v>
          </cell>
          <cell r="BW34">
            <v>2.6470588235294116E-3</v>
          </cell>
          <cell r="BX34">
            <v>0</v>
          </cell>
          <cell r="BY34" t="e">
            <v>#DIV/0!</v>
          </cell>
          <cell r="BZ34">
            <v>4950</v>
          </cell>
          <cell r="CA34">
            <v>2969.74</v>
          </cell>
          <cell r="CB34">
            <v>-1980.2600000000002</v>
          </cell>
          <cell r="CC34">
            <v>450</v>
          </cell>
          <cell r="CD34">
            <v>2.6470588235294116E-3</v>
          </cell>
          <cell r="CE34">
            <v>0</v>
          </cell>
          <cell r="CF34" t="e">
            <v>#DIV/0!</v>
          </cell>
          <cell r="CG34">
            <v>5400</v>
          </cell>
          <cell r="CH34">
            <v>2969.74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3.692242738493434E-4</v>
          </cell>
          <cell r="C37">
            <v>24.917715494512692</v>
          </cell>
          <cell r="D37">
            <v>30</v>
          </cell>
          <cell r="E37">
            <v>2.941176470588235E-4</v>
          </cell>
          <cell r="F37">
            <v>19.38</v>
          </cell>
          <cell r="G37">
            <v>2.0265607027083549E-4</v>
          </cell>
          <cell r="H37">
            <v>30</v>
          </cell>
          <cell r="I37">
            <v>19.38</v>
          </cell>
          <cell r="J37">
            <v>-10.620000000000001</v>
          </cell>
          <cell r="K37">
            <v>30</v>
          </cell>
          <cell r="L37">
            <v>2.7272727272727274E-4</v>
          </cell>
          <cell r="M37">
            <v>11.332602739725999</v>
          </cell>
          <cell r="N37">
            <v>1.114755335404879E-4</v>
          </cell>
          <cell r="O37">
            <v>60</v>
          </cell>
          <cell r="P37">
            <v>30.712602739725998</v>
          </cell>
          <cell r="Q37">
            <v>-29.287397260274002</v>
          </cell>
          <cell r="R37">
            <v>30</v>
          </cell>
          <cell r="S37">
            <v>8.5714285714285713E-5</v>
          </cell>
          <cell r="T37">
            <v>0</v>
          </cell>
          <cell r="U37">
            <v>0</v>
          </cell>
          <cell r="V37">
            <v>90</v>
          </cell>
          <cell r="W37">
            <v>30.712602739725998</v>
          </cell>
          <cell r="X37">
            <v>-59.287397260274005</v>
          </cell>
          <cell r="Y37">
            <v>30</v>
          </cell>
          <cell r="Z37">
            <v>1.8181818181818181E-4</v>
          </cell>
          <cell r="AA37">
            <v>0</v>
          </cell>
          <cell r="AB37">
            <v>0</v>
          </cell>
          <cell r="AC37">
            <v>120</v>
          </cell>
          <cell r="AD37">
            <v>30.712602739725998</v>
          </cell>
          <cell r="AE37">
            <v>-89.287397260274005</v>
          </cell>
          <cell r="AF37">
            <v>30</v>
          </cell>
          <cell r="AG37">
            <v>1E-4</v>
          </cell>
          <cell r="AH37">
            <v>0</v>
          </cell>
          <cell r="AI37">
            <v>0</v>
          </cell>
          <cell r="AJ37">
            <v>150</v>
          </cell>
          <cell r="AK37">
            <v>30.712602739725998</v>
          </cell>
          <cell r="AL37">
            <v>-119.28739726027401</v>
          </cell>
          <cell r="AM37">
            <v>30</v>
          </cell>
          <cell r="AN37">
            <v>1.7647058823529413E-4</v>
          </cell>
          <cell r="AO37">
            <v>0</v>
          </cell>
          <cell r="AP37">
            <v>0</v>
          </cell>
          <cell r="AQ37">
            <v>180</v>
          </cell>
          <cell r="AR37">
            <v>30.712602739725998</v>
          </cell>
          <cell r="AS37">
            <v>-149.28739726027399</v>
          </cell>
          <cell r="AT37">
            <v>30</v>
          </cell>
          <cell r="AU37">
            <v>1.7647058823529413E-4</v>
          </cell>
          <cell r="AV37">
            <v>0</v>
          </cell>
          <cell r="AW37" t="e">
            <v>#DIV/0!</v>
          </cell>
          <cell r="AX37">
            <v>210</v>
          </cell>
          <cell r="AY37">
            <v>30.712602739725998</v>
          </cell>
          <cell r="AZ37">
            <v>-179.28739726027399</v>
          </cell>
          <cell r="BA37">
            <v>30</v>
          </cell>
          <cell r="BB37">
            <v>1.7647058823529413E-4</v>
          </cell>
          <cell r="BC37">
            <v>0</v>
          </cell>
          <cell r="BD37" t="e">
            <v>#DIV/0!</v>
          </cell>
          <cell r="BE37">
            <v>240</v>
          </cell>
          <cell r="BF37">
            <v>30.712602739725998</v>
          </cell>
          <cell r="BG37">
            <v>-209.28739726027399</v>
          </cell>
          <cell r="BH37">
            <v>30</v>
          </cell>
          <cell r="BI37">
            <v>1.7647058823529413E-4</v>
          </cell>
          <cell r="BJ37">
            <v>0</v>
          </cell>
          <cell r="BK37" t="e">
            <v>#DIV/0!</v>
          </cell>
          <cell r="BL37">
            <v>270</v>
          </cell>
          <cell r="BM37">
            <v>30.712602739725998</v>
          </cell>
          <cell r="BN37">
            <v>-239.28739726027399</v>
          </cell>
          <cell r="BO37">
            <v>30</v>
          </cell>
          <cell r="BP37">
            <v>1.7647058823529413E-4</v>
          </cell>
          <cell r="BQ37">
            <v>0</v>
          </cell>
          <cell r="BR37" t="e">
            <v>#DIV/0!</v>
          </cell>
          <cell r="BS37">
            <v>300</v>
          </cell>
          <cell r="BT37">
            <v>30.712602739725998</v>
          </cell>
          <cell r="BU37">
            <v>-269.28739726027402</v>
          </cell>
          <cell r="BV37">
            <v>30</v>
          </cell>
          <cell r="BW37">
            <v>1.7647058823529413E-4</v>
          </cell>
          <cell r="BX37">
            <v>0</v>
          </cell>
          <cell r="BY37" t="e">
            <v>#DIV/0!</v>
          </cell>
          <cell r="BZ37">
            <v>330</v>
          </cell>
          <cell r="CA37">
            <v>30.712602739725998</v>
          </cell>
          <cell r="CB37">
            <v>-299.28739726027402</v>
          </cell>
          <cell r="CC37">
            <v>30</v>
          </cell>
          <cell r="CD37">
            <v>1.7647058823529413E-4</v>
          </cell>
          <cell r="CE37">
            <v>0</v>
          </cell>
          <cell r="CF37" t="e">
            <v>#DIV/0!</v>
          </cell>
          <cell r="CG37">
            <v>360</v>
          </cell>
          <cell r="CH37">
            <v>30.712602739725998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5.4677025234033966E-3</v>
          </cell>
          <cell r="C39">
            <v>368.99701762941726</v>
          </cell>
          <cell r="D39">
            <v>350</v>
          </cell>
          <cell r="E39">
            <v>3.4313725490196078E-3</v>
          </cell>
          <cell r="F39">
            <v>1020.277474654443</v>
          </cell>
          <cell r="G39">
            <v>1.066901050564094E-2</v>
          </cell>
          <cell r="H39">
            <v>350</v>
          </cell>
          <cell r="I39">
            <v>1020.277474654443</v>
          </cell>
          <cell r="J39">
            <v>670.27747465444304</v>
          </cell>
          <cell r="K39">
            <v>350</v>
          </cell>
          <cell r="L39">
            <v>3.1818181818181819E-3</v>
          </cell>
          <cell r="M39">
            <v>806.87667840531572</v>
          </cell>
          <cell r="N39">
            <v>7.9370123785689126E-3</v>
          </cell>
          <cell r="O39">
            <v>700</v>
          </cell>
          <cell r="P39">
            <v>1827.1541530597588</v>
          </cell>
          <cell r="Q39">
            <v>1127.1541530597588</v>
          </cell>
          <cell r="R39">
            <v>350</v>
          </cell>
          <cell r="S39">
            <v>1E-3</v>
          </cell>
          <cell r="T39">
            <v>746.44232431920364</v>
          </cell>
          <cell r="U39">
            <v>2.1683146675939105E-3</v>
          </cell>
          <cell r="V39">
            <v>1050</v>
          </cell>
          <cell r="W39">
            <v>2573.5964773789624</v>
          </cell>
          <cell r="X39">
            <v>1523.5964773789624</v>
          </cell>
          <cell r="Y39">
            <v>350</v>
          </cell>
          <cell r="Z39">
            <v>2.1212121212121214E-3</v>
          </cell>
          <cell r="AA39">
            <v>0</v>
          </cell>
          <cell r="AB39">
            <v>0</v>
          </cell>
          <cell r="AC39">
            <v>1400</v>
          </cell>
          <cell r="AD39">
            <v>2573.5964773789624</v>
          </cell>
          <cell r="AE39">
            <v>1173.5964773789624</v>
          </cell>
          <cell r="AF39">
            <v>350</v>
          </cell>
          <cell r="AG39">
            <v>1.1666666666666668E-3</v>
          </cell>
          <cell r="AH39">
            <v>0</v>
          </cell>
          <cell r="AI39">
            <v>0</v>
          </cell>
          <cell r="AJ39">
            <v>1750</v>
          </cell>
          <cell r="AK39">
            <v>2573.5964773789624</v>
          </cell>
          <cell r="AL39">
            <v>823.59647737896239</v>
          </cell>
          <cell r="AM39">
            <v>350</v>
          </cell>
          <cell r="AN39">
            <v>2.0588235294117649E-3</v>
          </cell>
          <cell r="AO39">
            <v>0</v>
          </cell>
          <cell r="AP39">
            <v>0</v>
          </cell>
          <cell r="AQ39">
            <v>2100</v>
          </cell>
          <cell r="AR39">
            <v>2573.5964773789624</v>
          </cell>
          <cell r="AS39">
            <v>473.59647737896239</v>
          </cell>
          <cell r="AT39">
            <v>350</v>
          </cell>
          <cell r="AU39">
            <v>2.0588235294117649E-3</v>
          </cell>
          <cell r="AV39">
            <v>0</v>
          </cell>
          <cell r="AW39" t="e">
            <v>#DIV/0!</v>
          </cell>
          <cell r="AX39">
            <v>2450</v>
          </cell>
          <cell r="AY39">
            <v>2573.5964773789624</v>
          </cell>
          <cell r="AZ39">
            <v>123.59647737896239</v>
          </cell>
          <cell r="BA39">
            <v>350</v>
          </cell>
          <cell r="BB39">
            <v>2.0588235294117649E-3</v>
          </cell>
          <cell r="BC39">
            <v>0</v>
          </cell>
          <cell r="BD39" t="e">
            <v>#DIV/0!</v>
          </cell>
          <cell r="BE39">
            <v>2800</v>
          </cell>
          <cell r="BF39">
            <v>2573.5964773789624</v>
          </cell>
          <cell r="BG39">
            <v>-226.40352262103761</v>
          </cell>
          <cell r="BH39">
            <v>350</v>
          </cell>
          <cell r="BI39">
            <v>2.0588235294117649E-3</v>
          </cell>
          <cell r="BJ39">
            <v>0</v>
          </cell>
          <cell r="BK39" t="e">
            <v>#DIV/0!</v>
          </cell>
          <cell r="BL39">
            <v>3150</v>
          </cell>
          <cell r="BM39">
            <v>2573.5964773789624</v>
          </cell>
          <cell r="BN39">
            <v>-576.40352262103761</v>
          </cell>
          <cell r="BO39">
            <v>350</v>
          </cell>
          <cell r="BP39">
            <v>2.0588235294117649E-3</v>
          </cell>
          <cell r="BQ39">
            <v>0</v>
          </cell>
          <cell r="BR39" t="e">
            <v>#DIV/0!</v>
          </cell>
          <cell r="BS39">
            <v>3500</v>
          </cell>
          <cell r="BT39">
            <v>2573.5964773789624</v>
          </cell>
          <cell r="BU39">
            <v>-926.40352262103761</v>
          </cell>
          <cell r="BV39">
            <v>350</v>
          </cell>
          <cell r="BW39">
            <v>2.0588235294117649E-3</v>
          </cell>
          <cell r="BX39">
            <v>0</v>
          </cell>
          <cell r="BY39" t="e">
            <v>#DIV/0!</v>
          </cell>
          <cell r="BZ39">
            <v>3850</v>
          </cell>
          <cell r="CA39">
            <v>2573.5964773789624</v>
          </cell>
          <cell r="CB39">
            <v>-1276.4035226210376</v>
          </cell>
          <cell r="CC39">
            <v>350</v>
          </cell>
          <cell r="CD39">
            <v>2.0588235294117649E-3</v>
          </cell>
          <cell r="CE39">
            <v>0</v>
          </cell>
          <cell r="CF39" t="e">
            <v>#DIV/0!</v>
          </cell>
          <cell r="CG39">
            <v>4200</v>
          </cell>
          <cell r="CH39">
            <v>2573.5964773789624</v>
          </cell>
        </row>
        <row r="40">
          <cell r="A40" t="str">
            <v>Pauta - Gestão de Pauta</v>
          </cell>
          <cell r="B40">
            <v>1.7661570615700808E-3</v>
          </cell>
          <cell r="C40">
            <v>119.19205289515953</v>
          </cell>
          <cell r="D40">
            <v>120</v>
          </cell>
          <cell r="E40">
            <v>1.176470588235294E-3</v>
          </cell>
          <cell r="F40">
            <v>566.34170763016937</v>
          </cell>
          <cell r="G40">
            <v>5.9222180030342924E-3</v>
          </cell>
          <cell r="H40">
            <v>120</v>
          </cell>
          <cell r="I40">
            <v>566.34170763016937</v>
          </cell>
          <cell r="J40">
            <v>446.34170763016937</v>
          </cell>
          <cell r="K40">
            <v>120</v>
          </cell>
          <cell r="L40">
            <v>1.090909090909091E-3</v>
          </cell>
          <cell r="M40">
            <v>314.67175700712647</v>
          </cell>
          <cell r="N40">
            <v>3.0953350089231407E-3</v>
          </cell>
          <cell r="O40">
            <v>240</v>
          </cell>
          <cell r="P40">
            <v>881.01346463729578</v>
          </cell>
          <cell r="Q40">
            <v>641.01346463729578</v>
          </cell>
          <cell r="R40">
            <v>120</v>
          </cell>
          <cell r="S40">
            <v>3.4285714285714285E-4</v>
          </cell>
          <cell r="T40">
            <v>331.81147065312308</v>
          </cell>
          <cell r="U40">
            <v>9.638677433641919E-4</v>
          </cell>
          <cell r="V40">
            <v>360</v>
          </cell>
          <cell r="W40">
            <v>1212.8249352904188</v>
          </cell>
          <cell r="X40">
            <v>852.82493529041881</v>
          </cell>
          <cell r="Y40">
            <v>120</v>
          </cell>
          <cell r="Z40">
            <v>7.2727272727272723E-4</v>
          </cell>
          <cell r="AA40">
            <v>0</v>
          </cell>
          <cell r="AB40">
            <v>0</v>
          </cell>
          <cell r="AC40">
            <v>480</v>
          </cell>
          <cell r="AD40">
            <v>1212.8249352904188</v>
          </cell>
          <cell r="AE40">
            <v>732.82493529041881</v>
          </cell>
          <cell r="AF40">
            <v>120</v>
          </cell>
          <cell r="AG40">
            <v>4.0000000000000002E-4</v>
          </cell>
          <cell r="AH40">
            <v>0</v>
          </cell>
          <cell r="AI40">
            <v>0</v>
          </cell>
          <cell r="AJ40">
            <v>600</v>
          </cell>
          <cell r="AK40">
            <v>1212.8249352904188</v>
          </cell>
          <cell r="AL40">
            <v>612.82493529041881</v>
          </cell>
          <cell r="AM40">
            <v>120</v>
          </cell>
          <cell r="AN40">
            <v>7.0588235294117652E-4</v>
          </cell>
          <cell r="AO40">
            <v>0</v>
          </cell>
          <cell r="AP40">
            <v>0</v>
          </cell>
          <cell r="AQ40">
            <v>720</v>
          </cell>
          <cell r="AR40">
            <v>1212.8249352904188</v>
          </cell>
          <cell r="AS40">
            <v>492.82493529041881</v>
          </cell>
          <cell r="AT40">
            <v>120</v>
          </cell>
          <cell r="AU40">
            <v>7.0588235294117652E-4</v>
          </cell>
          <cell r="AV40">
            <v>0</v>
          </cell>
          <cell r="AW40" t="e">
            <v>#DIV/0!</v>
          </cell>
          <cell r="AX40">
            <v>840</v>
          </cell>
          <cell r="AY40">
            <v>1212.8249352904188</v>
          </cell>
          <cell r="AZ40">
            <v>372.82493529041881</v>
          </cell>
          <cell r="BA40">
            <v>120</v>
          </cell>
          <cell r="BB40">
            <v>7.0588235294117652E-4</v>
          </cell>
          <cell r="BC40">
            <v>0</v>
          </cell>
          <cell r="BD40" t="e">
            <v>#DIV/0!</v>
          </cell>
          <cell r="BE40">
            <v>960</v>
          </cell>
          <cell r="BF40">
            <v>1212.8249352904188</v>
          </cell>
          <cell r="BG40">
            <v>252.82493529041881</v>
          </cell>
          <cell r="BH40">
            <v>120</v>
          </cell>
          <cell r="BI40">
            <v>7.0588235294117652E-4</v>
          </cell>
          <cell r="BJ40">
            <v>0</v>
          </cell>
          <cell r="BK40" t="e">
            <v>#DIV/0!</v>
          </cell>
          <cell r="BL40">
            <v>1080</v>
          </cell>
          <cell r="BM40">
            <v>1212.8249352904188</v>
          </cell>
          <cell r="BN40">
            <v>132.82493529041881</v>
          </cell>
          <cell r="BO40">
            <v>120</v>
          </cell>
          <cell r="BP40">
            <v>7.0588235294117652E-4</v>
          </cell>
          <cell r="BQ40">
            <v>0</v>
          </cell>
          <cell r="BR40" t="e">
            <v>#DIV/0!</v>
          </cell>
          <cell r="BS40">
            <v>1200</v>
          </cell>
          <cell r="BT40">
            <v>1212.8249352904188</v>
          </cell>
          <cell r="BU40">
            <v>12.824935290418807</v>
          </cell>
          <cell r="BV40">
            <v>120</v>
          </cell>
          <cell r="BW40">
            <v>7.0588235294117652E-4</v>
          </cell>
          <cell r="BX40">
            <v>0</v>
          </cell>
          <cell r="BY40" t="e">
            <v>#DIV/0!</v>
          </cell>
          <cell r="BZ40">
            <v>1320</v>
          </cell>
          <cell r="CA40">
            <v>1212.8249352904188</v>
          </cell>
          <cell r="CB40">
            <v>-107.17506470958119</v>
          </cell>
          <cell r="CC40">
            <v>120</v>
          </cell>
          <cell r="CD40">
            <v>7.0588235294117652E-4</v>
          </cell>
          <cell r="CE40">
            <v>0</v>
          </cell>
          <cell r="CF40" t="e">
            <v>#DIV/0!</v>
          </cell>
          <cell r="CG40">
            <v>1440</v>
          </cell>
          <cell r="CH40">
            <v>1212.8249352904188</v>
          </cell>
        </row>
        <row r="41">
          <cell r="A41" t="str">
            <v>Seguro de Vida</v>
          </cell>
          <cell r="B41">
            <v>1.0193617887483946E-3</v>
          </cell>
          <cell r="C41">
            <v>68.793329249999999</v>
          </cell>
          <cell r="D41">
            <v>80</v>
          </cell>
          <cell r="E41">
            <v>7.8431372549019605E-4</v>
          </cell>
          <cell r="F41">
            <v>161.13998799999999</v>
          </cell>
          <cell r="G41">
            <v>1.6850359510613823E-3</v>
          </cell>
          <cell r="H41">
            <v>80</v>
          </cell>
          <cell r="I41">
            <v>161.13998799999999</v>
          </cell>
          <cell r="J41">
            <v>81.139987999999988</v>
          </cell>
          <cell r="K41">
            <v>80</v>
          </cell>
          <cell r="L41">
            <v>7.2727272727272723E-4</v>
          </cell>
          <cell r="M41">
            <v>161.14001400000001</v>
          </cell>
          <cell r="N41">
            <v>1.5850876844383239E-3</v>
          </cell>
          <cell r="O41">
            <v>160</v>
          </cell>
          <cell r="P41">
            <v>322.28000199999997</v>
          </cell>
          <cell r="Q41">
            <v>162.28000199999997</v>
          </cell>
          <cell r="R41">
            <v>80</v>
          </cell>
          <cell r="S41">
            <v>2.2857142857142857E-4</v>
          </cell>
          <cell r="T41">
            <v>184.160023</v>
          </cell>
          <cell r="U41">
            <v>5.3496012490922295E-4</v>
          </cell>
          <cell r="V41">
            <v>240</v>
          </cell>
          <cell r="W41">
            <v>506.44002499999999</v>
          </cell>
          <cell r="X41">
            <v>266.44002499999999</v>
          </cell>
          <cell r="Y41">
            <v>80</v>
          </cell>
          <cell r="Z41">
            <v>4.8484848484848484E-4</v>
          </cell>
          <cell r="AA41">
            <v>0</v>
          </cell>
          <cell r="AB41">
            <v>0</v>
          </cell>
          <cell r="AC41">
            <v>320</v>
          </cell>
          <cell r="AD41">
            <v>506.44002499999999</v>
          </cell>
          <cell r="AE41">
            <v>186.44002499999999</v>
          </cell>
          <cell r="AF41">
            <v>80</v>
          </cell>
          <cell r="AG41">
            <v>2.6666666666666668E-4</v>
          </cell>
          <cell r="AH41">
            <v>0</v>
          </cell>
          <cell r="AI41">
            <v>0</v>
          </cell>
          <cell r="AJ41">
            <v>400</v>
          </cell>
          <cell r="AK41">
            <v>506.44002499999999</v>
          </cell>
          <cell r="AL41">
            <v>106.44002499999999</v>
          </cell>
          <cell r="AM41">
            <v>80</v>
          </cell>
          <cell r="AN41">
            <v>4.7058823529411766E-4</v>
          </cell>
          <cell r="AO41">
            <v>0</v>
          </cell>
          <cell r="AP41">
            <v>0</v>
          </cell>
          <cell r="AQ41">
            <v>480</v>
          </cell>
          <cell r="AR41">
            <v>506.44002499999999</v>
          </cell>
          <cell r="AS41">
            <v>26.440024999999991</v>
          </cell>
          <cell r="AT41">
            <v>80</v>
          </cell>
          <cell r="AU41">
            <v>4.7058823529411766E-4</v>
          </cell>
          <cell r="AV41">
            <v>0</v>
          </cell>
          <cell r="AW41" t="e">
            <v>#DIV/0!</v>
          </cell>
          <cell r="AX41">
            <v>560</v>
          </cell>
          <cell r="AY41">
            <v>506.44002499999999</v>
          </cell>
          <cell r="AZ41">
            <v>-53.559975000000009</v>
          </cell>
          <cell r="BA41">
            <v>80</v>
          </cell>
          <cell r="BB41">
            <v>4.7058823529411766E-4</v>
          </cell>
          <cell r="BC41">
            <v>0</v>
          </cell>
          <cell r="BD41" t="e">
            <v>#DIV/0!</v>
          </cell>
          <cell r="BE41">
            <v>640</v>
          </cell>
          <cell r="BF41">
            <v>506.44002499999999</v>
          </cell>
          <cell r="BG41">
            <v>-133.55997500000001</v>
          </cell>
          <cell r="BH41">
            <v>80</v>
          </cell>
          <cell r="BI41">
            <v>4.7058823529411766E-4</v>
          </cell>
          <cell r="BJ41">
            <v>0</v>
          </cell>
          <cell r="BK41" t="e">
            <v>#DIV/0!</v>
          </cell>
          <cell r="BL41">
            <v>720</v>
          </cell>
          <cell r="BM41">
            <v>506.44002499999999</v>
          </cell>
          <cell r="BN41">
            <v>-213.55997500000001</v>
          </cell>
          <cell r="BO41">
            <v>80</v>
          </cell>
          <cell r="BP41">
            <v>4.7058823529411766E-4</v>
          </cell>
          <cell r="BQ41">
            <v>0</v>
          </cell>
          <cell r="BR41" t="e">
            <v>#DIV/0!</v>
          </cell>
          <cell r="BS41">
            <v>800</v>
          </cell>
          <cell r="BT41">
            <v>506.44002499999999</v>
          </cell>
          <cell r="BU41">
            <v>-293.55997500000001</v>
          </cell>
          <cell r="BV41">
            <v>80</v>
          </cell>
          <cell r="BW41">
            <v>4.7058823529411766E-4</v>
          </cell>
          <cell r="BX41">
            <v>0</v>
          </cell>
          <cell r="BY41" t="e">
            <v>#DIV/0!</v>
          </cell>
          <cell r="BZ41">
            <v>880</v>
          </cell>
          <cell r="CA41">
            <v>506.44002499999999</v>
          </cell>
          <cell r="CB41">
            <v>-373.55997500000001</v>
          </cell>
          <cell r="CC41">
            <v>80</v>
          </cell>
          <cell r="CD41">
            <v>4.7058823529411766E-4</v>
          </cell>
          <cell r="CE41">
            <v>0</v>
          </cell>
          <cell r="CF41" t="e">
            <v>#DIV/0!</v>
          </cell>
          <cell r="CG41">
            <v>960</v>
          </cell>
          <cell r="CH41">
            <v>506.44002499999999</v>
          </cell>
        </row>
        <row r="42">
          <cell r="A42" t="str">
            <v>Plano de Saúde</v>
          </cell>
          <cell r="B42">
            <v>3.5629506292601004E-2</v>
          </cell>
          <cell r="C42">
            <v>2404.5166146666666</v>
          </cell>
          <cell r="D42">
            <v>2600</v>
          </cell>
          <cell r="E42">
            <v>2.5490196078431372E-2</v>
          </cell>
          <cell r="F42">
            <v>7697.071027</v>
          </cell>
          <cell r="G42">
            <v>8.0488037509149846E-2</v>
          </cell>
          <cell r="H42">
            <v>2600</v>
          </cell>
          <cell r="I42">
            <v>7697.071027</v>
          </cell>
          <cell r="J42">
            <v>5097.071027</v>
          </cell>
          <cell r="K42">
            <v>2600</v>
          </cell>
          <cell r="L42">
            <v>2.3636363636363636E-2</v>
          </cell>
          <cell r="M42">
            <v>7792.4207669999996</v>
          </cell>
          <cell r="N42">
            <v>7.6651787989376344E-2</v>
          </cell>
          <cell r="O42">
            <v>5200</v>
          </cell>
          <cell r="P42">
            <v>15489.491794</v>
          </cell>
          <cell r="Q42">
            <v>10289.491794</v>
          </cell>
          <cell r="R42">
            <v>2600</v>
          </cell>
          <cell r="S42">
            <v>7.4285714285714285E-3</v>
          </cell>
          <cell r="T42">
            <v>7791.6405089999998</v>
          </cell>
          <cell r="U42">
            <v>2.2633668871459695E-2</v>
          </cell>
          <cell r="V42">
            <v>7800</v>
          </cell>
          <cell r="W42">
            <v>23281.132302999999</v>
          </cell>
          <cell r="X42">
            <v>15481.132302999999</v>
          </cell>
          <cell r="Y42">
            <v>2600</v>
          </cell>
          <cell r="Z42">
            <v>1.5757575757575758E-2</v>
          </cell>
          <cell r="AA42">
            <v>0</v>
          </cell>
          <cell r="AB42">
            <v>0</v>
          </cell>
          <cell r="AC42">
            <v>10400</v>
          </cell>
          <cell r="AD42">
            <v>23281.132302999999</v>
          </cell>
          <cell r="AE42">
            <v>12881.132302999999</v>
          </cell>
          <cell r="AF42">
            <v>2600</v>
          </cell>
          <cell r="AG42">
            <v>8.6666666666666663E-3</v>
          </cell>
          <cell r="AH42">
            <v>0</v>
          </cell>
          <cell r="AI42">
            <v>0</v>
          </cell>
          <cell r="AJ42">
            <v>13000</v>
          </cell>
          <cell r="AK42">
            <v>23281.132302999999</v>
          </cell>
          <cell r="AL42">
            <v>10281.132302999999</v>
          </cell>
          <cell r="AM42">
            <v>2600</v>
          </cell>
          <cell r="AN42">
            <v>1.5294117647058824E-2</v>
          </cell>
          <cell r="AO42">
            <v>0</v>
          </cell>
          <cell r="AP42">
            <v>0</v>
          </cell>
          <cell r="AQ42">
            <v>15600</v>
          </cell>
          <cell r="AR42">
            <v>23281.132302999999</v>
          </cell>
          <cell r="AS42">
            <v>7681.1323029999985</v>
          </cell>
          <cell r="AT42">
            <v>2600</v>
          </cell>
          <cell r="AU42">
            <v>1.5294117647058824E-2</v>
          </cell>
          <cell r="AV42">
            <v>0</v>
          </cell>
          <cell r="AW42" t="e">
            <v>#DIV/0!</v>
          </cell>
          <cell r="AX42">
            <v>18200</v>
          </cell>
          <cell r="AY42">
            <v>23281.132302999999</v>
          </cell>
          <cell r="AZ42">
            <v>5081.1323029999985</v>
          </cell>
          <cell r="BA42">
            <v>2600</v>
          </cell>
          <cell r="BB42">
            <v>1.5294117647058824E-2</v>
          </cell>
          <cell r="BC42">
            <v>0</v>
          </cell>
          <cell r="BD42" t="e">
            <v>#DIV/0!</v>
          </cell>
          <cell r="BE42">
            <v>20800</v>
          </cell>
          <cell r="BF42">
            <v>23281.132302999999</v>
          </cell>
          <cell r="BG42">
            <v>2481.1323029999985</v>
          </cell>
          <cell r="BH42">
            <v>26000</v>
          </cell>
          <cell r="BI42">
            <v>0.15294117647058825</v>
          </cell>
          <cell r="BJ42">
            <v>0</v>
          </cell>
          <cell r="BK42" t="e">
            <v>#DIV/0!</v>
          </cell>
          <cell r="BL42">
            <v>46800</v>
          </cell>
          <cell r="BM42">
            <v>23281.132302999999</v>
          </cell>
          <cell r="BN42">
            <v>-23518.867697000001</v>
          </cell>
          <cell r="BO42">
            <v>2600</v>
          </cell>
          <cell r="BP42">
            <v>1.5294117647058824E-2</v>
          </cell>
          <cell r="BQ42">
            <v>0</v>
          </cell>
          <cell r="BR42" t="e">
            <v>#DIV/0!</v>
          </cell>
          <cell r="BS42">
            <v>49400</v>
          </cell>
          <cell r="BT42">
            <v>23281.132302999999</v>
          </cell>
          <cell r="BU42">
            <v>-26118.867697000001</v>
          </cell>
          <cell r="BV42">
            <v>2600</v>
          </cell>
          <cell r="BW42">
            <v>1.5294117647058824E-2</v>
          </cell>
          <cell r="BX42">
            <v>0</v>
          </cell>
          <cell r="BY42" t="e">
            <v>#DIV/0!</v>
          </cell>
          <cell r="BZ42">
            <v>52000</v>
          </cell>
          <cell r="CA42">
            <v>23281.132302999999</v>
          </cell>
          <cell r="CB42">
            <v>-28718.867697000001</v>
          </cell>
          <cell r="CC42">
            <v>2600</v>
          </cell>
          <cell r="CD42">
            <v>1.5294117647058824E-2</v>
          </cell>
          <cell r="CE42">
            <v>0</v>
          </cell>
          <cell r="CF42" t="e">
            <v>#DIV/0!</v>
          </cell>
          <cell r="CG42">
            <v>54600</v>
          </cell>
          <cell r="CH42">
            <v>23281.132302999999</v>
          </cell>
        </row>
        <row r="43">
          <cell r="A43" t="str">
            <v>Plano Odontológico</v>
          </cell>
          <cell r="B43">
            <v>6.7307118937073981E-4</v>
          </cell>
          <cell r="C43">
            <v>45.423330999999997</v>
          </cell>
          <cell r="D43">
            <v>60</v>
          </cell>
          <cell r="E43">
            <v>5.8823529411764701E-4</v>
          </cell>
          <cell r="F43">
            <v>160.78002499999999</v>
          </cell>
          <cell r="G43">
            <v>1.6812718289239779E-3</v>
          </cell>
          <cell r="H43">
            <v>60</v>
          </cell>
          <cell r="I43">
            <v>160.78002499999999</v>
          </cell>
          <cell r="J43">
            <v>100.78002499999999</v>
          </cell>
          <cell r="K43">
            <v>60</v>
          </cell>
          <cell r="L43">
            <v>5.4545454545454548E-4</v>
          </cell>
          <cell r="M43">
            <v>160.78001800000001</v>
          </cell>
          <cell r="N43">
            <v>1.5815465079677357E-3</v>
          </cell>
          <cell r="O43">
            <v>120</v>
          </cell>
          <cell r="P43">
            <v>321.56004300000001</v>
          </cell>
          <cell r="Q43">
            <v>201.56004300000001</v>
          </cell>
          <cell r="R43">
            <v>60</v>
          </cell>
          <cell r="S43">
            <v>1.7142857142857143E-4</v>
          </cell>
          <cell r="T43">
            <v>160.78002000000001</v>
          </cell>
          <cell r="U43">
            <v>4.6704435729847494E-4</v>
          </cell>
          <cell r="V43">
            <v>180</v>
          </cell>
          <cell r="W43">
            <v>482.34006299999999</v>
          </cell>
          <cell r="X43">
            <v>302.34006299999999</v>
          </cell>
          <cell r="Y43">
            <v>60</v>
          </cell>
          <cell r="Z43">
            <v>3.6363636363636361E-4</v>
          </cell>
          <cell r="AA43">
            <v>0</v>
          </cell>
          <cell r="AB43">
            <v>0</v>
          </cell>
          <cell r="AC43">
            <v>240</v>
          </cell>
          <cell r="AD43">
            <v>482.34006299999999</v>
          </cell>
          <cell r="AE43">
            <v>242.34006299999999</v>
          </cell>
          <cell r="AF43">
            <v>60</v>
          </cell>
          <cell r="AG43">
            <v>2.0000000000000001E-4</v>
          </cell>
          <cell r="AH43">
            <v>0</v>
          </cell>
          <cell r="AI43">
            <v>0</v>
          </cell>
          <cell r="AJ43">
            <v>300</v>
          </cell>
          <cell r="AK43">
            <v>482.34006299999999</v>
          </cell>
          <cell r="AL43">
            <v>182.34006299999999</v>
          </cell>
          <cell r="AM43">
            <v>60</v>
          </cell>
          <cell r="AN43">
            <v>3.5294117647058826E-4</v>
          </cell>
          <cell r="AO43">
            <v>0</v>
          </cell>
          <cell r="AP43">
            <v>0</v>
          </cell>
          <cell r="AQ43">
            <v>360</v>
          </cell>
          <cell r="AR43">
            <v>482.34006299999999</v>
          </cell>
          <cell r="AS43">
            <v>122.34006299999999</v>
          </cell>
          <cell r="AT43">
            <v>60</v>
          </cell>
          <cell r="AU43">
            <v>3.5294117647058826E-4</v>
          </cell>
          <cell r="AV43">
            <v>0</v>
          </cell>
          <cell r="AW43" t="e">
            <v>#DIV/0!</v>
          </cell>
          <cell r="AX43">
            <v>420</v>
          </cell>
          <cell r="AY43">
            <v>482.34006299999999</v>
          </cell>
          <cell r="AZ43">
            <v>62.340062999999986</v>
          </cell>
          <cell r="BA43">
            <v>60</v>
          </cell>
          <cell r="BB43">
            <v>3.5294117647058826E-4</v>
          </cell>
          <cell r="BC43">
            <v>0</v>
          </cell>
          <cell r="BD43" t="e">
            <v>#DIV/0!</v>
          </cell>
          <cell r="BE43">
            <v>480</v>
          </cell>
          <cell r="BF43">
            <v>482.34006299999999</v>
          </cell>
          <cell r="BG43">
            <v>2.3400629999999865</v>
          </cell>
          <cell r="BH43">
            <v>60</v>
          </cell>
          <cell r="BI43">
            <v>3.5294117647058826E-4</v>
          </cell>
          <cell r="BJ43">
            <v>0</v>
          </cell>
          <cell r="BK43" t="e">
            <v>#DIV/0!</v>
          </cell>
          <cell r="BL43">
            <v>540</v>
          </cell>
          <cell r="BM43">
            <v>482.34006299999999</v>
          </cell>
          <cell r="BN43">
            <v>-57.659937000000014</v>
          </cell>
          <cell r="BO43">
            <v>60</v>
          </cell>
          <cell r="BP43">
            <v>3.5294117647058826E-4</v>
          </cell>
          <cell r="BQ43">
            <v>0</v>
          </cell>
          <cell r="BR43" t="e">
            <v>#DIV/0!</v>
          </cell>
          <cell r="BS43">
            <v>600</v>
          </cell>
          <cell r="BT43">
            <v>482.34006299999999</v>
          </cell>
          <cell r="BU43">
            <v>-117.65993700000001</v>
          </cell>
          <cell r="BV43">
            <v>60</v>
          </cell>
          <cell r="BW43">
            <v>3.5294117647058826E-4</v>
          </cell>
          <cell r="BX43">
            <v>0</v>
          </cell>
          <cell r="BY43" t="e">
            <v>#DIV/0!</v>
          </cell>
          <cell r="BZ43">
            <v>660</v>
          </cell>
          <cell r="CA43">
            <v>482.34006299999999</v>
          </cell>
          <cell r="CB43">
            <v>-177.65993700000001</v>
          </cell>
          <cell r="CC43">
            <v>60</v>
          </cell>
          <cell r="CD43">
            <v>3.5294117647058826E-4</v>
          </cell>
          <cell r="CE43">
            <v>0</v>
          </cell>
          <cell r="CF43" t="e">
            <v>#DIV/0!</v>
          </cell>
          <cell r="CG43">
            <v>720</v>
          </cell>
          <cell r="CH43">
            <v>482.34006299999999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0.35002710841031826</v>
          </cell>
          <cell r="C45">
            <v>23622.162789584345</v>
          </cell>
          <cell r="D45">
            <v>55000</v>
          </cell>
          <cell r="E45">
            <v>0.53921568627450978</v>
          </cell>
          <cell r="F45">
            <v>49648.90257575758</v>
          </cell>
          <cell r="G45">
            <v>0.51917706342944248</v>
          </cell>
          <cell r="H45">
            <v>55000</v>
          </cell>
          <cell r="I45">
            <v>49648.90257575758</v>
          </cell>
          <cell r="J45">
            <v>-5351.0974242424199</v>
          </cell>
          <cell r="K45">
            <v>80000</v>
          </cell>
          <cell r="L45">
            <v>0.72727272727272729</v>
          </cell>
          <cell r="M45">
            <v>46466.442191780814</v>
          </cell>
          <cell r="N45">
            <v>0.45707694463683668</v>
          </cell>
          <cell r="O45">
            <v>135000</v>
          </cell>
          <cell r="P45">
            <v>96115.344767538394</v>
          </cell>
          <cell r="Q45">
            <v>-38884.655232461606</v>
          </cell>
          <cell r="R45">
            <v>95000</v>
          </cell>
          <cell r="S45">
            <v>0.27142857142857141</v>
          </cell>
          <cell r="T45">
            <v>56533.761058823526</v>
          </cell>
          <cell r="U45">
            <v>0.16422298056303131</v>
          </cell>
          <cell r="V45">
            <v>230000</v>
          </cell>
          <cell r="W45">
            <v>152649.10582636192</v>
          </cell>
          <cell r="X45">
            <v>-77350.89417363808</v>
          </cell>
          <cell r="Y45">
            <v>85000</v>
          </cell>
          <cell r="Z45">
            <v>0.51515151515151514</v>
          </cell>
          <cell r="AA45">
            <v>0</v>
          </cell>
          <cell r="AB45">
            <v>0</v>
          </cell>
          <cell r="AC45">
            <v>315000</v>
          </cell>
          <cell r="AD45">
            <v>152649.10582636192</v>
          </cell>
          <cell r="AE45">
            <v>-162350.89417363808</v>
          </cell>
          <cell r="AF45">
            <v>85000</v>
          </cell>
          <cell r="AG45">
            <v>0.28333333333333333</v>
          </cell>
          <cell r="AH45">
            <v>0</v>
          </cell>
          <cell r="AI45">
            <v>0</v>
          </cell>
          <cell r="AJ45">
            <v>400000</v>
          </cell>
          <cell r="AK45">
            <v>152649.10582636192</v>
          </cell>
          <cell r="AL45">
            <v>-247350.89417363808</v>
          </cell>
          <cell r="AM45">
            <v>85000</v>
          </cell>
          <cell r="AN45">
            <v>0.5</v>
          </cell>
          <cell r="AO45">
            <v>0</v>
          </cell>
          <cell r="AP45">
            <v>0</v>
          </cell>
          <cell r="AQ45">
            <v>485000</v>
          </cell>
          <cell r="AR45">
            <v>152649.10582636192</v>
          </cell>
          <cell r="AS45">
            <v>-332350.89417363808</v>
          </cell>
          <cell r="AT45">
            <v>85000</v>
          </cell>
          <cell r="AU45">
            <v>0.5</v>
          </cell>
          <cell r="AV45">
            <v>0</v>
          </cell>
          <cell r="AW45" t="e">
            <v>#DIV/0!</v>
          </cell>
          <cell r="AX45">
            <v>570000</v>
          </cell>
          <cell r="AY45">
            <v>152649.10582636192</v>
          </cell>
          <cell r="AZ45">
            <v>-417350.89417363808</v>
          </cell>
          <cell r="BA45">
            <v>85000</v>
          </cell>
          <cell r="BB45">
            <v>0.5</v>
          </cell>
          <cell r="BC45">
            <v>0</v>
          </cell>
          <cell r="BD45" t="e">
            <v>#DIV/0!</v>
          </cell>
          <cell r="BE45">
            <v>655000</v>
          </cell>
          <cell r="BF45">
            <v>152649.10582636192</v>
          </cell>
          <cell r="BG45">
            <v>-502350.89417363808</v>
          </cell>
          <cell r="BH45">
            <v>85000</v>
          </cell>
          <cell r="BI45">
            <v>0.5</v>
          </cell>
          <cell r="BJ45">
            <v>0</v>
          </cell>
          <cell r="BK45" t="e">
            <v>#DIV/0!</v>
          </cell>
          <cell r="BL45">
            <v>740000</v>
          </cell>
          <cell r="BM45">
            <v>152649.10582636192</v>
          </cell>
          <cell r="BN45">
            <v>-587350.89417363808</v>
          </cell>
          <cell r="BO45">
            <v>85000</v>
          </cell>
          <cell r="BP45">
            <v>0.5</v>
          </cell>
          <cell r="BQ45">
            <v>0</v>
          </cell>
          <cell r="BR45" t="e">
            <v>#DIV/0!</v>
          </cell>
          <cell r="BS45">
            <v>825000</v>
          </cell>
          <cell r="BT45">
            <v>152649.10582636192</v>
          </cell>
          <cell r="BU45">
            <v>-672350.89417363808</v>
          </cell>
          <cell r="BV45">
            <v>85000</v>
          </cell>
          <cell r="BW45">
            <v>0.5</v>
          </cell>
          <cell r="BX45">
            <v>0</v>
          </cell>
          <cell r="BY45" t="e">
            <v>#DIV/0!</v>
          </cell>
          <cell r="BZ45">
            <v>910000</v>
          </cell>
          <cell r="CA45">
            <v>152649.10582636192</v>
          </cell>
          <cell r="CB45">
            <v>-757350.89417363808</v>
          </cell>
          <cell r="CC45">
            <v>85000</v>
          </cell>
          <cell r="CD45">
            <v>0.5</v>
          </cell>
          <cell r="CE45">
            <v>0</v>
          </cell>
          <cell r="CF45" t="e">
            <v>#DIV/0!</v>
          </cell>
          <cell r="CG45">
            <v>995000</v>
          </cell>
          <cell r="CH45">
            <v>152649.10582636192</v>
          </cell>
        </row>
        <row r="46">
          <cell r="A46" t="str">
            <v>Pesquisas/Consultas</v>
          </cell>
          <cell r="B46">
            <v>2.9635483552306625E-5</v>
          </cell>
          <cell r="C46">
            <v>2</v>
          </cell>
          <cell r="D46">
            <v>3</v>
          </cell>
          <cell r="E46">
            <v>2.9411764705882354E-5</v>
          </cell>
          <cell r="F46">
            <v>0</v>
          </cell>
          <cell r="G46">
            <v>0</v>
          </cell>
          <cell r="H46">
            <v>3</v>
          </cell>
          <cell r="I46">
            <v>0</v>
          </cell>
          <cell r="J46">
            <v>-3</v>
          </cell>
          <cell r="K46">
            <v>3</v>
          </cell>
          <cell r="L46">
            <v>2.7272727272727273E-5</v>
          </cell>
          <cell r="M46">
            <v>36.700000000000003</v>
          </cell>
          <cell r="N46">
            <v>3.6100727916584696E-4</v>
          </cell>
          <cell r="O46">
            <v>6</v>
          </cell>
          <cell r="P46">
            <v>36.700000000000003</v>
          </cell>
          <cell r="Q46">
            <v>30.700000000000003</v>
          </cell>
          <cell r="R46">
            <v>3</v>
          </cell>
          <cell r="S46">
            <v>8.5714285714285709E-6</v>
          </cell>
          <cell r="T46">
            <v>40.479999999999997</v>
          </cell>
          <cell r="U46">
            <v>1.1758896151053013E-4</v>
          </cell>
          <cell r="V46">
            <v>9</v>
          </cell>
          <cell r="W46">
            <v>77.180000000000007</v>
          </cell>
          <cell r="X46">
            <v>68.180000000000007</v>
          </cell>
          <cell r="Y46">
            <v>3</v>
          </cell>
          <cell r="Z46">
            <v>1.8181818181818182E-5</v>
          </cell>
          <cell r="AA46">
            <v>0</v>
          </cell>
          <cell r="AB46">
            <v>0</v>
          </cell>
          <cell r="AC46">
            <v>12</v>
          </cell>
          <cell r="AD46">
            <v>77.180000000000007</v>
          </cell>
          <cell r="AE46">
            <v>65.180000000000007</v>
          </cell>
          <cell r="AF46">
            <v>3</v>
          </cell>
          <cell r="AG46">
            <v>1.0000000000000001E-5</v>
          </cell>
          <cell r="AH46">
            <v>0</v>
          </cell>
          <cell r="AI46">
            <v>0</v>
          </cell>
          <cell r="AJ46">
            <v>15</v>
          </cell>
          <cell r="AK46">
            <v>77.180000000000007</v>
          </cell>
          <cell r="AL46">
            <v>62.180000000000007</v>
          </cell>
          <cell r="AM46">
            <v>3</v>
          </cell>
          <cell r="AN46">
            <v>1.764705882352941E-5</v>
          </cell>
          <cell r="AO46">
            <v>0</v>
          </cell>
          <cell r="AP46">
            <v>0</v>
          </cell>
          <cell r="AQ46">
            <v>18</v>
          </cell>
          <cell r="AR46">
            <v>77.180000000000007</v>
          </cell>
          <cell r="AS46">
            <v>59.180000000000007</v>
          </cell>
          <cell r="AT46">
            <v>3</v>
          </cell>
          <cell r="AU46">
            <v>1.764705882352941E-5</v>
          </cell>
          <cell r="AV46">
            <v>0</v>
          </cell>
          <cell r="AW46" t="e">
            <v>#DIV/0!</v>
          </cell>
          <cell r="AX46">
            <v>21</v>
          </cell>
          <cell r="AY46">
            <v>77.180000000000007</v>
          </cell>
          <cell r="AZ46">
            <v>56.180000000000007</v>
          </cell>
          <cell r="BA46">
            <v>3</v>
          </cell>
          <cell r="BB46">
            <v>1.764705882352941E-5</v>
          </cell>
          <cell r="BC46">
            <v>0</v>
          </cell>
          <cell r="BD46" t="e">
            <v>#DIV/0!</v>
          </cell>
          <cell r="BE46">
            <v>24</v>
          </cell>
          <cell r="BF46">
            <v>77.180000000000007</v>
          </cell>
          <cell r="BG46">
            <v>53.180000000000007</v>
          </cell>
          <cell r="BH46">
            <v>3</v>
          </cell>
          <cell r="BI46">
            <v>1.764705882352941E-5</v>
          </cell>
          <cell r="BJ46">
            <v>0</v>
          </cell>
          <cell r="BK46" t="e">
            <v>#DIV/0!</v>
          </cell>
          <cell r="BL46">
            <v>27</v>
          </cell>
          <cell r="BM46">
            <v>77.180000000000007</v>
          </cell>
          <cell r="BN46">
            <v>50.180000000000007</v>
          </cell>
          <cell r="BO46">
            <v>3</v>
          </cell>
          <cell r="BP46">
            <v>1.764705882352941E-5</v>
          </cell>
          <cell r="BQ46">
            <v>0</v>
          </cell>
          <cell r="BR46" t="e">
            <v>#DIV/0!</v>
          </cell>
          <cell r="BS46">
            <v>30</v>
          </cell>
          <cell r="BT46">
            <v>77.180000000000007</v>
          </cell>
          <cell r="BU46">
            <v>47.180000000000007</v>
          </cell>
          <cell r="BV46">
            <v>3</v>
          </cell>
          <cell r="BW46">
            <v>1.764705882352941E-5</v>
          </cell>
          <cell r="BX46">
            <v>0</v>
          </cell>
          <cell r="BY46" t="e">
            <v>#DIV/0!</v>
          </cell>
          <cell r="BZ46">
            <v>33</v>
          </cell>
          <cell r="CA46">
            <v>77.180000000000007</v>
          </cell>
          <cell r="CB46">
            <v>44.180000000000007</v>
          </cell>
          <cell r="CC46">
            <v>3</v>
          </cell>
          <cell r="CD46">
            <v>1.764705882352941E-5</v>
          </cell>
          <cell r="CE46">
            <v>0</v>
          </cell>
          <cell r="CF46" t="e">
            <v>#DIV/0!</v>
          </cell>
          <cell r="CG46">
            <v>36</v>
          </cell>
          <cell r="CH46">
            <v>77.180000000000007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Alimentação / Refeição</v>
          </cell>
          <cell r="B49">
            <v>9.9444829426587177E-3</v>
          </cell>
          <cell r="C49">
            <v>671.12000552356142</v>
          </cell>
          <cell r="D49">
            <v>600</v>
          </cell>
          <cell r="E49">
            <v>5.8823529411764705E-3</v>
          </cell>
          <cell r="F49">
            <v>940.46428842424189</v>
          </cell>
          <cell r="G49">
            <v>9.8344064459295402E-3</v>
          </cell>
          <cell r="H49">
            <v>600</v>
          </cell>
          <cell r="I49">
            <v>940.46428842424189</v>
          </cell>
          <cell r="J49">
            <v>340.46428842424189</v>
          </cell>
          <cell r="K49">
            <v>600</v>
          </cell>
          <cell r="L49">
            <v>5.454545454545455E-3</v>
          </cell>
          <cell r="M49">
            <v>1474.760706917808</v>
          </cell>
          <cell r="N49">
            <v>1.450679428406264E-2</v>
          </cell>
          <cell r="O49">
            <v>1200</v>
          </cell>
          <cell r="P49">
            <v>2415.2249953420496</v>
          </cell>
          <cell r="Q49">
            <v>1215.2249953420496</v>
          </cell>
          <cell r="R49">
            <v>600</v>
          </cell>
          <cell r="S49">
            <v>1.7142857142857142E-3</v>
          </cell>
          <cell r="T49">
            <v>1374.7745911764709</v>
          </cell>
          <cell r="U49">
            <v>3.9935354863514048E-3</v>
          </cell>
          <cell r="V49">
            <v>1800</v>
          </cell>
          <cell r="W49">
            <v>3789.9995865185206</v>
          </cell>
          <cell r="X49">
            <v>1989.9995865185206</v>
          </cell>
          <cell r="Y49">
            <v>600</v>
          </cell>
          <cell r="Z49">
            <v>3.6363636363636364E-3</v>
          </cell>
          <cell r="AA49">
            <v>0</v>
          </cell>
          <cell r="AB49">
            <v>0</v>
          </cell>
          <cell r="AC49">
            <v>2400</v>
          </cell>
          <cell r="AD49">
            <v>3789.9995865185206</v>
          </cell>
          <cell r="AE49">
            <v>1389.9995865185206</v>
          </cell>
          <cell r="AF49">
            <v>600</v>
          </cell>
          <cell r="AG49">
            <v>2E-3</v>
          </cell>
          <cell r="AH49">
            <v>0</v>
          </cell>
          <cell r="AI49">
            <v>0</v>
          </cell>
          <cell r="AJ49">
            <v>3000</v>
          </cell>
          <cell r="AK49">
            <v>3789.9995865185206</v>
          </cell>
          <cell r="AL49">
            <v>789.99958651852057</v>
          </cell>
          <cell r="AM49">
            <v>600</v>
          </cell>
          <cell r="AN49">
            <v>3.5294117647058825E-3</v>
          </cell>
          <cell r="AO49">
            <v>0</v>
          </cell>
          <cell r="AP49">
            <v>0</v>
          </cell>
          <cell r="AQ49">
            <v>3600</v>
          </cell>
          <cell r="AR49">
            <v>3789.9995865185206</v>
          </cell>
          <cell r="AS49">
            <v>189.99958651852057</v>
          </cell>
          <cell r="AT49">
            <v>600</v>
          </cell>
          <cell r="AU49">
            <v>3.5294117647058825E-3</v>
          </cell>
          <cell r="AV49">
            <v>0</v>
          </cell>
          <cell r="AW49" t="e">
            <v>#DIV/0!</v>
          </cell>
          <cell r="AX49">
            <v>4200</v>
          </cell>
          <cell r="AY49">
            <v>3789.9995865185206</v>
          </cell>
          <cell r="AZ49">
            <v>-410.00041348147943</v>
          </cell>
          <cell r="BA49">
            <v>600</v>
          </cell>
          <cell r="BB49">
            <v>3.5294117647058825E-3</v>
          </cell>
          <cell r="BC49">
            <v>0</v>
          </cell>
          <cell r="BD49" t="e">
            <v>#DIV/0!</v>
          </cell>
          <cell r="BE49">
            <v>4800</v>
          </cell>
          <cell r="BF49">
            <v>3789.9995865185206</v>
          </cell>
          <cell r="BG49">
            <v>-1010.0004134814794</v>
          </cell>
          <cell r="BH49">
            <v>600</v>
          </cell>
          <cell r="BI49">
            <v>3.5294117647058825E-3</v>
          </cell>
          <cell r="BJ49">
            <v>0</v>
          </cell>
          <cell r="BK49" t="e">
            <v>#DIV/0!</v>
          </cell>
          <cell r="BL49">
            <v>5400</v>
          </cell>
          <cell r="BM49">
            <v>3789.9995865185206</v>
          </cell>
          <cell r="BN49">
            <v>-1610.0004134814794</v>
          </cell>
          <cell r="BO49">
            <v>600</v>
          </cell>
          <cell r="BP49">
            <v>3.5294117647058825E-3</v>
          </cell>
          <cell r="BQ49">
            <v>0</v>
          </cell>
          <cell r="BR49" t="e">
            <v>#DIV/0!</v>
          </cell>
          <cell r="BS49">
            <v>6000</v>
          </cell>
          <cell r="BT49">
            <v>3789.9995865185206</v>
          </cell>
          <cell r="BU49">
            <v>-2210.0004134814794</v>
          </cell>
          <cell r="BV49">
            <v>600</v>
          </cell>
          <cell r="BW49">
            <v>3.5294117647058825E-3</v>
          </cell>
          <cell r="BX49">
            <v>0</v>
          </cell>
          <cell r="BY49" t="e">
            <v>#DIV/0!</v>
          </cell>
          <cell r="BZ49">
            <v>6600</v>
          </cell>
          <cell r="CA49">
            <v>3789.9995865185206</v>
          </cell>
          <cell r="CB49">
            <v>-2810.0004134814794</v>
          </cell>
          <cell r="CC49">
            <v>600</v>
          </cell>
          <cell r="CD49">
            <v>3.5294117647058825E-3</v>
          </cell>
          <cell r="CE49">
            <v>0</v>
          </cell>
          <cell r="CF49" t="e">
            <v>#DIV/0!</v>
          </cell>
          <cell r="CG49">
            <v>7200</v>
          </cell>
          <cell r="CH49">
            <v>3789.9995865185206</v>
          </cell>
        </row>
        <row r="50">
          <cell r="A50" t="str">
            <v>Vale Transporte</v>
          </cell>
          <cell r="B50">
            <v>1.4780696186901114E-4</v>
          </cell>
          <cell r="C50">
            <v>9.9749991666666666</v>
          </cell>
          <cell r="D50">
            <v>12</v>
          </cell>
          <cell r="E50">
            <v>1.1764705882352942E-4</v>
          </cell>
          <cell r="F50">
            <v>0</v>
          </cell>
          <cell r="G50">
            <v>0</v>
          </cell>
          <cell r="H50">
            <v>12</v>
          </cell>
          <cell r="I50">
            <v>0</v>
          </cell>
          <cell r="J50">
            <v>-12</v>
          </cell>
          <cell r="K50">
            <v>12</v>
          </cell>
          <cell r="L50">
            <v>1.0909090909090909E-4</v>
          </cell>
          <cell r="M50">
            <v>0</v>
          </cell>
          <cell r="N50">
            <v>0</v>
          </cell>
          <cell r="O50">
            <v>24</v>
          </cell>
          <cell r="P50">
            <v>0</v>
          </cell>
          <cell r="Q50">
            <v>-24</v>
          </cell>
          <cell r="R50">
            <v>12</v>
          </cell>
          <cell r="S50">
            <v>3.4285714285714284E-5</v>
          </cell>
          <cell r="T50">
            <v>0</v>
          </cell>
          <cell r="U50">
            <v>0</v>
          </cell>
          <cell r="V50">
            <v>36</v>
          </cell>
          <cell r="W50">
            <v>0</v>
          </cell>
          <cell r="X50">
            <v>-36</v>
          </cell>
          <cell r="Y50">
            <v>12</v>
          </cell>
          <cell r="Z50">
            <v>7.2727272727272728E-5</v>
          </cell>
          <cell r="AA50">
            <v>0</v>
          </cell>
          <cell r="AB50">
            <v>0</v>
          </cell>
          <cell r="AC50">
            <v>48</v>
          </cell>
          <cell r="AD50">
            <v>0</v>
          </cell>
          <cell r="AE50">
            <v>-48</v>
          </cell>
          <cell r="AF50">
            <v>12</v>
          </cell>
          <cell r="AG50">
            <v>4.0000000000000003E-5</v>
          </cell>
          <cell r="AH50">
            <v>0</v>
          </cell>
          <cell r="AI50">
            <v>0</v>
          </cell>
          <cell r="AJ50">
            <v>60</v>
          </cell>
          <cell r="AK50">
            <v>0</v>
          </cell>
          <cell r="AL50">
            <v>-60</v>
          </cell>
          <cell r="AM50">
            <v>12</v>
          </cell>
          <cell r="AN50">
            <v>7.0588235294117641E-5</v>
          </cell>
          <cell r="AO50">
            <v>0</v>
          </cell>
          <cell r="AP50">
            <v>0</v>
          </cell>
          <cell r="AQ50">
            <v>72</v>
          </cell>
          <cell r="AR50">
            <v>0</v>
          </cell>
          <cell r="AS50">
            <v>-72</v>
          </cell>
          <cell r="AT50">
            <v>12</v>
          </cell>
          <cell r="AU50">
            <v>7.0588235294117641E-5</v>
          </cell>
          <cell r="AV50">
            <v>0</v>
          </cell>
          <cell r="AW50" t="e">
            <v>#DIV/0!</v>
          </cell>
          <cell r="AX50">
            <v>84</v>
          </cell>
          <cell r="AY50">
            <v>0</v>
          </cell>
          <cell r="AZ50">
            <v>-84</v>
          </cell>
          <cell r="BA50">
            <v>12</v>
          </cell>
          <cell r="BB50">
            <v>7.0588235294117641E-5</v>
          </cell>
          <cell r="BC50">
            <v>0</v>
          </cell>
          <cell r="BD50" t="e">
            <v>#DIV/0!</v>
          </cell>
          <cell r="BE50">
            <v>96</v>
          </cell>
          <cell r="BF50">
            <v>0</v>
          </cell>
          <cell r="BG50">
            <v>-96</v>
          </cell>
          <cell r="BH50">
            <v>12</v>
          </cell>
          <cell r="BI50">
            <v>7.0588235294117641E-5</v>
          </cell>
          <cell r="BJ50">
            <v>0</v>
          </cell>
          <cell r="BK50" t="e">
            <v>#DIV/0!</v>
          </cell>
          <cell r="BL50">
            <v>108</v>
          </cell>
          <cell r="BM50">
            <v>0</v>
          </cell>
          <cell r="BN50">
            <v>-108</v>
          </cell>
          <cell r="BO50">
            <v>12</v>
          </cell>
          <cell r="BP50">
            <v>7.0588235294117641E-5</v>
          </cell>
          <cell r="BQ50">
            <v>0</v>
          </cell>
          <cell r="BR50" t="e">
            <v>#DIV/0!</v>
          </cell>
          <cell r="BS50">
            <v>120</v>
          </cell>
          <cell r="BT50">
            <v>0</v>
          </cell>
          <cell r="BU50">
            <v>-120</v>
          </cell>
          <cell r="BV50">
            <v>12</v>
          </cell>
          <cell r="BW50">
            <v>7.0588235294117641E-5</v>
          </cell>
          <cell r="BX50">
            <v>0</v>
          </cell>
          <cell r="BY50" t="e">
            <v>#DIV/0!</v>
          </cell>
          <cell r="BZ50">
            <v>132</v>
          </cell>
          <cell r="CA50">
            <v>0</v>
          </cell>
          <cell r="CB50">
            <v>-132</v>
          </cell>
          <cell r="CC50">
            <v>12</v>
          </cell>
          <cell r="CD50">
            <v>7.0588235294117641E-5</v>
          </cell>
          <cell r="CE50">
            <v>0</v>
          </cell>
          <cell r="CF50" t="e">
            <v>#DIV/0!</v>
          </cell>
          <cell r="CG50">
            <v>144</v>
          </cell>
          <cell r="CH50">
            <v>0</v>
          </cell>
        </row>
        <row r="51">
          <cell r="A51" t="str">
            <v>Viagens - Alimentação / Hospedagem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300</v>
          </cell>
          <cell r="E52">
            <v>2.9411764705882353E-3</v>
          </cell>
          <cell r="F52">
            <v>0</v>
          </cell>
          <cell r="G52">
            <v>0</v>
          </cell>
          <cell r="H52">
            <v>300</v>
          </cell>
          <cell r="I52">
            <v>0</v>
          </cell>
          <cell r="J52">
            <v>-300</v>
          </cell>
          <cell r="K52">
            <v>300</v>
          </cell>
          <cell r="L52">
            <v>2.7272727272727275E-3</v>
          </cell>
          <cell r="M52">
            <v>0</v>
          </cell>
          <cell r="N52">
            <v>0</v>
          </cell>
          <cell r="O52">
            <v>600</v>
          </cell>
          <cell r="P52">
            <v>0</v>
          </cell>
          <cell r="Q52">
            <v>-600</v>
          </cell>
          <cell r="R52">
            <v>300</v>
          </cell>
          <cell r="S52">
            <v>8.571428571428571E-4</v>
          </cell>
          <cell r="T52">
            <v>0</v>
          </cell>
          <cell r="U52">
            <v>0</v>
          </cell>
          <cell r="V52">
            <v>900</v>
          </cell>
          <cell r="W52">
            <v>0</v>
          </cell>
          <cell r="X52">
            <v>-900</v>
          </cell>
          <cell r="Y52">
            <v>300</v>
          </cell>
          <cell r="Z52">
            <v>1.8181818181818182E-3</v>
          </cell>
          <cell r="AA52">
            <v>0</v>
          </cell>
          <cell r="AB52">
            <v>0</v>
          </cell>
          <cell r="AC52">
            <v>1200</v>
          </cell>
          <cell r="AD52">
            <v>0</v>
          </cell>
          <cell r="AE52">
            <v>-1200</v>
          </cell>
          <cell r="AF52">
            <v>300</v>
          </cell>
          <cell r="AG52">
            <v>1E-3</v>
          </cell>
          <cell r="AH52">
            <v>0</v>
          </cell>
          <cell r="AI52">
            <v>0</v>
          </cell>
          <cell r="AJ52">
            <v>1500</v>
          </cell>
          <cell r="AK52">
            <v>0</v>
          </cell>
          <cell r="AL52">
            <v>-1500</v>
          </cell>
          <cell r="AM52">
            <v>300</v>
          </cell>
          <cell r="AN52">
            <v>1.7647058823529412E-3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-1800</v>
          </cell>
          <cell r="AT52">
            <v>300</v>
          </cell>
          <cell r="AU52">
            <v>1.7647058823529412E-3</v>
          </cell>
          <cell r="AV52">
            <v>0</v>
          </cell>
          <cell r="AW52" t="e">
            <v>#DIV/0!</v>
          </cell>
          <cell r="AX52">
            <v>2100</v>
          </cell>
          <cell r="AY52">
            <v>0</v>
          </cell>
          <cell r="AZ52">
            <v>-2100</v>
          </cell>
          <cell r="BA52">
            <v>300</v>
          </cell>
          <cell r="BB52">
            <v>1.7647058823529412E-3</v>
          </cell>
          <cell r="BC52">
            <v>0</v>
          </cell>
          <cell r="BD52" t="e">
            <v>#DIV/0!</v>
          </cell>
          <cell r="BE52">
            <v>2400</v>
          </cell>
          <cell r="BF52">
            <v>0</v>
          </cell>
          <cell r="BG52">
            <v>-2400</v>
          </cell>
          <cell r="BH52">
            <v>300</v>
          </cell>
          <cell r="BI52">
            <v>1.7647058823529412E-3</v>
          </cell>
          <cell r="BJ52">
            <v>0</v>
          </cell>
          <cell r="BK52" t="e">
            <v>#DIV/0!</v>
          </cell>
          <cell r="BL52">
            <v>2700</v>
          </cell>
          <cell r="BM52">
            <v>0</v>
          </cell>
          <cell r="BN52">
            <v>-2700</v>
          </cell>
          <cell r="BO52">
            <v>300</v>
          </cell>
          <cell r="BP52">
            <v>1.7647058823529412E-3</v>
          </cell>
          <cell r="BQ52">
            <v>0</v>
          </cell>
          <cell r="BR52" t="e">
            <v>#DIV/0!</v>
          </cell>
          <cell r="BS52">
            <v>3000</v>
          </cell>
          <cell r="BT52">
            <v>0</v>
          </cell>
          <cell r="BU52">
            <v>-3000</v>
          </cell>
          <cell r="BV52">
            <v>300</v>
          </cell>
          <cell r="BW52">
            <v>1.7647058823529412E-3</v>
          </cell>
          <cell r="BX52">
            <v>0</v>
          </cell>
          <cell r="BY52" t="e">
            <v>#DIV/0!</v>
          </cell>
          <cell r="BZ52">
            <v>3300</v>
          </cell>
          <cell r="CA52">
            <v>0</v>
          </cell>
          <cell r="CB52">
            <v>-3300</v>
          </cell>
          <cell r="CC52">
            <v>300</v>
          </cell>
          <cell r="CD52">
            <v>1.7647058823529412E-3</v>
          </cell>
          <cell r="CE52">
            <v>0</v>
          </cell>
          <cell r="CF52" t="e">
            <v>#DIV/0!</v>
          </cell>
          <cell r="CG52">
            <v>3600</v>
          </cell>
          <cell r="CH52">
            <v>0</v>
          </cell>
        </row>
        <row r="53">
          <cell r="A53" t="str">
            <v>Banco PAN - Total</v>
          </cell>
          <cell r="B53">
            <v>0.46586382266602844</v>
          </cell>
          <cell r="C53">
            <v>31439.596512321375</v>
          </cell>
          <cell r="D53">
            <v>66759.136396551912</v>
          </cell>
          <cell r="E53">
            <v>0.65450133722109705</v>
          </cell>
          <cell r="F53">
            <v>68373.347995761884</v>
          </cell>
          <cell r="G53">
            <v>0.71497801940564576</v>
          </cell>
          <cell r="H53">
            <v>66759.136396551912</v>
          </cell>
          <cell r="I53">
            <v>68373.347995761884</v>
          </cell>
          <cell r="J53">
            <v>1614.2115992099805</v>
          </cell>
          <cell r="K53">
            <v>91839.136396551912</v>
          </cell>
          <cell r="L53">
            <v>0.83490123996865384</v>
          </cell>
          <cell r="M53">
            <v>68206.135772477966</v>
          </cell>
          <cell r="N53">
            <v>0.67092401900922671</v>
          </cell>
          <cell r="O53">
            <v>158598.27279310382</v>
          </cell>
          <cell r="P53">
            <v>136579.48376823988</v>
          </cell>
          <cell r="Q53">
            <v>-22018.789024863952</v>
          </cell>
          <cell r="R53">
            <v>109239.13639655191</v>
          </cell>
          <cell r="S53">
            <v>0.31211181827586254</v>
          </cell>
          <cell r="T53">
            <v>79437.720166696847</v>
          </cell>
          <cell r="U53">
            <v>0.23075590462366552</v>
          </cell>
          <cell r="V53">
            <v>267837.40918965574</v>
          </cell>
          <cell r="W53">
            <v>216017.20393493673</v>
          </cell>
          <cell r="X53">
            <v>-51820.205254719011</v>
          </cell>
          <cell r="Y53">
            <v>97389.136396551912</v>
          </cell>
          <cell r="Z53">
            <v>0.59023719028213273</v>
          </cell>
          <cell r="AA53">
            <v>0</v>
          </cell>
          <cell r="AB53">
            <v>0</v>
          </cell>
          <cell r="AC53">
            <v>365226.54558620765</v>
          </cell>
          <cell r="AD53">
            <v>216017.20393493673</v>
          </cell>
          <cell r="AE53">
            <v>-149209.34165127092</v>
          </cell>
          <cell r="AF53">
            <v>98739.136396551912</v>
          </cell>
          <cell r="AG53">
            <v>0.32913045465517304</v>
          </cell>
          <cell r="AH53">
            <v>0</v>
          </cell>
          <cell r="AI53">
            <v>0</v>
          </cell>
          <cell r="AJ53">
            <v>463965.68198275956</v>
          </cell>
          <cell r="AK53">
            <v>216017.20393493673</v>
          </cell>
          <cell r="AL53">
            <v>-247948.47804782283</v>
          </cell>
          <cell r="AM53">
            <v>97439.136396551912</v>
          </cell>
          <cell r="AN53">
            <v>0.57317139056795241</v>
          </cell>
          <cell r="AO53">
            <v>0</v>
          </cell>
          <cell r="AP53">
            <v>0</v>
          </cell>
          <cell r="AQ53">
            <v>561404.81837931147</v>
          </cell>
          <cell r="AR53">
            <v>216017.20393493673</v>
          </cell>
          <cell r="AS53">
            <v>-345387.61444437475</v>
          </cell>
          <cell r="AT53">
            <v>97439.136396551912</v>
          </cell>
          <cell r="AU53">
            <v>0.57317139056795241</v>
          </cell>
          <cell r="AV53">
            <v>0</v>
          </cell>
          <cell r="AW53" t="e">
            <v>#DIV/0!</v>
          </cell>
          <cell r="AX53">
            <v>658843.95477586333</v>
          </cell>
          <cell r="AY53">
            <v>216017.20393493673</v>
          </cell>
          <cell r="AZ53">
            <v>-442826.75084092666</v>
          </cell>
          <cell r="BA53">
            <v>97439.136396551912</v>
          </cell>
          <cell r="BB53">
            <v>0.56611256703854074</v>
          </cell>
          <cell r="BC53">
            <v>0</v>
          </cell>
          <cell r="BD53" t="e">
            <v>#DIV/0!</v>
          </cell>
          <cell r="BE53">
            <v>756283.0911724153</v>
          </cell>
          <cell r="BF53">
            <v>216017.20393493673</v>
          </cell>
          <cell r="BG53">
            <v>-540265.88723747851</v>
          </cell>
          <cell r="BH53">
            <v>120839.13639655191</v>
          </cell>
          <cell r="BI53">
            <v>0.71081844939148187</v>
          </cell>
          <cell r="BJ53">
            <v>0</v>
          </cell>
          <cell r="BK53" t="e">
            <v>#DIV/0!</v>
          </cell>
          <cell r="BL53">
            <v>877122.22756896715</v>
          </cell>
          <cell r="BM53">
            <v>216017.20393493673</v>
          </cell>
          <cell r="BN53">
            <v>-661105.02363403048</v>
          </cell>
          <cell r="BO53">
            <v>97463.426670117013</v>
          </cell>
          <cell r="BP53">
            <v>0.57331427453010009</v>
          </cell>
          <cell r="BQ53">
            <v>0</v>
          </cell>
          <cell r="BR53" t="e">
            <v>#DIV/0!</v>
          </cell>
          <cell r="BS53">
            <v>974585.65423908422</v>
          </cell>
          <cell r="BT53">
            <v>216017.20393493673</v>
          </cell>
          <cell r="BU53">
            <v>-758568.45030414744</v>
          </cell>
          <cell r="BV53">
            <v>97463.426670117013</v>
          </cell>
          <cell r="BW53">
            <v>0.57331427453010009</v>
          </cell>
          <cell r="BX53">
            <v>0</v>
          </cell>
          <cell r="BY53" t="e">
            <v>#DIV/0!</v>
          </cell>
          <cell r="BZ53">
            <v>1072049.0809092012</v>
          </cell>
          <cell r="CA53">
            <v>216017.20393493673</v>
          </cell>
          <cell r="CB53">
            <v>-856031.87697426451</v>
          </cell>
          <cell r="CC53">
            <v>97463.426670117013</v>
          </cell>
          <cell r="CD53">
            <v>0.57331427453010009</v>
          </cell>
          <cell r="CE53">
            <v>0</v>
          </cell>
          <cell r="CF53" t="e">
            <v>#DIV/0!</v>
          </cell>
          <cell r="CG53">
            <v>1169512.5075793182</v>
          </cell>
          <cell r="CH53">
            <v>216017.20393493673</v>
          </cell>
        </row>
        <row r="54">
          <cell r="A54" t="str">
            <v>Distribuição Anual de Lucros</v>
          </cell>
          <cell r="F54">
            <v>30000</v>
          </cell>
          <cell r="M54">
            <v>142918.29999999999</v>
          </cell>
          <cell r="T54">
            <v>4023.34</v>
          </cell>
          <cell r="AH54">
            <v>0</v>
          </cell>
          <cell r="AO54">
            <v>0</v>
          </cell>
          <cell r="BQ54">
            <v>0</v>
          </cell>
        </row>
        <row r="55">
          <cell r="A55" t="str">
            <v>Ajuste Mensal de Lucros</v>
          </cell>
          <cell r="F55">
            <v>3516.3250000000003</v>
          </cell>
          <cell r="M55">
            <v>16279.910000000002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11708.936666666666</v>
          </cell>
          <cell r="D56">
            <v>17697</v>
          </cell>
          <cell r="F56">
            <v>23849.705913375939</v>
          </cell>
          <cell r="H56">
            <v>17697</v>
          </cell>
          <cell r="I56">
            <v>23849.705913375939</v>
          </cell>
          <cell r="J56">
            <v>6152.7059133759394</v>
          </cell>
          <cell r="K56">
            <v>19085</v>
          </cell>
          <cell r="M56">
            <v>24096.743299232243</v>
          </cell>
          <cell r="O56">
            <v>36782</v>
          </cell>
          <cell r="P56">
            <v>47946.449212608182</v>
          </cell>
          <cell r="Q56">
            <v>11164.449212608182</v>
          </cell>
          <cell r="R56">
            <v>60724.999999999993</v>
          </cell>
          <cell r="T56">
            <v>65274.852830042037</v>
          </cell>
          <cell r="V56">
            <v>97507</v>
          </cell>
          <cell r="W56">
            <v>113221.30204265022</v>
          </cell>
          <cell r="X56">
            <v>15714.302042650219</v>
          </cell>
          <cell r="Y56">
            <v>28627.499999999996</v>
          </cell>
          <cell r="AA56">
            <v>0</v>
          </cell>
          <cell r="AC56">
            <v>126134.5</v>
          </cell>
          <cell r="AD56">
            <v>113221.30204265022</v>
          </cell>
          <cell r="AE56">
            <v>-12913.197957349781</v>
          </cell>
          <cell r="AF56">
            <v>52049.999999999993</v>
          </cell>
          <cell r="AH56">
            <v>0</v>
          </cell>
          <cell r="AJ56">
            <v>178184.5</v>
          </cell>
          <cell r="AK56">
            <v>113221.30204265022</v>
          </cell>
          <cell r="AL56">
            <v>-64963.197957349781</v>
          </cell>
          <cell r="AM56">
            <v>29494.999999999996</v>
          </cell>
          <cell r="AO56">
            <v>0</v>
          </cell>
          <cell r="AQ56">
            <v>207679.5</v>
          </cell>
          <cell r="AR56">
            <v>113221.30204265022</v>
          </cell>
          <cell r="AS56">
            <v>-94458.197957349781</v>
          </cell>
          <cell r="AT56">
            <v>29494.999999999996</v>
          </cell>
          <cell r="AV56">
            <v>0</v>
          </cell>
          <cell r="AX56">
            <v>237174.5</v>
          </cell>
          <cell r="AY56">
            <v>113221.30204265022</v>
          </cell>
          <cell r="AZ56">
            <v>-123953.19795734978</v>
          </cell>
          <cell r="BA56">
            <v>29494.999999999996</v>
          </cell>
          <cell r="BC56">
            <v>0</v>
          </cell>
          <cell r="BE56">
            <v>266669.5</v>
          </cell>
          <cell r="BF56">
            <v>113221.30204265022</v>
          </cell>
          <cell r="BG56">
            <v>-153448.19795734977</v>
          </cell>
          <cell r="BH56">
            <v>29494.999999999996</v>
          </cell>
          <cell r="BJ56">
            <v>0</v>
          </cell>
          <cell r="BL56">
            <v>296164.5</v>
          </cell>
          <cell r="BM56">
            <v>113221.30204265022</v>
          </cell>
          <cell r="BN56">
            <v>-182943.19795734977</v>
          </cell>
          <cell r="BO56">
            <v>29494.999999999996</v>
          </cell>
          <cell r="BQ56">
            <v>0</v>
          </cell>
          <cell r="BS56">
            <v>325659.5</v>
          </cell>
          <cell r="BT56">
            <v>113221.30204265022</v>
          </cell>
          <cell r="BU56">
            <v>-212438.19795734977</v>
          </cell>
          <cell r="BV56">
            <v>29494.999999999996</v>
          </cell>
          <cell r="BX56">
            <v>0</v>
          </cell>
          <cell r="BZ56">
            <v>355154.5</v>
          </cell>
          <cell r="CA56">
            <v>113221.30204265022</v>
          </cell>
          <cell r="CB56">
            <v>-241933.19795734977</v>
          </cell>
          <cell r="CC56">
            <v>29494.999999999996</v>
          </cell>
          <cell r="CE56">
            <v>0</v>
          </cell>
          <cell r="CG56">
            <v>384649.5</v>
          </cell>
          <cell r="CH56">
            <v>113221.30204265022</v>
          </cell>
        </row>
        <row r="58">
          <cell r="A58" t="str">
            <v>Margem de Contribuição</v>
          </cell>
          <cell r="B58">
            <v>0.36063617733397152</v>
          </cell>
          <cell r="C58">
            <v>24338.133487678628</v>
          </cell>
          <cell r="D58">
            <v>0.17199866277890283</v>
          </cell>
          <cell r="F58">
            <v>3.5626331599520826E-2</v>
          </cell>
          <cell r="H58">
            <v>0.17199866277890283</v>
          </cell>
          <cell r="I58">
            <v>3.5626331599520826E-2</v>
          </cell>
          <cell r="K58">
            <v>-8.4012399686537471E-3</v>
          </cell>
          <cell r="M58">
            <v>9.2043290657975507E-2</v>
          </cell>
          <cell r="O58">
            <v>7.8394939655170637E-2</v>
          </cell>
          <cell r="P58">
            <v>6.4696979163424095E-2</v>
          </cell>
          <cell r="R58">
            <v>0.51438818172413736</v>
          </cell>
          <cell r="T58">
            <v>0.5796294175839104</v>
          </cell>
          <cell r="V58">
            <v>0.34992098008958056</v>
          </cell>
          <cell r="W58">
            <v>0.39203289511839023</v>
          </cell>
          <cell r="Y58">
            <v>0.2362628097178672</v>
          </cell>
          <cell r="AA58">
            <v>0</v>
          </cell>
          <cell r="AC58">
            <v>0.3241251092349276</v>
          </cell>
          <cell r="AD58">
            <v>0.39203289511839023</v>
          </cell>
          <cell r="AF58">
            <v>0.49736954534482697</v>
          </cell>
          <cell r="AH58">
            <v>0</v>
          </cell>
          <cell r="AJ58">
            <v>0.37473205259711817</v>
          </cell>
          <cell r="AK58">
            <v>0.39203289511839023</v>
          </cell>
          <cell r="AM58">
            <v>0.2533286094320476</v>
          </cell>
          <cell r="AO58">
            <v>0</v>
          </cell>
          <cell r="AQ58">
            <v>0.35749012666724189</v>
          </cell>
          <cell r="AR58">
            <v>0.39203289511839023</v>
          </cell>
          <cell r="AT58">
            <v>0.2533286094320476</v>
          </cell>
          <cell r="AV58">
            <v>0</v>
          </cell>
          <cell r="AX58">
            <v>0.34453660952753229</v>
          </cell>
          <cell r="AY58">
            <v>0.39203289511839023</v>
          </cell>
          <cell r="BA58">
            <v>0.2533286094320476</v>
          </cell>
          <cell r="BC58">
            <v>0</v>
          </cell>
          <cell r="BE58">
            <v>0.33444854185269013</v>
          </cell>
          <cell r="BF58">
            <v>0.39203289511839023</v>
          </cell>
          <cell r="BH58">
            <v>0.11568155060851819</v>
          </cell>
          <cell r="BJ58">
            <v>0</v>
          </cell>
          <cell r="BL58">
            <v>0.31266155385532096</v>
          </cell>
          <cell r="BM58">
            <v>0.39203289511839023</v>
          </cell>
          <cell r="BO58">
            <v>0.25318572546989992</v>
          </cell>
          <cell r="BQ58">
            <v>0</v>
          </cell>
          <cell r="BS58">
            <v>0.30727482459292266</v>
          </cell>
          <cell r="BT58">
            <v>0.39203289511839023</v>
          </cell>
          <cell r="BV58">
            <v>0.25318572546989992</v>
          </cell>
          <cell r="BX58">
            <v>0</v>
          </cell>
          <cell r="BZ58">
            <v>0.30278281342979912</v>
          </cell>
          <cell r="CA58">
            <v>0.39203289511839023</v>
          </cell>
          <cell r="CC58">
            <v>0.25318572546989992</v>
          </cell>
          <cell r="CE58">
            <v>0</v>
          </cell>
          <cell r="CG58">
            <v>0.29897969888167875</v>
          </cell>
          <cell r="CH58">
            <v>0.39203289511839023</v>
          </cell>
        </row>
        <row r="60">
          <cell r="A60" t="str">
            <v>Rateio</v>
          </cell>
          <cell r="C60">
            <v>9449.241314456538</v>
          </cell>
          <cell r="F60">
            <v>20873.837986393664</v>
          </cell>
          <cell r="I60">
            <v>20873.837986393664</v>
          </cell>
          <cell r="M60">
            <v>22362.229132185155</v>
          </cell>
          <cell r="P60">
            <v>43236.067118578823</v>
          </cell>
          <cell r="T60">
            <v>73900.073283984282</v>
          </cell>
          <cell r="W60">
            <v>117136.14040256311</v>
          </cell>
          <cell r="AA60">
            <v>0</v>
          </cell>
          <cell r="AD60">
            <v>117136.14040256311</v>
          </cell>
          <cell r="AH60">
            <v>0</v>
          </cell>
          <cell r="AK60">
            <v>117136.14040256311</v>
          </cell>
          <cell r="AO60">
            <v>0</v>
          </cell>
          <cell r="AR60">
            <v>117136.14040256311</v>
          </cell>
          <cell r="AV60">
            <v>0</v>
          </cell>
          <cell r="AY60">
            <v>117136.14040256311</v>
          </cell>
          <cell r="BC60">
            <v>0</v>
          </cell>
          <cell r="BF60">
            <v>117136.14040256311</v>
          </cell>
          <cell r="BJ60">
            <v>0</v>
          </cell>
          <cell r="BM60">
            <v>117136.14040256311</v>
          </cell>
          <cell r="BQ60">
            <v>0</v>
          </cell>
          <cell r="BT60">
            <v>117136.14040256311</v>
          </cell>
          <cell r="BX60">
            <v>0</v>
          </cell>
          <cell r="CA60">
            <v>117136.14040256311</v>
          </cell>
          <cell r="CE60">
            <v>0</v>
          </cell>
          <cell r="CH60">
            <v>117136.14040256311</v>
          </cell>
        </row>
        <row r="62">
          <cell r="A62" t="str">
            <v>Resultado</v>
          </cell>
          <cell r="C62">
            <v>1853.4834778470893</v>
          </cell>
          <cell r="F62">
            <v>-17466.891895531488</v>
          </cell>
          <cell r="G62">
            <v>-0.18265075703786979</v>
          </cell>
          <cell r="I62">
            <v>-17466.891895531488</v>
          </cell>
          <cell r="J62">
            <v>-0.18265075703786979</v>
          </cell>
          <cell r="M62">
            <v>-13005.108203895365</v>
          </cell>
          <cell r="N62">
            <v>-0.1279274857750872</v>
          </cell>
          <cell r="P62">
            <v>-30472.000099426852</v>
          </cell>
          <cell r="Q62">
            <v>-0.15445283643077121</v>
          </cell>
          <cell r="T62">
            <v>125637.35371927686</v>
          </cell>
          <cell r="U62">
            <v>0.36495963317146507</v>
          </cell>
          <cell r="W62">
            <v>95165.353619850008</v>
          </cell>
          <cell r="X62">
            <v>0.17573097761910478</v>
          </cell>
          <cell r="AA62">
            <v>0</v>
          </cell>
          <cell r="AB62" t="e">
            <v>#DIV/0!</v>
          </cell>
          <cell r="AD62">
            <v>95165.353619850008</v>
          </cell>
          <cell r="AE62">
            <v>0.17573097761910478</v>
          </cell>
          <cell r="AH62">
            <v>0</v>
          </cell>
          <cell r="AI62" t="e">
            <v>#DIV/0!</v>
          </cell>
          <cell r="AK62">
            <v>95165.353619850008</v>
          </cell>
          <cell r="AL62">
            <v>0.17573097761910478</v>
          </cell>
          <cell r="AO62">
            <v>0</v>
          </cell>
          <cell r="AP62" t="e">
            <v>#DIV/0!</v>
          </cell>
          <cell r="AR62">
            <v>95165.353619850008</v>
          </cell>
          <cell r="AS62">
            <v>0.17573097761910478</v>
          </cell>
          <cell r="AV62">
            <v>0</v>
          </cell>
          <cell r="AW62" t="e">
            <v>#DIV/0!</v>
          </cell>
          <cell r="AY62">
            <v>95165.353619850008</v>
          </cell>
          <cell r="AZ62">
            <v>0.17573097761910478</v>
          </cell>
          <cell r="BC62">
            <v>0</v>
          </cell>
          <cell r="BD62" t="e">
            <v>#DIV/0!</v>
          </cell>
          <cell r="BF62">
            <v>95165.353619850008</v>
          </cell>
          <cell r="BG62">
            <v>0.17573097761910478</v>
          </cell>
          <cell r="BJ62">
            <v>0</v>
          </cell>
          <cell r="BK62" t="e">
            <v>#DIV/0!</v>
          </cell>
          <cell r="BM62">
            <v>95165.353619850008</v>
          </cell>
          <cell r="BN62">
            <v>0.17573097761910478</v>
          </cell>
          <cell r="BQ62">
            <v>0</v>
          </cell>
          <cell r="BR62" t="e">
            <v>#DIV/0!</v>
          </cell>
          <cell r="BT62">
            <v>95165.353619850008</v>
          </cell>
          <cell r="BU62">
            <v>0.17573097761910478</v>
          </cell>
          <cell r="BX62">
            <v>0</v>
          </cell>
          <cell r="BY62" t="e">
            <v>#DIV/0!</v>
          </cell>
          <cell r="CA62">
            <v>95165.353619850008</v>
          </cell>
          <cell r="CB62">
            <v>0.17573097761910478</v>
          </cell>
          <cell r="CE62">
            <v>0</v>
          </cell>
          <cell r="CF62" t="e">
            <v>#DIV/0!</v>
          </cell>
          <cell r="CH62">
            <v>95165.353619850008</v>
          </cell>
        </row>
        <row r="64">
          <cell r="A64" t="str">
            <v>Banco PAN  Pronto? N</v>
          </cell>
          <cell r="CG64" t="str">
            <v>Total Ano</v>
          </cell>
        </row>
        <row r="65">
          <cell r="CG65" t="str">
            <v>Receita</v>
          </cell>
          <cell r="CH65">
            <v>2217000</v>
          </cell>
        </row>
        <row r="66">
          <cell r="A66" t="str">
            <v>Impostos - Cálculo Aproximado %</v>
          </cell>
          <cell r="B66">
            <v>0.17349999999999999</v>
          </cell>
          <cell r="CG66" t="str">
            <v>Desp Dir</v>
          </cell>
          <cell r="CH66">
            <v>1169512.5075793182</v>
          </cell>
        </row>
        <row r="67">
          <cell r="CG67" t="str">
            <v>Imposto</v>
          </cell>
          <cell r="CH67">
            <v>384649.5</v>
          </cell>
        </row>
        <row r="68">
          <cell r="CG68" t="str">
            <v>MC</v>
          </cell>
          <cell r="CH68">
            <v>662837.99242068175</v>
          </cell>
        </row>
        <row r="69">
          <cell r="CG69" t="str">
            <v>MC %</v>
          </cell>
          <cell r="CH69">
            <v>0.29897969888167875</v>
          </cell>
        </row>
        <row r="70">
          <cell r="CG70" t="str">
            <v>Rateio</v>
          </cell>
          <cell r="CH70">
            <v>490275.73913527769</v>
          </cell>
        </row>
        <row r="71">
          <cell r="CG71" t="str">
            <v>ML</v>
          </cell>
          <cell r="CH71">
            <v>172562.25328540406</v>
          </cell>
        </row>
        <row r="72">
          <cell r="CG72" t="str">
            <v>ML %</v>
          </cell>
          <cell r="CH72">
            <v>7.7835928410195793E-2</v>
          </cell>
        </row>
      </sheetData>
      <sheetData sheetId="29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1.3185868764075616E-3</v>
          </cell>
          <cell r="C13">
            <v>77.285014000000004</v>
          </cell>
          <cell r="D13">
            <v>417.87808851747218</v>
          </cell>
          <cell r="E13">
            <v>4.6430898724163575E-3</v>
          </cell>
          <cell r="F13">
            <v>395.92383999999998</v>
          </cell>
          <cell r="G13">
            <v>2.6520452809967177E-3</v>
          </cell>
          <cell r="H13">
            <v>417.87808851747218</v>
          </cell>
          <cell r="I13">
            <v>395.92383999999998</v>
          </cell>
          <cell r="J13">
            <v>-21.954248517472195</v>
          </cell>
          <cell r="K13">
            <v>417.87808851747218</v>
          </cell>
          <cell r="L13">
            <v>2.4437315117980828E-3</v>
          </cell>
          <cell r="M13">
            <v>400.82801499999999</v>
          </cell>
          <cell r="N13">
            <v>2.0043906238279784E-3</v>
          </cell>
          <cell r="O13">
            <v>835.75617703494436</v>
          </cell>
          <cell r="P13">
            <v>796.75185499999998</v>
          </cell>
          <cell r="Q13">
            <v>-39.00432203494438</v>
          </cell>
          <cell r="R13">
            <v>417.87808851747218</v>
          </cell>
          <cell r="S13">
            <v>3.2144468347497859E-3</v>
          </cell>
          <cell r="T13">
            <v>392.85242</v>
          </cell>
          <cell r="U13">
            <v>0</v>
          </cell>
          <cell r="V13">
            <v>1253.6342655524165</v>
          </cell>
          <cell r="W13">
            <v>1189.6042749999999</v>
          </cell>
          <cell r="X13">
            <v>-64.029990552416621</v>
          </cell>
          <cell r="Y13">
            <v>417.87808851747218</v>
          </cell>
          <cell r="Z13">
            <v>5.5717078468996289E-3</v>
          </cell>
          <cell r="AA13">
            <v>0</v>
          </cell>
          <cell r="AB13">
            <v>0</v>
          </cell>
          <cell r="AC13">
            <v>1671.5123540698887</v>
          </cell>
          <cell r="AD13">
            <v>1189.6042749999999</v>
          </cell>
          <cell r="AE13">
            <v>-481.9080790698888</v>
          </cell>
          <cell r="AF13">
            <v>417.87808851747218</v>
          </cell>
          <cell r="AG13">
            <v>5.5717078468996289E-3</v>
          </cell>
          <cell r="AH13">
            <v>0</v>
          </cell>
          <cell r="AI13">
            <v>0</v>
          </cell>
          <cell r="AJ13">
            <v>2089.3904425873607</v>
          </cell>
          <cell r="AK13">
            <v>1189.6042749999999</v>
          </cell>
          <cell r="AL13">
            <v>-899.78616758736075</v>
          </cell>
          <cell r="AM13">
            <v>417.87808851747218</v>
          </cell>
          <cell r="AN13">
            <v>5.5717078468996289E-3</v>
          </cell>
          <cell r="AO13">
            <v>0</v>
          </cell>
          <cell r="AP13">
            <v>0</v>
          </cell>
          <cell r="AQ13">
            <v>2507.2685311048326</v>
          </cell>
          <cell r="AR13">
            <v>1189.6042749999999</v>
          </cell>
          <cell r="AS13">
            <v>-1317.6642561048327</v>
          </cell>
          <cell r="AT13">
            <v>417.87808851747218</v>
          </cell>
          <cell r="AU13">
            <v>5.5717078468996289E-3</v>
          </cell>
          <cell r="AV13">
            <v>0</v>
          </cell>
          <cell r="AW13" t="e">
            <v>#DIV/0!</v>
          </cell>
          <cell r="AX13">
            <v>2925.1466196223046</v>
          </cell>
          <cell r="AY13">
            <v>1189.6042749999999</v>
          </cell>
          <cell r="AZ13">
            <v>-1735.5423446223047</v>
          </cell>
          <cell r="BA13">
            <v>417.87808851747218</v>
          </cell>
          <cell r="BB13">
            <v>5.5717078468996289E-3</v>
          </cell>
          <cell r="BC13">
            <v>0</v>
          </cell>
          <cell r="BD13" t="e">
            <v>#DIV/0!</v>
          </cell>
          <cell r="BE13">
            <v>3343.0247081397765</v>
          </cell>
          <cell r="BF13">
            <v>1189.6042749999999</v>
          </cell>
          <cell r="BG13">
            <v>-2153.4204331397768</v>
          </cell>
          <cell r="BH13">
            <v>417.87808851747218</v>
          </cell>
          <cell r="BI13">
            <v>5.5717078468996289E-3</v>
          </cell>
          <cell r="BJ13">
            <v>0</v>
          </cell>
          <cell r="BK13" t="e">
            <v>#DIV/0!</v>
          </cell>
          <cell r="BL13">
            <v>3760.9027966572485</v>
          </cell>
          <cell r="BM13">
            <v>1189.6042749999999</v>
          </cell>
          <cell r="BN13">
            <v>-2571.2985216572488</v>
          </cell>
          <cell r="BO13">
            <v>434.07160422754055</v>
          </cell>
          <cell r="BP13">
            <v>5.7876213897005407E-3</v>
          </cell>
          <cell r="BQ13">
            <v>0</v>
          </cell>
          <cell r="BR13" t="e">
            <v>#DIV/0!</v>
          </cell>
          <cell r="BS13">
            <v>4194.9744008847892</v>
          </cell>
          <cell r="BT13">
            <v>1189.6042749999999</v>
          </cell>
          <cell r="BU13">
            <v>-3005.3701258847896</v>
          </cell>
          <cell r="BV13">
            <v>434.07160422754055</v>
          </cell>
          <cell r="BW13">
            <v>5.7876213897005407E-3</v>
          </cell>
          <cell r="BX13">
            <v>0</v>
          </cell>
          <cell r="BY13" t="e">
            <v>#DIV/0!</v>
          </cell>
          <cell r="BZ13">
            <v>4629.04600511233</v>
          </cell>
          <cell r="CA13">
            <v>1189.6042749999999</v>
          </cell>
          <cell r="CB13">
            <v>-3439.4417301123303</v>
          </cell>
          <cell r="CC13">
            <v>434.07160422754055</v>
          </cell>
          <cell r="CD13">
            <v>5.7876213897005407E-3</v>
          </cell>
          <cell r="CE13">
            <v>0</v>
          </cell>
          <cell r="CF13" t="e">
            <v>#DIV/0!</v>
          </cell>
          <cell r="CG13">
            <v>5063.1176093398708</v>
          </cell>
          <cell r="CH13">
            <v>1189.6042749999999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2.2384324029209039E-3</v>
          </cell>
          <cell r="C15">
            <v>131.19900000000001</v>
          </cell>
          <cell r="D15">
            <v>808</v>
          </cell>
          <cell r="E15">
            <v>8.9777777777777772E-3</v>
          </cell>
          <cell r="F15">
            <v>103.99</v>
          </cell>
          <cell r="G15">
            <v>6.9656373501239197E-4</v>
          </cell>
          <cell r="H15">
            <v>808</v>
          </cell>
          <cell r="I15">
            <v>103.99</v>
          </cell>
          <cell r="J15">
            <v>-704.01</v>
          </cell>
          <cell r="K15">
            <v>808</v>
          </cell>
          <cell r="L15">
            <v>4.7251461988304091E-3</v>
          </cell>
          <cell r="M15">
            <v>103.99</v>
          </cell>
          <cell r="N15">
            <v>5.2001500187523443E-4</v>
          </cell>
          <cell r="O15">
            <v>1616</v>
          </cell>
          <cell r="P15">
            <v>207.98</v>
          </cell>
          <cell r="Q15">
            <v>-1408.02</v>
          </cell>
          <cell r="R15">
            <v>808</v>
          </cell>
          <cell r="S15">
            <v>6.2153846153846157E-3</v>
          </cell>
          <cell r="T15">
            <v>103.99</v>
          </cell>
          <cell r="U15">
            <v>0</v>
          </cell>
          <cell r="V15">
            <v>2424</v>
          </cell>
          <cell r="W15">
            <v>311.96999999999997</v>
          </cell>
          <cell r="X15">
            <v>-2112.0300000000002</v>
          </cell>
          <cell r="Y15">
            <v>808</v>
          </cell>
          <cell r="Z15">
            <v>1.0773333333333333E-2</v>
          </cell>
          <cell r="AA15">
            <v>0</v>
          </cell>
          <cell r="AB15">
            <v>0</v>
          </cell>
          <cell r="AC15">
            <v>3232</v>
          </cell>
          <cell r="AD15">
            <v>311.96999999999997</v>
          </cell>
          <cell r="AE15">
            <v>-2920.03</v>
          </cell>
          <cell r="AF15">
            <v>606</v>
          </cell>
          <cell r="AG15">
            <v>8.0800000000000004E-3</v>
          </cell>
          <cell r="AH15">
            <v>0</v>
          </cell>
          <cell r="AI15">
            <v>0</v>
          </cell>
          <cell r="AJ15">
            <v>3838</v>
          </cell>
          <cell r="AK15">
            <v>311.96999999999997</v>
          </cell>
          <cell r="AL15">
            <v>-3526.03</v>
          </cell>
          <cell r="AM15">
            <v>505</v>
          </cell>
          <cell r="AN15">
            <v>6.7333333333333334E-3</v>
          </cell>
          <cell r="AO15">
            <v>0</v>
          </cell>
          <cell r="AP15">
            <v>0</v>
          </cell>
          <cell r="AQ15">
            <v>4343</v>
          </cell>
          <cell r="AR15">
            <v>311.96999999999997</v>
          </cell>
          <cell r="AS15">
            <v>-4031.03</v>
          </cell>
          <cell r="AT15">
            <v>505</v>
          </cell>
          <cell r="AU15">
            <v>6.7333333333333334E-3</v>
          </cell>
          <cell r="AV15">
            <v>0</v>
          </cell>
          <cell r="AW15" t="e">
            <v>#DIV/0!</v>
          </cell>
          <cell r="AX15">
            <v>4848</v>
          </cell>
          <cell r="AY15">
            <v>311.96999999999997</v>
          </cell>
          <cell r="AZ15">
            <v>-4536.03</v>
          </cell>
          <cell r="BA15">
            <v>505</v>
          </cell>
          <cell r="BB15">
            <v>0</v>
          </cell>
          <cell r="BC15">
            <v>0</v>
          </cell>
          <cell r="BD15" t="e">
            <v>#DIV/0!</v>
          </cell>
          <cell r="BE15">
            <v>5353</v>
          </cell>
          <cell r="BF15">
            <v>311.96999999999997</v>
          </cell>
          <cell r="BG15">
            <v>-5041.03</v>
          </cell>
          <cell r="BH15">
            <v>505</v>
          </cell>
          <cell r="BI15">
            <v>6.7333333333333334E-3</v>
          </cell>
          <cell r="BJ15">
            <v>0</v>
          </cell>
          <cell r="BK15" t="e">
            <v>#DIV/0!</v>
          </cell>
          <cell r="BL15">
            <v>5858</v>
          </cell>
          <cell r="BM15">
            <v>311.96999999999997</v>
          </cell>
          <cell r="BN15">
            <v>-5546.03</v>
          </cell>
          <cell r="BO15">
            <v>505</v>
          </cell>
          <cell r="BP15">
            <v>6.7333333333333334E-3</v>
          </cell>
          <cell r="BQ15">
            <v>0</v>
          </cell>
          <cell r="BR15" t="e">
            <v>#DIV/0!</v>
          </cell>
          <cell r="BS15">
            <v>6363</v>
          </cell>
          <cell r="BT15">
            <v>311.96999999999997</v>
          </cell>
          <cell r="BU15">
            <v>-6051.03</v>
          </cell>
          <cell r="BV15">
            <v>505</v>
          </cell>
          <cell r="BW15">
            <v>6.7333333333333334E-3</v>
          </cell>
          <cell r="BX15">
            <v>0</v>
          </cell>
          <cell r="BY15" t="e">
            <v>#DIV/0!</v>
          </cell>
          <cell r="BZ15">
            <v>6868</v>
          </cell>
          <cell r="CA15">
            <v>311.96999999999997</v>
          </cell>
          <cell r="CB15">
            <v>-6556.03</v>
          </cell>
          <cell r="CC15">
            <v>505</v>
          </cell>
          <cell r="CD15">
            <v>6.7333333333333334E-3</v>
          </cell>
          <cell r="CE15">
            <v>0</v>
          </cell>
          <cell r="CF15" t="e">
            <v>#DIV/0!</v>
          </cell>
          <cell r="CG15">
            <v>7373</v>
          </cell>
          <cell r="CH15">
            <v>311.96999999999997</v>
          </cell>
        </row>
        <row r="16">
          <cell r="A16" t="str">
            <v>Back Office / Encerramento</v>
          </cell>
          <cell r="B16">
            <v>2.0020748710671945E-3</v>
          </cell>
          <cell r="C16">
            <v>117.34561234299039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1000</v>
          </cell>
          <cell r="AN16">
            <v>1.3333333333333334E-2</v>
          </cell>
          <cell r="AO16">
            <v>0</v>
          </cell>
          <cell r="AP16">
            <v>0</v>
          </cell>
          <cell r="AQ16">
            <v>1000</v>
          </cell>
          <cell r="AR16">
            <v>0</v>
          </cell>
          <cell r="AS16">
            <v>-1000</v>
          </cell>
          <cell r="AT16">
            <v>1000</v>
          </cell>
          <cell r="AU16">
            <v>1.3333333333333334E-2</v>
          </cell>
          <cell r="AV16">
            <v>0</v>
          </cell>
          <cell r="AW16" t="e">
            <v>#DIV/0!</v>
          </cell>
          <cell r="AX16">
            <v>2000</v>
          </cell>
          <cell r="AY16">
            <v>0</v>
          </cell>
          <cell r="AZ16">
            <v>-2000</v>
          </cell>
          <cell r="BA16">
            <v>1000</v>
          </cell>
          <cell r="BB16">
            <v>1.3333333333333334E-2</v>
          </cell>
          <cell r="BC16">
            <v>0</v>
          </cell>
          <cell r="BD16" t="e">
            <v>#DIV/0!</v>
          </cell>
          <cell r="BE16">
            <v>3000</v>
          </cell>
          <cell r="BF16">
            <v>0</v>
          </cell>
          <cell r="BG16">
            <v>-3000</v>
          </cell>
          <cell r="BH16">
            <v>1000</v>
          </cell>
          <cell r="BI16">
            <v>1.3333333333333334E-2</v>
          </cell>
          <cell r="BJ16">
            <v>0</v>
          </cell>
          <cell r="BK16" t="e">
            <v>#DIV/0!</v>
          </cell>
          <cell r="BL16">
            <v>4000</v>
          </cell>
          <cell r="BM16">
            <v>0</v>
          </cell>
          <cell r="BN16">
            <v>-4000</v>
          </cell>
          <cell r="BO16">
            <v>1000</v>
          </cell>
          <cell r="BP16">
            <v>1.3333333333333334E-2</v>
          </cell>
          <cell r="BQ16">
            <v>0</v>
          </cell>
          <cell r="BR16" t="e">
            <v>#DIV/0!</v>
          </cell>
          <cell r="BS16">
            <v>5000</v>
          </cell>
          <cell r="BT16">
            <v>0</v>
          </cell>
          <cell r="BU16">
            <v>-5000</v>
          </cell>
          <cell r="BV16">
            <v>1000</v>
          </cell>
          <cell r="BW16">
            <v>1.3333333333333334E-2</v>
          </cell>
          <cell r="BX16">
            <v>0</v>
          </cell>
          <cell r="BY16" t="e">
            <v>#DIV/0!</v>
          </cell>
          <cell r="BZ16">
            <v>6000</v>
          </cell>
          <cell r="CA16">
            <v>0</v>
          </cell>
          <cell r="CB16">
            <v>-6000</v>
          </cell>
          <cell r="CC16">
            <v>1000</v>
          </cell>
          <cell r="CD16">
            <v>1.3333333333333334E-2</v>
          </cell>
          <cell r="CE16">
            <v>0</v>
          </cell>
          <cell r="CF16" t="e">
            <v>#DIV/0!</v>
          </cell>
          <cell r="CG16">
            <v>7000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1.0006128977210411E-2</v>
          </cell>
          <cell r="C18">
            <v>586.47923161225663</v>
          </cell>
          <cell r="D18">
            <v>1300</v>
          </cell>
          <cell r="E18">
            <v>1.4444444444444444E-2</v>
          </cell>
          <cell r="F18">
            <v>2411.8471350952218</v>
          </cell>
          <cell r="G18">
            <v>1.6155450030780505E-2</v>
          </cell>
          <cell r="H18">
            <v>1300</v>
          </cell>
          <cell r="I18">
            <v>2411.8471350952218</v>
          </cell>
          <cell r="J18">
            <v>1111.8471350952218</v>
          </cell>
          <cell r="K18">
            <v>2500</v>
          </cell>
          <cell r="L18">
            <v>1.4619883040935672E-2</v>
          </cell>
          <cell r="M18">
            <v>1818.8128087146824</v>
          </cell>
          <cell r="N18">
            <v>9.0952009436913728E-3</v>
          </cell>
          <cell r="O18">
            <v>3800</v>
          </cell>
          <cell r="P18">
            <v>4230.6599438099038</v>
          </cell>
          <cell r="Q18">
            <v>430.65994380990378</v>
          </cell>
          <cell r="R18">
            <v>100</v>
          </cell>
          <cell r="S18">
            <v>7.6923076923076923E-4</v>
          </cell>
          <cell r="T18">
            <v>119.70964847745904</v>
          </cell>
          <cell r="U18">
            <v>0</v>
          </cell>
          <cell r="V18">
            <v>3900</v>
          </cell>
          <cell r="W18">
            <v>4350.369592287363</v>
          </cell>
          <cell r="X18">
            <v>450.36959228736305</v>
          </cell>
          <cell r="Y18">
            <v>100</v>
          </cell>
          <cell r="Z18">
            <v>1.3333333333333333E-3</v>
          </cell>
          <cell r="AA18">
            <v>0</v>
          </cell>
          <cell r="AB18">
            <v>0</v>
          </cell>
          <cell r="AC18">
            <v>4000</v>
          </cell>
          <cell r="AD18">
            <v>4350.369592287363</v>
          </cell>
          <cell r="AE18">
            <v>350.36959228736305</v>
          </cell>
          <cell r="AF18">
            <v>100</v>
          </cell>
          <cell r="AG18">
            <v>1.3333333333333333E-3</v>
          </cell>
          <cell r="AH18">
            <v>0</v>
          </cell>
          <cell r="AI18">
            <v>0</v>
          </cell>
          <cell r="AJ18">
            <v>4100</v>
          </cell>
          <cell r="AK18">
            <v>4350.369592287363</v>
          </cell>
          <cell r="AL18">
            <v>250.36959228736305</v>
          </cell>
          <cell r="AM18">
            <v>100</v>
          </cell>
          <cell r="AN18">
            <v>1.3333333333333333E-3</v>
          </cell>
          <cell r="AO18">
            <v>0</v>
          </cell>
          <cell r="AP18">
            <v>0</v>
          </cell>
          <cell r="AQ18">
            <v>4200</v>
          </cell>
          <cell r="AR18">
            <v>4350.369592287363</v>
          </cell>
          <cell r="AS18">
            <v>150.36959228736305</v>
          </cell>
          <cell r="AT18">
            <v>100</v>
          </cell>
          <cell r="AU18">
            <v>1.3333333333333333E-3</v>
          </cell>
          <cell r="AV18">
            <v>0</v>
          </cell>
          <cell r="AW18" t="e">
            <v>#DIV/0!</v>
          </cell>
          <cell r="AX18">
            <v>4300</v>
          </cell>
          <cell r="AY18">
            <v>4350.369592287363</v>
          </cell>
          <cell r="AZ18">
            <v>50.369592287363048</v>
          </cell>
          <cell r="BA18">
            <v>100</v>
          </cell>
          <cell r="BB18">
            <v>1.3333333333333333E-3</v>
          </cell>
          <cell r="BC18">
            <v>0</v>
          </cell>
          <cell r="BD18" t="e">
            <v>#DIV/0!</v>
          </cell>
          <cell r="BE18">
            <v>4400</v>
          </cell>
          <cell r="BF18">
            <v>4350.369592287363</v>
          </cell>
          <cell r="BG18">
            <v>-49.630407712636952</v>
          </cell>
          <cell r="BH18">
            <v>100</v>
          </cell>
          <cell r="BI18">
            <v>1.3333333333333333E-3</v>
          </cell>
          <cell r="BJ18">
            <v>0</v>
          </cell>
          <cell r="BK18" t="e">
            <v>#DIV/0!</v>
          </cell>
          <cell r="BL18">
            <v>4500</v>
          </cell>
          <cell r="BM18">
            <v>4350.369592287363</v>
          </cell>
          <cell r="BN18">
            <v>-149.63040771263695</v>
          </cell>
          <cell r="BO18">
            <v>100</v>
          </cell>
          <cell r="BP18">
            <v>1.3333333333333333E-3</v>
          </cell>
          <cell r="BQ18">
            <v>0</v>
          </cell>
          <cell r="BR18" t="e">
            <v>#DIV/0!</v>
          </cell>
          <cell r="BS18">
            <v>4600</v>
          </cell>
          <cell r="BT18">
            <v>4350.369592287363</v>
          </cell>
          <cell r="BU18">
            <v>-249.63040771263695</v>
          </cell>
          <cell r="BV18">
            <v>100</v>
          </cell>
          <cell r="BW18">
            <v>1.3333333333333333E-3</v>
          </cell>
          <cell r="BX18">
            <v>0</v>
          </cell>
          <cell r="BY18" t="e">
            <v>#DIV/0!</v>
          </cell>
          <cell r="BZ18">
            <v>4700</v>
          </cell>
          <cell r="CA18">
            <v>4350.369592287363</v>
          </cell>
          <cell r="CB18">
            <v>-349.63040771263695</v>
          </cell>
          <cell r="CC18">
            <v>100</v>
          </cell>
          <cell r="CD18">
            <v>1.3333333333333333E-3</v>
          </cell>
          <cell r="CE18">
            <v>0</v>
          </cell>
          <cell r="CF18" t="e">
            <v>#DIV/0!</v>
          </cell>
          <cell r="CG18">
            <v>4800</v>
          </cell>
          <cell r="CH18">
            <v>4350.369592287363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200</v>
          </cell>
          <cell r="E21">
            <v>2.2222222222222222E-3</v>
          </cell>
          <cell r="F21">
            <v>0</v>
          </cell>
          <cell r="G21">
            <v>0</v>
          </cell>
          <cell r="H21">
            <v>200</v>
          </cell>
          <cell r="I21">
            <v>0</v>
          </cell>
          <cell r="J21">
            <v>-200</v>
          </cell>
          <cell r="K21">
            <v>200</v>
          </cell>
          <cell r="L21">
            <v>1.1695906432748538E-3</v>
          </cell>
          <cell r="M21">
            <v>0</v>
          </cell>
          <cell r="N21">
            <v>0</v>
          </cell>
          <cell r="O21">
            <v>400</v>
          </cell>
          <cell r="P21">
            <v>0</v>
          </cell>
          <cell r="Q21">
            <v>-400</v>
          </cell>
          <cell r="R21">
            <v>200</v>
          </cell>
          <cell r="S21">
            <v>1.5384615384615385E-3</v>
          </cell>
          <cell r="T21">
            <v>0</v>
          </cell>
          <cell r="U21">
            <v>0</v>
          </cell>
          <cell r="V21">
            <v>600</v>
          </cell>
          <cell r="W21">
            <v>0</v>
          </cell>
          <cell r="X21">
            <v>-600</v>
          </cell>
          <cell r="Y21">
            <v>200</v>
          </cell>
          <cell r="Z21">
            <v>2.6666666666666666E-3</v>
          </cell>
          <cell r="AA21">
            <v>0</v>
          </cell>
          <cell r="AB21">
            <v>0</v>
          </cell>
          <cell r="AC21">
            <v>800</v>
          </cell>
          <cell r="AD21">
            <v>0</v>
          </cell>
          <cell r="AE21">
            <v>-800</v>
          </cell>
          <cell r="AF21">
            <v>200</v>
          </cell>
          <cell r="AG21">
            <v>2.6666666666666666E-3</v>
          </cell>
          <cell r="AH21">
            <v>0</v>
          </cell>
          <cell r="AI21">
            <v>0</v>
          </cell>
          <cell r="AJ21">
            <v>1000</v>
          </cell>
          <cell r="AK21">
            <v>0</v>
          </cell>
          <cell r="AL21">
            <v>-1000</v>
          </cell>
          <cell r="AM21">
            <v>200</v>
          </cell>
          <cell r="AN21">
            <v>2.6666666666666666E-3</v>
          </cell>
          <cell r="AO21">
            <v>0</v>
          </cell>
          <cell r="AP21">
            <v>0</v>
          </cell>
          <cell r="AQ21">
            <v>1200</v>
          </cell>
          <cell r="AR21">
            <v>0</v>
          </cell>
          <cell r="AS21">
            <v>-1200</v>
          </cell>
          <cell r="AT21">
            <v>200</v>
          </cell>
          <cell r="AU21">
            <v>2.6666666666666666E-3</v>
          </cell>
          <cell r="AV21">
            <v>0</v>
          </cell>
          <cell r="AW21" t="e">
            <v>#DIV/0!</v>
          </cell>
          <cell r="AX21">
            <v>1400</v>
          </cell>
          <cell r="AY21">
            <v>0</v>
          </cell>
          <cell r="AZ21">
            <v>-1400</v>
          </cell>
          <cell r="BA21">
            <v>200</v>
          </cell>
          <cell r="BB21">
            <v>2.6666666666666666E-3</v>
          </cell>
          <cell r="BC21">
            <v>0</v>
          </cell>
          <cell r="BD21" t="e">
            <v>#DIV/0!</v>
          </cell>
          <cell r="BE21">
            <v>1600</v>
          </cell>
          <cell r="BF21">
            <v>0</v>
          </cell>
          <cell r="BG21">
            <v>-1600</v>
          </cell>
          <cell r="BH21">
            <v>200</v>
          </cell>
          <cell r="BI21">
            <v>2.6666666666666666E-3</v>
          </cell>
          <cell r="BJ21">
            <v>0</v>
          </cell>
          <cell r="BK21" t="e">
            <v>#DIV/0!</v>
          </cell>
          <cell r="BL21">
            <v>1800</v>
          </cell>
          <cell r="BM21">
            <v>0</v>
          </cell>
          <cell r="BN21">
            <v>-1800</v>
          </cell>
          <cell r="BO21">
            <v>200</v>
          </cell>
          <cell r="BP21">
            <v>2.6666666666666666E-3</v>
          </cell>
          <cell r="BQ21">
            <v>0</v>
          </cell>
          <cell r="BR21" t="e">
            <v>#DIV/0!</v>
          </cell>
          <cell r="BS21">
            <v>2000</v>
          </cell>
          <cell r="BT21">
            <v>0</v>
          </cell>
          <cell r="BU21">
            <v>-2000</v>
          </cell>
          <cell r="BV21">
            <v>200</v>
          </cell>
          <cell r="BW21">
            <v>2.6666666666666666E-3</v>
          </cell>
          <cell r="BX21">
            <v>0</v>
          </cell>
          <cell r="BY21" t="e">
            <v>#DIV/0!</v>
          </cell>
          <cell r="BZ21">
            <v>2200</v>
          </cell>
          <cell r="CA21">
            <v>0</v>
          </cell>
          <cell r="CB21">
            <v>-2200</v>
          </cell>
          <cell r="CC21">
            <v>200</v>
          </cell>
          <cell r="CD21">
            <v>2.6666666666666666E-3</v>
          </cell>
          <cell r="CE21">
            <v>0</v>
          </cell>
          <cell r="CF21" t="e">
            <v>#DIV/0!</v>
          </cell>
          <cell r="CG21">
            <v>2400</v>
          </cell>
          <cell r="CH21">
            <v>0</v>
          </cell>
        </row>
        <row r="22">
          <cell r="A22" t="str">
            <v>Controladoria Jurídica - Custas</v>
          </cell>
          <cell r="B22">
            <v>7.7418421559202505E-4</v>
          </cell>
          <cell r="C22">
            <v>45.37648524427977</v>
          </cell>
          <cell r="D22">
            <v>450</v>
          </cell>
          <cell r="E22">
            <v>5.0000000000000001E-3</v>
          </cell>
          <cell r="F22">
            <v>281.75881356788778</v>
          </cell>
          <cell r="G22">
            <v>1.8873254308251577E-3</v>
          </cell>
          <cell r="H22">
            <v>450</v>
          </cell>
          <cell r="I22">
            <v>281.75881356788778</v>
          </cell>
          <cell r="J22">
            <v>-168.24118643211222</v>
          </cell>
          <cell r="K22">
            <v>450</v>
          </cell>
          <cell r="L22">
            <v>2.631578947368421E-3</v>
          </cell>
          <cell r="M22">
            <v>687.33001089485924</v>
          </cell>
          <cell r="N22">
            <v>3.4370796894354757E-3</v>
          </cell>
          <cell r="O22">
            <v>900</v>
          </cell>
          <cell r="P22">
            <v>969.08882446274697</v>
          </cell>
          <cell r="Q22">
            <v>69.08882446274697</v>
          </cell>
          <cell r="R22">
            <v>450</v>
          </cell>
          <cell r="S22">
            <v>3.4615384615384616E-3</v>
          </cell>
          <cell r="T22">
            <v>685.64828489974821</v>
          </cell>
          <cell r="U22">
            <v>0</v>
          </cell>
          <cell r="V22">
            <v>1350</v>
          </cell>
          <cell r="W22">
            <v>1654.7371093624952</v>
          </cell>
          <cell r="X22">
            <v>304.73710936249518</v>
          </cell>
          <cell r="Y22">
            <v>450</v>
          </cell>
          <cell r="Z22">
            <v>6.0000000000000001E-3</v>
          </cell>
          <cell r="AA22">
            <v>0</v>
          </cell>
          <cell r="AB22">
            <v>0</v>
          </cell>
          <cell r="AC22">
            <v>1800</v>
          </cell>
          <cell r="AD22">
            <v>1654.7371093624952</v>
          </cell>
          <cell r="AE22">
            <v>-145.26289063750482</v>
          </cell>
          <cell r="AF22">
            <v>450</v>
          </cell>
          <cell r="AG22">
            <v>6.0000000000000001E-3</v>
          </cell>
          <cell r="AH22">
            <v>0</v>
          </cell>
          <cell r="AI22">
            <v>0</v>
          </cell>
          <cell r="AJ22">
            <v>2250</v>
          </cell>
          <cell r="AK22">
            <v>1654.7371093624952</v>
          </cell>
          <cell r="AL22">
            <v>-595.26289063750482</v>
          </cell>
          <cell r="AM22">
            <v>450</v>
          </cell>
          <cell r="AN22">
            <v>6.0000000000000001E-3</v>
          </cell>
          <cell r="AO22">
            <v>0</v>
          </cell>
          <cell r="AP22">
            <v>0</v>
          </cell>
          <cell r="AQ22">
            <v>2700</v>
          </cell>
          <cell r="AR22">
            <v>1654.7371093624952</v>
          </cell>
          <cell r="AS22">
            <v>-1045.2628906375048</v>
          </cell>
          <cell r="AT22">
            <v>450</v>
          </cell>
          <cell r="AU22">
            <v>6.0000000000000001E-3</v>
          </cell>
          <cell r="AV22">
            <v>0</v>
          </cell>
          <cell r="AW22" t="e">
            <v>#DIV/0!</v>
          </cell>
          <cell r="AX22">
            <v>3150</v>
          </cell>
          <cell r="AY22">
            <v>1654.7371093624952</v>
          </cell>
          <cell r="AZ22">
            <v>-1495.2628906375048</v>
          </cell>
          <cell r="BA22">
            <v>450</v>
          </cell>
          <cell r="BB22">
            <v>6.0000000000000001E-3</v>
          </cell>
          <cell r="BC22">
            <v>0</v>
          </cell>
          <cell r="BD22" t="e">
            <v>#DIV/0!</v>
          </cell>
          <cell r="BE22">
            <v>3600</v>
          </cell>
          <cell r="BF22">
            <v>1654.7371093624952</v>
          </cell>
          <cell r="BG22">
            <v>-1945.2628906375048</v>
          </cell>
          <cell r="BH22">
            <v>450</v>
          </cell>
          <cell r="BI22">
            <v>6.0000000000000001E-3</v>
          </cell>
          <cell r="BJ22">
            <v>0</v>
          </cell>
          <cell r="BK22" t="e">
            <v>#DIV/0!</v>
          </cell>
          <cell r="BL22">
            <v>4050</v>
          </cell>
          <cell r="BM22">
            <v>1654.7371093624952</v>
          </cell>
          <cell r="BN22">
            <v>-2395.2628906375048</v>
          </cell>
          <cell r="BO22">
            <v>450</v>
          </cell>
          <cell r="BP22">
            <v>6.0000000000000001E-3</v>
          </cell>
          <cell r="BQ22">
            <v>0</v>
          </cell>
          <cell r="BR22" t="e">
            <v>#DIV/0!</v>
          </cell>
          <cell r="BS22">
            <v>4500</v>
          </cell>
          <cell r="BT22">
            <v>1654.7371093624952</v>
          </cell>
          <cell r="BU22">
            <v>-2845.2628906375048</v>
          </cell>
          <cell r="BV22">
            <v>450</v>
          </cell>
          <cell r="BW22">
            <v>6.0000000000000001E-3</v>
          </cell>
          <cell r="BX22">
            <v>0</v>
          </cell>
          <cell r="BY22" t="e">
            <v>#DIV/0!</v>
          </cell>
          <cell r="BZ22">
            <v>4950</v>
          </cell>
          <cell r="CA22">
            <v>1654.7371093624952</v>
          </cell>
          <cell r="CB22">
            <v>-3295.2628906375048</v>
          </cell>
          <cell r="CC22">
            <v>450</v>
          </cell>
          <cell r="CD22">
            <v>6.0000000000000001E-3</v>
          </cell>
          <cell r="CE22">
            <v>0</v>
          </cell>
          <cell r="CF22" t="e">
            <v>#DIV/0!</v>
          </cell>
          <cell r="CG22">
            <v>5400</v>
          </cell>
          <cell r="CH22">
            <v>1654.7371093624952</v>
          </cell>
        </row>
        <row r="23">
          <cell r="A23" t="str">
            <v>GNA</v>
          </cell>
          <cell r="B23">
            <v>8.1065093363210036E-3</v>
          </cell>
          <cell r="C23">
            <v>475.13872522044664</v>
          </cell>
          <cell r="D23">
            <v>900</v>
          </cell>
          <cell r="E23">
            <v>0.01</v>
          </cell>
          <cell r="F23">
            <v>1927.5123882187499</v>
          </cell>
          <cell r="G23">
            <v>1.2911195580539554E-2</v>
          </cell>
          <cell r="H23">
            <v>900</v>
          </cell>
          <cell r="I23">
            <v>1927.5123882187499</v>
          </cell>
          <cell r="J23">
            <v>1027.5123882187499</v>
          </cell>
          <cell r="K23">
            <v>900</v>
          </cell>
          <cell r="L23">
            <v>5.263157894736842E-3</v>
          </cell>
          <cell r="M23">
            <v>2633.4235844995155</v>
          </cell>
          <cell r="N23">
            <v>1.3168764017999827E-2</v>
          </cell>
          <cell r="O23">
            <v>1800</v>
          </cell>
          <cell r="P23">
            <v>4560.9359727182655</v>
          </cell>
          <cell r="Q23">
            <v>2760.9359727182655</v>
          </cell>
          <cell r="R23">
            <v>1300</v>
          </cell>
          <cell r="S23">
            <v>0.01</v>
          </cell>
          <cell r="T23">
            <v>0</v>
          </cell>
          <cell r="U23">
            <v>0</v>
          </cell>
          <cell r="V23">
            <v>3100</v>
          </cell>
          <cell r="W23">
            <v>4560.9359727182655</v>
          </cell>
          <cell r="X23">
            <v>1460.9359727182655</v>
          </cell>
          <cell r="Y23">
            <v>500</v>
          </cell>
          <cell r="Z23">
            <v>6.6666666666666671E-3</v>
          </cell>
          <cell r="AA23">
            <v>0</v>
          </cell>
          <cell r="AB23">
            <v>0</v>
          </cell>
          <cell r="AC23">
            <v>3600</v>
          </cell>
          <cell r="AD23">
            <v>4560.9359727182655</v>
          </cell>
          <cell r="AE23">
            <v>960.93597271826548</v>
          </cell>
          <cell r="AF23">
            <v>500</v>
          </cell>
          <cell r="AG23">
            <v>6.6666666666666671E-3</v>
          </cell>
          <cell r="AH23">
            <v>0</v>
          </cell>
          <cell r="AI23">
            <v>0</v>
          </cell>
          <cell r="AJ23">
            <v>4100</v>
          </cell>
          <cell r="AK23">
            <v>4560.9359727182655</v>
          </cell>
          <cell r="AL23">
            <v>460.93597271826548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4100</v>
          </cell>
          <cell r="AR23">
            <v>4560.9359727182655</v>
          </cell>
          <cell r="AS23">
            <v>460.93597271826548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4100</v>
          </cell>
          <cell r="AY23">
            <v>4560.9359727182655</v>
          </cell>
          <cell r="AZ23">
            <v>460.93597271826548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4100</v>
          </cell>
          <cell r="BF23">
            <v>4560.9359727182655</v>
          </cell>
          <cell r="BG23">
            <v>460.93597271826548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4100</v>
          </cell>
          <cell r="BM23">
            <v>4560.9359727182655</v>
          </cell>
          <cell r="BN23">
            <v>460.93597271826548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4100</v>
          </cell>
          <cell r="BT23">
            <v>4560.9359727182655</v>
          </cell>
          <cell r="BU23">
            <v>460.93597271826548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4100</v>
          </cell>
          <cell r="CA23">
            <v>4560.9359727182655</v>
          </cell>
          <cell r="CB23">
            <v>460.93597271826548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4100</v>
          </cell>
          <cell r="CH23">
            <v>4560.9359727182655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4.2580890039582335E-3</v>
          </cell>
          <cell r="C25">
            <v>249.57511270000001</v>
          </cell>
          <cell r="D25">
            <v>1500</v>
          </cell>
          <cell r="E25">
            <v>1.6666666666666666E-2</v>
          </cell>
          <cell r="F25">
            <v>1980.8992559999999</v>
          </cell>
          <cell r="G25">
            <v>1.3268800696630717E-2</v>
          </cell>
          <cell r="H25">
            <v>1500</v>
          </cell>
          <cell r="I25">
            <v>1980.8992559999999</v>
          </cell>
          <cell r="J25">
            <v>480.89925599999992</v>
          </cell>
          <cell r="K25">
            <v>1500</v>
          </cell>
          <cell r="L25">
            <v>8.771929824561403E-3</v>
          </cell>
          <cell r="M25">
            <v>2097.8560940000002</v>
          </cell>
          <cell r="N25">
            <v>1.0490591793974248E-2</v>
          </cell>
          <cell r="O25">
            <v>3000</v>
          </cell>
          <cell r="P25">
            <v>4078.7553500000004</v>
          </cell>
          <cell r="Q25">
            <v>1078.7553500000004</v>
          </cell>
          <cell r="R25">
            <v>1500</v>
          </cell>
          <cell r="S25">
            <v>1.1538461538461539E-2</v>
          </cell>
          <cell r="T25">
            <v>1425.6626829999998</v>
          </cell>
          <cell r="U25">
            <v>0</v>
          </cell>
          <cell r="V25">
            <v>4500</v>
          </cell>
          <cell r="W25">
            <v>5504.4180329999999</v>
          </cell>
          <cell r="X25">
            <v>1004.4180329999999</v>
          </cell>
          <cell r="Y25">
            <v>750</v>
          </cell>
          <cell r="Z25">
            <v>0.01</v>
          </cell>
          <cell r="AA25">
            <v>0</v>
          </cell>
          <cell r="AB25">
            <v>0</v>
          </cell>
          <cell r="AC25">
            <v>5250</v>
          </cell>
          <cell r="AD25">
            <v>5504.4180329999999</v>
          </cell>
          <cell r="AE25">
            <v>254.41803299999992</v>
          </cell>
          <cell r="AF25">
            <v>300</v>
          </cell>
          <cell r="AG25">
            <v>4.0000000000000001E-3</v>
          </cell>
          <cell r="AH25">
            <v>0</v>
          </cell>
          <cell r="AI25">
            <v>0</v>
          </cell>
          <cell r="AJ25">
            <v>5550</v>
          </cell>
          <cell r="AK25">
            <v>5504.4180329999999</v>
          </cell>
          <cell r="AL25">
            <v>-45.581967000000077</v>
          </cell>
          <cell r="AM25">
            <v>300</v>
          </cell>
          <cell r="AN25">
            <v>4.0000000000000001E-3</v>
          </cell>
          <cell r="AO25">
            <v>0</v>
          </cell>
          <cell r="AP25">
            <v>0</v>
          </cell>
          <cell r="AQ25">
            <v>5850</v>
          </cell>
          <cell r="AR25">
            <v>5504.4180329999999</v>
          </cell>
          <cell r="AS25">
            <v>-345.58196700000008</v>
          </cell>
          <cell r="AT25">
            <v>300</v>
          </cell>
          <cell r="AU25">
            <v>4.0000000000000001E-3</v>
          </cell>
          <cell r="AV25">
            <v>0</v>
          </cell>
          <cell r="AW25" t="e">
            <v>#DIV/0!</v>
          </cell>
          <cell r="AX25">
            <v>6150</v>
          </cell>
          <cell r="AY25">
            <v>5504.4180329999999</v>
          </cell>
          <cell r="AZ25">
            <v>-645.58196700000008</v>
          </cell>
          <cell r="BA25">
            <v>300</v>
          </cell>
          <cell r="BB25">
            <v>4.0000000000000001E-3</v>
          </cell>
          <cell r="BC25">
            <v>0</v>
          </cell>
          <cell r="BD25" t="e">
            <v>#DIV/0!</v>
          </cell>
          <cell r="BE25">
            <v>6450</v>
          </cell>
          <cell r="BF25">
            <v>5504.4180329999999</v>
          </cell>
          <cell r="BG25">
            <v>-945.58196700000008</v>
          </cell>
          <cell r="BH25">
            <v>300</v>
          </cell>
          <cell r="BI25">
            <v>4.0000000000000001E-3</v>
          </cell>
          <cell r="BJ25">
            <v>0</v>
          </cell>
          <cell r="BK25" t="e">
            <v>#DIV/0!</v>
          </cell>
          <cell r="BL25">
            <v>6750</v>
          </cell>
          <cell r="BM25">
            <v>5504.4180329999999</v>
          </cell>
          <cell r="BN25">
            <v>-1245.5819670000001</v>
          </cell>
          <cell r="BO25">
            <v>300</v>
          </cell>
          <cell r="BP25">
            <v>4.0000000000000001E-3</v>
          </cell>
          <cell r="BQ25">
            <v>0</v>
          </cell>
          <cell r="BR25" t="e">
            <v>#DIV/0!</v>
          </cell>
          <cell r="BS25">
            <v>7050</v>
          </cell>
          <cell r="BT25">
            <v>5504.4180329999999</v>
          </cell>
          <cell r="BU25">
            <v>-1545.5819670000001</v>
          </cell>
          <cell r="BV25">
            <v>300</v>
          </cell>
          <cell r="BW25">
            <v>4.0000000000000001E-3</v>
          </cell>
          <cell r="BX25">
            <v>0</v>
          </cell>
          <cell r="BY25" t="e">
            <v>#DIV/0!</v>
          </cell>
          <cell r="BZ25">
            <v>7350</v>
          </cell>
          <cell r="CA25">
            <v>5504.4180329999999</v>
          </cell>
          <cell r="CB25">
            <v>-1845.5819670000001</v>
          </cell>
          <cell r="CC25">
            <v>300</v>
          </cell>
          <cell r="CD25">
            <v>4.0000000000000001E-3</v>
          </cell>
          <cell r="CE25">
            <v>0</v>
          </cell>
          <cell r="CF25" t="e">
            <v>#DIV/0!</v>
          </cell>
          <cell r="CG25">
            <v>7650</v>
          </cell>
          <cell r="CH25">
            <v>5504.4180329999999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3.3952086603425917E-5</v>
          </cell>
          <cell r="C27">
            <v>1.9899996999999998</v>
          </cell>
          <cell r="D27">
            <v>20</v>
          </cell>
          <cell r="E27">
            <v>2.2222222222222223E-4</v>
          </cell>
          <cell r="F27">
            <v>97.910826999999998</v>
          </cell>
          <cell r="G27">
            <v>6.558431710094447E-4</v>
          </cell>
          <cell r="H27">
            <v>20</v>
          </cell>
          <cell r="I27">
            <v>97.910826999999998</v>
          </cell>
          <cell r="J27">
            <v>77.910826999999998</v>
          </cell>
          <cell r="K27">
            <v>20</v>
          </cell>
          <cell r="L27">
            <v>1.1695906432748539E-4</v>
          </cell>
          <cell r="M27">
            <v>0</v>
          </cell>
          <cell r="N27">
            <v>0</v>
          </cell>
          <cell r="O27">
            <v>40</v>
          </cell>
          <cell r="P27">
            <v>97.910826999999998</v>
          </cell>
          <cell r="Q27">
            <v>57.910826999999998</v>
          </cell>
          <cell r="R27">
            <v>20</v>
          </cell>
          <cell r="S27">
            <v>1.5384615384615385E-4</v>
          </cell>
          <cell r="T27">
            <v>0</v>
          </cell>
          <cell r="U27">
            <v>0</v>
          </cell>
          <cell r="V27">
            <v>60</v>
          </cell>
          <cell r="W27">
            <v>97.910826999999998</v>
          </cell>
          <cell r="X27">
            <v>37.910826999999998</v>
          </cell>
          <cell r="Y27">
            <v>20</v>
          </cell>
          <cell r="Z27">
            <v>2.6666666666666668E-4</v>
          </cell>
          <cell r="AA27">
            <v>0</v>
          </cell>
          <cell r="AB27">
            <v>0</v>
          </cell>
          <cell r="AC27">
            <v>80</v>
          </cell>
          <cell r="AD27">
            <v>97.910826999999998</v>
          </cell>
          <cell r="AE27">
            <v>17.910826999999998</v>
          </cell>
          <cell r="AF27">
            <v>20</v>
          </cell>
          <cell r="AG27">
            <v>2.6666666666666668E-4</v>
          </cell>
          <cell r="AH27">
            <v>0</v>
          </cell>
          <cell r="AI27">
            <v>0</v>
          </cell>
          <cell r="AJ27">
            <v>100</v>
          </cell>
          <cell r="AK27">
            <v>97.910826999999998</v>
          </cell>
          <cell r="AL27">
            <v>-2.0891730000000024</v>
          </cell>
          <cell r="AM27">
            <v>20</v>
          </cell>
          <cell r="AN27">
            <v>2.6666666666666668E-4</v>
          </cell>
          <cell r="AO27">
            <v>0</v>
          </cell>
          <cell r="AP27">
            <v>0</v>
          </cell>
          <cell r="AQ27">
            <v>120</v>
          </cell>
          <cell r="AR27">
            <v>97.910826999999998</v>
          </cell>
          <cell r="AS27">
            <v>-22.089173000000002</v>
          </cell>
          <cell r="AT27">
            <v>20</v>
          </cell>
          <cell r="AU27">
            <v>2.6666666666666668E-4</v>
          </cell>
          <cell r="AV27">
            <v>0</v>
          </cell>
          <cell r="AW27" t="e">
            <v>#DIV/0!</v>
          </cell>
          <cell r="AX27">
            <v>140</v>
          </cell>
          <cell r="AY27">
            <v>97.910826999999998</v>
          </cell>
          <cell r="AZ27">
            <v>-42.089173000000002</v>
          </cell>
          <cell r="BA27">
            <v>20</v>
          </cell>
          <cell r="BB27">
            <v>2.6666666666666668E-4</v>
          </cell>
          <cell r="BC27">
            <v>0</v>
          </cell>
          <cell r="BD27" t="e">
            <v>#DIV/0!</v>
          </cell>
          <cell r="BE27">
            <v>160</v>
          </cell>
          <cell r="BF27">
            <v>97.910826999999998</v>
          </cell>
          <cell r="BG27">
            <v>-62.089173000000002</v>
          </cell>
          <cell r="BH27">
            <v>20</v>
          </cell>
          <cell r="BI27">
            <v>2.6666666666666668E-4</v>
          </cell>
          <cell r="BJ27">
            <v>0</v>
          </cell>
          <cell r="BK27" t="e">
            <v>#DIV/0!</v>
          </cell>
          <cell r="BL27">
            <v>180</v>
          </cell>
          <cell r="BM27">
            <v>97.910826999999998</v>
          </cell>
          <cell r="BN27">
            <v>-82.089173000000002</v>
          </cell>
          <cell r="BO27">
            <v>20</v>
          </cell>
          <cell r="BP27">
            <v>2.6666666666666668E-4</v>
          </cell>
          <cell r="BQ27">
            <v>0</v>
          </cell>
          <cell r="BR27" t="e">
            <v>#DIV/0!</v>
          </cell>
          <cell r="BS27">
            <v>200</v>
          </cell>
          <cell r="BT27">
            <v>97.910826999999998</v>
          </cell>
          <cell r="BU27">
            <v>-102.089173</v>
          </cell>
          <cell r="BV27">
            <v>20</v>
          </cell>
          <cell r="BW27">
            <v>2.6666666666666668E-4</v>
          </cell>
          <cell r="BX27">
            <v>0</v>
          </cell>
          <cell r="BY27" t="e">
            <v>#DIV/0!</v>
          </cell>
          <cell r="BZ27">
            <v>220</v>
          </cell>
          <cell r="CA27">
            <v>97.910826999999998</v>
          </cell>
          <cell r="CB27">
            <v>-122.089173</v>
          </cell>
          <cell r="CC27">
            <v>20</v>
          </cell>
          <cell r="CD27">
            <v>2.6666666666666668E-4</v>
          </cell>
          <cell r="CE27">
            <v>0</v>
          </cell>
          <cell r="CF27" t="e">
            <v>#DIV/0!</v>
          </cell>
          <cell r="CG27">
            <v>240</v>
          </cell>
          <cell r="CH27">
            <v>97.910826999999998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3.1570031917116173E-2</v>
          </cell>
          <cell r="C39">
            <v>1850.3827107260131</v>
          </cell>
          <cell r="D39">
            <v>2000</v>
          </cell>
          <cell r="E39">
            <v>2.2222222222222223E-2</v>
          </cell>
          <cell r="F39">
            <v>6850.4344726798308</v>
          </cell>
          <cell r="G39">
            <v>4.5886760484157213E-2</v>
          </cell>
          <cell r="H39">
            <v>2000</v>
          </cell>
          <cell r="I39">
            <v>6850.4344726798308</v>
          </cell>
          <cell r="J39">
            <v>4850.4344726798308</v>
          </cell>
          <cell r="K39">
            <v>2000</v>
          </cell>
          <cell r="L39">
            <v>1.1695906432748537E-2</v>
          </cell>
          <cell r="M39">
            <v>6656.7325968438545</v>
          </cell>
          <cell r="N39">
            <v>3.3287823962214552E-2</v>
          </cell>
          <cell r="O39">
            <v>4000</v>
          </cell>
          <cell r="P39">
            <v>13507.167069523686</v>
          </cell>
          <cell r="Q39">
            <v>9507.1670695236862</v>
          </cell>
          <cell r="R39">
            <v>5000</v>
          </cell>
          <cell r="S39">
            <v>3.8461538461538464E-2</v>
          </cell>
          <cell r="T39">
            <v>5906.6305663519588</v>
          </cell>
          <cell r="U39">
            <v>0</v>
          </cell>
          <cell r="V39">
            <v>9000</v>
          </cell>
          <cell r="W39">
            <v>19413.797635875646</v>
          </cell>
          <cell r="X39">
            <v>10413.797635875646</v>
          </cell>
          <cell r="Y39">
            <v>2500</v>
          </cell>
          <cell r="Z39">
            <v>3.3333333333333333E-2</v>
          </cell>
          <cell r="AA39">
            <v>0</v>
          </cell>
          <cell r="AB39">
            <v>0</v>
          </cell>
          <cell r="AC39">
            <v>11500</v>
          </cell>
          <cell r="AD39">
            <v>19413.797635875646</v>
          </cell>
          <cell r="AE39">
            <v>7913.7976358756459</v>
          </cell>
          <cell r="AF39">
            <v>1000</v>
          </cell>
          <cell r="AG39">
            <v>1.3333333333333334E-2</v>
          </cell>
          <cell r="AH39">
            <v>0</v>
          </cell>
          <cell r="AI39">
            <v>0</v>
          </cell>
          <cell r="AJ39">
            <v>12500</v>
          </cell>
          <cell r="AK39">
            <v>19413.797635875646</v>
          </cell>
          <cell r="AL39">
            <v>6913.7976358756459</v>
          </cell>
          <cell r="AM39">
            <v>1000</v>
          </cell>
          <cell r="AN39">
            <v>1.3333333333333334E-2</v>
          </cell>
          <cell r="AO39">
            <v>0</v>
          </cell>
          <cell r="AP39">
            <v>0</v>
          </cell>
          <cell r="AQ39">
            <v>13500</v>
          </cell>
          <cell r="AR39">
            <v>19413.797635875646</v>
          </cell>
          <cell r="AS39">
            <v>5913.7976358756459</v>
          </cell>
          <cell r="AT39">
            <v>1000</v>
          </cell>
          <cell r="AU39">
            <v>1.3333333333333334E-2</v>
          </cell>
          <cell r="AV39">
            <v>0</v>
          </cell>
          <cell r="AW39" t="e">
            <v>#DIV/0!</v>
          </cell>
          <cell r="AX39">
            <v>14500</v>
          </cell>
          <cell r="AY39">
            <v>19413.797635875646</v>
          </cell>
          <cell r="AZ39">
            <v>4913.7976358756459</v>
          </cell>
          <cell r="BA39">
            <v>1000</v>
          </cell>
          <cell r="BB39">
            <v>1.3333333333333334E-2</v>
          </cell>
          <cell r="BC39">
            <v>0</v>
          </cell>
          <cell r="BD39" t="e">
            <v>#DIV/0!</v>
          </cell>
          <cell r="BE39">
            <v>15500</v>
          </cell>
          <cell r="BF39">
            <v>19413.797635875646</v>
          </cell>
          <cell r="BG39">
            <v>3913.7976358756459</v>
          </cell>
          <cell r="BH39">
            <v>1000</v>
          </cell>
          <cell r="BI39">
            <v>1.3333333333333334E-2</v>
          </cell>
          <cell r="BJ39">
            <v>0</v>
          </cell>
          <cell r="BK39" t="e">
            <v>#DIV/0!</v>
          </cell>
          <cell r="BL39">
            <v>16500</v>
          </cell>
          <cell r="BM39">
            <v>19413.797635875646</v>
          </cell>
          <cell r="BN39">
            <v>2913.7976358756459</v>
          </cell>
          <cell r="BO39">
            <v>1000</v>
          </cell>
          <cell r="BP39">
            <v>1.3333333333333334E-2</v>
          </cell>
          <cell r="BQ39">
            <v>0</v>
          </cell>
          <cell r="BR39" t="e">
            <v>#DIV/0!</v>
          </cell>
          <cell r="BS39">
            <v>17500</v>
          </cell>
          <cell r="BT39">
            <v>19413.797635875646</v>
          </cell>
          <cell r="BU39">
            <v>1913.7976358756459</v>
          </cell>
          <cell r="BV39">
            <v>1000</v>
          </cell>
          <cell r="BW39">
            <v>1.3333333333333334E-2</v>
          </cell>
          <cell r="BX39">
            <v>0</v>
          </cell>
          <cell r="BY39" t="e">
            <v>#DIV/0!</v>
          </cell>
          <cell r="BZ39">
            <v>18500</v>
          </cell>
          <cell r="CA39">
            <v>19413.797635875646</v>
          </cell>
          <cell r="CB39">
            <v>913.79763587564594</v>
          </cell>
          <cell r="CC39">
            <v>1000</v>
          </cell>
          <cell r="CD39">
            <v>1.3333333333333334E-2</v>
          </cell>
          <cell r="CE39">
            <v>0</v>
          </cell>
          <cell r="CF39" t="e">
            <v>#DIV/0!</v>
          </cell>
          <cell r="CG39">
            <v>19500</v>
          </cell>
          <cell r="CH39">
            <v>19413.797635875646</v>
          </cell>
        </row>
        <row r="40">
          <cell r="A40" t="str">
            <v>Pauta - Gestão de Pauta</v>
          </cell>
          <cell r="B40">
            <v>6.0336238364408247E-3</v>
          </cell>
          <cell r="C40">
            <v>353.64276030146959</v>
          </cell>
          <cell r="D40">
            <v>1000</v>
          </cell>
          <cell r="E40">
            <v>1.1111111111111112E-2</v>
          </cell>
          <cell r="F40">
            <v>1898.0100471929995</v>
          </cell>
          <cell r="G40">
            <v>1.2713577916759325E-2</v>
          </cell>
          <cell r="H40">
            <v>1000</v>
          </cell>
          <cell r="I40">
            <v>1898.0100471929995</v>
          </cell>
          <cell r="J40">
            <v>898.01004719299954</v>
          </cell>
          <cell r="K40">
            <v>1000</v>
          </cell>
          <cell r="L40">
            <v>5.8479532163742687E-3</v>
          </cell>
          <cell r="M40">
            <v>1393.5463524601314</v>
          </cell>
          <cell r="N40">
            <v>6.9686028376553643E-3</v>
          </cell>
          <cell r="O40">
            <v>2000</v>
          </cell>
          <cell r="P40">
            <v>3291.5563996531309</v>
          </cell>
          <cell r="Q40">
            <v>1291.5563996531309</v>
          </cell>
          <cell r="R40">
            <v>1500</v>
          </cell>
          <cell r="S40">
            <v>1.1538461538461539E-2</v>
          </cell>
          <cell r="T40">
            <v>1268.6909172031176</v>
          </cell>
          <cell r="U40">
            <v>0</v>
          </cell>
          <cell r="V40">
            <v>3500</v>
          </cell>
          <cell r="W40">
            <v>4560.2473168562483</v>
          </cell>
          <cell r="X40">
            <v>1060.2473168562483</v>
          </cell>
          <cell r="Y40">
            <v>750</v>
          </cell>
          <cell r="Z40">
            <v>0.01</v>
          </cell>
          <cell r="AA40">
            <v>0</v>
          </cell>
          <cell r="AB40">
            <v>0</v>
          </cell>
          <cell r="AC40">
            <v>4250</v>
          </cell>
          <cell r="AD40">
            <v>4560.2473168562483</v>
          </cell>
          <cell r="AE40">
            <v>310.24731685624829</v>
          </cell>
          <cell r="AF40">
            <v>300</v>
          </cell>
          <cell r="AG40">
            <v>4.0000000000000001E-3</v>
          </cell>
          <cell r="AH40">
            <v>0</v>
          </cell>
          <cell r="AI40">
            <v>0</v>
          </cell>
          <cell r="AJ40">
            <v>4550</v>
          </cell>
          <cell r="AK40">
            <v>4560.2473168562483</v>
          </cell>
          <cell r="AL40">
            <v>10.24731685624829</v>
          </cell>
          <cell r="AM40">
            <v>300</v>
          </cell>
          <cell r="AN40">
            <v>4.0000000000000001E-3</v>
          </cell>
          <cell r="AO40">
            <v>0</v>
          </cell>
          <cell r="AP40">
            <v>0</v>
          </cell>
          <cell r="AQ40">
            <v>4850</v>
          </cell>
          <cell r="AR40">
            <v>4560.2473168562483</v>
          </cell>
          <cell r="AS40">
            <v>-289.75268314375171</v>
          </cell>
          <cell r="AT40">
            <v>300</v>
          </cell>
          <cell r="AU40">
            <v>4.0000000000000001E-3</v>
          </cell>
          <cell r="AV40">
            <v>0</v>
          </cell>
          <cell r="AW40" t="e">
            <v>#DIV/0!</v>
          </cell>
          <cell r="AX40">
            <v>5150</v>
          </cell>
          <cell r="AY40">
            <v>4560.2473168562483</v>
          </cell>
          <cell r="AZ40">
            <v>-589.75268314375171</v>
          </cell>
          <cell r="BA40">
            <v>300</v>
          </cell>
          <cell r="BB40">
            <v>4.0000000000000001E-3</v>
          </cell>
          <cell r="BC40">
            <v>0</v>
          </cell>
          <cell r="BD40" t="e">
            <v>#DIV/0!</v>
          </cell>
          <cell r="BE40">
            <v>5450</v>
          </cell>
          <cell r="BF40">
            <v>4560.2473168562483</v>
          </cell>
          <cell r="BG40">
            <v>-889.75268314375171</v>
          </cell>
          <cell r="BH40">
            <v>300</v>
          </cell>
          <cell r="BI40">
            <v>4.0000000000000001E-3</v>
          </cell>
          <cell r="BJ40">
            <v>0</v>
          </cell>
          <cell r="BK40" t="e">
            <v>#DIV/0!</v>
          </cell>
          <cell r="BL40">
            <v>5750</v>
          </cell>
          <cell r="BM40">
            <v>4560.2473168562483</v>
          </cell>
          <cell r="BN40">
            <v>-1189.7526831437517</v>
          </cell>
          <cell r="BO40">
            <v>300</v>
          </cell>
          <cell r="BP40">
            <v>4.0000000000000001E-3</v>
          </cell>
          <cell r="BQ40">
            <v>0</v>
          </cell>
          <cell r="BR40" t="e">
            <v>#DIV/0!</v>
          </cell>
          <cell r="BS40">
            <v>6050</v>
          </cell>
          <cell r="BT40">
            <v>4560.2473168562483</v>
          </cell>
          <cell r="BU40">
            <v>-1489.7526831437517</v>
          </cell>
          <cell r="BV40">
            <v>300</v>
          </cell>
          <cell r="BW40">
            <v>4.0000000000000001E-3</v>
          </cell>
          <cell r="BX40">
            <v>0</v>
          </cell>
          <cell r="BY40" t="e">
            <v>#DIV/0!</v>
          </cell>
          <cell r="BZ40">
            <v>6350</v>
          </cell>
          <cell r="CA40">
            <v>4560.2473168562483</v>
          </cell>
          <cell r="CB40">
            <v>-1789.7526831437517</v>
          </cell>
          <cell r="CC40">
            <v>300</v>
          </cell>
          <cell r="CD40">
            <v>4.0000000000000001E-3</v>
          </cell>
          <cell r="CE40">
            <v>0</v>
          </cell>
          <cell r="CF40" t="e">
            <v>#DIV/0!</v>
          </cell>
          <cell r="CG40">
            <v>6650</v>
          </cell>
          <cell r="CH40">
            <v>4560.2473168562483</v>
          </cell>
        </row>
        <row r="41">
          <cell r="A41" t="str">
            <v>Seguro de Vida</v>
          </cell>
          <cell r="B41">
            <v>7.0422437555449401E-4</v>
          </cell>
          <cell r="C41">
            <v>41.2759991</v>
          </cell>
          <cell r="D41">
            <v>97.12</v>
          </cell>
          <cell r="E41">
            <v>1.0791111111111112E-3</v>
          </cell>
          <cell r="F41">
            <v>92.079984999999994</v>
          </cell>
          <cell r="G41">
            <v>6.1678602049701915E-4</v>
          </cell>
          <cell r="H41">
            <v>97.12</v>
          </cell>
          <cell r="I41">
            <v>92.079984999999994</v>
          </cell>
          <cell r="J41">
            <v>-5.040015000000011</v>
          </cell>
          <cell r="K41">
            <v>97.12</v>
          </cell>
          <cell r="L41">
            <v>5.6795321637426904E-4</v>
          </cell>
          <cell r="M41">
            <v>103.59002099999999</v>
          </cell>
          <cell r="N41">
            <v>5.180148568571071E-4</v>
          </cell>
          <cell r="O41">
            <v>194.24</v>
          </cell>
          <cell r="P41">
            <v>195.670006</v>
          </cell>
          <cell r="Q41">
            <v>1.4300059999999917</v>
          </cell>
          <cell r="R41">
            <v>97.12</v>
          </cell>
          <cell r="S41">
            <v>7.4707692307692311E-4</v>
          </cell>
          <cell r="T41">
            <v>103.590023</v>
          </cell>
          <cell r="U41">
            <v>0</v>
          </cell>
          <cell r="V41">
            <v>291.36</v>
          </cell>
          <cell r="W41">
            <v>299.26002900000003</v>
          </cell>
          <cell r="X41">
            <v>7.9000290000000177</v>
          </cell>
          <cell r="Y41">
            <v>97.12</v>
          </cell>
          <cell r="Z41">
            <v>1.2949333333333334E-3</v>
          </cell>
          <cell r="AA41">
            <v>0</v>
          </cell>
          <cell r="AB41">
            <v>0</v>
          </cell>
          <cell r="AC41">
            <v>388.48</v>
          </cell>
          <cell r="AD41">
            <v>299.26002900000003</v>
          </cell>
          <cell r="AE41">
            <v>-89.219970999999987</v>
          </cell>
          <cell r="AF41">
            <v>97.12</v>
          </cell>
          <cell r="AG41">
            <v>1.2949333333333334E-3</v>
          </cell>
          <cell r="AH41">
            <v>0</v>
          </cell>
          <cell r="AI41">
            <v>0</v>
          </cell>
          <cell r="AJ41">
            <v>485.6</v>
          </cell>
          <cell r="AK41">
            <v>299.26002900000003</v>
          </cell>
          <cell r="AL41">
            <v>-186.33997099999999</v>
          </cell>
          <cell r="AM41">
            <v>97.12</v>
          </cell>
          <cell r="AN41">
            <v>1.2949333333333334E-3</v>
          </cell>
          <cell r="AO41">
            <v>0</v>
          </cell>
          <cell r="AP41">
            <v>0</v>
          </cell>
          <cell r="AQ41">
            <v>582.72</v>
          </cell>
          <cell r="AR41">
            <v>299.26002900000003</v>
          </cell>
          <cell r="AS41">
            <v>-283.459971</v>
          </cell>
          <cell r="AT41">
            <v>97.12</v>
          </cell>
          <cell r="AU41">
            <v>1.2949333333333334E-3</v>
          </cell>
          <cell r="AV41">
            <v>0</v>
          </cell>
          <cell r="AW41" t="e">
            <v>#DIV/0!</v>
          </cell>
          <cell r="AX41">
            <v>679.84</v>
          </cell>
          <cell r="AY41">
            <v>299.26002900000003</v>
          </cell>
          <cell r="AZ41">
            <v>-380.579971</v>
          </cell>
          <cell r="BA41">
            <v>97.12</v>
          </cell>
          <cell r="BB41">
            <v>1.2949333333333334E-3</v>
          </cell>
          <cell r="BC41">
            <v>0</v>
          </cell>
          <cell r="BD41" t="e">
            <v>#DIV/0!</v>
          </cell>
          <cell r="BE41">
            <v>776.96</v>
          </cell>
          <cell r="BF41">
            <v>299.26002900000003</v>
          </cell>
          <cell r="BG41">
            <v>-477.69997100000001</v>
          </cell>
          <cell r="BH41">
            <v>97.12</v>
          </cell>
          <cell r="BI41">
            <v>1.2949333333333334E-3</v>
          </cell>
          <cell r="BJ41">
            <v>0</v>
          </cell>
          <cell r="BK41" t="e">
            <v>#DIV/0!</v>
          </cell>
          <cell r="BL41">
            <v>874.08</v>
          </cell>
          <cell r="BM41">
            <v>299.26002900000003</v>
          </cell>
          <cell r="BN41">
            <v>-574.81997100000001</v>
          </cell>
          <cell r="BO41">
            <v>97.12</v>
          </cell>
          <cell r="BP41">
            <v>1.2949333333333334E-3</v>
          </cell>
          <cell r="BQ41">
            <v>0</v>
          </cell>
          <cell r="BR41" t="e">
            <v>#DIV/0!</v>
          </cell>
          <cell r="BS41">
            <v>971.2</v>
          </cell>
          <cell r="BT41">
            <v>299.26002900000003</v>
          </cell>
          <cell r="BU41">
            <v>-671.93997100000001</v>
          </cell>
          <cell r="BV41">
            <v>97.12</v>
          </cell>
          <cell r="BW41">
            <v>1.2949333333333334E-3</v>
          </cell>
          <cell r="BX41">
            <v>0</v>
          </cell>
          <cell r="BY41" t="e">
            <v>#DIV/0!</v>
          </cell>
          <cell r="BZ41">
            <v>1068.3200000000002</v>
          </cell>
          <cell r="CA41">
            <v>299.26002900000003</v>
          </cell>
          <cell r="CB41">
            <v>-769.05997100000013</v>
          </cell>
          <cell r="CC41">
            <v>97.12</v>
          </cell>
          <cell r="CD41">
            <v>1.2949333333333334E-3</v>
          </cell>
          <cell r="CE41">
            <v>0</v>
          </cell>
          <cell r="CF41" t="e">
            <v>#DIV/0!</v>
          </cell>
          <cell r="CG41">
            <v>1165.44</v>
          </cell>
          <cell r="CH41">
            <v>299.26002900000003</v>
          </cell>
        </row>
        <row r="42">
          <cell r="A42" t="str">
            <v>Plano de Saúde</v>
          </cell>
          <cell r="B42">
            <v>3.8241775931549857E-2</v>
          </cell>
          <cell r="C42">
            <v>2241.4269709</v>
          </cell>
          <cell r="D42">
            <v>3800</v>
          </cell>
          <cell r="E42">
            <v>4.2222222222222223E-2</v>
          </cell>
          <cell r="F42">
            <v>3944.2096139999999</v>
          </cell>
          <cell r="G42">
            <v>2.6419784406189296E-2</v>
          </cell>
          <cell r="H42">
            <v>3800</v>
          </cell>
          <cell r="I42">
            <v>3944.2096139999999</v>
          </cell>
          <cell r="J42">
            <v>144.20961399999987</v>
          </cell>
          <cell r="K42">
            <v>3800</v>
          </cell>
          <cell r="L42">
            <v>2.2222222222222223E-2</v>
          </cell>
          <cell r="M42">
            <v>4501.6304659999996</v>
          </cell>
          <cell r="N42">
            <v>2.2510966200775095E-2</v>
          </cell>
          <cell r="O42">
            <v>7600</v>
          </cell>
          <cell r="P42">
            <v>8445.8400799999999</v>
          </cell>
          <cell r="Q42">
            <v>845.84007999999994</v>
          </cell>
          <cell r="R42">
            <v>3800</v>
          </cell>
          <cell r="S42">
            <v>2.923076923076923E-2</v>
          </cell>
          <cell r="T42">
            <v>3529.931004</v>
          </cell>
          <cell r="U42">
            <v>0</v>
          </cell>
          <cell r="V42">
            <v>11400</v>
          </cell>
          <cell r="W42">
            <v>11975.771084</v>
          </cell>
          <cell r="X42">
            <v>575.77108399999997</v>
          </cell>
          <cell r="Y42">
            <v>3800</v>
          </cell>
          <cell r="Z42">
            <v>5.0666666666666665E-2</v>
          </cell>
          <cell r="AA42">
            <v>0</v>
          </cell>
          <cell r="AB42">
            <v>0</v>
          </cell>
          <cell r="AC42">
            <v>15200</v>
          </cell>
          <cell r="AD42">
            <v>11975.771084</v>
          </cell>
          <cell r="AE42">
            <v>-3224.228916</v>
          </cell>
          <cell r="AF42">
            <v>3800</v>
          </cell>
          <cell r="AG42">
            <v>5.0666666666666665E-2</v>
          </cell>
          <cell r="AH42">
            <v>0</v>
          </cell>
          <cell r="AI42">
            <v>0</v>
          </cell>
          <cell r="AJ42">
            <v>19000</v>
          </cell>
          <cell r="AK42">
            <v>11975.771084</v>
          </cell>
          <cell r="AL42">
            <v>-7024.228916</v>
          </cell>
          <cell r="AM42">
            <v>3800</v>
          </cell>
          <cell r="AN42">
            <v>5.0666666666666665E-2</v>
          </cell>
          <cell r="AO42">
            <v>0</v>
          </cell>
          <cell r="AP42">
            <v>0</v>
          </cell>
          <cell r="AQ42">
            <v>22800</v>
          </cell>
          <cell r="AR42">
            <v>11975.771084</v>
          </cell>
          <cell r="AS42">
            <v>-10824.228916</v>
          </cell>
          <cell r="AT42">
            <v>3800</v>
          </cell>
          <cell r="AU42">
            <v>5.0666666666666665E-2</v>
          </cell>
          <cell r="AV42">
            <v>0</v>
          </cell>
          <cell r="AW42" t="e">
            <v>#DIV/0!</v>
          </cell>
          <cell r="AX42">
            <v>26600</v>
          </cell>
          <cell r="AY42">
            <v>11975.771084</v>
          </cell>
          <cell r="AZ42">
            <v>-14624.228916</v>
          </cell>
          <cell r="BA42">
            <v>3800</v>
          </cell>
          <cell r="BB42">
            <v>5.0666666666666665E-2</v>
          </cell>
          <cell r="BC42">
            <v>0</v>
          </cell>
          <cell r="BD42" t="e">
            <v>#DIV/0!</v>
          </cell>
          <cell r="BE42">
            <v>30400</v>
          </cell>
          <cell r="BF42">
            <v>11975.771084</v>
          </cell>
          <cell r="BG42">
            <v>-18424.228916</v>
          </cell>
          <cell r="BH42">
            <v>3800</v>
          </cell>
          <cell r="BI42">
            <v>5.0666666666666665E-2</v>
          </cell>
          <cell r="BJ42">
            <v>0</v>
          </cell>
          <cell r="BK42" t="e">
            <v>#DIV/0!</v>
          </cell>
          <cell r="BL42">
            <v>34200</v>
          </cell>
          <cell r="BM42">
            <v>11975.771084</v>
          </cell>
          <cell r="BN42">
            <v>-22224.228916</v>
          </cell>
          <cell r="BO42">
            <v>4370</v>
          </cell>
          <cell r="BP42">
            <v>5.8266666666666668E-2</v>
          </cell>
          <cell r="BQ42">
            <v>0</v>
          </cell>
          <cell r="BR42" t="e">
            <v>#DIV/0!</v>
          </cell>
          <cell r="BS42">
            <v>38570</v>
          </cell>
          <cell r="BT42">
            <v>11975.771084</v>
          </cell>
          <cell r="BU42">
            <v>-26594.228916</v>
          </cell>
          <cell r="BV42">
            <v>4370</v>
          </cell>
          <cell r="BW42">
            <v>5.8266666666666668E-2</v>
          </cell>
          <cell r="BX42">
            <v>0</v>
          </cell>
          <cell r="BY42" t="e">
            <v>#DIV/0!</v>
          </cell>
          <cell r="BZ42">
            <v>42940</v>
          </cell>
          <cell r="CA42">
            <v>11975.771084</v>
          </cell>
          <cell r="CB42">
            <v>-30964.228916</v>
          </cell>
          <cell r="CC42">
            <v>4370</v>
          </cell>
          <cell r="CD42">
            <v>5.8266666666666668E-2</v>
          </cell>
          <cell r="CE42">
            <v>0</v>
          </cell>
          <cell r="CF42" t="e">
            <v>#DIV/0!</v>
          </cell>
          <cell r="CG42">
            <v>47310</v>
          </cell>
          <cell r="CH42">
            <v>11975.771084</v>
          </cell>
        </row>
        <row r="43">
          <cell r="A43" t="str">
            <v>Plano Odontológico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Redação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Remuneração</v>
          </cell>
          <cell r="B45">
            <v>0.22890817068177166</v>
          </cell>
          <cell r="C45">
            <v>13416.7657</v>
          </cell>
          <cell r="D45">
            <v>28650</v>
          </cell>
          <cell r="E45">
            <v>0.31833333333333336</v>
          </cell>
          <cell r="F45">
            <v>28710.014999999999</v>
          </cell>
          <cell r="G45">
            <v>0.19231036908031349</v>
          </cell>
          <cell r="H45">
            <v>28650</v>
          </cell>
          <cell r="I45">
            <v>28710.014999999999</v>
          </cell>
          <cell r="J45">
            <v>60.014999999999418</v>
          </cell>
          <cell r="K45">
            <v>28650</v>
          </cell>
          <cell r="L45">
            <v>0.1675438596491228</v>
          </cell>
          <cell r="M45">
            <v>30862.464999999997</v>
          </cell>
          <cell r="N45">
            <v>0.15433161645205648</v>
          </cell>
          <cell r="O45">
            <v>57300</v>
          </cell>
          <cell r="P45">
            <v>59572.479999999996</v>
          </cell>
          <cell r="Q45">
            <v>2272.4799999999959</v>
          </cell>
          <cell r="R45">
            <v>28650</v>
          </cell>
          <cell r="S45">
            <v>0.22038461538461537</v>
          </cell>
          <cell r="T45">
            <v>31635.72</v>
          </cell>
          <cell r="U45">
            <v>0</v>
          </cell>
          <cell r="V45">
            <v>85950</v>
          </cell>
          <cell r="W45">
            <v>91208.2</v>
          </cell>
          <cell r="X45">
            <v>5258.1999999999971</v>
          </cell>
          <cell r="Y45">
            <v>28650</v>
          </cell>
          <cell r="Z45">
            <v>0.38200000000000001</v>
          </cell>
          <cell r="AA45">
            <v>0</v>
          </cell>
          <cell r="AB45">
            <v>0</v>
          </cell>
          <cell r="AC45">
            <v>114600</v>
          </cell>
          <cell r="AD45">
            <v>91208.2</v>
          </cell>
          <cell r="AE45">
            <v>-23391.800000000003</v>
          </cell>
          <cell r="AF45">
            <v>23000</v>
          </cell>
          <cell r="AG45">
            <v>0.30666666666666664</v>
          </cell>
          <cell r="AH45">
            <v>0</v>
          </cell>
          <cell r="AI45">
            <v>0</v>
          </cell>
          <cell r="AJ45">
            <v>137600</v>
          </cell>
          <cell r="AK45">
            <v>91208.2</v>
          </cell>
          <cell r="AL45">
            <v>-46391.8</v>
          </cell>
          <cell r="AM45">
            <v>20100</v>
          </cell>
          <cell r="AN45">
            <v>0.26800000000000002</v>
          </cell>
          <cell r="AO45">
            <v>0</v>
          </cell>
          <cell r="AP45">
            <v>0</v>
          </cell>
          <cell r="AQ45">
            <v>157700</v>
          </cell>
          <cell r="AR45">
            <v>91208.2</v>
          </cell>
          <cell r="AS45">
            <v>-66491.8</v>
          </cell>
          <cell r="AT45">
            <v>20100</v>
          </cell>
          <cell r="AU45">
            <v>0.26800000000000002</v>
          </cell>
          <cell r="AV45">
            <v>0</v>
          </cell>
          <cell r="AW45" t="e">
            <v>#DIV/0!</v>
          </cell>
          <cell r="AX45">
            <v>177800</v>
          </cell>
          <cell r="AY45">
            <v>91208.2</v>
          </cell>
          <cell r="AZ45">
            <v>-86591.8</v>
          </cell>
          <cell r="BA45">
            <v>20100</v>
          </cell>
          <cell r="BB45">
            <v>0.26800000000000002</v>
          </cell>
          <cell r="BC45">
            <v>0</v>
          </cell>
          <cell r="BD45" t="e">
            <v>#DIV/0!</v>
          </cell>
          <cell r="BE45">
            <v>197900</v>
          </cell>
          <cell r="BF45">
            <v>91208.2</v>
          </cell>
          <cell r="BG45">
            <v>-106691.8</v>
          </cell>
          <cell r="BH45">
            <v>20100</v>
          </cell>
          <cell r="BI45">
            <v>0.26800000000000002</v>
          </cell>
          <cell r="BJ45">
            <v>0</v>
          </cell>
          <cell r="BK45" t="e">
            <v>#DIV/0!</v>
          </cell>
          <cell r="BL45">
            <v>218000</v>
          </cell>
          <cell r="BM45">
            <v>91208.2</v>
          </cell>
          <cell r="BN45">
            <v>-126791.8</v>
          </cell>
          <cell r="BO45">
            <v>20100</v>
          </cell>
          <cell r="BP45">
            <v>0.26800000000000002</v>
          </cell>
          <cell r="BQ45">
            <v>0</v>
          </cell>
          <cell r="BR45" t="e">
            <v>#DIV/0!</v>
          </cell>
          <cell r="BS45">
            <v>238100</v>
          </cell>
          <cell r="BT45">
            <v>91208.2</v>
          </cell>
          <cell r="BU45">
            <v>-146891.79999999999</v>
          </cell>
          <cell r="BV45">
            <v>20100</v>
          </cell>
          <cell r="BW45">
            <v>0.26800000000000002</v>
          </cell>
          <cell r="BX45">
            <v>0</v>
          </cell>
          <cell r="BY45" t="e">
            <v>#DIV/0!</v>
          </cell>
          <cell r="BZ45">
            <v>258200</v>
          </cell>
          <cell r="CA45">
            <v>91208.2</v>
          </cell>
          <cell r="CB45">
            <v>-166991.79999999999</v>
          </cell>
          <cell r="CC45">
            <v>20100</v>
          </cell>
          <cell r="CD45">
            <v>0.26800000000000002</v>
          </cell>
          <cell r="CE45">
            <v>0</v>
          </cell>
          <cell r="CF45" t="e">
            <v>#DIV/0!</v>
          </cell>
          <cell r="CG45">
            <v>278300</v>
          </cell>
          <cell r="CH45">
            <v>91208.2</v>
          </cell>
        </row>
        <row r="46">
          <cell r="A46" t="str">
            <v>Pesquisas/Consultas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29.45</v>
          </cell>
          <cell r="N46">
            <v>1.4726840855106888E-4</v>
          </cell>
          <cell r="O46">
            <v>0</v>
          </cell>
          <cell r="P46">
            <v>29.45</v>
          </cell>
          <cell r="Q46">
            <v>29.45</v>
          </cell>
          <cell r="R46">
            <v>0</v>
          </cell>
          <cell r="S46">
            <v>0</v>
          </cell>
          <cell r="T46">
            <v>40.479999999999997</v>
          </cell>
          <cell r="U46">
            <v>0</v>
          </cell>
          <cell r="V46">
            <v>0</v>
          </cell>
          <cell r="W46">
            <v>69.929999999999993</v>
          </cell>
          <cell r="X46">
            <v>69.929999999999993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69.929999999999993</v>
          </cell>
          <cell r="AE46">
            <v>69.929999999999993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69.929999999999993</v>
          </cell>
          <cell r="AL46">
            <v>69.929999999999993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69.929999999999993</v>
          </cell>
          <cell r="AS46">
            <v>69.929999999999993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69.929999999999993</v>
          </cell>
          <cell r="AZ46">
            <v>69.929999999999993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69.929999999999993</v>
          </cell>
          <cell r="BG46">
            <v>69.929999999999993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69.929999999999993</v>
          </cell>
          <cell r="BN46">
            <v>69.929999999999993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69.929999999999993</v>
          </cell>
          <cell r="BU46">
            <v>69.929999999999993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69.929999999999993</v>
          </cell>
          <cell r="CB46">
            <v>69.929999999999993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69.929999999999993</v>
          </cell>
        </row>
        <row r="47">
          <cell r="A47" t="str">
            <v>Sistemas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Indenização por Ruptura de Contrato</v>
          </cell>
          <cell r="B48">
            <v>0</v>
          </cell>
          <cell r="C48">
            <v>0</v>
          </cell>
          <cell r="D48">
            <v>250</v>
          </cell>
          <cell r="E48">
            <v>2.7777777777777779E-3</v>
          </cell>
          <cell r="F48">
            <v>0</v>
          </cell>
          <cell r="G48">
            <v>0</v>
          </cell>
          <cell r="H48">
            <v>250</v>
          </cell>
          <cell r="I48">
            <v>0</v>
          </cell>
          <cell r="J48">
            <v>-250</v>
          </cell>
          <cell r="K48">
            <v>250</v>
          </cell>
          <cell r="L48">
            <v>1.4619883040935672E-3</v>
          </cell>
          <cell r="M48">
            <v>0</v>
          </cell>
          <cell r="N48">
            <v>0</v>
          </cell>
          <cell r="O48">
            <v>500</v>
          </cell>
          <cell r="P48">
            <v>0</v>
          </cell>
          <cell r="Q48">
            <v>-500</v>
          </cell>
          <cell r="R48">
            <v>250</v>
          </cell>
          <cell r="S48">
            <v>1.9230769230769232E-3</v>
          </cell>
          <cell r="T48">
            <v>0</v>
          </cell>
          <cell r="U48">
            <v>0</v>
          </cell>
          <cell r="V48">
            <v>750</v>
          </cell>
          <cell r="W48">
            <v>0</v>
          </cell>
          <cell r="X48">
            <v>-750</v>
          </cell>
          <cell r="Y48">
            <v>250</v>
          </cell>
          <cell r="Z48">
            <v>3.3333333333333335E-3</v>
          </cell>
          <cell r="AA48">
            <v>0</v>
          </cell>
          <cell r="AB48">
            <v>0</v>
          </cell>
          <cell r="AC48">
            <v>1000</v>
          </cell>
          <cell r="AD48">
            <v>0</v>
          </cell>
          <cell r="AE48">
            <v>-1000</v>
          </cell>
          <cell r="AF48">
            <v>250</v>
          </cell>
          <cell r="AG48">
            <v>3.3333333333333335E-3</v>
          </cell>
          <cell r="AH48">
            <v>0</v>
          </cell>
          <cell r="AI48">
            <v>0</v>
          </cell>
          <cell r="AJ48">
            <v>1250</v>
          </cell>
          <cell r="AK48">
            <v>0</v>
          </cell>
          <cell r="AL48">
            <v>-1250</v>
          </cell>
          <cell r="AM48">
            <v>250</v>
          </cell>
          <cell r="AN48">
            <v>3.3333333333333335E-3</v>
          </cell>
          <cell r="AO48">
            <v>0</v>
          </cell>
          <cell r="AP48">
            <v>0</v>
          </cell>
          <cell r="AQ48">
            <v>1500</v>
          </cell>
          <cell r="AR48">
            <v>0</v>
          </cell>
          <cell r="AS48">
            <v>-1500</v>
          </cell>
          <cell r="AT48">
            <v>250</v>
          </cell>
          <cell r="AU48">
            <v>3.3333333333333335E-3</v>
          </cell>
          <cell r="AV48">
            <v>0</v>
          </cell>
          <cell r="AW48" t="e">
            <v>#DIV/0!</v>
          </cell>
          <cell r="AX48">
            <v>1750</v>
          </cell>
          <cell r="AY48">
            <v>0</v>
          </cell>
          <cell r="AZ48">
            <v>-1750</v>
          </cell>
          <cell r="BA48">
            <v>250</v>
          </cell>
          <cell r="BB48">
            <v>3.3333333333333335E-3</v>
          </cell>
          <cell r="BC48">
            <v>0</v>
          </cell>
          <cell r="BD48" t="e">
            <v>#DIV/0!</v>
          </cell>
          <cell r="BE48">
            <v>2000</v>
          </cell>
          <cell r="BF48">
            <v>0</v>
          </cell>
          <cell r="BG48">
            <v>-2000</v>
          </cell>
          <cell r="BH48">
            <v>250</v>
          </cell>
          <cell r="BI48">
            <v>3.3333333333333335E-3</v>
          </cell>
          <cell r="BJ48">
            <v>0</v>
          </cell>
          <cell r="BK48" t="e">
            <v>#DIV/0!</v>
          </cell>
          <cell r="BL48">
            <v>2250</v>
          </cell>
          <cell r="BM48">
            <v>0</v>
          </cell>
          <cell r="BN48">
            <v>-2250</v>
          </cell>
          <cell r="BO48">
            <v>250</v>
          </cell>
          <cell r="BP48">
            <v>3.3333333333333335E-3</v>
          </cell>
          <cell r="BQ48">
            <v>0</v>
          </cell>
          <cell r="BR48" t="e">
            <v>#DIV/0!</v>
          </cell>
          <cell r="BS48">
            <v>2500</v>
          </cell>
          <cell r="BT48">
            <v>0</v>
          </cell>
          <cell r="BU48">
            <v>-2500</v>
          </cell>
          <cell r="BV48">
            <v>250</v>
          </cell>
          <cell r="BW48">
            <v>3.3333333333333335E-3</v>
          </cell>
          <cell r="BX48">
            <v>0</v>
          </cell>
          <cell r="BY48" t="e">
            <v>#DIV/0!</v>
          </cell>
          <cell r="BZ48">
            <v>2750</v>
          </cell>
          <cell r="CA48">
            <v>0</v>
          </cell>
          <cell r="CB48">
            <v>-2750</v>
          </cell>
          <cell r="CC48">
            <v>250</v>
          </cell>
          <cell r="CD48">
            <v>3.3333333333333335E-3</v>
          </cell>
          <cell r="CE48">
            <v>0</v>
          </cell>
          <cell r="CF48" t="e">
            <v>#DIV/0!</v>
          </cell>
          <cell r="CG48">
            <v>3000</v>
          </cell>
          <cell r="CH48">
            <v>0</v>
          </cell>
        </row>
        <row r="49">
          <cell r="A49" t="str">
            <v>Vale Alimentação / Refeição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Vale Transporte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Alimentação / Hospedagem</v>
          </cell>
          <cell r="B51">
            <v>7.4849860096908472E-4</v>
          </cell>
          <cell r="C51">
            <v>43.870999999999995</v>
          </cell>
          <cell r="D51">
            <v>150</v>
          </cell>
          <cell r="E51">
            <v>1.6666666666666668E-3</v>
          </cell>
          <cell r="F51">
            <v>441.1</v>
          </cell>
          <cell r="G51">
            <v>2.9546520195592473E-3</v>
          </cell>
          <cell r="H51">
            <v>150</v>
          </cell>
          <cell r="I51">
            <v>441.1</v>
          </cell>
          <cell r="J51">
            <v>291.10000000000002</v>
          </cell>
          <cell r="K51">
            <v>150</v>
          </cell>
          <cell r="L51">
            <v>8.7719298245614037E-4</v>
          </cell>
          <cell r="M51">
            <v>0</v>
          </cell>
          <cell r="N51">
            <v>0</v>
          </cell>
          <cell r="O51">
            <v>300</v>
          </cell>
          <cell r="P51">
            <v>441.1</v>
          </cell>
          <cell r="Q51">
            <v>141.10000000000002</v>
          </cell>
          <cell r="R51">
            <v>150</v>
          </cell>
          <cell r="S51">
            <v>1.153846153846154E-3</v>
          </cell>
          <cell r="T51">
            <v>0</v>
          </cell>
          <cell r="U51">
            <v>0</v>
          </cell>
          <cell r="V51">
            <v>450</v>
          </cell>
          <cell r="W51">
            <v>441.1</v>
          </cell>
          <cell r="X51">
            <v>-8.8999999999999773</v>
          </cell>
          <cell r="Y51">
            <v>150</v>
          </cell>
          <cell r="Z51">
            <v>2E-3</v>
          </cell>
          <cell r="AA51">
            <v>0</v>
          </cell>
          <cell r="AB51">
            <v>0</v>
          </cell>
          <cell r="AC51">
            <v>600</v>
          </cell>
          <cell r="AD51">
            <v>441.1</v>
          </cell>
          <cell r="AE51">
            <v>-158.89999999999998</v>
          </cell>
          <cell r="AF51">
            <v>150</v>
          </cell>
          <cell r="AG51">
            <v>2E-3</v>
          </cell>
          <cell r="AH51">
            <v>0</v>
          </cell>
          <cell r="AI51">
            <v>0</v>
          </cell>
          <cell r="AJ51">
            <v>750</v>
          </cell>
          <cell r="AK51">
            <v>441.1</v>
          </cell>
          <cell r="AL51">
            <v>-308.89999999999998</v>
          </cell>
          <cell r="AM51">
            <v>150</v>
          </cell>
          <cell r="AN51">
            <v>2E-3</v>
          </cell>
          <cell r="AO51">
            <v>0</v>
          </cell>
          <cell r="AP51">
            <v>0</v>
          </cell>
          <cell r="AQ51">
            <v>900</v>
          </cell>
          <cell r="AR51">
            <v>441.1</v>
          </cell>
          <cell r="AS51">
            <v>-458.9</v>
          </cell>
          <cell r="AT51">
            <v>150</v>
          </cell>
          <cell r="AU51">
            <v>2E-3</v>
          </cell>
          <cell r="AV51">
            <v>0</v>
          </cell>
          <cell r="AW51" t="e">
            <v>#DIV/0!</v>
          </cell>
          <cell r="AX51">
            <v>1050</v>
          </cell>
          <cell r="AY51">
            <v>441.1</v>
          </cell>
          <cell r="AZ51">
            <v>-608.9</v>
          </cell>
          <cell r="BA51">
            <v>150</v>
          </cell>
          <cell r="BB51">
            <v>2E-3</v>
          </cell>
          <cell r="BC51">
            <v>0</v>
          </cell>
          <cell r="BD51" t="e">
            <v>#DIV/0!</v>
          </cell>
          <cell r="BE51">
            <v>1200</v>
          </cell>
          <cell r="BF51">
            <v>441.1</v>
          </cell>
          <cell r="BG51">
            <v>-758.9</v>
          </cell>
          <cell r="BH51">
            <v>150</v>
          </cell>
          <cell r="BI51">
            <v>2E-3</v>
          </cell>
          <cell r="BJ51">
            <v>0</v>
          </cell>
          <cell r="BK51" t="e">
            <v>#DIV/0!</v>
          </cell>
          <cell r="BL51">
            <v>1350</v>
          </cell>
          <cell r="BM51">
            <v>441.1</v>
          </cell>
          <cell r="BN51">
            <v>-908.9</v>
          </cell>
          <cell r="BO51">
            <v>150</v>
          </cell>
          <cell r="BP51">
            <v>2E-3</v>
          </cell>
          <cell r="BQ51">
            <v>0</v>
          </cell>
          <cell r="BR51" t="e">
            <v>#DIV/0!</v>
          </cell>
          <cell r="BS51">
            <v>1500</v>
          </cell>
          <cell r="BT51">
            <v>441.1</v>
          </cell>
          <cell r="BU51">
            <v>-1058.9000000000001</v>
          </cell>
          <cell r="BV51">
            <v>150</v>
          </cell>
          <cell r="BW51">
            <v>2E-3</v>
          </cell>
          <cell r="BX51">
            <v>0</v>
          </cell>
          <cell r="BY51" t="e">
            <v>#DIV/0!</v>
          </cell>
          <cell r="BZ51">
            <v>1650</v>
          </cell>
          <cell r="CA51">
            <v>441.1</v>
          </cell>
          <cell r="CB51">
            <v>-1208.9000000000001</v>
          </cell>
          <cell r="CC51">
            <v>150</v>
          </cell>
          <cell r="CD51">
            <v>2E-3</v>
          </cell>
          <cell r="CE51">
            <v>0</v>
          </cell>
          <cell r="CF51" t="e">
            <v>#DIV/0!</v>
          </cell>
          <cell r="CG51">
            <v>1800</v>
          </cell>
          <cell r="CH51">
            <v>441.1</v>
          </cell>
        </row>
        <row r="52">
          <cell r="A52" t="str">
            <v>Viagens - Passagens / Traslados</v>
          </cell>
          <cell r="B52">
            <v>0</v>
          </cell>
          <cell r="C52">
            <v>0</v>
          </cell>
          <cell r="D52">
            <v>350</v>
          </cell>
          <cell r="E52">
            <v>3.8888888888888888E-3</v>
          </cell>
          <cell r="F52">
            <v>0</v>
          </cell>
          <cell r="G52">
            <v>0</v>
          </cell>
          <cell r="H52">
            <v>350</v>
          </cell>
          <cell r="I52">
            <v>0</v>
          </cell>
          <cell r="J52">
            <v>-350</v>
          </cell>
          <cell r="K52">
            <v>350</v>
          </cell>
          <cell r="L52">
            <v>2.0467836257309943E-3</v>
          </cell>
          <cell r="M52">
            <v>0</v>
          </cell>
          <cell r="N52">
            <v>0</v>
          </cell>
          <cell r="O52">
            <v>700</v>
          </cell>
          <cell r="P52">
            <v>0</v>
          </cell>
          <cell r="Q52">
            <v>-700</v>
          </cell>
          <cell r="R52">
            <v>350</v>
          </cell>
          <cell r="S52">
            <v>2.6923076923076922E-3</v>
          </cell>
          <cell r="T52">
            <v>0</v>
          </cell>
          <cell r="U52">
            <v>0</v>
          </cell>
          <cell r="V52">
            <v>1050</v>
          </cell>
          <cell r="W52">
            <v>0</v>
          </cell>
          <cell r="X52">
            <v>-1050</v>
          </cell>
          <cell r="Y52">
            <v>350</v>
          </cell>
          <cell r="Z52">
            <v>4.6666666666666671E-3</v>
          </cell>
          <cell r="AA52">
            <v>0</v>
          </cell>
          <cell r="AB52">
            <v>0</v>
          </cell>
          <cell r="AC52">
            <v>1400</v>
          </cell>
          <cell r="AD52">
            <v>0</v>
          </cell>
          <cell r="AE52">
            <v>-1400</v>
          </cell>
          <cell r="AF52">
            <v>350</v>
          </cell>
          <cell r="AG52">
            <v>4.6666666666666671E-3</v>
          </cell>
          <cell r="AH52">
            <v>0</v>
          </cell>
          <cell r="AI52">
            <v>0</v>
          </cell>
          <cell r="AJ52">
            <v>1750</v>
          </cell>
          <cell r="AK52">
            <v>0</v>
          </cell>
          <cell r="AL52">
            <v>-1750</v>
          </cell>
          <cell r="AM52">
            <v>350</v>
          </cell>
          <cell r="AN52">
            <v>4.6666666666666671E-3</v>
          </cell>
          <cell r="AO52">
            <v>0</v>
          </cell>
          <cell r="AP52">
            <v>0</v>
          </cell>
          <cell r="AQ52">
            <v>2100</v>
          </cell>
          <cell r="AR52">
            <v>0</v>
          </cell>
          <cell r="AS52">
            <v>-2100</v>
          </cell>
          <cell r="AT52">
            <v>350</v>
          </cell>
          <cell r="AU52">
            <v>4.6666666666666671E-3</v>
          </cell>
          <cell r="AV52">
            <v>0</v>
          </cell>
          <cell r="AW52" t="e">
            <v>#DIV/0!</v>
          </cell>
          <cell r="AX52">
            <v>2450</v>
          </cell>
          <cell r="AY52">
            <v>0</v>
          </cell>
          <cell r="AZ52">
            <v>-2450</v>
          </cell>
          <cell r="BA52">
            <v>350</v>
          </cell>
          <cell r="BB52">
            <v>4.6666666666666671E-3</v>
          </cell>
          <cell r="BC52">
            <v>0</v>
          </cell>
          <cell r="BD52" t="e">
            <v>#DIV/0!</v>
          </cell>
          <cell r="BE52">
            <v>2800</v>
          </cell>
          <cell r="BF52">
            <v>0</v>
          </cell>
          <cell r="BG52">
            <v>-2800</v>
          </cell>
          <cell r="BH52">
            <v>350</v>
          </cell>
          <cell r="BI52">
            <v>4.6666666666666671E-3</v>
          </cell>
          <cell r="BJ52">
            <v>0</v>
          </cell>
          <cell r="BK52" t="e">
            <v>#DIV/0!</v>
          </cell>
          <cell r="BL52">
            <v>3150</v>
          </cell>
          <cell r="BM52">
            <v>0</v>
          </cell>
          <cell r="BN52">
            <v>-3150</v>
          </cell>
          <cell r="BO52">
            <v>350</v>
          </cell>
          <cell r="BP52">
            <v>4.6666666666666671E-3</v>
          </cell>
          <cell r="BQ52">
            <v>0</v>
          </cell>
          <cell r="BR52" t="e">
            <v>#DIV/0!</v>
          </cell>
          <cell r="BS52">
            <v>3500</v>
          </cell>
          <cell r="BT52">
            <v>0</v>
          </cell>
          <cell r="BU52">
            <v>-3500</v>
          </cell>
          <cell r="BV52">
            <v>350</v>
          </cell>
          <cell r="BW52">
            <v>4.6666666666666671E-3</v>
          </cell>
          <cell r="BX52">
            <v>0</v>
          </cell>
          <cell r="BY52" t="e">
            <v>#DIV/0!</v>
          </cell>
          <cell r="BZ52">
            <v>3850</v>
          </cell>
          <cell r="CA52">
            <v>0</v>
          </cell>
          <cell r="CB52">
            <v>-3850</v>
          </cell>
          <cell r="CC52">
            <v>350</v>
          </cell>
          <cell r="CD52">
            <v>4.6666666666666671E-3</v>
          </cell>
          <cell r="CE52">
            <v>0</v>
          </cell>
          <cell r="CF52" t="e">
            <v>#DIV/0!</v>
          </cell>
          <cell r="CG52">
            <v>4200</v>
          </cell>
          <cell r="CH52">
            <v>0</v>
          </cell>
        </row>
        <row r="53">
          <cell r="A53" t="str">
            <v>NIO - Total</v>
          </cell>
          <cell r="B53">
            <v>0.33494428311348284</v>
          </cell>
          <cell r="C53">
            <v>19631.754321847453</v>
          </cell>
          <cell r="D53">
            <v>41892.998088517474</v>
          </cell>
          <cell r="E53">
            <v>0.46547775653908302</v>
          </cell>
          <cell r="F53">
            <v>49135.691378754687</v>
          </cell>
          <cell r="G53">
            <v>0.32912915385327007</v>
          </cell>
          <cell r="H53">
            <v>41892.998088517474</v>
          </cell>
          <cell r="I53">
            <v>49135.691378754687</v>
          </cell>
          <cell r="J53">
            <v>7242.6932902372173</v>
          </cell>
          <cell r="K53">
            <v>43092.998088517474</v>
          </cell>
          <cell r="L53">
            <v>0.25200583677495597</v>
          </cell>
          <cell r="M53">
            <v>51289.654949413038</v>
          </cell>
          <cell r="N53">
            <v>0.2564803347889138</v>
          </cell>
          <cell r="O53">
            <v>84985.996177034947</v>
          </cell>
          <cell r="P53">
            <v>100425.34632816773</v>
          </cell>
          <cell r="Q53">
            <v>15439.350151132787</v>
          </cell>
          <cell r="R53">
            <v>44592.998088517474</v>
          </cell>
          <cell r="S53">
            <v>0.34302306221936518</v>
          </cell>
          <cell r="T53">
            <v>45212.905546932285</v>
          </cell>
          <cell r="U53">
            <v>0</v>
          </cell>
          <cell r="V53">
            <v>129578.99426555242</v>
          </cell>
          <cell r="W53">
            <v>145638.25187510002</v>
          </cell>
          <cell r="X53">
            <v>16059.257609547596</v>
          </cell>
          <cell r="Y53">
            <v>39792.998088517474</v>
          </cell>
          <cell r="Z53">
            <v>0.53057330784689971</v>
          </cell>
          <cell r="AA53">
            <v>0</v>
          </cell>
          <cell r="AB53">
            <v>0</v>
          </cell>
          <cell r="AC53">
            <v>169371.99235406989</v>
          </cell>
          <cell r="AD53">
            <v>145638.25187510002</v>
          </cell>
          <cell r="AE53">
            <v>-23733.740478969878</v>
          </cell>
          <cell r="AF53">
            <v>31540.998088517474</v>
          </cell>
          <cell r="AG53">
            <v>0.42054664118023294</v>
          </cell>
          <cell r="AH53">
            <v>0</v>
          </cell>
          <cell r="AI53">
            <v>0</v>
          </cell>
          <cell r="AJ53">
            <v>200912.99044258735</v>
          </cell>
          <cell r="AK53">
            <v>145638.25187510002</v>
          </cell>
          <cell r="AL53">
            <v>-55274.738567487351</v>
          </cell>
          <cell r="AM53">
            <v>29039.998088517474</v>
          </cell>
          <cell r="AN53">
            <v>0.38719997451356636</v>
          </cell>
          <cell r="AO53">
            <v>0</v>
          </cell>
          <cell r="AP53">
            <v>0</v>
          </cell>
          <cell r="AQ53">
            <v>229952.98853110484</v>
          </cell>
          <cell r="AR53">
            <v>145638.25187510002</v>
          </cell>
          <cell r="AS53">
            <v>-84314.736656004825</v>
          </cell>
          <cell r="AT53">
            <v>29039.998088517474</v>
          </cell>
          <cell r="AU53">
            <v>0.38719997451356636</v>
          </cell>
          <cell r="AV53">
            <v>0</v>
          </cell>
          <cell r="AW53" t="e">
            <v>#DIV/0!</v>
          </cell>
          <cell r="AX53">
            <v>258992.9866196223</v>
          </cell>
          <cell r="AY53">
            <v>145638.25187510002</v>
          </cell>
          <cell r="AZ53">
            <v>-113354.73474452228</v>
          </cell>
          <cell r="BA53">
            <v>29039.998088517474</v>
          </cell>
          <cell r="BB53">
            <v>0.38046664118023299</v>
          </cell>
          <cell r="BC53">
            <v>0</v>
          </cell>
          <cell r="BD53" t="e">
            <v>#DIV/0!</v>
          </cell>
          <cell r="BE53">
            <v>288032.98470813979</v>
          </cell>
          <cell r="BF53">
            <v>145638.25187510002</v>
          </cell>
          <cell r="BG53">
            <v>-142394.73283303977</v>
          </cell>
          <cell r="BH53">
            <v>29039.998088517474</v>
          </cell>
          <cell r="BI53">
            <v>0.38719997451356636</v>
          </cell>
          <cell r="BJ53">
            <v>0</v>
          </cell>
          <cell r="BK53" t="e">
            <v>#DIV/0!</v>
          </cell>
          <cell r="BL53">
            <v>317072.98279665725</v>
          </cell>
          <cell r="BM53">
            <v>145638.25187510002</v>
          </cell>
          <cell r="BN53">
            <v>-171434.73092155723</v>
          </cell>
          <cell r="BO53">
            <v>29626.191604227541</v>
          </cell>
          <cell r="BP53">
            <v>0.39501588805636723</v>
          </cell>
          <cell r="BQ53">
            <v>0</v>
          </cell>
          <cell r="BR53" t="e">
            <v>#DIV/0!</v>
          </cell>
          <cell r="BS53">
            <v>346699.17440088477</v>
          </cell>
          <cell r="BT53">
            <v>145638.25187510002</v>
          </cell>
          <cell r="BU53">
            <v>-201060.92252578476</v>
          </cell>
          <cell r="BV53">
            <v>29626.191604227541</v>
          </cell>
          <cell r="BW53">
            <v>0.39501588805636723</v>
          </cell>
          <cell r="BX53">
            <v>0</v>
          </cell>
          <cell r="BY53" t="e">
            <v>#DIV/0!</v>
          </cell>
          <cell r="BZ53">
            <v>376325.3660051123</v>
          </cell>
          <cell r="CA53">
            <v>145638.25187510002</v>
          </cell>
          <cell r="CB53">
            <v>-230687.11413001231</v>
          </cell>
          <cell r="CC53">
            <v>29626.191604227541</v>
          </cell>
          <cell r="CD53">
            <v>0.39501588805636723</v>
          </cell>
          <cell r="CE53">
            <v>0</v>
          </cell>
          <cell r="CF53" t="e">
            <v>#DIV/0!</v>
          </cell>
          <cell r="CG53">
            <v>405951.55760933988</v>
          </cell>
          <cell r="CH53">
            <v>145638.25187510002</v>
          </cell>
        </row>
        <row r="54">
          <cell r="A54" t="str">
            <v>Distribuição Anual de Lucros</v>
          </cell>
          <cell r="F54">
            <v>30000</v>
          </cell>
          <cell r="M54">
            <v>57300.9</v>
          </cell>
          <cell r="T54">
            <v>1046.67</v>
          </cell>
          <cell r="AH54">
            <v>0</v>
          </cell>
          <cell r="AO54">
            <v>0</v>
          </cell>
        </row>
        <row r="55">
          <cell r="A55" t="str">
            <v>Ajuste Mensal de Lucros</v>
          </cell>
          <cell r="F55">
            <v>2371.4750000000004</v>
          </cell>
          <cell r="M55">
            <v>12173.915000000001</v>
          </cell>
          <cell r="T55">
            <v>0</v>
          </cell>
          <cell r="AA55">
            <v>0</v>
          </cell>
          <cell r="AH55">
            <v>0</v>
          </cell>
          <cell r="AO55">
            <v>0</v>
          </cell>
          <cell r="AV55">
            <v>0</v>
          </cell>
          <cell r="BC55">
            <v>0</v>
          </cell>
          <cell r="BJ55">
            <v>0</v>
          </cell>
          <cell r="BQ55">
            <v>0</v>
          </cell>
          <cell r="BX55">
            <v>0</v>
          </cell>
          <cell r="CE55">
            <v>0</v>
          </cell>
        </row>
        <row r="56">
          <cell r="A56" t="str">
            <v>Impostos</v>
          </cell>
          <cell r="B56">
            <v>0.17349999999999999</v>
          </cell>
          <cell r="C56">
            <v>10169.181999999999</v>
          </cell>
          <cell r="D56">
            <v>15614.999999999998</v>
          </cell>
          <cell r="F56">
            <v>37232.276438438712</v>
          </cell>
          <cell r="H56">
            <v>15614.999999999998</v>
          </cell>
          <cell r="I56">
            <v>37232.276438438712</v>
          </cell>
          <cell r="J56">
            <v>21617.276438438712</v>
          </cell>
          <cell r="K56">
            <v>29668.499999999996</v>
          </cell>
          <cell r="M56">
            <v>47400.612249301274</v>
          </cell>
          <cell r="O56">
            <v>45283.499999999993</v>
          </cell>
          <cell r="P56">
            <v>84632.888687739993</v>
          </cell>
          <cell r="Q56">
            <v>39349.38868774</v>
          </cell>
          <cell r="R56">
            <v>22555</v>
          </cell>
          <cell r="T56">
            <v>0</v>
          </cell>
          <cell r="V56">
            <v>67838.5</v>
          </cell>
          <cell r="W56">
            <v>84632.888687739993</v>
          </cell>
          <cell r="X56">
            <v>16794.388687739993</v>
          </cell>
          <cell r="Y56">
            <v>13012.499999999998</v>
          </cell>
          <cell r="AA56">
            <v>0</v>
          </cell>
          <cell r="AC56">
            <v>80851</v>
          </cell>
          <cell r="AD56">
            <v>84632.888687739993</v>
          </cell>
          <cell r="AE56">
            <v>3781.8886877399927</v>
          </cell>
          <cell r="AF56">
            <v>13012.499999999998</v>
          </cell>
          <cell r="AH56">
            <v>0</v>
          </cell>
          <cell r="AJ56">
            <v>93863.5</v>
          </cell>
          <cell r="AK56">
            <v>84632.888687739993</v>
          </cell>
          <cell r="AL56">
            <v>-9230.6113122600073</v>
          </cell>
          <cell r="AM56">
            <v>13012.499999999998</v>
          </cell>
          <cell r="AO56">
            <v>0</v>
          </cell>
          <cell r="AQ56">
            <v>106876</v>
          </cell>
          <cell r="AR56">
            <v>84632.888687739993</v>
          </cell>
          <cell r="AS56">
            <v>-22243.111312260007</v>
          </cell>
          <cell r="AT56">
            <v>13012.499999999998</v>
          </cell>
          <cell r="AV56">
            <v>0</v>
          </cell>
          <cell r="AX56">
            <v>119888.5</v>
          </cell>
          <cell r="AY56">
            <v>84632.888687739993</v>
          </cell>
          <cell r="AZ56">
            <v>-35255.611312260007</v>
          </cell>
          <cell r="BA56">
            <v>13012.499999999998</v>
          </cell>
          <cell r="BC56">
            <v>0</v>
          </cell>
          <cell r="BE56">
            <v>132901</v>
          </cell>
          <cell r="BF56">
            <v>84632.888687739993</v>
          </cell>
          <cell r="BG56">
            <v>-48268.111312260007</v>
          </cell>
          <cell r="BH56">
            <v>13012.499999999998</v>
          </cell>
          <cell r="BJ56">
            <v>0</v>
          </cell>
          <cell r="BL56">
            <v>145913.5</v>
          </cell>
          <cell r="BM56">
            <v>84632.888687739993</v>
          </cell>
          <cell r="BN56">
            <v>-61280.611312260007</v>
          </cell>
          <cell r="BO56">
            <v>13012.499999999998</v>
          </cell>
          <cell r="BQ56">
            <v>0</v>
          </cell>
          <cell r="BS56">
            <v>158926</v>
          </cell>
          <cell r="BT56">
            <v>84632.888687739993</v>
          </cell>
          <cell r="BU56">
            <v>-74293.111312260007</v>
          </cell>
          <cell r="BV56">
            <v>13012.499999999998</v>
          </cell>
          <cell r="BX56">
            <v>0</v>
          </cell>
          <cell r="BZ56">
            <v>171938.5</v>
          </cell>
          <cell r="CA56">
            <v>84632.888687739993</v>
          </cell>
          <cell r="CB56">
            <v>-87305.611312260007</v>
          </cell>
          <cell r="CC56">
            <v>13012.499999999998</v>
          </cell>
          <cell r="CE56">
            <v>0</v>
          </cell>
          <cell r="CG56">
            <v>184951</v>
          </cell>
          <cell r="CH56">
            <v>84632.888687739993</v>
          </cell>
        </row>
        <row r="58">
          <cell r="A58" t="str">
            <v>Margem de Contribuição</v>
          </cell>
          <cell r="B58">
            <v>0.49155571688651722</v>
          </cell>
          <cell r="C58">
            <v>28811.063678152546</v>
          </cell>
          <cell r="D58">
            <v>0.36102224346091694</v>
          </cell>
          <cell r="F58">
            <v>0.42147519715189635</v>
          </cell>
          <cell r="H58">
            <v>0.36102224346091694</v>
          </cell>
          <cell r="I58">
            <v>0.42147519715189635</v>
          </cell>
          <cell r="K58">
            <v>0.57449416322504399</v>
          </cell>
          <cell r="M58">
            <v>0.5064869748782882</v>
          </cell>
          <cell r="O58">
            <v>0.50088315640982783</v>
          </cell>
          <cell r="P58">
            <v>0.47014949961803298</v>
          </cell>
          <cell r="R58">
            <v>0.48347693778063483</v>
          </cell>
          <cell r="T58">
            <v>0</v>
          </cell>
          <cell r="V58">
            <v>0.49509592259449503</v>
          </cell>
          <cell r="W58">
            <v>0.34069792116919817</v>
          </cell>
          <cell r="Y58">
            <v>0.29592669215310036</v>
          </cell>
          <cell r="AA58">
            <v>0</v>
          </cell>
          <cell r="AC58">
            <v>0.46304078893976419</v>
          </cell>
          <cell r="AD58">
            <v>0.34069792116919817</v>
          </cell>
          <cell r="AF58">
            <v>0.40595335881976702</v>
          </cell>
          <cell r="AH58">
            <v>0</v>
          </cell>
          <cell r="AJ58">
            <v>0.4551266350414282</v>
          </cell>
          <cell r="AK58">
            <v>0.34069792116919817</v>
          </cell>
          <cell r="AM58">
            <v>0.43930002548643371</v>
          </cell>
          <cell r="AO58">
            <v>0</v>
          </cell>
          <cell r="AQ58">
            <v>0.45319969394301157</v>
          </cell>
          <cell r="AR58">
            <v>0.34069792116919817</v>
          </cell>
          <cell r="AT58">
            <v>0.43930002548643371</v>
          </cell>
          <cell r="AV58">
            <v>0</v>
          </cell>
          <cell r="AX58">
            <v>0.45169104686017031</v>
          </cell>
          <cell r="AY58">
            <v>0.34069792116919817</v>
          </cell>
          <cell r="BA58">
            <v>0.43930002548643371</v>
          </cell>
          <cell r="BC58">
            <v>0</v>
          </cell>
          <cell r="BE58">
            <v>0.45047782675177572</v>
          </cell>
          <cell r="BF58">
            <v>0.34069792116919817</v>
          </cell>
          <cell r="BH58">
            <v>0.43930002548643371</v>
          </cell>
          <cell r="BJ58">
            <v>0</v>
          </cell>
          <cell r="BL58">
            <v>0.44948099548554432</v>
          </cell>
          <cell r="BM58">
            <v>0.34069792116919817</v>
          </cell>
          <cell r="BO58">
            <v>0.43148411194363279</v>
          </cell>
          <cell r="BQ58">
            <v>0</v>
          </cell>
          <cell r="BS58">
            <v>0.44800745152741839</v>
          </cell>
          <cell r="BT58">
            <v>0.34069792116919817</v>
          </cell>
          <cell r="BV58">
            <v>0.43148411194363279</v>
          </cell>
          <cell r="BX58">
            <v>0</v>
          </cell>
          <cell r="BZ58">
            <v>0.44675694651350928</v>
          </cell>
          <cell r="CA58">
            <v>0.34069792116919817</v>
          </cell>
          <cell r="CC58">
            <v>0.43148411194363279</v>
          </cell>
          <cell r="CE58">
            <v>0</v>
          </cell>
          <cell r="CG58">
            <v>0.44568240374358353</v>
          </cell>
          <cell r="CH58">
            <v>0.34069792116919817</v>
          </cell>
        </row>
        <row r="60">
          <cell r="A60" t="str">
            <v>Rateio</v>
          </cell>
          <cell r="C60">
            <v>4644.4432053988876</v>
          </cell>
          <cell r="F60">
            <v>32586.586562676046</v>
          </cell>
          <cell r="I60">
            <v>32586.586562676046</v>
          </cell>
          <cell r="M60">
            <v>43988.656017201713</v>
          </cell>
          <cell r="P60">
            <v>76575.242579877755</v>
          </cell>
          <cell r="T60">
            <v>0</v>
          </cell>
          <cell r="W60">
            <v>76575.242579877755</v>
          </cell>
          <cell r="AA60">
            <v>0</v>
          </cell>
          <cell r="AD60">
            <v>76575.242579877755</v>
          </cell>
          <cell r="AH60">
            <v>0</v>
          </cell>
          <cell r="AK60">
            <v>76575.242579877755</v>
          </cell>
          <cell r="AO60">
            <v>0</v>
          </cell>
          <cell r="AR60">
            <v>76575.242579877755</v>
          </cell>
          <cell r="AV60">
            <v>0</v>
          </cell>
          <cell r="AY60">
            <v>76575.242579877755</v>
          </cell>
          <cell r="BC60">
            <v>0</v>
          </cell>
          <cell r="BF60">
            <v>76575.242579877755</v>
          </cell>
          <cell r="BJ60">
            <v>0</v>
          </cell>
          <cell r="BM60">
            <v>76575.242579877755</v>
          </cell>
          <cell r="BQ60">
            <v>0</v>
          </cell>
          <cell r="BT60">
            <v>76575.242579877755</v>
          </cell>
          <cell r="BX60">
            <v>0</v>
          </cell>
          <cell r="CA60">
            <v>76575.242579877755</v>
          </cell>
          <cell r="CE60">
            <v>0</v>
          </cell>
          <cell r="CH60">
            <v>76575.242579877755</v>
          </cell>
        </row>
        <row r="62">
          <cell r="A62" t="str">
            <v>Resultado</v>
          </cell>
          <cell r="C62">
            <v>-1688.113308515256</v>
          </cell>
          <cell r="F62">
            <v>30335.445620130562</v>
          </cell>
          <cell r="G62">
            <v>0.20319810851450573</v>
          </cell>
          <cell r="I62">
            <v>30335.445620130562</v>
          </cell>
          <cell r="J62">
            <v>0.20319810851450573</v>
          </cell>
          <cell r="M62">
            <v>57296.076784083976</v>
          </cell>
          <cell r="N62">
            <v>0.28651619844522552</v>
          </cell>
          <cell r="P62">
            <v>87631.522404214542</v>
          </cell>
          <cell r="Q62">
            <v>0.25090267391297305</v>
          </cell>
          <cell r="T62">
            <v>-45212.905546932285</v>
          </cell>
          <cell r="U62" t="e">
            <v>#DIV/0!</v>
          </cell>
          <cell r="W62">
            <v>42418.616857282257</v>
          </cell>
          <cell r="X62">
            <v>0.12145109546413828</v>
          </cell>
          <cell r="AA62">
            <v>0</v>
          </cell>
          <cell r="AB62" t="e">
            <v>#DIV/0!</v>
          </cell>
          <cell r="AD62">
            <v>42418.616857282257</v>
          </cell>
          <cell r="AE62">
            <v>0.12145109546413828</v>
          </cell>
          <cell r="AH62">
            <v>0</v>
          </cell>
          <cell r="AI62" t="e">
            <v>#DIV/0!</v>
          </cell>
          <cell r="AK62">
            <v>42418.616857282257</v>
          </cell>
          <cell r="AL62">
            <v>0.12145109546413828</v>
          </cell>
          <cell r="AO62">
            <v>0</v>
          </cell>
          <cell r="AP62" t="e">
            <v>#DIV/0!</v>
          </cell>
          <cell r="AR62">
            <v>42418.616857282257</v>
          </cell>
          <cell r="AS62">
            <v>0.12145109546413828</v>
          </cell>
          <cell r="AV62">
            <v>0</v>
          </cell>
          <cell r="AW62" t="e">
            <v>#DIV/0!</v>
          </cell>
          <cell r="AY62">
            <v>42418.616857282257</v>
          </cell>
          <cell r="AZ62">
            <v>0.12145109546413828</v>
          </cell>
          <cell r="BC62">
            <v>0</v>
          </cell>
          <cell r="BD62" t="e">
            <v>#DIV/0!</v>
          </cell>
          <cell r="BF62">
            <v>42418.616857282257</v>
          </cell>
          <cell r="BG62">
            <v>0.12145109546413828</v>
          </cell>
          <cell r="BJ62">
            <v>0</v>
          </cell>
          <cell r="BK62" t="e">
            <v>#DIV/0!</v>
          </cell>
          <cell r="BM62">
            <v>42418.616857282257</v>
          </cell>
          <cell r="BN62">
            <v>0.12145109546413828</v>
          </cell>
          <cell r="BQ62">
            <v>0</v>
          </cell>
          <cell r="BR62" t="e">
            <v>#DIV/0!</v>
          </cell>
          <cell r="BT62">
            <v>42418.616857282257</v>
          </cell>
          <cell r="BU62">
            <v>0.12145109546413828</v>
          </cell>
          <cell r="BX62">
            <v>0</v>
          </cell>
          <cell r="BY62" t="e">
            <v>#DIV/0!</v>
          </cell>
          <cell r="CA62">
            <v>42418.616857282257</v>
          </cell>
          <cell r="CB62">
            <v>0.12145109546413828</v>
          </cell>
          <cell r="CE62">
            <v>0</v>
          </cell>
          <cell r="CF62" t="e">
            <v>#DIV/0!</v>
          </cell>
          <cell r="CH62">
            <v>42418.616857282257</v>
          </cell>
        </row>
        <row r="64">
          <cell r="A64" t="str">
            <v>Nio  Pronto? N</v>
          </cell>
          <cell r="D64">
            <v>32492.001911482526</v>
          </cell>
          <cell r="CG64" t="str">
            <v>Total Ano</v>
          </cell>
        </row>
        <row r="65">
          <cell r="D65">
            <v>0.36102224346091694</v>
          </cell>
          <cell r="CE65">
            <v>475097.44239066006</v>
          </cell>
          <cell r="CG65" t="str">
            <v>Receita</v>
          </cell>
          <cell r="CH65">
            <v>1066000</v>
          </cell>
        </row>
        <row r="66">
          <cell r="A66" t="str">
            <v>Impostos - Cálculo Aproximado %</v>
          </cell>
          <cell r="B66">
            <v>0.17349999999999999</v>
          </cell>
          <cell r="D66">
            <v>17492.001911482526</v>
          </cell>
          <cell r="CG66" t="str">
            <v>Desp Dir</v>
          </cell>
          <cell r="CH66">
            <v>405951.55760933988</v>
          </cell>
        </row>
        <row r="67">
          <cell r="D67">
            <v>0.19435557679425031</v>
          </cell>
          <cell r="CG67" t="str">
            <v>Imposto</v>
          </cell>
          <cell r="CH67">
            <v>184951</v>
          </cell>
        </row>
        <row r="68">
          <cell r="CG68" t="str">
            <v>MC</v>
          </cell>
          <cell r="CH68">
            <v>475097.44239066006</v>
          </cell>
        </row>
        <row r="69">
          <cell r="CG69" t="str">
            <v>MC %</v>
          </cell>
          <cell r="CH69">
            <v>0.44568240374358353</v>
          </cell>
        </row>
        <row r="70">
          <cell r="CG70" t="str">
            <v>Rateio</v>
          </cell>
          <cell r="CH70">
            <v>235739.25932260082</v>
          </cell>
        </row>
        <row r="71">
          <cell r="CG71" t="str">
            <v>ML</v>
          </cell>
          <cell r="CH71">
            <v>239358.18306805924</v>
          </cell>
        </row>
        <row r="72">
          <cell r="CG72" t="str">
            <v>ML %</v>
          </cell>
          <cell r="CH72">
            <v>0.22453863327210061</v>
          </cell>
        </row>
      </sheetData>
      <sheetData sheetId="30">
        <row r="11">
          <cell r="C11" t="str">
            <v>Média 2025</v>
          </cell>
          <cell r="D11" t="str">
            <v>Valor Orçado</v>
          </cell>
          <cell r="E11" t="str">
            <v>% s/ Fat - Orçado</v>
          </cell>
          <cell r="F11" t="str">
            <v>Valor Real</v>
          </cell>
          <cell r="G11" t="str">
            <v>% s/ Fat - Real</v>
          </cell>
          <cell r="H11" t="str">
            <v>Acum Orçado</v>
          </cell>
          <cell r="I11" t="str">
            <v>Acum Real</v>
          </cell>
          <cell r="J11" t="str">
            <v>Saldo (Dif Acum R/O)</v>
          </cell>
          <cell r="K11" t="str">
            <v>Valor Orçado</v>
          </cell>
          <cell r="L11" t="str">
            <v>% s/ Fat - Orçado</v>
          </cell>
          <cell r="M11" t="str">
            <v>Valor Real</v>
          </cell>
          <cell r="N11" t="str">
            <v>% s/ Fat - Real</v>
          </cell>
          <cell r="O11" t="str">
            <v>Acum Orçado</v>
          </cell>
          <cell r="P11" t="str">
            <v>Acum Real</v>
          </cell>
          <cell r="Q11" t="str">
            <v>Saldo (Dif Acum R/O)</v>
          </cell>
          <cell r="R11" t="str">
            <v>Valor Orçado</v>
          </cell>
          <cell r="S11" t="str">
            <v>% s/ Fat - Orçado</v>
          </cell>
          <cell r="T11" t="str">
            <v>Valor Real</v>
          </cell>
          <cell r="U11" t="str">
            <v>% s/ Fat - Real</v>
          </cell>
          <cell r="V11" t="str">
            <v>Acum Orçado</v>
          </cell>
          <cell r="W11" t="str">
            <v>Acum Real</v>
          </cell>
          <cell r="X11" t="str">
            <v>Saldo (Dif Acum R/O)</v>
          </cell>
          <cell r="Y11" t="str">
            <v>Valor Orçado</v>
          </cell>
          <cell r="Z11" t="str">
            <v>% s/ Fat - Orçado</v>
          </cell>
          <cell r="AA11" t="str">
            <v>Valor Real</v>
          </cell>
          <cell r="AB11" t="str">
            <v>% s/ Fat - Real</v>
          </cell>
          <cell r="AC11" t="str">
            <v>Acum Orçado</v>
          </cell>
          <cell r="AD11" t="str">
            <v>Acum Real</v>
          </cell>
          <cell r="AE11" t="str">
            <v>Saldo (Dif Acum R/O)</v>
          </cell>
          <cell r="AF11" t="str">
            <v>Valor Orçado</v>
          </cell>
          <cell r="AG11" t="str">
            <v>% s/ Fat - Orçado</v>
          </cell>
          <cell r="AH11" t="str">
            <v>Valor Real</v>
          </cell>
          <cell r="AI11" t="str">
            <v>% s/ Fat - Real</v>
          </cell>
          <cell r="AJ11" t="str">
            <v>Acum Orçado</v>
          </cell>
          <cell r="AK11" t="str">
            <v>Acum Real</v>
          </cell>
          <cell r="AL11" t="str">
            <v>Saldo (Dif Acum R/O)</v>
          </cell>
          <cell r="AM11" t="str">
            <v>Valor Orçado</v>
          </cell>
          <cell r="AN11" t="str">
            <v>% s/ Fat - Orçado</v>
          </cell>
          <cell r="AO11" t="str">
            <v>Valor Real</v>
          </cell>
          <cell r="AP11" t="str">
            <v>% s/ Fat - Real</v>
          </cell>
          <cell r="AQ11" t="str">
            <v>Acum Orçado</v>
          </cell>
          <cell r="AR11" t="str">
            <v>Acum Real</v>
          </cell>
          <cell r="AS11" t="str">
            <v>Saldo (Dif Acum R/O)</v>
          </cell>
          <cell r="AT11" t="str">
            <v>Valor Orçado</v>
          </cell>
          <cell r="AU11" t="str">
            <v>% s/ Fat - Orçado</v>
          </cell>
          <cell r="AV11" t="str">
            <v>Valor Real</v>
          </cell>
          <cell r="AW11" t="str">
            <v>% s/ Fat - Real</v>
          </cell>
          <cell r="AX11" t="str">
            <v>Acum Orçado</v>
          </cell>
          <cell r="AY11" t="str">
            <v>Acum Real</v>
          </cell>
          <cell r="AZ11" t="str">
            <v>Saldo (Dif Acum R/O)</v>
          </cell>
          <cell r="BA11" t="str">
            <v>Valor Orçado</v>
          </cell>
          <cell r="BB11" t="str">
            <v>% s/ Fat - Orçado</v>
          </cell>
          <cell r="BC11" t="str">
            <v>Valor Real</v>
          </cell>
          <cell r="BD11" t="str">
            <v>% s/ Fat - Real</v>
          </cell>
          <cell r="BE11" t="str">
            <v>Acum Orçado</v>
          </cell>
          <cell r="BF11" t="str">
            <v>Acum Real</v>
          </cell>
          <cell r="BG11" t="str">
            <v>Saldo (Dif Acum R/O)</v>
          </cell>
          <cell r="BH11" t="str">
            <v>Valor Orçado</v>
          </cell>
          <cell r="BI11" t="str">
            <v>% s/ Fat - Orçado</v>
          </cell>
          <cell r="BJ11" t="str">
            <v>Valor Real</v>
          </cell>
          <cell r="BK11" t="str">
            <v>% s/ Fat - Real</v>
          </cell>
          <cell r="BL11" t="str">
            <v>Acum Orçado</v>
          </cell>
          <cell r="BM11" t="str">
            <v>Acum Real</v>
          </cell>
          <cell r="BN11" t="str">
            <v>Saldo (Dif Acum R/O)</v>
          </cell>
          <cell r="BO11" t="str">
            <v>Valor Orçado</v>
          </cell>
          <cell r="BP11" t="str">
            <v>% s/ Fat - Orçado</v>
          </cell>
          <cell r="BQ11" t="str">
            <v>Valor Real</v>
          </cell>
          <cell r="BR11" t="str">
            <v>% s/ Fat - Real</v>
          </cell>
          <cell r="BS11" t="str">
            <v>Acum Orçado</v>
          </cell>
          <cell r="BT11" t="str">
            <v>Acum Real</v>
          </cell>
          <cell r="BU11" t="str">
            <v>Saldo (Dif Acum R/O)</v>
          </cell>
          <cell r="BV11" t="str">
            <v>Valor Orçado</v>
          </cell>
          <cell r="BW11" t="str">
            <v>% s/ Fat - Orçado</v>
          </cell>
          <cell r="BX11" t="str">
            <v>Valor Real</v>
          </cell>
          <cell r="BY11" t="str">
            <v>% s/ Fat - Real</v>
          </cell>
          <cell r="BZ11" t="str">
            <v>Acum Orçado</v>
          </cell>
          <cell r="CA11" t="str">
            <v>Acum Real</v>
          </cell>
          <cell r="CB11" t="str">
            <v>Saldo (Dif Acum R/O)</v>
          </cell>
          <cell r="CC11" t="str">
            <v>Valor Orçado</v>
          </cell>
          <cell r="CD11" t="str">
            <v>% s/ Fat - Orçado</v>
          </cell>
          <cell r="CE11" t="str">
            <v>Valor Real</v>
          </cell>
          <cell r="CF11" t="str">
            <v>% s/ Fat - Real</v>
          </cell>
          <cell r="CG11" t="str">
            <v>Acum Orçado</v>
          </cell>
          <cell r="CH11" t="str">
            <v>Acum Real</v>
          </cell>
        </row>
        <row r="13">
          <cell r="A13" t="str">
            <v>13º (+ Encargos)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3400</v>
          </cell>
          <cell r="BW13">
            <v>1.7306498081014771E-2</v>
          </cell>
          <cell r="BX13">
            <v>0</v>
          </cell>
          <cell r="BY13" t="e">
            <v>#DIV/0!</v>
          </cell>
          <cell r="BZ13">
            <v>3400</v>
          </cell>
          <cell r="CA13">
            <v>0</v>
          </cell>
          <cell r="CB13">
            <v>-3400</v>
          </cell>
          <cell r="CC13">
            <v>3400</v>
          </cell>
          <cell r="CD13">
            <v>1.7306498081014771E-2</v>
          </cell>
          <cell r="CE13">
            <v>0</v>
          </cell>
          <cell r="CF13" t="e">
            <v>#DIV/0!</v>
          </cell>
          <cell r="CG13">
            <v>6800</v>
          </cell>
          <cell r="CH13">
            <v>0</v>
          </cell>
        </row>
        <row r="14">
          <cell r="A14" t="str">
            <v>Acordo</v>
          </cell>
          <cell r="B14">
            <v>0</v>
          </cell>
          <cell r="C14">
            <v>0</v>
          </cell>
          <cell r="D14">
            <v>33999.998333333337</v>
          </cell>
          <cell r="E14">
            <v>0.33999998333333337</v>
          </cell>
          <cell r="F14">
            <v>24977.617080024505</v>
          </cell>
          <cell r="G14">
            <v>0.30853629019537354</v>
          </cell>
          <cell r="H14">
            <v>33999.998333333337</v>
          </cell>
          <cell r="I14">
            <v>24977.617080024505</v>
          </cell>
          <cell r="J14">
            <v>-9022.3812533088312</v>
          </cell>
          <cell r="K14">
            <v>33999.998333333337</v>
          </cell>
          <cell r="L14">
            <v>0.33999998333333337</v>
          </cell>
          <cell r="M14">
            <v>22592.994227628431</v>
          </cell>
          <cell r="N14">
            <v>0.21188752062209612</v>
          </cell>
          <cell r="O14">
            <v>67999.996666666673</v>
          </cell>
          <cell r="P14">
            <v>47570.611307652936</v>
          </cell>
          <cell r="Q14">
            <v>-20429.385359013737</v>
          </cell>
          <cell r="R14">
            <v>33999.998333333337</v>
          </cell>
          <cell r="S14">
            <v>0.41280875617599372</v>
          </cell>
          <cell r="T14">
            <v>23591.235882740344</v>
          </cell>
          <cell r="U14">
            <v>0.28677615312850246</v>
          </cell>
          <cell r="V14">
            <v>101999.99500000001</v>
          </cell>
          <cell r="W14">
            <v>71161.84719039328</v>
          </cell>
          <cell r="X14">
            <v>-30838.147809606729</v>
          </cell>
          <cell r="Y14">
            <v>42503.498333333337</v>
          </cell>
          <cell r="Z14">
            <v>0.50004115686274508</v>
          </cell>
          <cell r="AA14">
            <v>0</v>
          </cell>
          <cell r="AB14">
            <v>0</v>
          </cell>
          <cell r="AC14">
            <v>144503.49333333335</v>
          </cell>
          <cell r="AD14">
            <v>71161.84719039328</v>
          </cell>
          <cell r="AE14">
            <v>-73341.646142940066</v>
          </cell>
          <cell r="AF14">
            <v>59752.90833333334</v>
          </cell>
          <cell r="AG14">
            <v>0.70297539215686278</v>
          </cell>
          <cell r="AH14">
            <v>0</v>
          </cell>
          <cell r="AI14">
            <v>0</v>
          </cell>
          <cell r="AJ14">
            <v>204256.40166666667</v>
          </cell>
          <cell r="AK14">
            <v>71161.84719039328</v>
          </cell>
          <cell r="AL14">
            <v>-133094.55447627339</v>
          </cell>
          <cell r="AM14">
            <v>64652.318333333344</v>
          </cell>
          <cell r="AN14">
            <v>0.32908977152029106</v>
          </cell>
          <cell r="AO14">
            <v>0</v>
          </cell>
          <cell r="AP14">
            <v>0</v>
          </cell>
          <cell r="AQ14">
            <v>268908.72000000003</v>
          </cell>
          <cell r="AR14">
            <v>71161.84719039328</v>
          </cell>
          <cell r="AS14">
            <v>-197746.87280960675</v>
          </cell>
          <cell r="AT14">
            <v>64652.318333333344</v>
          </cell>
          <cell r="AU14">
            <v>0.32908977152029106</v>
          </cell>
          <cell r="AV14">
            <v>0</v>
          </cell>
          <cell r="AW14" t="e">
            <v>#DIV/0!</v>
          </cell>
          <cell r="AX14">
            <v>333561.03833333339</v>
          </cell>
          <cell r="AY14">
            <v>71161.84719039328</v>
          </cell>
          <cell r="AZ14">
            <v>-262399.19114294008</v>
          </cell>
          <cell r="BA14">
            <v>64652.318333333344</v>
          </cell>
          <cell r="BB14">
            <v>0.32908977152029106</v>
          </cell>
          <cell r="BC14">
            <v>0</v>
          </cell>
          <cell r="BD14" t="e">
            <v>#DIV/0!</v>
          </cell>
          <cell r="BE14">
            <v>398213.35666666675</v>
          </cell>
          <cell r="BF14">
            <v>71161.84719039328</v>
          </cell>
          <cell r="BG14">
            <v>-327051.50947627344</v>
          </cell>
          <cell r="BH14">
            <v>64652.318333333344</v>
          </cell>
          <cell r="BI14">
            <v>0.32908977152029106</v>
          </cell>
          <cell r="BJ14">
            <v>0</v>
          </cell>
          <cell r="BK14" t="e">
            <v>#DIV/0!</v>
          </cell>
          <cell r="BL14">
            <v>462865.6750000001</v>
          </cell>
          <cell r="BM14">
            <v>71161.84719039328</v>
          </cell>
          <cell r="BN14">
            <v>-391703.8278096068</v>
          </cell>
          <cell r="BO14">
            <v>65292.068333333344</v>
          </cell>
          <cell r="BP14">
            <v>0.3323461927400938</v>
          </cell>
          <cell r="BQ14">
            <v>0</v>
          </cell>
          <cell r="BR14" t="e">
            <v>#DIV/0!</v>
          </cell>
          <cell r="BS14">
            <v>528157.7433333334</v>
          </cell>
          <cell r="BT14">
            <v>71161.84719039328</v>
          </cell>
          <cell r="BU14">
            <v>-456995.89614294015</v>
          </cell>
          <cell r="BV14">
            <v>72292.068333333344</v>
          </cell>
          <cell r="BW14">
            <v>0.36797721820100654</v>
          </cell>
          <cell r="BX14">
            <v>0</v>
          </cell>
          <cell r="BY14" t="e">
            <v>#DIV/0!</v>
          </cell>
          <cell r="BZ14">
            <v>600449.81166666676</v>
          </cell>
          <cell r="CA14">
            <v>71161.84719039328</v>
          </cell>
          <cell r="CB14">
            <v>-529287.96447627351</v>
          </cell>
          <cell r="CC14">
            <v>72292.068333333344</v>
          </cell>
          <cell r="CD14">
            <v>0.36797721820100654</v>
          </cell>
          <cell r="CE14">
            <v>0</v>
          </cell>
          <cell r="CF14" t="e">
            <v>#DIV/0!</v>
          </cell>
          <cell r="CG14">
            <v>672741.88000000012</v>
          </cell>
          <cell r="CH14">
            <v>71161.84719039328</v>
          </cell>
        </row>
        <row r="15">
          <cell r="A15" t="str">
            <v>Aluguel + IPTU + Condomínio + Energia Elétrica</v>
          </cell>
          <cell r="B15">
            <v>3.3841367506954735E-3</v>
          </cell>
          <cell r="C15">
            <v>386.38470466666666</v>
          </cell>
          <cell r="D15">
            <v>626.81713277620838</v>
          </cell>
          <cell r="E15">
            <v>6.2681713277620834E-3</v>
          </cell>
          <cell r="F15">
            <v>592.81711900000005</v>
          </cell>
          <cell r="G15">
            <v>7.3227799943672558E-3</v>
          </cell>
          <cell r="H15">
            <v>626.81713277620838</v>
          </cell>
          <cell r="I15">
            <v>592.81711900000005</v>
          </cell>
          <cell r="J15">
            <v>-34.000013776208334</v>
          </cell>
          <cell r="K15">
            <v>626.81713277620838</v>
          </cell>
          <cell r="L15">
            <v>6.2681713277620834E-3</v>
          </cell>
          <cell r="M15">
            <v>602.98475299999996</v>
          </cell>
          <cell r="N15">
            <v>5.6550691333270182E-3</v>
          </cell>
          <cell r="O15">
            <v>1253.6342655524168</v>
          </cell>
          <cell r="P15">
            <v>1195.801872</v>
          </cell>
          <cell r="Q15">
            <v>-57.832393552416761</v>
          </cell>
          <cell r="R15">
            <v>626.81713277620838</v>
          </cell>
          <cell r="S15">
            <v>7.6104592239778814E-3</v>
          </cell>
          <cell r="T15">
            <v>590.98668399999997</v>
          </cell>
          <cell r="U15">
            <v>7.1840614298500707E-3</v>
          </cell>
          <cell r="V15">
            <v>1880.4513983286251</v>
          </cell>
          <cell r="W15">
            <v>1786.788556</v>
          </cell>
          <cell r="X15">
            <v>-93.662842328625175</v>
          </cell>
          <cell r="Y15">
            <v>626.81713277620838</v>
          </cell>
          <cell r="Z15">
            <v>7.3743192091318636E-3</v>
          </cell>
          <cell r="AA15">
            <v>0</v>
          </cell>
          <cell r="AB15">
            <v>0</v>
          </cell>
          <cell r="AC15">
            <v>2507.2685311048335</v>
          </cell>
          <cell r="AD15">
            <v>1786.788556</v>
          </cell>
          <cell r="AE15">
            <v>-720.47997510483356</v>
          </cell>
          <cell r="AF15">
            <v>626.81713277620838</v>
          </cell>
          <cell r="AG15">
            <v>7.3743192091318636E-3</v>
          </cell>
          <cell r="AH15">
            <v>0</v>
          </cell>
          <cell r="AI15">
            <v>0</v>
          </cell>
          <cell r="AJ15">
            <v>3134.0856638810419</v>
          </cell>
          <cell r="AK15">
            <v>1786.788556</v>
          </cell>
          <cell r="AL15">
            <v>-1347.2971078810419</v>
          </cell>
          <cell r="AM15">
            <v>626.81713277620838</v>
          </cell>
          <cell r="AN15">
            <v>3.1905910310407741E-3</v>
          </cell>
          <cell r="AO15">
            <v>0</v>
          </cell>
          <cell r="AP15">
            <v>0</v>
          </cell>
          <cell r="AQ15">
            <v>3760.9027966572503</v>
          </cell>
          <cell r="AR15">
            <v>1786.788556</v>
          </cell>
          <cell r="AS15">
            <v>-1974.1142406572503</v>
          </cell>
          <cell r="AT15">
            <v>626.81713277620838</v>
          </cell>
          <cell r="AU15">
            <v>3.1905910310407741E-3</v>
          </cell>
          <cell r="AV15">
            <v>0</v>
          </cell>
          <cell r="AW15" t="e">
            <v>#DIV/0!</v>
          </cell>
          <cell r="AX15">
            <v>4387.7199294334587</v>
          </cell>
          <cell r="AY15">
            <v>1786.788556</v>
          </cell>
          <cell r="AZ15">
            <v>-2600.9313734334587</v>
          </cell>
          <cell r="BA15">
            <v>626.81713277620838</v>
          </cell>
          <cell r="BB15">
            <v>3.1905910310407741E-3</v>
          </cell>
          <cell r="BC15">
            <v>0</v>
          </cell>
          <cell r="BD15" t="e">
            <v>#DIV/0!</v>
          </cell>
          <cell r="BE15">
            <v>5014.5370622096671</v>
          </cell>
          <cell r="BF15">
            <v>1786.788556</v>
          </cell>
          <cell r="BG15">
            <v>-3227.7485062096671</v>
          </cell>
          <cell r="BH15">
            <v>626.81713277620838</v>
          </cell>
          <cell r="BI15">
            <v>3.1905910310407741E-3</v>
          </cell>
          <cell r="BJ15">
            <v>0</v>
          </cell>
          <cell r="BK15" t="e">
            <v>#DIV/0!</v>
          </cell>
          <cell r="BL15">
            <v>5641.3541949858754</v>
          </cell>
          <cell r="BM15">
            <v>1786.788556</v>
          </cell>
          <cell r="BN15">
            <v>-3854.5656389858755</v>
          </cell>
          <cell r="BO15">
            <v>651.10740634131093</v>
          </cell>
          <cell r="BP15">
            <v>3.3142320818765891E-3</v>
          </cell>
          <cell r="BQ15">
            <v>0</v>
          </cell>
          <cell r="BR15" t="e">
            <v>#DIV/0!</v>
          </cell>
          <cell r="BS15">
            <v>6292.4616013271861</v>
          </cell>
          <cell r="BT15">
            <v>1786.788556</v>
          </cell>
          <cell r="BU15">
            <v>-4505.6730453271866</v>
          </cell>
          <cell r="BV15">
            <v>651.10740634131093</v>
          </cell>
          <cell r="BW15">
            <v>3.3142320818765891E-3</v>
          </cell>
          <cell r="BX15">
            <v>0</v>
          </cell>
          <cell r="BY15" t="e">
            <v>#DIV/0!</v>
          </cell>
          <cell r="BZ15">
            <v>6943.5690076684969</v>
          </cell>
          <cell r="CA15">
            <v>1786.788556</v>
          </cell>
          <cell r="CB15">
            <v>-5156.7804516684973</v>
          </cell>
          <cell r="CC15">
            <v>651.10740634131093</v>
          </cell>
          <cell r="CD15">
            <v>3.3142320818765891E-3</v>
          </cell>
          <cell r="CE15">
            <v>0</v>
          </cell>
          <cell r="CF15" t="e">
            <v>#DIV/0!</v>
          </cell>
          <cell r="CG15">
            <v>7594.6764140098076</v>
          </cell>
          <cell r="CH15">
            <v>1786.788556</v>
          </cell>
        </row>
        <row r="16">
          <cell r="A16" t="str">
            <v>Aperfeiçoamento - Treinamentos / Livros / Revistas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OAB / Associações</v>
          </cell>
          <cell r="B17">
            <v>1.1886404232510494E-3</v>
          </cell>
          <cell r="C17">
            <v>135.71333333333334</v>
          </cell>
          <cell r="D17">
            <v>606</v>
          </cell>
          <cell r="E17">
            <v>6.0600000000000003E-3</v>
          </cell>
          <cell r="F17">
            <v>260.41000000000003</v>
          </cell>
          <cell r="G17">
            <v>3.216717394311916E-3</v>
          </cell>
          <cell r="H17">
            <v>606</v>
          </cell>
          <cell r="I17">
            <v>260.41000000000003</v>
          </cell>
          <cell r="J17">
            <v>-345.59</v>
          </cell>
          <cell r="K17">
            <v>606</v>
          </cell>
          <cell r="L17">
            <v>6.0600000000000003E-3</v>
          </cell>
          <cell r="M17">
            <v>260.41000000000003</v>
          </cell>
          <cell r="N17">
            <v>2.4422450910789265E-3</v>
          </cell>
          <cell r="O17">
            <v>1212</v>
          </cell>
          <cell r="P17">
            <v>520.82000000000005</v>
          </cell>
          <cell r="Q17">
            <v>-691.18</v>
          </cell>
          <cell r="R17">
            <v>606</v>
          </cell>
          <cell r="S17">
            <v>7.3577093678088559E-3</v>
          </cell>
          <cell r="T17">
            <v>260.41000000000003</v>
          </cell>
          <cell r="U17">
            <v>3.1655559889861365E-3</v>
          </cell>
          <cell r="V17">
            <v>1818</v>
          </cell>
          <cell r="W17">
            <v>781.23</v>
          </cell>
          <cell r="X17">
            <v>-1036.77</v>
          </cell>
          <cell r="Y17">
            <v>606</v>
          </cell>
          <cell r="Z17">
            <v>7.1294117647058824E-3</v>
          </cell>
          <cell r="AA17">
            <v>0</v>
          </cell>
          <cell r="AB17">
            <v>0</v>
          </cell>
          <cell r="AC17">
            <v>2424</v>
          </cell>
          <cell r="AD17">
            <v>781.23</v>
          </cell>
          <cell r="AE17">
            <v>-1642.77</v>
          </cell>
          <cell r="AF17">
            <v>606</v>
          </cell>
          <cell r="AG17">
            <v>7.1294117647058824E-3</v>
          </cell>
          <cell r="AH17">
            <v>0</v>
          </cell>
          <cell r="AI17">
            <v>0</v>
          </cell>
          <cell r="AJ17">
            <v>3030</v>
          </cell>
          <cell r="AK17">
            <v>781.23</v>
          </cell>
          <cell r="AL17">
            <v>-2248.77</v>
          </cell>
          <cell r="AM17">
            <v>606</v>
          </cell>
          <cell r="AN17">
            <v>3.0846287756161623E-3</v>
          </cell>
          <cell r="AO17">
            <v>0</v>
          </cell>
          <cell r="AP17">
            <v>0</v>
          </cell>
          <cell r="AQ17">
            <v>3636</v>
          </cell>
          <cell r="AR17">
            <v>781.23</v>
          </cell>
          <cell r="AS17">
            <v>-2854.77</v>
          </cell>
          <cell r="AT17">
            <v>606</v>
          </cell>
          <cell r="AU17">
            <v>3.0846287756161623E-3</v>
          </cell>
          <cell r="AV17">
            <v>0</v>
          </cell>
          <cell r="AW17" t="e">
            <v>#DIV/0!</v>
          </cell>
          <cell r="AX17">
            <v>4242</v>
          </cell>
          <cell r="AY17">
            <v>781.23</v>
          </cell>
          <cell r="AZ17">
            <v>-3460.77</v>
          </cell>
          <cell r="BA17">
            <v>606</v>
          </cell>
          <cell r="BB17">
            <v>0</v>
          </cell>
          <cell r="BC17">
            <v>0</v>
          </cell>
          <cell r="BD17" t="e">
            <v>#DIV/0!</v>
          </cell>
          <cell r="BE17">
            <v>4848</v>
          </cell>
          <cell r="BF17">
            <v>781.23</v>
          </cell>
          <cell r="BG17">
            <v>-4066.77</v>
          </cell>
          <cell r="BH17">
            <v>606</v>
          </cell>
          <cell r="BI17">
            <v>3.0846287756161623E-3</v>
          </cell>
          <cell r="BJ17">
            <v>0</v>
          </cell>
          <cell r="BK17" t="e">
            <v>#DIV/0!</v>
          </cell>
          <cell r="BL17">
            <v>5454</v>
          </cell>
          <cell r="BM17">
            <v>781.23</v>
          </cell>
          <cell r="BN17">
            <v>-4672.7700000000004</v>
          </cell>
          <cell r="BO17">
            <v>606</v>
          </cell>
          <cell r="BP17">
            <v>3.0846287756161623E-3</v>
          </cell>
          <cell r="BQ17">
            <v>0</v>
          </cell>
          <cell r="BR17" t="e">
            <v>#DIV/0!</v>
          </cell>
          <cell r="BS17">
            <v>6060</v>
          </cell>
          <cell r="BT17">
            <v>781.23</v>
          </cell>
          <cell r="BU17">
            <v>-5278.77</v>
          </cell>
          <cell r="BV17">
            <v>606</v>
          </cell>
          <cell r="BW17">
            <v>3.0846287756161623E-3</v>
          </cell>
          <cell r="BX17">
            <v>0</v>
          </cell>
          <cell r="BY17" t="e">
            <v>#DIV/0!</v>
          </cell>
          <cell r="BZ17">
            <v>6666</v>
          </cell>
          <cell r="CA17">
            <v>781.23</v>
          </cell>
          <cell r="CB17">
            <v>-5884.77</v>
          </cell>
          <cell r="CC17">
            <v>606</v>
          </cell>
          <cell r="CD17">
            <v>3.0846287756161623E-3</v>
          </cell>
          <cell r="CE17">
            <v>0</v>
          </cell>
          <cell r="CF17" t="e">
            <v>#DIV/0!</v>
          </cell>
          <cell r="CG17">
            <v>7272</v>
          </cell>
          <cell r="CH17">
            <v>781.23</v>
          </cell>
        </row>
        <row r="18">
          <cell r="A18" t="str">
            <v>Back Office / Encerramento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Bonificações/Premiações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Cadastro</v>
          </cell>
          <cell r="B20">
            <v>6.7246650663186401E-3</v>
          </cell>
          <cell r="C20">
            <v>767.79040477539809</v>
          </cell>
          <cell r="D20">
            <v>375</v>
          </cell>
          <cell r="E20">
            <v>3.7499999999999999E-3</v>
          </cell>
          <cell r="F20">
            <v>1290.922585524535</v>
          </cell>
          <cell r="G20">
            <v>1.594613546164465E-2</v>
          </cell>
          <cell r="H20">
            <v>375</v>
          </cell>
          <cell r="I20">
            <v>1290.922585524535</v>
          </cell>
          <cell r="J20">
            <v>915.92258552453495</v>
          </cell>
          <cell r="K20">
            <v>375</v>
          </cell>
          <cell r="L20">
            <v>3.7499999999999999E-3</v>
          </cell>
          <cell r="M20">
            <v>690.43870178973839</v>
          </cell>
          <cell r="N20">
            <v>6.4752526021922942E-3</v>
          </cell>
          <cell r="O20">
            <v>750</v>
          </cell>
          <cell r="P20">
            <v>1981.3612873142733</v>
          </cell>
          <cell r="Q20">
            <v>1231.3612873142733</v>
          </cell>
          <cell r="R20">
            <v>375</v>
          </cell>
          <cell r="S20">
            <v>4.5530379751292423E-3</v>
          </cell>
          <cell r="T20">
            <v>681.42415287169001</v>
          </cell>
          <cell r="U20">
            <v>8.2834234789861474E-3</v>
          </cell>
          <cell r="V20">
            <v>1125</v>
          </cell>
          <cell r="W20">
            <v>2662.7854401859631</v>
          </cell>
          <cell r="X20">
            <v>1537.7854401859631</v>
          </cell>
          <cell r="Y20">
            <v>375</v>
          </cell>
          <cell r="Z20">
            <v>4.4117647058823529E-3</v>
          </cell>
          <cell r="AA20">
            <v>0</v>
          </cell>
          <cell r="AB20">
            <v>0</v>
          </cell>
          <cell r="AC20">
            <v>1500</v>
          </cell>
          <cell r="AD20">
            <v>2662.7854401859631</v>
          </cell>
          <cell r="AE20">
            <v>1162.7854401859631</v>
          </cell>
          <cell r="AF20">
            <v>375</v>
          </cell>
          <cell r="AG20">
            <v>4.4117647058823529E-3</v>
          </cell>
          <cell r="AH20">
            <v>0</v>
          </cell>
          <cell r="AI20">
            <v>0</v>
          </cell>
          <cell r="AJ20">
            <v>1875</v>
          </cell>
          <cell r="AK20">
            <v>2662.7854401859631</v>
          </cell>
          <cell r="AL20">
            <v>787.78544018596313</v>
          </cell>
          <cell r="AM20">
            <v>375</v>
          </cell>
          <cell r="AN20">
            <v>1.9088049354060411E-3</v>
          </cell>
          <cell r="AO20">
            <v>0</v>
          </cell>
          <cell r="AP20">
            <v>0</v>
          </cell>
          <cell r="AQ20">
            <v>2250</v>
          </cell>
          <cell r="AR20">
            <v>2662.7854401859631</v>
          </cell>
          <cell r="AS20">
            <v>412.78544018596313</v>
          </cell>
          <cell r="AT20">
            <v>375</v>
          </cell>
          <cell r="AU20">
            <v>1.9088049354060411E-3</v>
          </cell>
          <cell r="AV20">
            <v>0</v>
          </cell>
          <cell r="AW20" t="e">
            <v>#DIV/0!</v>
          </cell>
          <cell r="AX20">
            <v>2625</v>
          </cell>
          <cell r="AY20">
            <v>2662.7854401859631</v>
          </cell>
          <cell r="AZ20">
            <v>37.785440185963125</v>
          </cell>
          <cell r="BA20">
            <v>375</v>
          </cell>
          <cell r="BB20">
            <v>1.9088049354060411E-3</v>
          </cell>
          <cell r="BC20">
            <v>0</v>
          </cell>
          <cell r="BD20" t="e">
            <v>#DIV/0!</v>
          </cell>
          <cell r="BE20">
            <v>3000</v>
          </cell>
          <cell r="BF20">
            <v>2662.7854401859631</v>
          </cell>
          <cell r="BG20">
            <v>-337.21455981403687</v>
          </cell>
          <cell r="BH20">
            <v>375</v>
          </cell>
          <cell r="BI20">
            <v>1.9088049354060411E-3</v>
          </cell>
          <cell r="BJ20">
            <v>0</v>
          </cell>
          <cell r="BK20" t="e">
            <v>#DIV/0!</v>
          </cell>
          <cell r="BL20">
            <v>3375</v>
          </cell>
          <cell r="BM20">
            <v>2662.7854401859631</v>
          </cell>
          <cell r="BN20">
            <v>-712.21455981403687</v>
          </cell>
          <cell r="BO20">
            <v>375</v>
          </cell>
          <cell r="BP20">
            <v>1.9088049354060411E-3</v>
          </cell>
          <cell r="BQ20">
            <v>0</v>
          </cell>
          <cell r="BR20" t="e">
            <v>#DIV/0!</v>
          </cell>
          <cell r="BS20">
            <v>3750</v>
          </cell>
          <cell r="BT20">
            <v>2662.7854401859631</v>
          </cell>
          <cell r="BU20">
            <v>-1087.2145598140369</v>
          </cell>
          <cell r="BV20">
            <v>375</v>
          </cell>
          <cell r="BW20">
            <v>1.9088049354060411E-3</v>
          </cell>
          <cell r="BX20">
            <v>0</v>
          </cell>
          <cell r="BY20" t="e">
            <v>#DIV/0!</v>
          </cell>
          <cell r="BZ20">
            <v>4125</v>
          </cell>
          <cell r="CA20">
            <v>2662.7854401859631</v>
          </cell>
          <cell r="CB20">
            <v>-1462.2145598140369</v>
          </cell>
          <cell r="CC20">
            <v>375</v>
          </cell>
          <cell r="CD20">
            <v>1.9088049354060411E-3</v>
          </cell>
          <cell r="CE20">
            <v>0</v>
          </cell>
          <cell r="CF20" t="e">
            <v>#DIV/0!</v>
          </cell>
          <cell r="CG20">
            <v>4500</v>
          </cell>
          <cell r="CH20">
            <v>2662.7854401859631</v>
          </cell>
        </row>
        <row r="21">
          <cell r="A21" t="str">
            <v>Cartório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Condenação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Penalidades/Irregularidades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Controladoria Jurídica - Custas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>GNA</v>
          </cell>
          <cell r="B25">
            <v>3.7512665173054663E-3</v>
          </cell>
          <cell r="C25">
            <v>428.30184244686779</v>
          </cell>
          <cell r="D25">
            <v>1000</v>
          </cell>
          <cell r="E25">
            <v>0.01</v>
          </cell>
          <cell r="F25">
            <v>2013.5680890021624</v>
          </cell>
          <cell r="G25">
            <v>2.4872622005778042E-2</v>
          </cell>
          <cell r="H25">
            <v>1000</v>
          </cell>
          <cell r="I25">
            <v>2013.5680890021624</v>
          </cell>
          <cell r="J25">
            <v>1013.5680890021624</v>
          </cell>
          <cell r="K25">
            <v>1000</v>
          </cell>
          <cell r="L25">
            <v>0.01</v>
          </cell>
          <cell r="M25">
            <v>2325.9632328364605</v>
          </cell>
          <cell r="N25">
            <v>2.1813956020985813E-2</v>
          </cell>
          <cell r="O25">
            <v>2000</v>
          </cell>
          <cell r="P25">
            <v>4339.5313218386227</v>
          </cell>
          <cell r="Q25">
            <v>2339.5313218386227</v>
          </cell>
          <cell r="R25">
            <v>823.6259</v>
          </cell>
          <cell r="S25">
            <v>0.01</v>
          </cell>
          <cell r="T25">
            <v>1566.3078016912573</v>
          </cell>
          <cell r="U25">
            <v>1.9040109989015279E-2</v>
          </cell>
          <cell r="V25">
            <v>2823.6259</v>
          </cell>
          <cell r="W25">
            <v>5905.8391235298805</v>
          </cell>
          <cell r="X25">
            <v>3082.2132235298805</v>
          </cell>
          <cell r="Y25">
            <v>850</v>
          </cell>
          <cell r="Z25">
            <v>0.01</v>
          </cell>
          <cell r="AA25">
            <v>0</v>
          </cell>
          <cell r="AB25">
            <v>0</v>
          </cell>
          <cell r="AC25">
            <v>3673.6259</v>
          </cell>
          <cell r="AD25">
            <v>5905.8391235298805</v>
          </cell>
          <cell r="AE25">
            <v>2232.2132235298805</v>
          </cell>
          <cell r="AF25">
            <v>850</v>
          </cell>
          <cell r="AG25">
            <v>0.01</v>
          </cell>
          <cell r="AH25">
            <v>0</v>
          </cell>
          <cell r="AI25">
            <v>0</v>
          </cell>
          <cell r="AJ25">
            <v>4523.6259</v>
          </cell>
          <cell r="AK25">
            <v>5905.8391235298805</v>
          </cell>
          <cell r="AL25">
            <v>1382.2132235298805</v>
          </cell>
          <cell r="AM25">
            <v>1964.58</v>
          </cell>
          <cell r="AN25">
            <v>0.01</v>
          </cell>
          <cell r="AO25">
            <v>0</v>
          </cell>
          <cell r="AP25">
            <v>0</v>
          </cell>
          <cell r="AQ25">
            <v>6488.2058999999999</v>
          </cell>
          <cell r="AR25">
            <v>5905.8391235298805</v>
          </cell>
          <cell r="AS25">
            <v>-582.36677647011948</v>
          </cell>
          <cell r="AT25">
            <v>1964.58</v>
          </cell>
          <cell r="AU25">
            <v>0.01</v>
          </cell>
          <cell r="AV25">
            <v>0</v>
          </cell>
          <cell r="AW25" t="e">
            <v>#DIV/0!</v>
          </cell>
          <cell r="AX25">
            <v>8452.7858999999989</v>
          </cell>
          <cell r="AY25">
            <v>5905.8391235298805</v>
          </cell>
          <cell r="AZ25">
            <v>-2546.9467764701185</v>
          </cell>
          <cell r="BA25">
            <v>1964.58</v>
          </cell>
          <cell r="BB25">
            <v>0.01</v>
          </cell>
          <cell r="BC25">
            <v>0</v>
          </cell>
          <cell r="BD25" t="e">
            <v>#DIV/0!</v>
          </cell>
          <cell r="BE25">
            <v>10417.365899999999</v>
          </cell>
          <cell r="BF25">
            <v>5905.8391235298805</v>
          </cell>
          <cell r="BG25">
            <v>-4511.5267764701184</v>
          </cell>
          <cell r="BH25">
            <v>1964.58</v>
          </cell>
          <cell r="BI25">
            <v>0.01</v>
          </cell>
          <cell r="BJ25">
            <v>0</v>
          </cell>
          <cell r="BK25" t="e">
            <v>#DIV/0!</v>
          </cell>
          <cell r="BL25">
            <v>12381.945899999999</v>
          </cell>
          <cell r="BM25">
            <v>5905.8391235298805</v>
          </cell>
          <cell r="BN25">
            <v>-6476.1067764701183</v>
          </cell>
          <cell r="BO25">
            <v>1964.58</v>
          </cell>
          <cell r="BP25">
            <v>0.01</v>
          </cell>
          <cell r="BQ25">
            <v>0</v>
          </cell>
          <cell r="BR25" t="e">
            <v>#DIV/0!</v>
          </cell>
          <cell r="BS25">
            <v>14346.525899999999</v>
          </cell>
          <cell r="BT25">
            <v>5905.8391235298805</v>
          </cell>
          <cell r="BU25">
            <v>-8440.6867764701183</v>
          </cell>
          <cell r="BV25">
            <v>1964.58</v>
          </cell>
          <cell r="BW25">
            <v>0.01</v>
          </cell>
          <cell r="BX25">
            <v>0</v>
          </cell>
          <cell r="BY25" t="e">
            <v>#DIV/0!</v>
          </cell>
          <cell r="BZ25">
            <v>16311.105899999999</v>
          </cell>
          <cell r="CA25">
            <v>5905.8391235298805</v>
          </cell>
          <cell r="CB25">
            <v>-10405.266776470118</v>
          </cell>
          <cell r="CC25">
            <v>1964.58</v>
          </cell>
          <cell r="CD25">
            <v>0.01</v>
          </cell>
          <cell r="CE25">
            <v>0</v>
          </cell>
          <cell r="CF25" t="e">
            <v>#DIV/0!</v>
          </cell>
          <cell r="CG25">
            <v>18275.685899999997</v>
          </cell>
          <cell r="CH25">
            <v>5905.8391235298805</v>
          </cell>
        </row>
        <row r="26">
          <cell r="A26" t="str">
            <v>Correios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 xml:space="preserve">Correspondentes </v>
          </cell>
          <cell r="B27">
            <v>9.4591395001234813E-4</v>
          </cell>
          <cell r="C27">
            <v>107.99997433333334</v>
          </cell>
          <cell r="D27">
            <v>0</v>
          </cell>
          <cell r="E27">
            <v>0</v>
          </cell>
          <cell r="F27">
            <v>-3991.57</v>
          </cell>
          <cell r="G27">
            <v>-4.930591240587387E-2</v>
          </cell>
          <cell r="H27">
            <v>0</v>
          </cell>
          <cell r="I27">
            <v>-3991.57</v>
          </cell>
          <cell r="J27">
            <v>-3991.57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-3991.57</v>
          </cell>
          <cell r="Q27">
            <v>-3991.57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-3991.57</v>
          </cell>
          <cell r="X27">
            <v>-3991.57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-3991.57</v>
          </cell>
          <cell r="AE27">
            <v>-3991.57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-3991.57</v>
          </cell>
          <cell r="AL27">
            <v>-3991.57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-3991.57</v>
          </cell>
          <cell r="AS27">
            <v>-3991.57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-3991.57</v>
          </cell>
          <cell r="AZ27">
            <v>-3991.57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-3991.57</v>
          </cell>
          <cell r="BG27">
            <v>-3991.57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-3991.57</v>
          </cell>
          <cell r="BN27">
            <v>-3991.57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-3991.57</v>
          </cell>
          <cell r="BU27">
            <v>-3991.57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-3991.57</v>
          </cell>
          <cell r="CB27">
            <v>-3991.57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-3991.57</v>
          </cell>
        </row>
        <row r="28">
          <cell r="A28" t="str">
            <v>Custas/Guias/Despesas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66.069999999999993</v>
          </cell>
          <cell r="N28">
            <v>6.1963493401783593E-4</v>
          </cell>
          <cell r="O28">
            <v>0</v>
          </cell>
          <cell r="P28">
            <v>66.069999999999993</v>
          </cell>
          <cell r="Q28">
            <v>66.069999999999993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66.069999999999993</v>
          </cell>
          <cell r="X28">
            <v>66.069999999999993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66.069999999999993</v>
          </cell>
          <cell r="AE28">
            <v>66.069999999999993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66.069999999999993</v>
          </cell>
          <cell r="AL28">
            <v>66.069999999999993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66.069999999999993</v>
          </cell>
          <cell r="AS28">
            <v>66.069999999999993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66.069999999999993</v>
          </cell>
          <cell r="AZ28">
            <v>66.069999999999993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66.069999999999993</v>
          </cell>
          <cell r="BG28">
            <v>66.069999999999993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66.069999999999993</v>
          </cell>
          <cell r="BN28">
            <v>66.069999999999993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66.069999999999993</v>
          </cell>
          <cell r="BU28">
            <v>66.069999999999993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66.069999999999993</v>
          </cell>
          <cell r="CB28">
            <v>66.069999999999993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66.069999999999993</v>
          </cell>
        </row>
        <row r="29">
          <cell r="A29" t="str">
            <v>Deslocamento</v>
          </cell>
          <cell r="B29">
            <v>5.815621649978532E-5</v>
          </cell>
          <cell r="C29">
            <v>6.6400013333333332</v>
          </cell>
          <cell r="D29">
            <v>20</v>
          </cell>
          <cell r="E29">
            <v>2.0000000000000001E-4</v>
          </cell>
          <cell r="F29">
            <v>93.490319</v>
          </cell>
          <cell r="G29">
            <v>1.1548401955649545E-3</v>
          </cell>
          <cell r="H29">
            <v>20</v>
          </cell>
          <cell r="I29">
            <v>93.490319</v>
          </cell>
          <cell r="J29">
            <v>73.490319</v>
          </cell>
          <cell r="K29">
            <v>20</v>
          </cell>
          <cell r="L29">
            <v>2.0000000000000001E-4</v>
          </cell>
          <cell r="M29">
            <v>228.84996099999998</v>
          </cell>
          <cell r="N29">
            <v>2.146260488636587E-3</v>
          </cell>
          <cell r="O29">
            <v>40</v>
          </cell>
          <cell r="P29">
            <v>322.34028000000001</v>
          </cell>
          <cell r="Q29">
            <v>282.34028000000001</v>
          </cell>
          <cell r="R29">
            <v>20</v>
          </cell>
          <cell r="S29">
            <v>2.4282869200689295E-4</v>
          </cell>
          <cell r="T29">
            <v>0</v>
          </cell>
          <cell r="U29">
            <v>0</v>
          </cell>
          <cell r="V29">
            <v>60</v>
          </cell>
          <cell r="W29">
            <v>322.34028000000001</v>
          </cell>
          <cell r="X29">
            <v>262.34028000000001</v>
          </cell>
          <cell r="Y29">
            <v>20</v>
          </cell>
          <cell r="Z29">
            <v>2.3529411764705883E-4</v>
          </cell>
          <cell r="AA29">
            <v>0</v>
          </cell>
          <cell r="AB29">
            <v>0</v>
          </cell>
          <cell r="AC29">
            <v>80</v>
          </cell>
          <cell r="AD29">
            <v>322.34028000000001</v>
          </cell>
          <cell r="AE29">
            <v>242.34028000000001</v>
          </cell>
          <cell r="AF29">
            <v>20</v>
          </cell>
          <cell r="AG29">
            <v>2.3529411764705883E-4</v>
          </cell>
          <cell r="AH29">
            <v>0</v>
          </cell>
          <cell r="AI29">
            <v>0</v>
          </cell>
          <cell r="AJ29">
            <v>100</v>
          </cell>
          <cell r="AK29">
            <v>322.34028000000001</v>
          </cell>
          <cell r="AL29">
            <v>222.34028000000001</v>
          </cell>
          <cell r="AM29">
            <v>20</v>
          </cell>
          <cell r="AN29">
            <v>1.0180292988832218E-4</v>
          </cell>
          <cell r="AO29">
            <v>0</v>
          </cell>
          <cell r="AP29">
            <v>0</v>
          </cell>
          <cell r="AQ29">
            <v>120</v>
          </cell>
          <cell r="AR29">
            <v>322.34028000000001</v>
          </cell>
          <cell r="AS29">
            <v>202.34028000000001</v>
          </cell>
          <cell r="AT29">
            <v>20</v>
          </cell>
          <cell r="AU29">
            <v>1.0180292988832218E-4</v>
          </cell>
          <cell r="AV29">
            <v>0</v>
          </cell>
          <cell r="AW29" t="e">
            <v>#DIV/0!</v>
          </cell>
          <cell r="AX29">
            <v>140</v>
          </cell>
          <cell r="AY29">
            <v>322.34028000000001</v>
          </cell>
          <cell r="AZ29">
            <v>182.34028000000001</v>
          </cell>
          <cell r="BA29">
            <v>20</v>
          </cell>
          <cell r="BB29">
            <v>1.0180292988832218E-4</v>
          </cell>
          <cell r="BC29">
            <v>0</v>
          </cell>
          <cell r="BD29" t="e">
            <v>#DIV/0!</v>
          </cell>
          <cell r="BE29">
            <v>160</v>
          </cell>
          <cell r="BF29">
            <v>322.34028000000001</v>
          </cell>
          <cell r="BG29">
            <v>162.34028000000001</v>
          </cell>
          <cell r="BH29">
            <v>20</v>
          </cell>
          <cell r="BI29">
            <v>1.0180292988832218E-4</v>
          </cell>
          <cell r="BJ29">
            <v>0</v>
          </cell>
          <cell r="BK29" t="e">
            <v>#DIV/0!</v>
          </cell>
          <cell r="BL29">
            <v>180</v>
          </cell>
          <cell r="BM29">
            <v>322.34028000000001</v>
          </cell>
          <cell r="BN29">
            <v>142.34028000000001</v>
          </cell>
          <cell r="BO29">
            <v>20</v>
          </cell>
          <cell r="BP29">
            <v>1.0180292988832218E-4</v>
          </cell>
          <cell r="BQ29">
            <v>0</v>
          </cell>
          <cell r="BR29" t="e">
            <v>#DIV/0!</v>
          </cell>
          <cell r="BS29">
            <v>200</v>
          </cell>
          <cell r="BT29">
            <v>322.34028000000001</v>
          </cell>
          <cell r="BU29">
            <v>122.34028000000001</v>
          </cell>
          <cell r="BV29">
            <v>20</v>
          </cell>
          <cell r="BW29">
            <v>1.0180292988832218E-4</v>
          </cell>
          <cell r="BX29">
            <v>0</v>
          </cell>
          <cell r="BY29" t="e">
            <v>#DIV/0!</v>
          </cell>
          <cell r="BZ29">
            <v>220</v>
          </cell>
          <cell r="CA29">
            <v>322.34028000000001</v>
          </cell>
          <cell r="CB29">
            <v>102.34028000000001</v>
          </cell>
          <cell r="CC29">
            <v>20</v>
          </cell>
          <cell r="CD29">
            <v>1.0180292988832218E-4</v>
          </cell>
          <cell r="CE29">
            <v>0</v>
          </cell>
          <cell r="CF29" t="e">
            <v>#DIV/0!</v>
          </cell>
          <cell r="CG29">
            <v>240</v>
          </cell>
          <cell r="CH29">
            <v>322.34028000000001</v>
          </cell>
        </row>
        <row r="30">
          <cell r="A30" t="str">
            <v>Digitação / Atual. Sistemas / Lanç. Planilhas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Diligências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Encargos</v>
          </cell>
          <cell r="B32">
            <v>3.3956565794573197E-3</v>
          </cell>
          <cell r="C32">
            <v>387.69998414910538</v>
          </cell>
          <cell r="D32">
            <v>900</v>
          </cell>
          <cell r="E32">
            <v>8.9999999999999993E-3</v>
          </cell>
          <cell r="F32">
            <v>0</v>
          </cell>
          <cell r="G32">
            <v>0</v>
          </cell>
          <cell r="H32">
            <v>900</v>
          </cell>
          <cell r="I32">
            <v>0</v>
          </cell>
          <cell r="J32">
            <v>-900</v>
          </cell>
          <cell r="K32">
            <v>900</v>
          </cell>
          <cell r="L32">
            <v>8.9999999999999993E-3</v>
          </cell>
          <cell r="M32">
            <v>0</v>
          </cell>
          <cell r="N32">
            <v>0</v>
          </cell>
          <cell r="O32">
            <v>1800</v>
          </cell>
          <cell r="P32">
            <v>0</v>
          </cell>
          <cell r="Q32">
            <v>-1800</v>
          </cell>
          <cell r="R32">
            <v>1350</v>
          </cell>
          <cell r="S32">
            <v>1.6390936710465275E-2</v>
          </cell>
          <cell r="T32">
            <v>1799.4960261690865</v>
          </cell>
          <cell r="U32">
            <v>2.1874756817312331E-2</v>
          </cell>
          <cell r="V32">
            <v>3150</v>
          </cell>
          <cell r="W32">
            <v>1799.4960261690865</v>
          </cell>
          <cell r="X32">
            <v>-1350.5039738309135</v>
          </cell>
          <cell r="Y32">
            <v>1350</v>
          </cell>
          <cell r="Z32">
            <v>1.5882352941176469E-2</v>
          </cell>
          <cell r="AA32">
            <v>0</v>
          </cell>
          <cell r="AB32">
            <v>0</v>
          </cell>
          <cell r="AC32">
            <v>4500</v>
          </cell>
          <cell r="AD32">
            <v>1799.4960261690865</v>
          </cell>
          <cell r="AE32">
            <v>-2700.5039738309133</v>
          </cell>
          <cell r="AF32">
            <v>1350</v>
          </cell>
          <cell r="AG32">
            <v>1.5882352941176469E-2</v>
          </cell>
          <cell r="AH32">
            <v>0</v>
          </cell>
          <cell r="AI32">
            <v>0</v>
          </cell>
          <cell r="AJ32">
            <v>5850</v>
          </cell>
          <cell r="AK32">
            <v>1799.4960261690865</v>
          </cell>
          <cell r="AL32">
            <v>-4050.5039738309133</v>
          </cell>
          <cell r="AM32">
            <v>900</v>
          </cell>
          <cell r="AN32">
            <v>4.5811318449744988E-3</v>
          </cell>
          <cell r="AO32">
            <v>0</v>
          </cell>
          <cell r="AP32">
            <v>0</v>
          </cell>
          <cell r="AQ32">
            <v>6750</v>
          </cell>
          <cell r="AR32">
            <v>1799.4960261690865</v>
          </cell>
          <cell r="AS32">
            <v>-4950.5039738309133</v>
          </cell>
          <cell r="AT32">
            <v>900</v>
          </cell>
          <cell r="AU32">
            <v>4.5811318449744988E-3</v>
          </cell>
          <cell r="AV32">
            <v>0</v>
          </cell>
          <cell r="AW32" t="e">
            <v>#DIV/0!</v>
          </cell>
          <cell r="AX32">
            <v>7650</v>
          </cell>
          <cell r="AY32">
            <v>1799.4960261690865</v>
          </cell>
          <cell r="AZ32">
            <v>-5850.5039738309133</v>
          </cell>
          <cell r="BA32">
            <v>900</v>
          </cell>
          <cell r="BB32">
            <v>4.5811318449744988E-3</v>
          </cell>
          <cell r="BC32">
            <v>0</v>
          </cell>
          <cell r="BD32" t="e">
            <v>#DIV/0!</v>
          </cell>
          <cell r="BE32">
            <v>8550</v>
          </cell>
          <cell r="BF32">
            <v>1799.4960261690865</v>
          </cell>
          <cell r="BG32">
            <v>-6750.5039738309133</v>
          </cell>
          <cell r="BH32">
            <v>900</v>
          </cell>
          <cell r="BI32">
            <v>4.5811318449744988E-3</v>
          </cell>
          <cell r="BJ32">
            <v>0</v>
          </cell>
          <cell r="BK32" t="e">
            <v>#DIV/0!</v>
          </cell>
          <cell r="BL32">
            <v>9450</v>
          </cell>
          <cell r="BM32">
            <v>1799.4960261690865</v>
          </cell>
          <cell r="BN32">
            <v>-7650.5039738309133</v>
          </cell>
          <cell r="BO32">
            <v>900</v>
          </cell>
          <cell r="BP32">
            <v>4.5811318449744988E-3</v>
          </cell>
          <cell r="BQ32">
            <v>0</v>
          </cell>
          <cell r="BR32" t="e">
            <v>#DIV/0!</v>
          </cell>
          <cell r="BS32">
            <v>10350</v>
          </cell>
          <cell r="BT32">
            <v>1799.4960261690865</v>
          </cell>
          <cell r="BU32">
            <v>-8550.5039738309133</v>
          </cell>
          <cell r="BV32">
            <v>900</v>
          </cell>
          <cell r="BW32">
            <v>4.5811318449744988E-3</v>
          </cell>
          <cell r="BX32">
            <v>0</v>
          </cell>
          <cell r="BY32" t="e">
            <v>#DIV/0!</v>
          </cell>
          <cell r="BZ32">
            <v>11250</v>
          </cell>
          <cell r="CA32">
            <v>1799.4960261690865</v>
          </cell>
          <cell r="CB32">
            <v>-9450.5039738309133</v>
          </cell>
          <cell r="CC32">
            <v>900</v>
          </cell>
          <cell r="CD32">
            <v>4.5811318449744988E-3</v>
          </cell>
          <cell r="CE32">
            <v>0</v>
          </cell>
          <cell r="CF32" t="e">
            <v>#DIV/0!</v>
          </cell>
          <cell r="CG32">
            <v>12150</v>
          </cell>
          <cell r="CH32">
            <v>1799.4960261690865</v>
          </cell>
        </row>
        <row r="33">
          <cell r="A33" t="str">
            <v>Encargos Rescisórios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Encerramento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Eventos / Representações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Férias</v>
          </cell>
          <cell r="B36">
            <v>0</v>
          </cell>
          <cell r="C36">
            <v>0</v>
          </cell>
          <cell r="D36">
            <v>564.6585</v>
          </cell>
          <cell r="E36">
            <v>5.646585E-3</v>
          </cell>
          <cell r="F36">
            <v>0</v>
          </cell>
          <cell r="G36">
            <v>0</v>
          </cell>
          <cell r="H36">
            <v>564.6585</v>
          </cell>
          <cell r="I36">
            <v>0</v>
          </cell>
          <cell r="J36">
            <v>-564.6585</v>
          </cell>
          <cell r="K36">
            <v>564.6585</v>
          </cell>
          <cell r="L36">
            <v>5.646585E-3</v>
          </cell>
          <cell r="M36">
            <v>0</v>
          </cell>
          <cell r="N36">
            <v>0</v>
          </cell>
          <cell r="O36">
            <v>1129.317</v>
          </cell>
          <cell r="P36">
            <v>0</v>
          </cell>
          <cell r="Q36">
            <v>-1129.317</v>
          </cell>
          <cell r="R36">
            <v>564.6585</v>
          </cell>
          <cell r="S36">
            <v>6.8557642492787082E-3</v>
          </cell>
          <cell r="T36">
            <v>0</v>
          </cell>
          <cell r="U36">
            <v>0</v>
          </cell>
          <cell r="V36">
            <v>1693.9755</v>
          </cell>
          <cell r="W36">
            <v>0</v>
          </cell>
          <cell r="X36">
            <v>-1693.9755</v>
          </cell>
          <cell r="Y36">
            <v>564.6585</v>
          </cell>
          <cell r="Z36">
            <v>6.6430411764705878E-3</v>
          </cell>
          <cell r="AA36">
            <v>0</v>
          </cell>
          <cell r="AB36">
            <v>0</v>
          </cell>
          <cell r="AC36">
            <v>2258.634</v>
          </cell>
          <cell r="AD36">
            <v>0</v>
          </cell>
          <cell r="AE36">
            <v>-2258.634</v>
          </cell>
          <cell r="AF36">
            <v>564.6585</v>
          </cell>
          <cell r="AG36">
            <v>6.6430411764705878E-3</v>
          </cell>
          <cell r="AH36">
            <v>0</v>
          </cell>
          <cell r="AI36">
            <v>0</v>
          </cell>
          <cell r="AJ36">
            <v>2823.2925</v>
          </cell>
          <cell r="AK36">
            <v>0</v>
          </cell>
          <cell r="AL36">
            <v>-2823.2925</v>
          </cell>
          <cell r="AM36">
            <v>564.6585</v>
          </cell>
          <cell r="AN36">
            <v>2.8741944843172587E-3</v>
          </cell>
          <cell r="AO36">
            <v>0</v>
          </cell>
          <cell r="AP36">
            <v>0</v>
          </cell>
          <cell r="AQ36">
            <v>3387.951</v>
          </cell>
          <cell r="AR36">
            <v>0</v>
          </cell>
          <cell r="AS36">
            <v>-3387.951</v>
          </cell>
          <cell r="AT36">
            <v>564.6585</v>
          </cell>
          <cell r="AU36">
            <v>2.8741944843172587E-3</v>
          </cell>
          <cell r="AV36">
            <v>0</v>
          </cell>
          <cell r="AW36" t="e">
            <v>#DIV/0!</v>
          </cell>
          <cell r="AX36">
            <v>3952.6095</v>
          </cell>
          <cell r="AY36">
            <v>0</v>
          </cell>
          <cell r="AZ36">
            <v>-3952.6095</v>
          </cell>
          <cell r="BA36">
            <v>564.6585</v>
          </cell>
          <cell r="BB36">
            <v>2.8741944843172587E-3</v>
          </cell>
          <cell r="BC36">
            <v>0</v>
          </cell>
          <cell r="BD36" t="e">
            <v>#DIV/0!</v>
          </cell>
          <cell r="BE36">
            <v>4517.268</v>
          </cell>
          <cell r="BF36">
            <v>0</v>
          </cell>
          <cell r="BG36">
            <v>-4517.268</v>
          </cell>
          <cell r="BH36">
            <v>564.6585</v>
          </cell>
          <cell r="BI36">
            <v>2.8741944843172587E-3</v>
          </cell>
          <cell r="BJ36">
            <v>0</v>
          </cell>
          <cell r="BK36" t="e">
            <v>#DIV/0!</v>
          </cell>
          <cell r="BL36">
            <v>5081.9264999999996</v>
          </cell>
          <cell r="BM36">
            <v>0</v>
          </cell>
          <cell r="BN36">
            <v>-5081.9264999999996</v>
          </cell>
          <cell r="BO36">
            <v>564.6585</v>
          </cell>
          <cell r="BP36">
            <v>2.8741944843172587E-3</v>
          </cell>
          <cell r="BQ36">
            <v>0</v>
          </cell>
          <cell r="BR36" t="e">
            <v>#DIV/0!</v>
          </cell>
          <cell r="BS36">
            <v>5646.5849999999991</v>
          </cell>
          <cell r="BT36">
            <v>0</v>
          </cell>
          <cell r="BU36">
            <v>-5646.5849999999991</v>
          </cell>
          <cell r="BV36">
            <v>564.6585</v>
          </cell>
          <cell r="BW36">
            <v>2.8741944843172587E-3</v>
          </cell>
          <cell r="BX36">
            <v>0</v>
          </cell>
          <cell r="BY36" t="e">
            <v>#DIV/0!</v>
          </cell>
          <cell r="BZ36">
            <v>6211.2434999999987</v>
          </cell>
          <cell r="CA36">
            <v>0</v>
          </cell>
          <cell r="CB36">
            <v>-6211.2434999999987</v>
          </cell>
          <cell r="CC36">
            <v>564.6585</v>
          </cell>
          <cell r="CD36">
            <v>2.8741944843172587E-3</v>
          </cell>
          <cell r="CE36">
            <v>0</v>
          </cell>
          <cell r="CF36" t="e">
            <v>#DIV/0!</v>
          </cell>
          <cell r="CG36">
            <v>6775.9019999999982</v>
          </cell>
          <cell r="CH36">
            <v>0</v>
          </cell>
        </row>
        <row r="37">
          <cell r="A37" t="str">
            <v>Parcerias - Unidade Vitória / Unidade Pará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Fotocópia/Xerox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IR s/ Salário</v>
          </cell>
          <cell r="B39">
            <v>1.9216071292033223E-4</v>
          </cell>
          <cell r="C39">
            <v>21.939999999999998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Consultoria de Projetos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Pauta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 - Gestão de Pauta</v>
          </cell>
          <cell r="B42">
            <v>7.1433145723912096E-5</v>
          </cell>
          <cell r="C42">
            <v>8.1558982237560365</v>
          </cell>
          <cell r="D42">
            <v>50</v>
          </cell>
          <cell r="E42">
            <v>5.0000000000000001E-4</v>
          </cell>
          <cell r="F42">
            <v>45.91959791595967</v>
          </cell>
          <cell r="G42">
            <v>5.672223392192184E-4</v>
          </cell>
          <cell r="H42">
            <v>50</v>
          </cell>
          <cell r="I42">
            <v>45.91959791595967</v>
          </cell>
          <cell r="J42">
            <v>-4.0804020840403297</v>
          </cell>
          <cell r="K42">
            <v>50</v>
          </cell>
          <cell r="L42">
            <v>5.0000000000000001E-4</v>
          </cell>
          <cell r="M42">
            <v>56.191385179844005</v>
          </cell>
          <cell r="N42">
            <v>5.2698872783840537E-4</v>
          </cell>
          <cell r="O42">
            <v>100</v>
          </cell>
          <cell r="P42">
            <v>102.11098309580368</v>
          </cell>
          <cell r="Q42">
            <v>2.1109830958036753</v>
          </cell>
          <cell r="R42">
            <v>50</v>
          </cell>
          <cell r="S42">
            <v>6.0707173001723236E-4</v>
          </cell>
          <cell r="T42">
            <v>34.157063155468556</v>
          </cell>
          <cell r="U42">
            <v>4.1521483751764975E-4</v>
          </cell>
          <cell r="V42">
            <v>150</v>
          </cell>
          <cell r="W42">
            <v>136.26804625127224</v>
          </cell>
          <cell r="X42">
            <v>-13.731953748727761</v>
          </cell>
          <cell r="Y42">
            <v>50</v>
          </cell>
          <cell r="Z42">
            <v>5.8823529411764701E-4</v>
          </cell>
          <cell r="AA42">
            <v>0</v>
          </cell>
          <cell r="AB42">
            <v>0</v>
          </cell>
          <cell r="AC42">
            <v>200</v>
          </cell>
          <cell r="AD42">
            <v>136.26804625127224</v>
          </cell>
          <cell r="AE42">
            <v>-63.731953748727761</v>
          </cell>
          <cell r="AF42">
            <v>50</v>
          </cell>
          <cell r="AG42">
            <v>5.8823529411764701E-4</v>
          </cell>
          <cell r="AH42">
            <v>0</v>
          </cell>
          <cell r="AI42">
            <v>0</v>
          </cell>
          <cell r="AJ42">
            <v>250</v>
          </cell>
          <cell r="AK42">
            <v>136.26804625127224</v>
          </cell>
          <cell r="AL42">
            <v>-113.73195374872776</v>
          </cell>
          <cell r="AM42">
            <v>50</v>
          </cell>
          <cell r="AN42">
            <v>2.5450732472080548E-4</v>
          </cell>
          <cell r="AO42">
            <v>0</v>
          </cell>
          <cell r="AP42">
            <v>0</v>
          </cell>
          <cell r="AQ42">
            <v>300</v>
          </cell>
          <cell r="AR42">
            <v>136.26804625127224</v>
          </cell>
          <cell r="AS42">
            <v>-163.73195374872776</v>
          </cell>
          <cell r="AT42">
            <v>50</v>
          </cell>
          <cell r="AU42">
            <v>2.5450732472080548E-4</v>
          </cell>
          <cell r="AV42">
            <v>0</v>
          </cell>
          <cell r="AW42" t="e">
            <v>#DIV/0!</v>
          </cell>
          <cell r="AX42">
            <v>350</v>
          </cell>
          <cell r="AY42">
            <v>136.26804625127224</v>
          </cell>
          <cell r="AZ42">
            <v>-213.73195374872776</v>
          </cell>
          <cell r="BA42">
            <v>50</v>
          </cell>
          <cell r="BB42">
            <v>2.5450732472080548E-4</v>
          </cell>
          <cell r="BC42">
            <v>0</v>
          </cell>
          <cell r="BD42" t="e">
            <v>#DIV/0!</v>
          </cell>
          <cell r="BE42">
            <v>400</v>
          </cell>
          <cell r="BF42">
            <v>136.26804625127224</v>
          </cell>
          <cell r="BG42">
            <v>-263.73195374872773</v>
          </cell>
          <cell r="BH42">
            <v>50</v>
          </cell>
          <cell r="BI42">
            <v>2.5450732472080548E-4</v>
          </cell>
          <cell r="BJ42">
            <v>0</v>
          </cell>
          <cell r="BK42" t="e">
            <v>#DIV/0!</v>
          </cell>
          <cell r="BL42">
            <v>450</v>
          </cell>
          <cell r="BM42">
            <v>136.26804625127224</v>
          </cell>
          <cell r="BN42">
            <v>-313.73195374872773</v>
          </cell>
          <cell r="BO42">
            <v>50</v>
          </cell>
          <cell r="BP42">
            <v>2.5450732472080548E-4</v>
          </cell>
          <cell r="BQ42">
            <v>0</v>
          </cell>
          <cell r="BR42" t="e">
            <v>#DIV/0!</v>
          </cell>
          <cell r="BS42">
            <v>500</v>
          </cell>
          <cell r="BT42">
            <v>136.26804625127224</v>
          </cell>
          <cell r="BU42">
            <v>-363.73195374872773</v>
          </cell>
          <cell r="BV42">
            <v>50</v>
          </cell>
          <cell r="BW42">
            <v>2.5450732472080548E-4</v>
          </cell>
          <cell r="BX42">
            <v>0</v>
          </cell>
          <cell r="BY42" t="e">
            <v>#DIV/0!</v>
          </cell>
          <cell r="BZ42">
            <v>550</v>
          </cell>
          <cell r="CA42">
            <v>136.26804625127224</v>
          </cell>
          <cell r="CB42">
            <v>-413.73195374872773</v>
          </cell>
          <cell r="CC42">
            <v>50</v>
          </cell>
          <cell r="CD42">
            <v>2.5450732472080548E-4</v>
          </cell>
          <cell r="CE42">
            <v>0</v>
          </cell>
          <cell r="CF42" t="e">
            <v>#DIV/0!</v>
          </cell>
          <cell r="CG42">
            <v>600</v>
          </cell>
          <cell r="CH42">
            <v>136.26804625127224</v>
          </cell>
        </row>
        <row r="43">
          <cell r="A43" t="str">
            <v>Seguro de Vida</v>
          </cell>
          <cell r="B43">
            <v>2.8354065251553763E-4</v>
          </cell>
          <cell r="C43">
            <v>32.373328666666666</v>
          </cell>
          <cell r="D43">
            <v>74.900000000000006</v>
          </cell>
          <cell r="E43">
            <v>7.490000000000001E-4</v>
          </cell>
          <cell r="F43">
            <v>47.980009000000003</v>
          </cell>
          <cell r="G43">
            <v>5.9267358983734221E-4</v>
          </cell>
          <cell r="H43">
            <v>74.900000000000006</v>
          </cell>
          <cell r="I43">
            <v>47.980009000000003</v>
          </cell>
          <cell r="J43">
            <v>-26.919991000000003</v>
          </cell>
          <cell r="K43">
            <v>74.900000000000006</v>
          </cell>
          <cell r="L43">
            <v>7.490000000000001E-4</v>
          </cell>
          <cell r="M43">
            <v>59.489989999999999</v>
          </cell>
          <cell r="N43">
            <v>5.5792456528487545E-4</v>
          </cell>
          <cell r="O43">
            <v>149.80000000000001</v>
          </cell>
          <cell r="P43">
            <v>107.469999</v>
          </cell>
          <cell r="Q43">
            <v>-42.33000100000001</v>
          </cell>
          <cell r="R43">
            <v>74.900000000000006</v>
          </cell>
          <cell r="S43">
            <v>9.0939345156581413E-4</v>
          </cell>
          <cell r="T43">
            <v>47.009977999999997</v>
          </cell>
          <cell r="U43">
            <v>5.7145546407590521E-4</v>
          </cell>
          <cell r="V43">
            <v>224.70000000000002</v>
          </cell>
          <cell r="W43">
            <v>154.47997699999999</v>
          </cell>
          <cell r="X43">
            <v>-70.220023000000026</v>
          </cell>
          <cell r="Y43">
            <v>74.900000000000006</v>
          </cell>
          <cell r="Z43">
            <v>8.8117647058823538E-4</v>
          </cell>
          <cell r="AA43">
            <v>0</v>
          </cell>
          <cell r="AB43">
            <v>0</v>
          </cell>
          <cell r="AC43">
            <v>299.60000000000002</v>
          </cell>
          <cell r="AD43">
            <v>154.47997699999999</v>
          </cell>
          <cell r="AE43">
            <v>-145.12002300000003</v>
          </cell>
          <cell r="AF43">
            <v>74.900000000000006</v>
          </cell>
          <cell r="AG43">
            <v>8.8117647058823538E-4</v>
          </cell>
          <cell r="AH43">
            <v>0</v>
          </cell>
          <cell r="AI43">
            <v>0</v>
          </cell>
          <cell r="AJ43">
            <v>374.5</v>
          </cell>
          <cell r="AK43">
            <v>154.47997699999999</v>
          </cell>
          <cell r="AL43">
            <v>-220.02002300000001</v>
          </cell>
          <cell r="AM43">
            <v>74.900000000000006</v>
          </cell>
          <cell r="AN43">
            <v>3.8125197243176661E-4</v>
          </cell>
          <cell r="AO43">
            <v>0</v>
          </cell>
          <cell r="AP43">
            <v>0</v>
          </cell>
          <cell r="AQ43">
            <v>449.4</v>
          </cell>
          <cell r="AR43">
            <v>154.47997699999999</v>
          </cell>
          <cell r="AS43">
            <v>-294.92002300000001</v>
          </cell>
          <cell r="AT43">
            <v>74.900000000000006</v>
          </cell>
          <cell r="AU43">
            <v>3.8125197243176661E-4</v>
          </cell>
          <cell r="AV43">
            <v>0</v>
          </cell>
          <cell r="AW43" t="e">
            <v>#DIV/0!</v>
          </cell>
          <cell r="AX43">
            <v>524.29999999999995</v>
          </cell>
          <cell r="AY43">
            <v>154.47997699999999</v>
          </cell>
          <cell r="AZ43">
            <v>-369.82002299999999</v>
          </cell>
          <cell r="BA43">
            <v>74.900000000000006</v>
          </cell>
          <cell r="BB43">
            <v>3.8125197243176661E-4</v>
          </cell>
          <cell r="BC43">
            <v>0</v>
          </cell>
          <cell r="BD43" t="e">
            <v>#DIV/0!</v>
          </cell>
          <cell r="BE43">
            <v>599.19999999999993</v>
          </cell>
          <cell r="BF43">
            <v>154.47997699999999</v>
          </cell>
          <cell r="BG43">
            <v>-444.72002299999997</v>
          </cell>
          <cell r="BH43">
            <v>74.900000000000006</v>
          </cell>
          <cell r="BI43">
            <v>3.8125197243176661E-4</v>
          </cell>
          <cell r="BJ43">
            <v>0</v>
          </cell>
          <cell r="BK43" t="e">
            <v>#DIV/0!</v>
          </cell>
          <cell r="BL43">
            <v>674.09999999999991</v>
          </cell>
          <cell r="BM43">
            <v>154.47997699999999</v>
          </cell>
          <cell r="BN43">
            <v>-519.62002299999995</v>
          </cell>
          <cell r="BO43">
            <v>74.900000000000006</v>
          </cell>
          <cell r="BP43">
            <v>3.8125197243176661E-4</v>
          </cell>
          <cell r="BQ43">
            <v>0</v>
          </cell>
          <cell r="BR43" t="e">
            <v>#DIV/0!</v>
          </cell>
          <cell r="BS43">
            <v>748.99999999999989</v>
          </cell>
          <cell r="BT43">
            <v>154.47997699999999</v>
          </cell>
          <cell r="BU43">
            <v>-594.52002299999992</v>
          </cell>
          <cell r="BV43">
            <v>74.900000000000006</v>
          </cell>
          <cell r="BW43">
            <v>3.8125197243176661E-4</v>
          </cell>
          <cell r="BX43">
            <v>0</v>
          </cell>
          <cell r="BY43" t="e">
            <v>#DIV/0!</v>
          </cell>
          <cell r="BZ43">
            <v>823.89999999999986</v>
          </cell>
          <cell r="CA43">
            <v>154.47997699999999</v>
          </cell>
          <cell r="CB43">
            <v>-669.4200229999999</v>
          </cell>
          <cell r="CC43">
            <v>74.900000000000006</v>
          </cell>
          <cell r="CD43">
            <v>3.8125197243176661E-4</v>
          </cell>
          <cell r="CE43">
            <v>0</v>
          </cell>
          <cell r="CF43" t="e">
            <v>#DIV/0!</v>
          </cell>
          <cell r="CG43">
            <v>898.79999999999984</v>
          </cell>
          <cell r="CH43">
            <v>154.47997699999999</v>
          </cell>
        </row>
        <row r="44">
          <cell r="A44" t="str">
            <v>Plano de Saúde</v>
          </cell>
          <cell r="B44">
            <v>1.9385783377070673E-2</v>
          </cell>
          <cell r="C44">
            <v>2213.3769219999999</v>
          </cell>
          <cell r="D44">
            <v>3765</v>
          </cell>
          <cell r="E44">
            <v>3.7650000000000003E-2</v>
          </cell>
          <cell r="F44">
            <v>2578.6991979999998</v>
          </cell>
          <cell r="G44">
            <v>3.185341025653695E-2</v>
          </cell>
          <cell r="H44">
            <v>3765</v>
          </cell>
          <cell r="I44">
            <v>2578.6991979999998</v>
          </cell>
          <cell r="J44">
            <v>-1186.3008020000002</v>
          </cell>
          <cell r="K44">
            <v>3765</v>
          </cell>
          <cell r="L44">
            <v>3.7650000000000003E-2</v>
          </cell>
          <cell r="M44">
            <v>2572.8100989999998</v>
          </cell>
          <cell r="N44">
            <v>2.4128999787108928E-2</v>
          </cell>
          <cell r="O44">
            <v>7530</v>
          </cell>
          <cell r="P44">
            <v>5151.5092969999996</v>
          </cell>
          <cell r="Q44">
            <v>-2378.4907030000004</v>
          </cell>
          <cell r="R44">
            <v>3765</v>
          </cell>
          <cell r="S44">
            <v>4.5712501270297599E-2</v>
          </cell>
          <cell r="T44">
            <v>2572.031078</v>
          </cell>
          <cell r="U44">
            <v>3.1265728592686025E-2</v>
          </cell>
          <cell r="V44">
            <v>11295</v>
          </cell>
          <cell r="W44">
            <v>7723.5403749999996</v>
          </cell>
          <cell r="X44">
            <v>-3571.4596250000004</v>
          </cell>
          <cell r="Y44">
            <v>3765</v>
          </cell>
          <cell r="Z44">
            <v>4.4294117647058824E-2</v>
          </cell>
          <cell r="AA44">
            <v>0</v>
          </cell>
          <cell r="AB44">
            <v>0</v>
          </cell>
          <cell r="AC44">
            <v>15060</v>
          </cell>
          <cell r="AD44">
            <v>7723.5403749999996</v>
          </cell>
          <cell r="AE44">
            <v>-7336.4596250000004</v>
          </cell>
          <cell r="AF44">
            <v>3765</v>
          </cell>
          <cell r="AG44">
            <v>4.4294117647058824E-2</v>
          </cell>
          <cell r="AH44">
            <v>0</v>
          </cell>
          <cell r="AI44">
            <v>0</v>
          </cell>
          <cell r="AJ44">
            <v>18825</v>
          </cell>
          <cell r="AK44">
            <v>7723.5403749999996</v>
          </cell>
          <cell r="AL44">
            <v>-11101.459625</v>
          </cell>
          <cell r="AM44">
            <v>3765</v>
          </cell>
          <cell r="AN44">
            <v>1.916440155147665E-2</v>
          </cell>
          <cell r="AO44">
            <v>0</v>
          </cell>
          <cell r="AP44">
            <v>0</v>
          </cell>
          <cell r="AQ44">
            <v>22590</v>
          </cell>
          <cell r="AR44">
            <v>7723.5403749999996</v>
          </cell>
          <cell r="AS44">
            <v>-14866.459625</v>
          </cell>
          <cell r="AT44">
            <v>3765</v>
          </cell>
          <cell r="AU44">
            <v>1.916440155147665E-2</v>
          </cell>
          <cell r="AV44">
            <v>0</v>
          </cell>
          <cell r="AW44" t="e">
            <v>#DIV/0!</v>
          </cell>
          <cell r="AX44">
            <v>26355</v>
          </cell>
          <cell r="AY44">
            <v>7723.5403749999996</v>
          </cell>
          <cell r="AZ44">
            <v>-18631.459625</v>
          </cell>
          <cell r="BA44">
            <v>3765</v>
          </cell>
          <cell r="BB44">
            <v>1.916440155147665E-2</v>
          </cell>
          <cell r="BC44">
            <v>0</v>
          </cell>
          <cell r="BD44" t="e">
            <v>#DIV/0!</v>
          </cell>
          <cell r="BE44">
            <v>30120</v>
          </cell>
          <cell r="BF44">
            <v>7723.5403749999996</v>
          </cell>
          <cell r="BG44">
            <v>-22396.459625</v>
          </cell>
          <cell r="BH44">
            <v>3765</v>
          </cell>
          <cell r="BI44">
            <v>1.916440155147665E-2</v>
          </cell>
          <cell r="BJ44">
            <v>0</v>
          </cell>
          <cell r="BK44" t="e">
            <v>#DIV/0!</v>
          </cell>
          <cell r="BL44">
            <v>33885</v>
          </cell>
          <cell r="BM44">
            <v>7723.5403749999996</v>
          </cell>
          <cell r="BN44">
            <v>-26161.459625</v>
          </cell>
          <cell r="BO44">
            <v>4329.75</v>
          </cell>
          <cell r="BP44">
            <v>2.203906178419815E-2</v>
          </cell>
          <cell r="BQ44">
            <v>0</v>
          </cell>
          <cell r="BR44" t="e">
            <v>#DIV/0!</v>
          </cell>
          <cell r="BS44">
            <v>38214.75</v>
          </cell>
          <cell r="BT44">
            <v>7723.5403749999996</v>
          </cell>
          <cell r="BU44">
            <v>-30491.209625</v>
          </cell>
          <cell r="BV44">
            <v>4329.75</v>
          </cell>
          <cell r="BW44">
            <v>2.203906178419815E-2</v>
          </cell>
          <cell r="BX44">
            <v>0</v>
          </cell>
          <cell r="BY44" t="e">
            <v>#DIV/0!</v>
          </cell>
          <cell r="BZ44">
            <v>42544.5</v>
          </cell>
          <cell r="CA44">
            <v>7723.5403749999996</v>
          </cell>
          <cell r="CB44">
            <v>-34820.959625000003</v>
          </cell>
          <cell r="CC44">
            <v>4329.75</v>
          </cell>
          <cell r="CD44">
            <v>2.203906178419815E-2</v>
          </cell>
          <cell r="CE44">
            <v>0</v>
          </cell>
          <cell r="CF44" t="e">
            <v>#DIV/0!</v>
          </cell>
          <cell r="CG44">
            <v>46874.25</v>
          </cell>
          <cell r="CH44">
            <v>7723.5403749999996</v>
          </cell>
        </row>
        <row r="45">
          <cell r="A45" t="str">
            <v>Plano Odontológico</v>
          </cell>
          <cell r="B45">
            <v>8.0904863835216619E-4</v>
          </cell>
          <cell r="C45">
            <v>92.373341333333329</v>
          </cell>
          <cell r="D45">
            <v>147</v>
          </cell>
          <cell r="E45">
            <v>1.47E-3</v>
          </cell>
          <cell r="F45">
            <v>145.80000799999999</v>
          </cell>
          <cell r="G45">
            <v>1.8009962053086152E-3</v>
          </cell>
          <cell r="H45">
            <v>147</v>
          </cell>
          <cell r="I45">
            <v>145.80000799999999</v>
          </cell>
          <cell r="J45">
            <v>-1.1999920000000088</v>
          </cell>
          <cell r="K45">
            <v>147</v>
          </cell>
          <cell r="L45">
            <v>1.47E-3</v>
          </cell>
          <cell r="M45">
            <v>145.79999799999999</v>
          </cell>
          <cell r="N45">
            <v>1.3673796297946209E-3</v>
          </cell>
          <cell r="O45">
            <v>294</v>
          </cell>
          <cell r="P45">
            <v>291.60000600000001</v>
          </cell>
          <cell r="Q45">
            <v>-2.3999939999999924</v>
          </cell>
          <cell r="R45">
            <v>147</v>
          </cell>
          <cell r="S45">
            <v>1.7847908862506632E-3</v>
          </cell>
          <cell r="T45">
            <v>145.80001300000001</v>
          </cell>
          <cell r="U45">
            <v>1.7723516928935391E-3</v>
          </cell>
          <cell r="V45">
            <v>441</v>
          </cell>
          <cell r="W45">
            <v>437.40001900000004</v>
          </cell>
          <cell r="X45">
            <v>-3.599980999999957</v>
          </cell>
          <cell r="Y45">
            <v>147</v>
          </cell>
          <cell r="Z45">
            <v>1.7294117647058823E-3</v>
          </cell>
          <cell r="AA45">
            <v>0</v>
          </cell>
          <cell r="AB45">
            <v>0</v>
          </cell>
          <cell r="AC45">
            <v>588</v>
          </cell>
          <cell r="AD45">
            <v>437.40001900000004</v>
          </cell>
          <cell r="AE45">
            <v>-150.59998099999996</v>
          </cell>
          <cell r="AF45">
            <v>147</v>
          </cell>
          <cell r="AG45">
            <v>1.7294117647058823E-3</v>
          </cell>
          <cell r="AH45">
            <v>0</v>
          </cell>
          <cell r="AI45">
            <v>0</v>
          </cell>
          <cell r="AJ45">
            <v>735</v>
          </cell>
          <cell r="AK45">
            <v>437.40001900000004</v>
          </cell>
          <cell r="AL45">
            <v>-297.59998099999996</v>
          </cell>
          <cell r="AM45">
            <v>147</v>
          </cell>
          <cell r="AN45">
            <v>7.4825153467916804E-4</v>
          </cell>
          <cell r="AO45">
            <v>0</v>
          </cell>
          <cell r="AP45">
            <v>0</v>
          </cell>
          <cell r="AQ45">
            <v>882</v>
          </cell>
          <cell r="AR45">
            <v>437.40001900000004</v>
          </cell>
          <cell r="AS45">
            <v>-444.59998099999996</v>
          </cell>
          <cell r="AT45">
            <v>147</v>
          </cell>
          <cell r="AU45">
            <v>7.4825153467916804E-4</v>
          </cell>
          <cell r="AV45">
            <v>0</v>
          </cell>
          <cell r="AW45" t="e">
            <v>#DIV/0!</v>
          </cell>
          <cell r="AX45">
            <v>1029</v>
          </cell>
          <cell r="AY45">
            <v>437.40001900000004</v>
          </cell>
          <cell r="AZ45">
            <v>-591.59998099999996</v>
          </cell>
          <cell r="BA45">
            <v>147</v>
          </cell>
          <cell r="BB45">
            <v>7.4825153467916804E-4</v>
          </cell>
          <cell r="BC45">
            <v>0</v>
          </cell>
          <cell r="BD45" t="e">
            <v>#DIV/0!</v>
          </cell>
          <cell r="BE45">
            <v>1176</v>
          </cell>
          <cell r="BF45">
            <v>437.40001900000004</v>
          </cell>
          <cell r="BG45">
            <v>-738.59998099999996</v>
          </cell>
          <cell r="BH45">
            <v>147</v>
          </cell>
          <cell r="BI45">
            <v>7.4825153467916804E-4</v>
          </cell>
          <cell r="BJ45">
            <v>0</v>
          </cell>
          <cell r="BK45" t="e">
            <v>#DIV/0!</v>
          </cell>
          <cell r="BL45">
            <v>1323</v>
          </cell>
          <cell r="BM45">
            <v>437.40001900000004</v>
          </cell>
          <cell r="BN45">
            <v>-885.59998099999996</v>
          </cell>
          <cell r="BO45">
            <v>147</v>
          </cell>
          <cell r="BP45">
            <v>7.4825153467916804E-4</v>
          </cell>
          <cell r="BQ45">
            <v>0</v>
          </cell>
          <cell r="BR45" t="e">
            <v>#DIV/0!</v>
          </cell>
          <cell r="BS45">
            <v>1470</v>
          </cell>
          <cell r="BT45">
            <v>437.40001900000004</v>
          </cell>
          <cell r="BU45">
            <v>-1032.5999809999998</v>
          </cell>
          <cell r="BV45">
            <v>147</v>
          </cell>
          <cell r="BW45">
            <v>7.4825153467916804E-4</v>
          </cell>
          <cell r="BX45">
            <v>0</v>
          </cell>
          <cell r="BY45" t="e">
            <v>#DIV/0!</v>
          </cell>
          <cell r="BZ45">
            <v>1617</v>
          </cell>
          <cell r="CA45">
            <v>437.40001900000004</v>
          </cell>
          <cell r="CB45">
            <v>-1179.5999809999998</v>
          </cell>
          <cell r="CC45">
            <v>147</v>
          </cell>
          <cell r="CD45">
            <v>7.4825153467916804E-4</v>
          </cell>
          <cell r="CE45">
            <v>0</v>
          </cell>
          <cell r="CF45" t="e">
            <v>#DIV/0!</v>
          </cell>
          <cell r="CG45">
            <v>1764</v>
          </cell>
          <cell r="CH45">
            <v>437.40001900000004</v>
          </cell>
        </row>
        <row r="46">
          <cell r="A46" t="str">
            <v>Redação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Remuneração</v>
          </cell>
          <cell r="B47">
            <v>0.20602862488106374</v>
          </cell>
          <cell r="C47">
            <v>23523.372500000001</v>
          </cell>
          <cell r="D47">
            <v>38145</v>
          </cell>
          <cell r="E47">
            <v>0.38145000000000001</v>
          </cell>
          <cell r="F47">
            <v>35689.055749999992</v>
          </cell>
          <cell r="G47">
            <v>0.44084945438958822</v>
          </cell>
          <cell r="H47">
            <v>38145</v>
          </cell>
          <cell r="I47">
            <v>35689.055749999992</v>
          </cell>
          <cell r="J47">
            <v>-2455.9442500000077</v>
          </cell>
          <cell r="K47">
            <v>35395</v>
          </cell>
          <cell r="L47">
            <v>0.35394999999999999</v>
          </cell>
          <cell r="M47">
            <v>33472.617749999998</v>
          </cell>
          <cell r="N47">
            <v>0.31392164811450723</v>
          </cell>
          <cell r="O47">
            <v>73540</v>
          </cell>
          <cell r="P47">
            <v>69161.67349999999</v>
          </cell>
          <cell r="Q47">
            <v>-4378.3265000000101</v>
          </cell>
          <cell r="R47">
            <v>51805</v>
          </cell>
          <cell r="S47">
            <v>0.62898701947085445</v>
          </cell>
          <cell r="T47">
            <v>24644.33</v>
          </cell>
          <cell r="U47">
            <v>0.29957761386294962</v>
          </cell>
          <cell r="V47">
            <v>125345</v>
          </cell>
          <cell r="W47">
            <v>93806.003499999992</v>
          </cell>
          <cell r="X47">
            <v>-31538.996500000008</v>
          </cell>
          <cell r="Y47">
            <v>54905</v>
          </cell>
          <cell r="Z47">
            <v>0.64594117647058824</v>
          </cell>
          <cell r="AA47">
            <v>0</v>
          </cell>
          <cell r="AB47">
            <v>0</v>
          </cell>
          <cell r="AC47">
            <v>180250</v>
          </cell>
          <cell r="AD47">
            <v>93806.003499999992</v>
          </cell>
          <cell r="AE47">
            <v>-86443.996500000008</v>
          </cell>
          <cell r="AF47">
            <v>57805</v>
          </cell>
          <cell r="AG47">
            <v>0.68005882352941172</v>
          </cell>
          <cell r="AH47">
            <v>0</v>
          </cell>
          <cell r="AI47">
            <v>0</v>
          </cell>
          <cell r="AJ47">
            <v>238055</v>
          </cell>
          <cell r="AK47">
            <v>93806.003499999992</v>
          </cell>
          <cell r="AL47">
            <v>-144248.99650000001</v>
          </cell>
          <cell r="AM47">
            <v>54105</v>
          </cell>
          <cell r="AN47">
            <v>0.27540237608038359</v>
          </cell>
          <cell r="AO47">
            <v>0</v>
          </cell>
          <cell r="AP47">
            <v>0</v>
          </cell>
          <cell r="AQ47">
            <v>292160</v>
          </cell>
          <cell r="AR47">
            <v>93806.003499999992</v>
          </cell>
          <cell r="AS47">
            <v>-198353.99650000001</v>
          </cell>
          <cell r="AT47">
            <v>54105</v>
          </cell>
          <cell r="AU47">
            <v>0.27540237608038359</v>
          </cell>
          <cell r="AV47">
            <v>0</v>
          </cell>
          <cell r="AW47" t="e">
            <v>#DIV/0!</v>
          </cell>
          <cell r="AX47">
            <v>346265</v>
          </cell>
          <cell r="AY47">
            <v>93806.003499999992</v>
          </cell>
          <cell r="AZ47">
            <v>-252458.99650000001</v>
          </cell>
          <cell r="BA47">
            <v>54105</v>
          </cell>
          <cell r="BB47">
            <v>0.27540237608038359</v>
          </cell>
          <cell r="BC47">
            <v>0</v>
          </cell>
          <cell r="BD47" t="e">
            <v>#DIV/0!</v>
          </cell>
          <cell r="BE47">
            <v>400370</v>
          </cell>
          <cell r="BF47">
            <v>93806.003499999992</v>
          </cell>
          <cell r="BG47">
            <v>-306563.99650000001</v>
          </cell>
          <cell r="BH47">
            <v>54105</v>
          </cell>
          <cell r="BI47">
            <v>0.27540237608038359</v>
          </cell>
          <cell r="BJ47">
            <v>0</v>
          </cell>
          <cell r="BK47" t="e">
            <v>#DIV/0!</v>
          </cell>
          <cell r="BL47">
            <v>454475</v>
          </cell>
          <cell r="BM47">
            <v>93806.003499999992</v>
          </cell>
          <cell r="BN47">
            <v>-360668.99650000001</v>
          </cell>
          <cell r="BO47">
            <v>54105</v>
          </cell>
          <cell r="BP47">
            <v>0.27540237608038359</v>
          </cell>
          <cell r="BQ47">
            <v>0</v>
          </cell>
          <cell r="BR47" t="e">
            <v>#DIV/0!</v>
          </cell>
          <cell r="BS47">
            <v>508580</v>
          </cell>
          <cell r="BT47">
            <v>93806.003499999992</v>
          </cell>
          <cell r="BU47">
            <v>-414773.99650000001</v>
          </cell>
          <cell r="BV47">
            <v>54105</v>
          </cell>
          <cell r="BW47">
            <v>0.27540237608038359</v>
          </cell>
          <cell r="BX47">
            <v>0</v>
          </cell>
          <cell r="BY47" t="e">
            <v>#DIV/0!</v>
          </cell>
          <cell r="BZ47">
            <v>562685</v>
          </cell>
          <cell r="CA47">
            <v>93806.003499999992</v>
          </cell>
          <cell r="CB47">
            <v>-468878.99650000001</v>
          </cell>
          <cell r="CC47">
            <v>54105</v>
          </cell>
          <cell r="CD47">
            <v>0.27540237608038359</v>
          </cell>
          <cell r="CE47">
            <v>0</v>
          </cell>
          <cell r="CF47" t="e">
            <v>#DIV/0!</v>
          </cell>
          <cell r="CG47">
            <v>616790</v>
          </cell>
          <cell r="CH47">
            <v>93806.003499999992</v>
          </cell>
        </row>
        <row r="48">
          <cell r="A48" t="str">
            <v>Pesquisas/Consultas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166.2</v>
          </cell>
          <cell r="G48">
            <v>2.0529873312646993E-3</v>
          </cell>
          <cell r="H48">
            <v>0</v>
          </cell>
          <cell r="I48">
            <v>166.2</v>
          </cell>
          <cell r="J48">
            <v>166.2</v>
          </cell>
          <cell r="K48">
            <v>0</v>
          </cell>
          <cell r="L48">
            <v>0</v>
          </cell>
          <cell r="M48">
            <v>174.3</v>
          </cell>
          <cell r="N48">
            <v>1.6346657938445409E-3</v>
          </cell>
          <cell r="O48">
            <v>0</v>
          </cell>
          <cell r="P48">
            <v>340.5</v>
          </cell>
          <cell r="Q48">
            <v>340.5</v>
          </cell>
          <cell r="R48">
            <v>0</v>
          </cell>
          <cell r="S48">
            <v>0</v>
          </cell>
          <cell r="T48">
            <v>205.03</v>
          </cell>
          <cell r="U48">
            <v>2.4923541508460791E-3</v>
          </cell>
          <cell r="V48">
            <v>0</v>
          </cell>
          <cell r="W48">
            <v>545.53</v>
          </cell>
          <cell r="X48">
            <v>545.53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545.53</v>
          </cell>
          <cell r="AE48">
            <v>545.53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545.53</v>
          </cell>
          <cell r="AL48">
            <v>545.53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545.53</v>
          </cell>
          <cell r="AS48">
            <v>545.53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545.53</v>
          </cell>
          <cell r="AZ48">
            <v>545.53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545.53</v>
          </cell>
          <cell r="BG48">
            <v>545.53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545.53</v>
          </cell>
          <cell r="BN48">
            <v>545.53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545.53</v>
          </cell>
          <cell r="BU48">
            <v>545.53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545.53</v>
          </cell>
          <cell r="CB48">
            <v>545.53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545.53</v>
          </cell>
        </row>
        <row r="49">
          <cell r="A49" t="str">
            <v>Sistemas - VALOR DEVE SER CONTABILIZADO NO RESULTADO DO ACORDO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12550</v>
          </cell>
          <cell r="L49">
            <v>0.1255</v>
          </cell>
          <cell r="M49">
            <v>0</v>
          </cell>
          <cell r="N49">
            <v>0</v>
          </cell>
          <cell r="O49">
            <v>12550</v>
          </cell>
          <cell r="P49">
            <v>0</v>
          </cell>
          <cell r="Q49">
            <v>-12550</v>
          </cell>
          <cell r="R49">
            <v>4650</v>
          </cell>
          <cell r="S49">
            <v>5.6457670891602613E-2</v>
          </cell>
          <cell r="T49">
            <v>2393.1799999999998</v>
          </cell>
          <cell r="U49">
            <v>2.9091606626941519E-2</v>
          </cell>
          <cell r="V49">
            <v>17200</v>
          </cell>
          <cell r="W49">
            <v>2393.1799999999998</v>
          </cell>
          <cell r="X49">
            <v>-14806.82</v>
          </cell>
          <cell r="Y49">
            <v>4650</v>
          </cell>
          <cell r="Z49">
            <v>5.4705882352941174E-2</v>
          </cell>
          <cell r="AA49">
            <v>0</v>
          </cell>
          <cell r="AB49">
            <v>0</v>
          </cell>
          <cell r="AC49">
            <v>21850</v>
          </cell>
          <cell r="AD49">
            <v>2393.1799999999998</v>
          </cell>
          <cell r="AE49">
            <v>-19456.82</v>
          </cell>
          <cell r="AF49">
            <v>4650</v>
          </cell>
          <cell r="AG49">
            <v>5.4705882352941174E-2</v>
          </cell>
          <cell r="AH49">
            <v>0</v>
          </cell>
          <cell r="AI49">
            <v>0</v>
          </cell>
          <cell r="AJ49">
            <v>26500</v>
          </cell>
          <cell r="AK49">
            <v>2393.1799999999998</v>
          </cell>
          <cell r="AL49">
            <v>-24106.82</v>
          </cell>
          <cell r="AM49">
            <v>4650</v>
          </cell>
          <cell r="AN49">
            <v>2.3669181199034908E-2</v>
          </cell>
          <cell r="AO49">
            <v>0</v>
          </cell>
          <cell r="AP49">
            <v>0</v>
          </cell>
          <cell r="AQ49">
            <v>31150</v>
          </cell>
          <cell r="AR49">
            <v>2393.1799999999998</v>
          </cell>
          <cell r="AS49">
            <v>-28756.82</v>
          </cell>
          <cell r="AT49">
            <v>4650</v>
          </cell>
          <cell r="AU49">
            <v>2.3669181199034908E-2</v>
          </cell>
          <cell r="AV49">
            <v>0</v>
          </cell>
          <cell r="AW49" t="e">
            <v>#DIV/0!</v>
          </cell>
          <cell r="AX49">
            <v>35800</v>
          </cell>
          <cell r="AY49">
            <v>2393.1799999999998</v>
          </cell>
          <cell r="AZ49">
            <v>-33406.82</v>
          </cell>
          <cell r="BA49">
            <v>4650</v>
          </cell>
          <cell r="BB49">
            <v>2.3669181199034908E-2</v>
          </cell>
          <cell r="BC49">
            <v>0</v>
          </cell>
          <cell r="BD49" t="e">
            <v>#DIV/0!</v>
          </cell>
          <cell r="BE49">
            <v>40450</v>
          </cell>
          <cell r="BF49">
            <v>2393.1799999999998</v>
          </cell>
          <cell r="BG49">
            <v>-38056.82</v>
          </cell>
          <cell r="BH49">
            <v>4650</v>
          </cell>
          <cell r="BI49">
            <v>2.3669181199034908E-2</v>
          </cell>
          <cell r="BJ49">
            <v>0</v>
          </cell>
          <cell r="BK49" t="e">
            <v>#DIV/0!</v>
          </cell>
          <cell r="BL49">
            <v>45100</v>
          </cell>
          <cell r="BM49">
            <v>2393.1799999999998</v>
          </cell>
          <cell r="BN49">
            <v>-42706.82</v>
          </cell>
          <cell r="BO49">
            <v>4650</v>
          </cell>
          <cell r="BP49">
            <v>2.3669181199034908E-2</v>
          </cell>
          <cell r="BQ49">
            <v>0</v>
          </cell>
          <cell r="BR49" t="e">
            <v>#DIV/0!</v>
          </cell>
          <cell r="BS49">
            <v>49750</v>
          </cell>
          <cell r="BT49">
            <v>2393.1799999999998</v>
          </cell>
          <cell r="BU49">
            <v>-47356.82</v>
          </cell>
          <cell r="BV49">
            <v>4650</v>
          </cell>
          <cell r="BW49">
            <v>2.3669181199034908E-2</v>
          </cell>
          <cell r="BX49">
            <v>0</v>
          </cell>
          <cell r="BY49" t="e">
            <v>#DIV/0!</v>
          </cell>
          <cell r="BZ49">
            <v>54400</v>
          </cell>
          <cell r="CA49">
            <v>2393.1799999999998</v>
          </cell>
          <cell r="CB49">
            <v>-52006.82</v>
          </cell>
          <cell r="CC49">
            <v>4650</v>
          </cell>
          <cell r="CD49">
            <v>2.3669181199034908E-2</v>
          </cell>
          <cell r="CE49">
            <v>0</v>
          </cell>
          <cell r="CF49" t="e">
            <v>#DIV/0!</v>
          </cell>
          <cell r="CG49">
            <v>59050</v>
          </cell>
          <cell r="CH49">
            <v>2393.1799999999998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5.5527784842128248E-3</v>
          </cell>
          <cell r="C51">
            <v>633.9899456666667</v>
          </cell>
          <cell r="D51">
            <v>1407</v>
          </cell>
          <cell r="E51">
            <v>1.4069999999999999E-2</v>
          </cell>
          <cell r="F51">
            <v>0</v>
          </cell>
          <cell r="G51">
            <v>0</v>
          </cell>
          <cell r="H51">
            <v>1407</v>
          </cell>
          <cell r="I51">
            <v>0</v>
          </cell>
          <cell r="J51">
            <v>-1407</v>
          </cell>
          <cell r="K51">
            <v>1407</v>
          </cell>
          <cell r="L51">
            <v>1.4069999999999999E-2</v>
          </cell>
          <cell r="M51">
            <v>1026.459899</v>
          </cell>
          <cell r="N51">
            <v>9.6266143754929548E-3</v>
          </cell>
          <cell r="O51">
            <v>2814</v>
          </cell>
          <cell r="P51">
            <v>1026.459899</v>
          </cell>
          <cell r="Q51">
            <v>-1787.540101</v>
          </cell>
          <cell r="R51">
            <v>2110.5</v>
          </cell>
          <cell r="S51">
            <v>2.5624497724027379E-2</v>
          </cell>
          <cell r="T51">
            <v>630.79998499999999</v>
          </cell>
          <cell r="U51">
            <v>7.6680337558815512E-3</v>
          </cell>
          <cell r="V51">
            <v>4924.5</v>
          </cell>
          <cell r="W51">
            <v>1657.2598840000001</v>
          </cell>
          <cell r="X51">
            <v>-3267.2401159999999</v>
          </cell>
          <cell r="Y51">
            <v>2110.5</v>
          </cell>
          <cell r="Z51">
            <v>2.4829411764705881E-2</v>
          </cell>
          <cell r="AA51">
            <v>0</v>
          </cell>
          <cell r="AB51">
            <v>0</v>
          </cell>
          <cell r="AC51">
            <v>7035</v>
          </cell>
          <cell r="AD51">
            <v>1657.2598840000001</v>
          </cell>
          <cell r="AE51">
            <v>-5377.7401159999999</v>
          </cell>
          <cell r="AF51">
            <v>2110.5</v>
          </cell>
          <cell r="AG51">
            <v>2.4829411764705881E-2</v>
          </cell>
          <cell r="AH51">
            <v>0</v>
          </cell>
          <cell r="AI51">
            <v>0</v>
          </cell>
          <cell r="AJ51">
            <v>9145.5</v>
          </cell>
          <cell r="AK51">
            <v>1657.2598840000001</v>
          </cell>
          <cell r="AL51">
            <v>-7488.2401159999999</v>
          </cell>
          <cell r="AM51">
            <v>1407</v>
          </cell>
          <cell r="AN51">
            <v>7.1618361176434657E-3</v>
          </cell>
          <cell r="AO51">
            <v>0</v>
          </cell>
          <cell r="AP51">
            <v>0</v>
          </cell>
          <cell r="AQ51">
            <v>10552.5</v>
          </cell>
          <cell r="AR51">
            <v>1657.2598840000001</v>
          </cell>
          <cell r="AS51">
            <v>-8895.2401160000009</v>
          </cell>
          <cell r="AT51">
            <v>1407</v>
          </cell>
          <cell r="AU51">
            <v>7.1618361176434657E-3</v>
          </cell>
          <cell r="AV51">
            <v>0</v>
          </cell>
          <cell r="AW51" t="e">
            <v>#DIV/0!</v>
          </cell>
          <cell r="AX51">
            <v>11959.5</v>
          </cell>
          <cell r="AY51">
            <v>1657.2598840000001</v>
          </cell>
          <cell r="AZ51">
            <v>-10302.240116000001</v>
          </cell>
          <cell r="BA51">
            <v>1407</v>
          </cell>
          <cell r="BB51">
            <v>7.1618361176434657E-3</v>
          </cell>
          <cell r="BC51">
            <v>0</v>
          </cell>
          <cell r="BD51" t="e">
            <v>#DIV/0!</v>
          </cell>
          <cell r="BE51">
            <v>13366.5</v>
          </cell>
          <cell r="BF51">
            <v>1657.2598840000001</v>
          </cell>
          <cell r="BG51">
            <v>-11709.240116000001</v>
          </cell>
          <cell r="BH51">
            <v>1407</v>
          </cell>
          <cell r="BI51">
            <v>7.1618361176434657E-3</v>
          </cell>
          <cell r="BJ51">
            <v>0</v>
          </cell>
          <cell r="BK51" t="e">
            <v>#DIV/0!</v>
          </cell>
          <cell r="BL51">
            <v>14773.5</v>
          </cell>
          <cell r="BM51">
            <v>1657.2598840000001</v>
          </cell>
          <cell r="BN51">
            <v>-13116.240116000001</v>
          </cell>
          <cell r="BO51">
            <v>1407</v>
          </cell>
          <cell r="BP51">
            <v>7.1618361176434657E-3</v>
          </cell>
          <cell r="BQ51">
            <v>0</v>
          </cell>
          <cell r="BR51" t="e">
            <v>#DIV/0!</v>
          </cell>
          <cell r="BS51">
            <v>16180.5</v>
          </cell>
          <cell r="BT51">
            <v>1657.2598840000001</v>
          </cell>
          <cell r="BU51">
            <v>-14523.240116000001</v>
          </cell>
          <cell r="BV51">
            <v>1407</v>
          </cell>
          <cell r="BW51">
            <v>7.1618361176434657E-3</v>
          </cell>
          <cell r="BX51">
            <v>0</v>
          </cell>
          <cell r="BY51" t="e">
            <v>#DIV/0!</v>
          </cell>
          <cell r="BZ51">
            <v>17587.5</v>
          </cell>
          <cell r="CA51">
            <v>1657.2598840000001</v>
          </cell>
          <cell r="CB51">
            <v>-15930.240116000001</v>
          </cell>
          <cell r="CC51">
            <v>1407</v>
          </cell>
          <cell r="CD51">
            <v>7.1618361176434657E-3</v>
          </cell>
          <cell r="CE51">
            <v>0</v>
          </cell>
          <cell r="CF51" t="e">
            <v>#DIV/0!</v>
          </cell>
          <cell r="CG51">
            <v>18994.5</v>
          </cell>
          <cell r="CH51">
            <v>1657.2598840000001</v>
          </cell>
        </row>
        <row r="52">
          <cell r="A52" t="str">
            <v>Vale Transporte</v>
          </cell>
          <cell r="B52">
            <v>1.0305792740453209E-3</v>
          </cell>
          <cell r="C52">
            <v>117.66665999999999</v>
          </cell>
          <cell r="D52">
            <v>70</v>
          </cell>
          <cell r="E52">
            <v>6.9999999999999999E-4</v>
          </cell>
          <cell r="F52">
            <v>0</v>
          </cell>
          <cell r="G52">
            <v>0</v>
          </cell>
          <cell r="H52">
            <v>70</v>
          </cell>
          <cell r="I52">
            <v>0</v>
          </cell>
          <cell r="J52">
            <v>-70</v>
          </cell>
          <cell r="K52">
            <v>70</v>
          </cell>
          <cell r="L52">
            <v>6.9999999999999999E-4</v>
          </cell>
          <cell r="M52">
            <v>0</v>
          </cell>
          <cell r="N52">
            <v>0</v>
          </cell>
          <cell r="O52">
            <v>140</v>
          </cell>
          <cell r="P52">
            <v>0</v>
          </cell>
          <cell r="Q52">
            <v>-140</v>
          </cell>
          <cell r="R52">
            <v>70</v>
          </cell>
          <cell r="S52">
            <v>8.4990042202412529E-4</v>
          </cell>
          <cell r="T52">
            <v>0</v>
          </cell>
          <cell r="U52">
            <v>0</v>
          </cell>
          <cell r="V52">
            <v>210</v>
          </cell>
          <cell r="W52">
            <v>0</v>
          </cell>
          <cell r="X52">
            <v>-210</v>
          </cell>
          <cell r="Y52">
            <v>70</v>
          </cell>
          <cell r="Z52">
            <v>8.2352941176470592E-4</v>
          </cell>
          <cell r="AA52">
            <v>0</v>
          </cell>
          <cell r="AB52">
            <v>0</v>
          </cell>
          <cell r="AC52">
            <v>280</v>
          </cell>
          <cell r="AD52">
            <v>0</v>
          </cell>
          <cell r="AE52">
            <v>-280</v>
          </cell>
          <cell r="AF52">
            <v>70</v>
          </cell>
          <cell r="AG52">
            <v>8.2352941176470592E-4</v>
          </cell>
          <cell r="AH52">
            <v>0</v>
          </cell>
          <cell r="AI52">
            <v>0</v>
          </cell>
          <cell r="AJ52">
            <v>350</v>
          </cell>
          <cell r="AK52">
            <v>0</v>
          </cell>
          <cell r="AL52">
            <v>-350</v>
          </cell>
          <cell r="AM52">
            <v>70</v>
          </cell>
          <cell r="AN52">
            <v>3.5631025460912765E-4</v>
          </cell>
          <cell r="AO52">
            <v>0</v>
          </cell>
          <cell r="AP52">
            <v>0</v>
          </cell>
          <cell r="AQ52">
            <v>420</v>
          </cell>
          <cell r="AR52">
            <v>0</v>
          </cell>
          <cell r="AS52">
            <v>-420</v>
          </cell>
          <cell r="AT52">
            <v>70</v>
          </cell>
          <cell r="AU52">
            <v>3.5631025460912765E-4</v>
          </cell>
          <cell r="AV52">
            <v>0</v>
          </cell>
          <cell r="AW52" t="e">
            <v>#DIV/0!</v>
          </cell>
          <cell r="AX52">
            <v>490</v>
          </cell>
          <cell r="AY52">
            <v>0</v>
          </cell>
          <cell r="AZ52">
            <v>-490</v>
          </cell>
          <cell r="BA52">
            <v>70</v>
          </cell>
          <cell r="BB52">
            <v>3.5631025460912765E-4</v>
          </cell>
          <cell r="BC52">
            <v>0</v>
          </cell>
          <cell r="BD52" t="e">
            <v>#DIV/0!</v>
          </cell>
          <cell r="BE52">
            <v>560</v>
          </cell>
          <cell r="BF52">
            <v>0</v>
          </cell>
          <cell r="BG52">
            <v>-560</v>
          </cell>
          <cell r="BH52">
            <v>70</v>
          </cell>
          <cell r="BI52">
            <v>3.5631025460912765E-4</v>
          </cell>
          <cell r="BJ52">
            <v>0</v>
          </cell>
          <cell r="BK52" t="e">
            <v>#DIV/0!</v>
          </cell>
          <cell r="BL52">
            <v>630</v>
          </cell>
          <cell r="BM52">
            <v>0</v>
          </cell>
          <cell r="BN52">
            <v>-630</v>
          </cell>
          <cell r="BO52">
            <v>70</v>
          </cell>
          <cell r="BP52">
            <v>3.5631025460912765E-4</v>
          </cell>
          <cell r="BQ52">
            <v>0</v>
          </cell>
          <cell r="BR52" t="e">
            <v>#DIV/0!</v>
          </cell>
          <cell r="BS52">
            <v>700</v>
          </cell>
          <cell r="BT52">
            <v>0</v>
          </cell>
          <cell r="BU52">
            <v>-700</v>
          </cell>
          <cell r="BV52">
            <v>70</v>
          </cell>
          <cell r="BW52">
            <v>3.5631025460912765E-4</v>
          </cell>
          <cell r="BX52">
            <v>0</v>
          </cell>
          <cell r="BY52" t="e">
            <v>#DIV/0!</v>
          </cell>
          <cell r="BZ52">
            <v>770</v>
          </cell>
          <cell r="CA52">
            <v>0</v>
          </cell>
          <cell r="CB52">
            <v>-770</v>
          </cell>
          <cell r="CC52">
            <v>70</v>
          </cell>
          <cell r="CD52">
            <v>3.5631025460912765E-4</v>
          </cell>
          <cell r="CE52">
            <v>0</v>
          </cell>
          <cell r="CF52" t="e">
            <v>#DIV/0!</v>
          </cell>
          <cell r="CG52">
            <v>840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5.9999999999999995E-4</v>
          </cell>
          <cell r="F53">
            <v>452.74</v>
          </cell>
          <cell r="G53">
            <v>5.5924758384884483E-3</v>
          </cell>
          <cell r="H53">
            <v>60</v>
          </cell>
          <cell r="I53">
            <v>452.74</v>
          </cell>
          <cell r="J53">
            <v>392.74</v>
          </cell>
          <cell r="K53">
            <v>60</v>
          </cell>
          <cell r="L53">
            <v>5.9999999999999995E-4</v>
          </cell>
          <cell r="M53">
            <v>0</v>
          </cell>
          <cell r="N53">
            <v>0</v>
          </cell>
          <cell r="O53">
            <v>120</v>
          </cell>
          <cell r="P53">
            <v>452.74</v>
          </cell>
          <cell r="Q53">
            <v>332.74</v>
          </cell>
          <cell r="R53">
            <v>60</v>
          </cell>
          <cell r="S53">
            <v>7.2848607602067888E-4</v>
          </cell>
          <cell r="T53">
            <v>0</v>
          </cell>
          <cell r="U53">
            <v>0</v>
          </cell>
          <cell r="V53">
            <v>180</v>
          </cell>
          <cell r="W53">
            <v>452.74</v>
          </cell>
          <cell r="X53">
            <v>272.74</v>
          </cell>
          <cell r="Y53">
            <v>60</v>
          </cell>
          <cell r="Z53">
            <v>7.0588235294117652E-4</v>
          </cell>
          <cell r="AA53">
            <v>0</v>
          </cell>
          <cell r="AB53">
            <v>0</v>
          </cell>
          <cell r="AC53">
            <v>240</v>
          </cell>
          <cell r="AD53">
            <v>452.74</v>
          </cell>
          <cell r="AE53">
            <v>212.74</v>
          </cell>
          <cell r="AF53">
            <v>60</v>
          </cell>
          <cell r="AG53">
            <v>7.0588235294117652E-4</v>
          </cell>
          <cell r="AH53">
            <v>0</v>
          </cell>
          <cell r="AI53">
            <v>0</v>
          </cell>
          <cell r="AJ53">
            <v>300</v>
          </cell>
          <cell r="AK53">
            <v>452.74</v>
          </cell>
          <cell r="AL53">
            <v>152.74</v>
          </cell>
          <cell r="AM53">
            <v>60</v>
          </cell>
          <cell r="AN53">
            <v>3.0540878966496657E-4</v>
          </cell>
          <cell r="AO53">
            <v>0</v>
          </cell>
          <cell r="AP53">
            <v>0</v>
          </cell>
          <cell r="AQ53">
            <v>360</v>
          </cell>
          <cell r="AR53">
            <v>452.74</v>
          </cell>
          <cell r="AS53">
            <v>92.740000000000009</v>
          </cell>
          <cell r="AT53">
            <v>60</v>
          </cell>
          <cell r="AU53">
            <v>3.0540878966496657E-4</v>
          </cell>
          <cell r="AV53">
            <v>0</v>
          </cell>
          <cell r="AW53" t="e">
            <v>#DIV/0!</v>
          </cell>
          <cell r="AX53">
            <v>420</v>
          </cell>
          <cell r="AY53">
            <v>452.74</v>
          </cell>
          <cell r="AZ53">
            <v>32.740000000000009</v>
          </cell>
          <cell r="BA53">
            <v>60</v>
          </cell>
          <cell r="BB53">
            <v>3.0540878966496657E-4</v>
          </cell>
          <cell r="BC53">
            <v>0</v>
          </cell>
          <cell r="BD53" t="e">
            <v>#DIV/0!</v>
          </cell>
          <cell r="BE53">
            <v>480</v>
          </cell>
          <cell r="BF53">
            <v>452.74</v>
          </cell>
          <cell r="BG53">
            <v>-27.259999999999991</v>
          </cell>
          <cell r="BH53">
            <v>60</v>
          </cell>
          <cell r="BI53">
            <v>3.0540878966496657E-4</v>
          </cell>
          <cell r="BJ53">
            <v>0</v>
          </cell>
          <cell r="BK53" t="e">
            <v>#DIV/0!</v>
          </cell>
          <cell r="BL53">
            <v>540</v>
          </cell>
          <cell r="BM53">
            <v>452.74</v>
          </cell>
          <cell r="BN53">
            <v>-87.259999999999991</v>
          </cell>
          <cell r="BO53">
            <v>60</v>
          </cell>
          <cell r="BP53">
            <v>3.0540878966496657E-4</v>
          </cell>
          <cell r="BQ53">
            <v>0</v>
          </cell>
          <cell r="BR53" t="e">
            <v>#DIV/0!</v>
          </cell>
          <cell r="BS53">
            <v>600</v>
          </cell>
          <cell r="BT53">
            <v>452.74</v>
          </cell>
          <cell r="BU53">
            <v>-147.26</v>
          </cell>
          <cell r="BV53">
            <v>60</v>
          </cell>
          <cell r="BW53">
            <v>3.0540878966496657E-4</v>
          </cell>
          <cell r="BX53">
            <v>0</v>
          </cell>
          <cell r="BY53" t="e">
            <v>#DIV/0!</v>
          </cell>
          <cell r="BZ53">
            <v>660</v>
          </cell>
          <cell r="CA53">
            <v>452.74</v>
          </cell>
          <cell r="CB53">
            <v>-207.26</v>
          </cell>
          <cell r="CC53">
            <v>60</v>
          </cell>
          <cell r="CD53">
            <v>3.0540878966496657E-4</v>
          </cell>
          <cell r="CE53">
            <v>0</v>
          </cell>
          <cell r="CF53" t="e">
            <v>#DIV/0!</v>
          </cell>
          <cell r="CG53">
            <v>720</v>
          </cell>
          <cell r="CH53">
            <v>452.74</v>
          </cell>
        </row>
      </sheetData>
      <sheetData sheetId="31">
        <row r="11">
          <cell r="A11" t="str">
            <v>13º (+ Encargos)</v>
          </cell>
          <cell r="B11">
            <v>4.9840052744725954E-3</v>
          </cell>
          <cell r="C11">
            <v>163.75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1.1970905327327112E-2</v>
          </cell>
          <cell r="C13">
            <v>393.30531157137381</v>
          </cell>
          <cell r="D13">
            <v>208.93904425873609</v>
          </cell>
          <cell r="E13">
            <v>6.3314861896586697E-3</v>
          </cell>
          <cell r="F13">
            <v>199.68332799999999</v>
          </cell>
          <cell r="G13">
            <v>4.7133466579545409E-3</v>
          </cell>
          <cell r="H13">
            <v>208.93904425873609</v>
          </cell>
          <cell r="I13">
            <v>199.68332799999999</v>
          </cell>
          <cell r="J13">
            <v>-9.2557162587361006</v>
          </cell>
          <cell r="K13">
            <v>208.93904425873609</v>
          </cell>
          <cell r="L13">
            <v>6.3314861896586697E-3</v>
          </cell>
          <cell r="M13">
            <v>202.15673799999999</v>
          </cell>
          <cell r="N13">
            <v>6.6889794406849576E-3</v>
          </cell>
          <cell r="O13">
            <v>417.87808851747218</v>
          </cell>
          <cell r="P13">
            <v>401.84006599999998</v>
          </cell>
          <cell r="Q13">
            <v>-16.0380225174722</v>
          </cell>
          <cell r="R13">
            <v>208.93904425873609</v>
          </cell>
          <cell r="S13">
            <v>6.3314861896586697E-3</v>
          </cell>
          <cell r="T13">
            <v>198.134264</v>
          </cell>
          <cell r="U13">
            <v>1.1954437155905542E-2</v>
          </cell>
          <cell r="V13">
            <v>626.81713277620827</v>
          </cell>
          <cell r="W13">
            <v>599.97433000000001</v>
          </cell>
          <cell r="X13">
            <v>-26.842802776208259</v>
          </cell>
          <cell r="Y13">
            <v>208.93904425873609</v>
          </cell>
          <cell r="Z13">
            <v>6.3314861896586697E-3</v>
          </cell>
          <cell r="AA13">
            <v>0</v>
          </cell>
          <cell r="AB13" t="e">
            <v>#DIV/0!</v>
          </cell>
          <cell r="AC13">
            <v>835.75617703494436</v>
          </cell>
          <cell r="AD13">
            <v>599.97433000000001</v>
          </cell>
          <cell r="AE13">
            <v>-235.78184703494435</v>
          </cell>
          <cell r="AF13">
            <v>208.93904425873609</v>
          </cell>
          <cell r="AG13">
            <v>6.3314861896586697E-3</v>
          </cell>
          <cell r="AH13">
            <v>0</v>
          </cell>
          <cell r="AI13" t="e">
            <v>#DIV/0!</v>
          </cell>
          <cell r="AJ13">
            <v>1044.6952212936803</v>
          </cell>
          <cell r="AK13">
            <v>599.97433000000001</v>
          </cell>
          <cell r="AL13">
            <v>-444.72089129368032</v>
          </cell>
          <cell r="AM13">
            <v>208.93904425873609</v>
          </cell>
          <cell r="AN13">
            <v>6.3314861896586697E-3</v>
          </cell>
          <cell r="AO13">
            <v>0</v>
          </cell>
          <cell r="AP13" t="e">
            <v>#DIV/0!</v>
          </cell>
          <cell r="AQ13">
            <v>1253.6342655524163</v>
          </cell>
          <cell r="AR13">
            <v>599.97433000000001</v>
          </cell>
          <cell r="AS13">
            <v>-653.6599355524163</v>
          </cell>
          <cell r="AT13">
            <v>208.93904425873609</v>
          </cell>
          <cell r="AU13">
            <v>6.3314861896586697E-3</v>
          </cell>
          <cell r="AV13">
            <v>0</v>
          </cell>
          <cell r="AW13" t="e">
            <v>#DIV/0!</v>
          </cell>
          <cell r="AX13">
            <v>1462.5733098111523</v>
          </cell>
          <cell r="AY13">
            <v>599.97433000000001</v>
          </cell>
          <cell r="AZ13">
            <v>-862.59897981115228</v>
          </cell>
          <cell r="BA13">
            <v>208.93904425873609</v>
          </cell>
          <cell r="BB13">
            <v>6.3314861896586697E-3</v>
          </cell>
          <cell r="BC13">
            <v>0</v>
          </cell>
          <cell r="BD13">
            <v>0</v>
          </cell>
          <cell r="BE13">
            <v>1671.5123540698883</v>
          </cell>
          <cell r="BF13">
            <v>599.97433000000001</v>
          </cell>
          <cell r="BG13">
            <v>-1071.5380240698883</v>
          </cell>
          <cell r="BH13">
            <v>208.93904425873609</v>
          </cell>
          <cell r="BI13">
            <v>6.3314861896586697E-3</v>
          </cell>
          <cell r="BJ13">
            <v>0</v>
          </cell>
          <cell r="BK13" t="e">
            <v>#DIV/0!</v>
          </cell>
          <cell r="BL13">
            <v>1880.4513983286242</v>
          </cell>
          <cell r="BM13">
            <v>599.97433000000001</v>
          </cell>
          <cell r="BN13">
            <v>-1280.4770683286242</v>
          </cell>
          <cell r="BO13">
            <v>217.03580211377027</v>
          </cell>
          <cell r="BP13">
            <v>6.5768424882960688E-3</v>
          </cell>
          <cell r="BQ13">
            <v>0</v>
          </cell>
          <cell r="BR13" t="e">
            <v>#DIV/0!</v>
          </cell>
          <cell r="BS13">
            <v>2097.4872004423946</v>
          </cell>
          <cell r="BT13">
            <v>599.97433000000001</v>
          </cell>
          <cell r="BU13">
            <v>-1497.5128704423946</v>
          </cell>
          <cell r="BV13">
            <v>217.03580211377027</v>
          </cell>
          <cell r="BW13">
            <v>6.5768424882960688E-3</v>
          </cell>
          <cell r="BX13">
            <v>0</v>
          </cell>
          <cell r="BY13" t="e">
            <v>#DIV/0!</v>
          </cell>
          <cell r="BZ13">
            <v>2314.523002556165</v>
          </cell>
          <cell r="CA13">
            <v>599.97433000000001</v>
          </cell>
          <cell r="CB13">
            <v>-1714.548672556165</v>
          </cell>
          <cell r="CC13">
            <v>217.03580211377027</v>
          </cell>
          <cell r="CD13">
            <v>6.5768424882960688E-3</v>
          </cell>
          <cell r="CE13">
            <v>0</v>
          </cell>
          <cell r="CF13" t="e">
            <v>#DIV/0!</v>
          </cell>
          <cell r="CG13">
            <v>2531.5588046699354</v>
          </cell>
          <cell r="CH13">
            <v>599.97433000000001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1.9776501224239101E-2</v>
          </cell>
          <cell r="C15">
            <v>649.75895833333334</v>
          </cell>
          <cell r="D15">
            <v>505</v>
          </cell>
          <cell r="E15">
            <v>1.5303030303030303E-2</v>
          </cell>
          <cell r="F15">
            <v>0</v>
          </cell>
          <cell r="G15">
            <v>0</v>
          </cell>
          <cell r="H15">
            <v>505</v>
          </cell>
          <cell r="I15">
            <v>0</v>
          </cell>
          <cell r="J15">
            <v>-505</v>
          </cell>
          <cell r="K15">
            <v>505</v>
          </cell>
          <cell r="L15">
            <v>1.5303030303030303E-2</v>
          </cell>
          <cell r="M15">
            <v>0</v>
          </cell>
          <cell r="N15">
            <v>0</v>
          </cell>
          <cell r="O15">
            <v>1010</v>
          </cell>
          <cell r="P15">
            <v>0</v>
          </cell>
          <cell r="Q15">
            <v>-1010</v>
          </cell>
          <cell r="R15">
            <v>505</v>
          </cell>
          <cell r="S15">
            <v>1.5303030303030303E-2</v>
          </cell>
          <cell r="T15">
            <v>531.47</v>
          </cell>
          <cell r="U15">
            <v>3.2066259449446459E-2</v>
          </cell>
          <cell r="V15">
            <v>1515</v>
          </cell>
          <cell r="W15">
            <v>531.47</v>
          </cell>
          <cell r="X15">
            <v>-983.53</v>
          </cell>
          <cell r="Y15">
            <v>505</v>
          </cell>
          <cell r="Z15">
            <v>1.5303030303030303E-2</v>
          </cell>
          <cell r="AA15">
            <v>0</v>
          </cell>
          <cell r="AB15" t="e">
            <v>#DIV/0!</v>
          </cell>
          <cell r="AC15">
            <v>2020</v>
          </cell>
          <cell r="AD15">
            <v>531.47</v>
          </cell>
          <cell r="AE15">
            <v>-1488.53</v>
          </cell>
          <cell r="AF15">
            <v>505</v>
          </cell>
          <cell r="AG15">
            <v>1.5303030303030303E-2</v>
          </cell>
          <cell r="AH15">
            <v>0</v>
          </cell>
          <cell r="AI15" t="e">
            <v>#DIV/0!</v>
          </cell>
          <cell r="AJ15">
            <v>2525</v>
          </cell>
          <cell r="AK15">
            <v>531.47</v>
          </cell>
          <cell r="AL15">
            <v>-1993.53</v>
          </cell>
          <cell r="AM15">
            <v>505</v>
          </cell>
          <cell r="AN15">
            <v>1.5303030303030303E-2</v>
          </cell>
          <cell r="AO15">
            <v>0</v>
          </cell>
          <cell r="AP15" t="e">
            <v>#DIV/0!</v>
          </cell>
          <cell r="AQ15">
            <v>3030</v>
          </cell>
          <cell r="AR15">
            <v>531.47</v>
          </cell>
          <cell r="AS15">
            <v>-2498.5299999999997</v>
          </cell>
          <cell r="AT15">
            <v>505</v>
          </cell>
          <cell r="AU15">
            <v>1.5303030303030303E-2</v>
          </cell>
          <cell r="AV15">
            <v>0</v>
          </cell>
          <cell r="AW15" t="e">
            <v>#DIV/0!</v>
          </cell>
          <cell r="AX15">
            <v>3535</v>
          </cell>
          <cell r="AY15">
            <v>531.47</v>
          </cell>
          <cell r="AZ15">
            <v>-3003.5299999999997</v>
          </cell>
          <cell r="BA15">
            <v>505</v>
          </cell>
          <cell r="BB15">
            <v>1.5303030303030303E-2</v>
          </cell>
          <cell r="BC15">
            <v>0</v>
          </cell>
          <cell r="BD15">
            <v>0</v>
          </cell>
          <cell r="BE15">
            <v>4040</v>
          </cell>
          <cell r="BF15">
            <v>531.47</v>
          </cell>
          <cell r="BG15">
            <v>-3508.5299999999997</v>
          </cell>
          <cell r="BH15">
            <v>505</v>
          </cell>
          <cell r="BI15">
            <v>1.5303030303030303E-2</v>
          </cell>
          <cell r="BJ15">
            <v>0</v>
          </cell>
          <cell r="BK15" t="e">
            <v>#DIV/0!</v>
          </cell>
          <cell r="BL15">
            <v>4545</v>
          </cell>
          <cell r="BM15">
            <v>531.47</v>
          </cell>
          <cell r="BN15">
            <v>-4013.5299999999997</v>
          </cell>
          <cell r="BO15">
            <v>505</v>
          </cell>
          <cell r="BP15">
            <v>1.5303030303030303E-2</v>
          </cell>
          <cell r="BQ15">
            <v>0</v>
          </cell>
          <cell r="BR15" t="e">
            <v>#DIV/0!</v>
          </cell>
          <cell r="BS15">
            <v>5050</v>
          </cell>
          <cell r="BT15">
            <v>531.47</v>
          </cell>
          <cell r="BU15">
            <v>-4518.53</v>
          </cell>
          <cell r="BV15">
            <v>505</v>
          </cell>
          <cell r="BW15">
            <v>1.5303030303030303E-2</v>
          </cell>
          <cell r="BX15">
            <v>0</v>
          </cell>
          <cell r="BY15" t="e">
            <v>#DIV/0!</v>
          </cell>
          <cell r="BZ15">
            <v>5555</v>
          </cell>
          <cell r="CA15">
            <v>531.47</v>
          </cell>
          <cell r="CB15">
            <v>-5023.53</v>
          </cell>
          <cell r="CC15">
            <v>505</v>
          </cell>
          <cell r="CD15">
            <v>1.5303030303030303E-2</v>
          </cell>
          <cell r="CE15">
            <v>0</v>
          </cell>
          <cell r="CF15" t="e">
            <v>#DIV/0!</v>
          </cell>
          <cell r="CG15">
            <v>6060</v>
          </cell>
          <cell r="CH15">
            <v>531.47</v>
          </cell>
        </row>
        <row r="16">
          <cell r="A16" t="str">
            <v>Back Office / Encerramento</v>
          </cell>
          <cell r="B16">
            <v>6.8413269734772509E-4</v>
          </cell>
          <cell r="C16">
            <v>22.477249324850401</v>
          </cell>
          <cell r="D16">
            <v>680</v>
          </cell>
          <cell r="E16">
            <v>2.0606060606060607E-2</v>
          </cell>
          <cell r="F16">
            <v>0</v>
          </cell>
          <cell r="G16">
            <v>0</v>
          </cell>
          <cell r="H16">
            <v>680</v>
          </cell>
          <cell r="I16">
            <v>0</v>
          </cell>
          <cell r="J16">
            <v>-680</v>
          </cell>
          <cell r="K16">
            <v>680</v>
          </cell>
          <cell r="L16">
            <v>2.0606060606060607E-2</v>
          </cell>
          <cell r="M16">
            <v>0</v>
          </cell>
          <cell r="N16">
            <v>0</v>
          </cell>
          <cell r="O16">
            <v>1360</v>
          </cell>
          <cell r="P16">
            <v>0</v>
          </cell>
          <cell r="Q16">
            <v>-1360</v>
          </cell>
          <cell r="R16">
            <v>680</v>
          </cell>
          <cell r="S16">
            <v>2.0606060606060607E-2</v>
          </cell>
          <cell r="T16">
            <v>18.598603817886556</v>
          </cell>
          <cell r="U16">
            <v>1.1221473562417741E-3</v>
          </cell>
          <cell r="V16">
            <v>2040</v>
          </cell>
          <cell r="W16">
            <v>18.598603817886556</v>
          </cell>
          <cell r="X16">
            <v>-2021.4013961821133</v>
          </cell>
          <cell r="Y16">
            <v>680</v>
          </cell>
          <cell r="Z16">
            <v>2.0606060606060607E-2</v>
          </cell>
          <cell r="AA16">
            <v>0</v>
          </cell>
          <cell r="AB16" t="e">
            <v>#DIV/0!</v>
          </cell>
          <cell r="AC16">
            <v>2720</v>
          </cell>
          <cell r="AD16">
            <v>18.598603817886556</v>
          </cell>
          <cell r="AE16">
            <v>-2701.4013961821133</v>
          </cell>
          <cell r="AF16">
            <v>680</v>
          </cell>
          <cell r="AG16">
            <v>2.0606060606060607E-2</v>
          </cell>
          <cell r="AH16">
            <v>0</v>
          </cell>
          <cell r="AI16" t="e">
            <v>#DIV/0!</v>
          </cell>
          <cell r="AJ16">
            <v>3400</v>
          </cell>
          <cell r="AK16">
            <v>18.598603817886556</v>
          </cell>
          <cell r="AL16">
            <v>-3381.4013961821133</v>
          </cell>
          <cell r="AM16">
            <v>680</v>
          </cell>
          <cell r="AN16">
            <v>2.0606060606060607E-2</v>
          </cell>
          <cell r="AO16">
            <v>0</v>
          </cell>
          <cell r="AP16" t="e">
            <v>#DIV/0!</v>
          </cell>
          <cell r="AQ16">
            <v>4080</v>
          </cell>
          <cell r="AR16">
            <v>18.598603817886556</v>
          </cell>
          <cell r="AS16">
            <v>-4061.4013961821133</v>
          </cell>
          <cell r="AT16">
            <v>680</v>
          </cell>
          <cell r="AU16">
            <v>2.0606060606060607E-2</v>
          </cell>
          <cell r="AV16">
            <v>0</v>
          </cell>
          <cell r="AW16" t="e">
            <v>#DIV/0!</v>
          </cell>
          <cell r="AX16">
            <v>4760</v>
          </cell>
          <cell r="AY16">
            <v>18.598603817886556</v>
          </cell>
          <cell r="AZ16">
            <v>-4741.4013961821138</v>
          </cell>
          <cell r="BA16">
            <v>680</v>
          </cell>
          <cell r="BB16">
            <v>2.0606060606060607E-2</v>
          </cell>
          <cell r="BC16">
            <v>0</v>
          </cell>
          <cell r="BD16">
            <v>0</v>
          </cell>
          <cell r="BE16">
            <v>5440</v>
          </cell>
          <cell r="BF16">
            <v>18.598603817886556</v>
          </cell>
          <cell r="BG16">
            <v>-5421.4013961821138</v>
          </cell>
          <cell r="BH16">
            <v>680</v>
          </cell>
          <cell r="BI16">
            <v>2.0606060606060607E-2</v>
          </cell>
          <cell r="BJ16">
            <v>0</v>
          </cell>
          <cell r="BK16" t="e">
            <v>#DIV/0!</v>
          </cell>
          <cell r="BL16">
            <v>6120</v>
          </cell>
          <cell r="BM16">
            <v>18.598603817886556</v>
          </cell>
          <cell r="BN16">
            <v>-6101.4013961821138</v>
          </cell>
          <cell r="BO16">
            <v>680</v>
          </cell>
          <cell r="BP16">
            <v>2.0606060606060607E-2</v>
          </cell>
          <cell r="BQ16">
            <v>0</v>
          </cell>
          <cell r="BR16" t="e">
            <v>#DIV/0!</v>
          </cell>
          <cell r="BS16">
            <v>6800</v>
          </cell>
          <cell r="BT16">
            <v>18.598603817886556</v>
          </cell>
          <cell r="BU16">
            <v>-6781.4013961821138</v>
          </cell>
          <cell r="BV16">
            <v>680</v>
          </cell>
          <cell r="BW16">
            <v>2.0606060606060607E-2</v>
          </cell>
          <cell r="BX16">
            <v>0</v>
          </cell>
          <cell r="BY16" t="e">
            <v>#DIV/0!</v>
          </cell>
          <cell r="BZ16">
            <v>7480</v>
          </cell>
          <cell r="CA16">
            <v>18.598603817886556</v>
          </cell>
          <cell r="CB16">
            <v>-7461.4013961821138</v>
          </cell>
          <cell r="CC16">
            <v>680</v>
          </cell>
          <cell r="CD16">
            <v>2.0606060606060607E-2</v>
          </cell>
          <cell r="CE16">
            <v>0</v>
          </cell>
          <cell r="CF16" t="e">
            <v>#DIV/0!</v>
          </cell>
          <cell r="CG16">
            <v>8160</v>
          </cell>
          <cell r="CH16">
            <v>18.598603817886556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3.0943270654074932E-3</v>
          </cell>
          <cell r="C18">
            <v>101.66443032388149</v>
          </cell>
          <cell r="D18">
            <v>100</v>
          </cell>
          <cell r="E18">
            <v>3.0303030303030303E-3</v>
          </cell>
          <cell r="F18">
            <v>84.999017976924108</v>
          </cell>
          <cell r="G18">
            <v>2.0063259227678398E-3</v>
          </cell>
          <cell r="H18">
            <v>100</v>
          </cell>
          <cell r="I18">
            <v>84.999017976924108</v>
          </cell>
          <cell r="J18">
            <v>-15.000982023075892</v>
          </cell>
          <cell r="K18">
            <v>100</v>
          </cell>
          <cell r="L18">
            <v>3.0303030303030303E-3</v>
          </cell>
          <cell r="M18">
            <v>67.071188173860307</v>
          </cell>
          <cell r="N18">
            <v>2.2192572119820396E-3</v>
          </cell>
          <cell r="O18">
            <v>200</v>
          </cell>
          <cell r="P18">
            <v>152.07020615078443</v>
          </cell>
          <cell r="Q18">
            <v>-47.929793849215571</v>
          </cell>
          <cell r="R18">
            <v>100</v>
          </cell>
          <cell r="S18">
            <v>3.0303030303030303E-3</v>
          </cell>
          <cell r="T18">
            <v>64.459041487862564</v>
          </cell>
          <cell r="U18">
            <v>3.8891383299385364E-3</v>
          </cell>
          <cell r="V18">
            <v>300</v>
          </cell>
          <cell r="W18">
            <v>216.52924763864701</v>
          </cell>
          <cell r="X18">
            <v>-83.470752361352993</v>
          </cell>
          <cell r="Y18">
            <v>100</v>
          </cell>
          <cell r="Z18">
            <v>3.0303030303030303E-3</v>
          </cell>
          <cell r="AA18">
            <v>0</v>
          </cell>
          <cell r="AB18" t="e">
            <v>#DIV/0!</v>
          </cell>
          <cell r="AC18">
            <v>400</v>
          </cell>
          <cell r="AD18">
            <v>216.52924763864701</v>
          </cell>
          <cell r="AE18">
            <v>-183.47075236135299</v>
          </cell>
          <cell r="AF18">
            <v>100</v>
          </cell>
          <cell r="AG18">
            <v>3.0303030303030303E-3</v>
          </cell>
          <cell r="AH18">
            <v>0</v>
          </cell>
          <cell r="AI18" t="e">
            <v>#DIV/0!</v>
          </cell>
          <cell r="AJ18">
            <v>500</v>
          </cell>
          <cell r="AK18">
            <v>216.52924763864701</v>
          </cell>
          <cell r="AL18">
            <v>-283.47075236135299</v>
          </cell>
          <cell r="AM18">
            <v>100</v>
          </cell>
          <cell r="AN18">
            <v>3.0303030303030303E-3</v>
          </cell>
          <cell r="AO18">
            <v>0</v>
          </cell>
          <cell r="AP18" t="e">
            <v>#DIV/0!</v>
          </cell>
          <cell r="AQ18">
            <v>600</v>
          </cell>
          <cell r="AR18">
            <v>216.52924763864701</v>
          </cell>
          <cell r="AS18">
            <v>-383.47075236135299</v>
          </cell>
          <cell r="AT18">
            <v>100</v>
          </cell>
          <cell r="AU18">
            <v>3.0303030303030303E-3</v>
          </cell>
          <cell r="AV18">
            <v>0</v>
          </cell>
          <cell r="AW18" t="e">
            <v>#DIV/0!</v>
          </cell>
          <cell r="AX18">
            <v>700</v>
          </cell>
          <cell r="AY18">
            <v>216.52924763864701</v>
          </cell>
          <cell r="AZ18">
            <v>-483.47075236135299</v>
          </cell>
          <cell r="BA18">
            <v>100</v>
          </cell>
          <cell r="BB18">
            <v>3.0303030303030303E-3</v>
          </cell>
          <cell r="BC18">
            <v>0</v>
          </cell>
          <cell r="BD18">
            <v>0</v>
          </cell>
          <cell r="BE18">
            <v>800</v>
          </cell>
          <cell r="BF18">
            <v>216.52924763864701</v>
          </cell>
          <cell r="BG18">
            <v>-583.47075236135299</v>
          </cell>
          <cell r="BH18">
            <v>100</v>
          </cell>
          <cell r="BI18">
            <v>3.0303030303030303E-3</v>
          </cell>
          <cell r="BJ18">
            <v>0</v>
          </cell>
          <cell r="BK18" t="e">
            <v>#DIV/0!</v>
          </cell>
          <cell r="BL18">
            <v>900</v>
          </cell>
          <cell r="BM18">
            <v>216.52924763864701</v>
          </cell>
          <cell r="BN18">
            <v>-683.47075236135299</v>
          </cell>
          <cell r="BO18">
            <v>100</v>
          </cell>
          <cell r="BP18">
            <v>3.0303030303030303E-3</v>
          </cell>
          <cell r="BQ18">
            <v>0</v>
          </cell>
          <cell r="BR18" t="e">
            <v>#DIV/0!</v>
          </cell>
          <cell r="BS18">
            <v>1000</v>
          </cell>
          <cell r="BT18">
            <v>216.52924763864701</v>
          </cell>
          <cell r="BU18">
            <v>-783.47075236135299</v>
          </cell>
          <cell r="BV18">
            <v>100</v>
          </cell>
          <cell r="BW18">
            <v>3.0303030303030303E-3</v>
          </cell>
          <cell r="BX18">
            <v>0</v>
          </cell>
          <cell r="BY18" t="e">
            <v>#DIV/0!</v>
          </cell>
          <cell r="BZ18">
            <v>1100</v>
          </cell>
          <cell r="CA18">
            <v>216.52924763864701</v>
          </cell>
          <cell r="CB18">
            <v>-883.47075236135299</v>
          </cell>
          <cell r="CC18">
            <v>100</v>
          </cell>
          <cell r="CD18">
            <v>3.0303030303030303E-3</v>
          </cell>
          <cell r="CE18">
            <v>0</v>
          </cell>
          <cell r="CF18" t="e">
            <v>#DIV/0!</v>
          </cell>
          <cell r="CG18">
            <v>1200</v>
          </cell>
          <cell r="CH18">
            <v>216.52924763864701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Comissões s/ Honorários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Condenação</v>
          </cell>
          <cell r="B21">
            <v>0.11548493153853684</v>
          </cell>
          <cell r="C21">
            <v>3794.2691666666669</v>
          </cell>
          <cell r="D21">
            <v>2833.3333333333335</v>
          </cell>
          <cell r="E21">
            <v>8.5858585858585856E-2</v>
          </cell>
          <cell r="F21">
            <v>0</v>
          </cell>
          <cell r="G21">
            <v>0</v>
          </cell>
          <cell r="H21">
            <v>2833.3333333333335</v>
          </cell>
          <cell r="I21">
            <v>0</v>
          </cell>
          <cell r="J21">
            <v>-2833.3333333333335</v>
          </cell>
          <cell r="K21">
            <v>2833.3333333333335</v>
          </cell>
          <cell r="L21">
            <v>8.5858585858585856E-2</v>
          </cell>
          <cell r="M21">
            <v>18000</v>
          </cell>
          <cell r="N21">
            <v>0.59558553983161933</v>
          </cell>
          <cell r="O21">
            <v>5666.666666666667</v>
          </cell>
          <cell r="P21">
            <v>18000</v>
          </cell>
          <cell r="Q21">
            <v>12333.333333333332</v>
          </cell>
          <cell r="R21">
            <v>2833.3333333333335</v>
          </cell>
          <cell r="S21">
            <v>8.5858585858585856E-2</v>
          </cell>
          <cell r="T21">
            <v>0</v>
          </cell>
          <cell r="U21">
            <v>0</v>
          </cell>
          <cell r="V21">
            <v>8500</v>
          </cell>
          <cell r="W21">
            <v>18000</v>
          </cell>
          <cell r="X21">
            <v>9500</v>
          </cell>
          <cell r="Y21">
            <v>2833.3333333333335</v>
          </cell>
          <cell r="Z21">
            <v>8.5858585858585856E-2</v>
          </cell>
          <cell r="AA21">
            <v>0</v>
          </cell>
          <cell r="AB21" t="e">
            <v>#DIV/0!</v>
          </cell>
          <cell r="AC21">
            <v>11333.333333333334</v>
          </cell>
          <cell r="AD21">
            <v>18000</v>
          </cell>
          <cell r="AE21">
            <v>6666.6666666666661</v>
          </cell>
          <cell r="AF21">
            <v>2833.3333333333335</v>
          </cell>
          <cell r="AG21">
            <v>8.5858585858585856E-2</v>
          </cell>
          <cell r="AH21">
            <v>0</v>
          </cell>
          <cell r="AI21" t="e">
            <v>#DIV/0!</v>
          </cell>
          <cell r="AJ21">
            <v>14166.666666666668</v>
          </cell>
          <cell r="AK21">
            <v>18000</v>
          </cell>
          <cell r="AL21">
            <v>3833.3333333333321</v>
          </cell>
          <cell r="AM21">
            <v>2833.3333333333335</v>
          </cell>
          <cell r="AN21">
            <v>8.5858585858585856E-2</v>
          </cell>
          <cell r="AO21">
            <v>0</v>
          </cell>
          <cell r="AP21" t="e">
            <v>#DIV/0!</v>
          </cell>
          <cell r="AQ21">
            <v>17000</v>
          </cell>
          <cell r="AR21">
            <v>18000</v>
          </cell>
          <cell r="AS21">
            <v>1000</v>
          </cell>
          <cell r="AT21">
            <v>2833.3333333333335</v>
          </cell>
          <cell r="AU21">
            <v>8.5858585858585856E-2</v>
          </cell>
          <cell r="AV21">
            <v>0</v>
          </cell>
          <cell r="AW21" t="e">
            <v>#DIV/0!</v>
          </cell>
          <cell r="AX21">
            <v>19833.333333333332</v>
          </cell>
          <cell r="AY21">
            <v>18000</v>
          </cell>
          <cell r="AZ21">
            <v>-1833.3333333333321</v>
          </cell>
          <cell r="BA21">
            <v>2833.3333333333335</v>
          </cell>
          <cell r="BB21">
            <v>8.5858585858585856E-2</v>
          </cell>
          <cell r="BC21">
            <v>0</v>
          </cell>
          <cell r="BD21">
            <v>0</v>
          </cell>
          <cell r="BE21">
            <v>22666.666666666664</v>
          </cell>
          <cell r="BF21">
            <v>18000</v>
          </cell>
          <cell r="BG21">
            <v>-4666.6666666666642</v>
          </cell>
          <cell r="BH21">
            <v>2833.3333333333335</v>
          </cell>
          <cell r="BI21">
            <v>8.5858585858585856E-2</v>
          </cell>
          <cell r="BJ21">
            <v>0</v>
          </cell>
          <cell r="BK21" t="e">
            <v>#DIV/0!</v>
          </cell>
          <cell r="BL21">
            <v>25499.999999999996</v>
          </cell>
          <cell r="BM21">
            <v>18000</v>
          </cell>
          <cell r="BN21">
            <v>-7499.9999999999964</v>
          </cell>
          <cell r="BO21">
            <v>2833.3333333333335</v>
          </cell>
          <cell r="BP21">
            <v>8.5858585858585856E-2</v>
          </cell>
          <cell r="BQ21">
            <v>0</v>
          </cell>
          <cell r="BR21" t="e">
            <v>#DIV/0!</v>
          </cell>
          <cell r="BS21">
            <v>28333.333333333328</v>
          </cell>
          <cell r="BT21">
            <v>18000</v>
          </cell>
          <cell r="BU21">
            <v>-10333.333333333328</v>
          </cell>
          <cell r="BV21">
            <v>2833.3333333333335</v>
          </cell>
          <cell r="BW21">
            <v>8.5858585858585856E-2</v>
          </cell>
          <cell r="BX21">
            <v>0</v>
          </cell>
          <cell r="BY21" t="e">
            <v>#DIV/0!</v>
          </cell>
          <cell r="BZ21">
            <v>31166.666666666661</v>
          </cell>
          <cell r="CA21">
            <v>18000</v>
          </cell>
          <cell r="CB21">
            <v>-13166.666666666661</v>
          </cell>
          <cell r="CC21">
            <v>2833.3333333333335</v>
          </cell>
          <cell r="CD21">
            <v>8.5858585858585856E-2</v>
          </cell>
          <cell r="CE21">
            <v>0</v>
          </cell>
          <cell r="CF21" t="e">
            <v>#DIV/0!</v>
          </cell>
          <cell r="CG21">
            <v>33999.999999999993</v>
          </cell>
          <cell r="CH21">
            <v>18000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7.6091683579734281E-5</v>
          </cell>
          <cell r="C24">
            <v>2.5</v>
          </cell>
          <cell r="D24">
            <v>3</v>
          </cell>
          <cell r="E24">
            <v>9.0909090909090904E-5</v>
          </cell>
          <cell r="F24">
            <v>0</v>
          </cell>
          <cell r="G24">
            <v>0</v>
          </cell>
          <cell r="H24">
            <v>3</v>
          </cell>
          <cell r="I24">
            <v>0</v>
          </cell>
          <cell r="J24">
            <v>-3</v>
          </cell>
          <cell r="K24">
            <v>3</v>
          </cell>
          <cell r="L24">
            <v>9.0909090909090904E-5</v>
          </cell>
          <cell r="M24">
            <v>0</v>
          </cell>
          <cell r="N24">
            <v>0</v>
          </cell>
          <cell r="O24">
            <v>6</v>
          </cell>
          <cell r="P24">
            <v>0</v>
          </cell>
          <cell r="Q24">
            <v>-6</v>
          </cell>
          <cell r="R24">
            <v>3</v>
          </cell>
          <cell r="S24">
            <v>9.0909090909090904E-5</v>
          </cell>
          <cell r="T24">
            <v>0</v>
          </cell>
          <cell r="U24">
            <v>0</v>
          </cell>
          <cell r="V24">
            <v>9</v>
          </cell>
          <cell r="W24">
            <v>0</v>
          </cell>
          <cell r="X24">
            <v>-9</v>
          </cell>
          <cell r="Y24">
            <v>3</v>
          </cell>
          <cell r="Z24">
            <v>9.0909090909090904E-5</v>
          </cell>
          <cell r="AA24">
            <v>0</v>
          </cell>
          <cell r="AB24" t="e">
            <v>#DIV/0!</v>
          </cell>
          <cell r="AC24">
            <v>12</v>
          </cell>
          <cell r="AD24">
            <v>0</v>
          </cell>
          <cell r="AE24">
            <v>-12</v>
          </cell>
          <cell r="AF24">
            <v>3</v>
          </cell>
          <cell r="AG24">
            <v>9.0909090909090904E-5</v>
          </cell>
          <cell r="AH24">
            <v>0</v>
          </cell>
          <cell r="AI24" t="e">
            <v>#DIV/0!</v>
          </cell>
          <cell r="AJ24">
            <v>15</v>
          </cell>
          <cell r="AK24">
            <v>0</v>
          </cell>
          <cell r="AL24">
            <v>-15</v>
          </cell>
          <cell r="AM24">
            <v>3</v>
          </cell>
          <cell r="AN24">
            <v>9.0909090909090904E-5</v>
          </cell>
          <cell r="AO24">
            <v>0</v>
          </cell>
          <cell r="AP24" t="e">
            <v>#DIV/0!</v>
          </cell>
          <cell r="AQ24">
            <v>18</v>
          </cell>
          <cell r="AR24">
            <v>0</v>
          </cell>
          <cell r="AS24">
            <v>-18</v>
          </cell>
          <cell r="AT24">
            <v>3</v>
          </cell>
          <cell r="AU24">
            <v>9.0909090909090904E-5</v>
          </cell>
          <cell r="AV24">
            <v>0</v>
          </cell>
          <cell r="AW24" t="e">
            <v>#DIV/0!</v>
          </cell>
          <cell r="AX24">
            <v>21</v>
          </cell>
          <cell r="AY24">
            <v>0</v>
          </cell>
          <cell r="AZ24">
            <v>-21</v>
          </cell>
          <cell r="BA24">
            <v>3</v>
          </cell>
          <cell r="BB24">
            <v>9.0909090909090904E-5</v>
          </cell>
          <cell r="BC24">
            <v>0</v>
          </cell>
          <cell r="BD24">
            <v>0</v>
          </cell>
          <cell r="BE24">
            <v>24</v>
          </cell>
          <cell r="BF24">
            <v>0</v>
          </cell>
          <cell r="BG24">
            <v>-24</v>
          </cell>
          <cell r="BH24">
            <v>3</v>
          </cell>
          <cell r="BI24">
            <v>9.0909090909090904E-5</v>
          </cell>
          <cell r="BJ24">
            <v>0</v>
          </cell>
          <cell r="BK24" t="e">
            <v>#DIV/0!</v>
          </cell>
          <cell r="BL24">
            <v>27</v>
          </cell>
          <cell r="BM24">
            <v>0</v>
          </cell>
          <cell r="BN24">
            <v>-27</v>
          </cell>
          <cell r="BO24">
            <v>3</v>
          </cell>
          <cell r="BP24">
            <v>9.0909090909090904E-5</v>
          </cell>
          <cell r="BQ24">
            <v>0</v>
          </cell>
          <cell r="BR24" t="e">
            <v>#DIV/0!</v>
          </cell>
          <cell r="BS24">
            <v>30</v>
          </cell>
          <cell r="BT24">
            <v>0</v>
          </cell>
          <cell r="BU24">
            <v>-30</v>
          </cell>
          <cell r="BV24">
            <v>3</v>
          </cell>
          <cell r="BW24">
            <v>9.0909090909090904E-5</v>
          </cell>
          <cell r="BX24">
            <v>0</v>
          </cell>
          <cell r="BY24" t="e">
            <v>#DIV/0!</v>
          </cell>
          <cell r="BZ24">
            <v>33</v>
          </cell>
          <cell r="CA24">
            <v>0</v>
          </cell>
          <cell r="CB24">
            <v>-33</v>
          </cell>
          <cell r="CC24">
            <v>3</v>
          </cell>
          <cell r="CD24">
            <v>9.0909090909090904E-5</v>
          </cell>
          <cell r="CE24">
            <v>0</v>
          </cell>
          <cell r="CF24" t="e">
            <v>#DIV/0!</v>
          </cell>
          <cell r="CG24">
            <v>36</v>
          </cell>
          <cell r="CH24">
            <v>0</v>
          </cell>
        </row>
        <row r="25">
          <cell r="A25" t="str">
            <v xml:space="preserve">Correspondentes </v>
          </cell>
          <cell r="B25">
            <v>8.7945551885625483E-3</v>
          </cell>
          <cell r="C25">
            <v>288.94600483333335</v>
          </cell>
          <cell r="D25">
            <v>250</v>
          </cell>
          <cell r="E25">
            <v>7.575757575757576E-3</v>
          </cell>
          <cell r="F25">
            <v>291.600459</v>
          </cell>
          <cell r="G25">
            <v>6.8829684613712977E-3</v>
          </cell>
          <cell r="H25">
            <v>250</v>
          </cell>
          <cell r="I25">
            <v>291.600459</v>
          </cell>
          <cell r="J25">
            <v>41.600459000000001</v>
          </cell>
          <cell r="K25">
            <v>250</v>
          </cell>
          <cell r="L25">
            <v>7.575757575757576E-3</v>
          </cell>
          <cell r="M25">
            <v>40.508986</v>
          </cell>
          <cell r="N25">
            <v>1.3403647941578618E-3</v>
          </cell>
          <cell r="O25">
            <v>500</v>
          </cell>
          <cell r="P25">
            <v>332.10944499999999</v>
          </cell>
          <cell r="Q25">
            <v>-167.89055500000001</v>
          </cell>
          <cell r="R25">
            <v>250</v>
          </cell>
          <cell r="S25">
            <v>7.575757575757576E-3</v>
          </cell>
          <cell r="T25">
            <v>146.90776700000001</v>
          </cell>
          <cell r="U25">
            <v>8.8636848208945539E-3</v>
          </cell>
          <cell r="V25">
            <v>750</v>
          </cell>
          <cell r="W25">
            <v>479.01721199999997</v>
          </cell>
          <cell r="X25">
            <v>-270.98278800000003</v>
          </cell>
          <cell r="Y25">
            <v>250</v>
          </cell>
          <cell r="Z25">
            <v>7.575757575757576E-3</v>
          </cell>
          <cell r="AA25">
            <v>0</v>
          </cell>
          <cell r="AB25" t="e">
            <v>#DIV/0!</v>
          </cell>
          <cell r="AC25">
            <v>1000</v>
          </cell>
          <cell r="AD25">
            <v>479.01721199999997</v>
          </cell>
          <cell r="AE25">
            <v>-520.98278800000003</v>
          </cell>
          <cell r="AF25">
            <v>250</v>
          </cell>
          <cell r="AG25">
            <v>7.575757575757576E-3</v>
          </cell>
          <cell r="AH25">
            <v>0</v>
          </cell>
          <cell r="AI25" t="e">
            <v>#DIV/0!</v>
          </cell>
          <cell r="AJ25">
            <v>1250</v>
          </cell>
          <cell r="AK25">
            <v>479.01721199999997</v>
          </cell>
          <cell r="AL25">
            <v>-770.98278800000003</v>
          </cell>
          <cell r="AM25">
            <v>250</v>
          </cell>
          <cell r="AN25">
            <v>7.575757575757576E-3</v>
          </cell>
          <cell r="AO25">
            <v>0</v>
          </cell>
          <cell r="AP25" t="e">
            <v>#DIV/0!</v>
          </cell>
          <cell r="AQ25">
            <v>1500</v>
          </cell>
          <cell r="AR25">
            <v>479.01721199999997</v>
          </cell>
          <cell r="AS25">
            <v>-1020.982788</v>
          </cell>
          <cell r="AT25">
            <v>250</v>
          </cell>
          <cell r="AU25">
            <v>7.575757575757576E-3</v>
          </cell>
          <cell r="AV25">
            <v>0</v>
          </cell>
          <cell r="AW25" t="e">
            <v>#DIV/0!</v>
          </cell>
          <cell r="AX25">
            <v>1750</v>
          </cell>
          <cell r="AY25">
            <v>479.01721199999997</v>
          </cell>
          <cell r="AZ25">
            <v>-1270.982788</v>
          </cell>
          <cell r="BA25">
            <v>250</v>
          </cell>
          <cell r="BB25">
            <v>7.575757575757576E-3</v>
          </cell>
          <cell r="BC25">
            <v>0</v>
          </cell>
          <cell r="BD25">
            <v>0</v>
          </cell>
          <cell r="BE25">
            <v>2000</v>
          </cell>
          <cell r="BF25">
            <v>479.01721199999997</v>
          </cell>
          <cell r="BG25">
            <v>-1520.982788</v>
          </cell>
          <cell r="BH25">
            <v>250</v>
          </cell>
          <cell r="BI25">
            <v>7.575757575757576E-3</v>
          </cell>
          <cell r="BJ25">
            <v>0</v>
          </cell>
          <cell r="BK25" t="e">
            <v>#DIV/0!</v>
          </cell>
          <cell r="BL25">
            <v>2250</v>
          </cell>
          <cell r="BM25">
            <v>479.01721199999997</v>
          </cell>
          <cell r="BN25">
            <v>-1770.982788</v>
          </cell>
          <cell r="BO25">
            <v>250</v>
          </cell>
          <cell r="BP25">
            <v>7.575757575757576E-3</v>
          </cell>
          <cell r="BQ25">
            <v>0</v>
          </cell>
          <cell r="BR25" t="e">
            <v>#DIV/0!</v>
          </cell>
          <cell r="BS25">
            <v>2500</v>
          </cell>
          <cell r="BT25">
            <v>479.01721199999997</v>
          </cell>
          <cell r="BU25">
            <v>-2020.982788</v>
          </cell>
          <cell r="BV25">
            <v>250</v>
          </cell>
          <cell r="BW25">
            <v>7.575757575757576E-3</v>
          </cell>
          <cell r="BX25">
            <v>0</v>
          </cell>
          <cell r="BY25" t="e">
            <v>#DIV/0!</v>
          </cell>
          <cell r="BZ25">
            <v>2750</v>
          </cell>
          <cell r="CA25">
            <v>479.01721199999997</v>
          </cell>
          <cell r="CB25">
            <v>-2270.9827880000003</v>
          </cell>
          <cell r="CC25">
            <v>250</v>
          </cell>
          <cell r="CD25">
            <v>7.575757575757576E-3</v>
          </cell>
          <cell r="CE25">
            <v>0</v>
          </cell>
          <cell r="CF25" t="e">
            <v>#DIV/0!</v>
          </cell>
          <cell r="CG25">
            <v>3000</v>
          </cell>
          <cell r="CH25">
            <v>479.01721199999997</v>
          </cell>
        </row>
        <row r="26">
          <cell r="A26" t="str">
            <v>Custas/Guias/Despesas</v>
          </cell>
          <cell r="B26">
            <v>1.225651866039475E-2</v>
          </cell>
          <cell r="C26">
            <v>402.68916666666661</v>
          </cell>
          <cell r="D26">
            <v>450</v>
          </cell>
          <cell r="E26">
            <v>1.3636363636363636E-2</v>
          </cell>
          <cell r="F26">
            <v>67</v>
          </cell>
          <cell r="G26">
            <v>1.5814751749477767E-3</v>
          </cell>
          <cell r="H26">
            <v>450</v>
          </cell>
          <cell r="I26">
            <v>67</v>
          </cell>
          <cell r="J26">
            <v>-383</v>
          </cell>
          <cell r="K26">
            <v>450</v>
          </cell>
          <cell r="L26">
            <v>1.3636363636363636E-2</v>
          </cell>
          <cell r="M26">
            <v>38.42</v>
          </cell>
          <cell r="N26">
            <v>1.2712442466850454E-3</v>
          </cell>
          <cell r="O26">
            <v>900</v>
          </cell>
          <cell r="P26">
            <v>105.42</v>
          </cell>
          <cell r="Q26">
            <v>-794.58</v>
          </cell>
          <cell r="R26">
            <v>450</v>
          </cell>
          <cell r="S26">
            <v>1.3636363636363636E-2</v>
          </cell>
          <cell r="T26">
            <v>1745.06</v>
          </cell>
          <cell r="U26">
            <v>0.1052882509169869</v>
          </cell>
          <cell r="V26">
            <v>1350</v>
          </cell>
          <cell r="W26">
            <v>1850.48</v>
          </cell>
          <cell r="X26">
            <v>500.48</v>
          </cell>
          <cell r="Y26">
            <v>450</v>
          </cell>
          <cell r="Z26">
            <v>1.3636363636363636E-2</v>
          </cell>
          <cell r="AA26">
            <v>0</v>
          </cell>
          <cell r="AB26" t="e">
            <v>#DIV/0!</v>
          </cell>
          <cell r="AC26">
            <v>1800</v>
          </cell>
          <cell r="AD26">
            <v>1850.48</v>
          </cell>
          <cell r="AE26">
            <v>50.480000000000018</v>
          </cell>
          <cell r="AF26">
            <v>450</v>
          </cell>
          <cell r="AG26">
            <v>1.3636363636363636E-2</v>
          </cell>
          <cell r="AH26">
            <v>0</v>
          </cell>
          <cell r="AI26" t="e">
            <v>#DIV/0!</v>
          </cell>
          <cell r="AJ26">
            <v>2250</v>
          </cell>
          <cell r="AK26">
            <v>1850.48</v>
          </cell>
          <cell r="AL26">
            <v>-399.52</v>
          </cell>
          <cell r="AM26">
            <v>450</v>
          </cell>
          <cell r="AN26">
            <v>1.3636363636363636E-2</v>
          </cell>
          <cell r="AO26">
            <v>0</v>
          </cell>
          <cell r="AP26" t="e">
            <v>#DIV/0!</v>
          </cell>
          <cell r="AQ26">
            <v>2700</v>
          </cell>
          <cell r="AR26">
            <v>1850.48</v>
          </cell>
          <cell r="AS26">
            <v>-849.52</v>
          </cell>
          <cell r="AT26">
            <v>450</v>
          </cell>
          <cell r="AU26">
            <v>1.3636363636363636E-2</v>
          </cell>
          <cell r="AV26">
            <v>0</v>
          </cell>
          <cell r="AW26" t="e">
            <v>#DIV/0!</v>
          </cell>
          <cell r="AX26">
            <v>3150</v>
          </cell>
          <cell r="AY26">
            <v>1850.48</v>
          </cell>
          <cell r="AZ26">
            <v>-1299.52</v>
          </cell>
          <cell r="BA26">
            <v>450</v>
          </cell>
          <cell r="BB26">
            <v>1.3636363636363636E-2</v>
          </cell>
          <cell r="BC26">
            <v>0</v>
          </cell>
          <cell r="BD26">
            <v>0</v>
          </cell>
          <cell r="BE26">
            <v>3600</v>
          </cell>
          <cell r="BF26">
            <v>1850.48</v>
          </cell>
          <cell r="BG26">
            <v>-1749.52</v>
          </cell>
          <cell r="BH26">
            <v>450</v>
          </cell>
          <cell r="BI26">
            <v>1.3636363636363636E-2</v>
          </cell>
          <cell r="BJ26">
            <v>0</v>
          </cell>
          <cell r="BK26" t="e">
            <v>#DIV/0!</v>
          </cell>
          <cell r="BL26">
            <v>4050</v>
          </cell>
          <cell r="BM26">
            <v>1850.48</v>
          </cell>
          <cell r="BN26">
            <v>-2199.52</v>
          </cell>
          <cell r="BO26">
            <v>450</v>
          </cell>
          <cell r="BP26">
            <v>1.3636363636363636E-2</v>
          </cell>
          <cell r="BQ26">
            <v>0</v>
          </cell>
          <cell r="BR26" t="e">
            <v>#DIV/0!</v>
          </cell>
          <cell r="BS26">
            <v>4500</v>
          </cell>
          <cell r="BT26">
            <v>1850.48</v>
          </cell>
          <cell r="BU26">
            <v>-2649.52</v>
          </cell>
          <cell r="BV26">
            <v>450</v>
          </cell>
          <cell r="BW26">
            <v>1.3636363636363636E-2</v>
          </cell>
          <cell r="BX26">
            <v>0</v>
          </cell>
          <cell r="BY26" t="e">
            <v>#DIV/0!</v>
          </cell>
          <cell r="BZ26">
            <v>4950</v>
          </cell>
          <cell r="CA26">
            <v>1850.48</v>
          </cell>
          <cell r="CB26">
            <v>-3099.52</v>
          </cell>
          <cell r="CC26">
            <v>450</v>
          </cell>
          <cell r="CD26">
            <v>1.3636363636363636E-2</v>
          </cell>
          <cell r="CE26">
            <v>0</v>
          </cell>
          <cell r="CF26" t="e">
            <v>#DIV/0!</v>
          </cell>
          <cell r="CG26">
            <v>5400</v>
          </cell>
          <cell r="CH26">
            <v>1850.48</v>
          </cell>
        </row>
        <row r="27">
          <cell r="A27" t="str">
            <v>Deslocamento</v>
          </cell>
          <cell r="B27">
            <v>6.4284790677612174E-4</v>
          </cell>
          <cell r="C27">
            <v>21.120833333333334</v>
          </cell>
          <cell r="D27">
            <v>20</v>
          </cell>
          <cell r="E27">
            <v>6.0606060606060606E-4</v>
          </cell>
          <cell r="F27">
            <v>0</v>
          </cell>
          <cell r="G27">
            <v>0</v>
          </cell>
          <cell r="H27">
            <v>20</v>
          </cell>
          <cell r="I27">
            <v>0</v>
          </cell>
          <cell r="J27">
            <v>-20</v>
          </cell>
          <cell r="K27">
            <v>20</v>
          </cell>
          <cell r="L27">
            <v>6.0606060606060606E-4</v>
          </cell>
          <cell r="M27">
            <v>0</v>
          </cell>
          <cell r="N27">
            <v>0</v>
          </cell>
          <cell r="O27">
            <v>40</v>
          </cell>
          <cell r="P27">
            <v>0</v>
          </cell>
          <cell r="Q27">
            <v>-40</v>
          </cell>
          <cell r="R27">
            <v>20</v>
          </cell>
          <cell r="S27">
            <v>6.0606060606060606E-4</v>
          </cell>
          <cell r="T27">
            <v>0</v>
          </cell>
          <cell r="U27">
            <v>0</v>
          </cell>
          <cell r="V27">
            <v>60</v>
          </cell>
          <cell r="W27">
            <v>0</v>
          </cell>
          <cell r="X27">
            <v>-60</v>
          </cell>
          <cell r="Y27">
            <v>20</v>
          </cell>
          <cell r="Z27">
            <v>6.0606060606060606E-4</v>
          </cell>
          <cell r="AA27">
            <v>0</v>
          </cell>
          <cell r="AB27" t="e">
            <v>#DIV/0!</v>
          </cell>
          <cell r="AC27">
            <v>80</v>
          </cell>
          <cell r="AD27">
            <v>0</v>
          </cell>
          <cell r="AE27">
            <v>-80</v>
          </cell>
          <cell r="AF27">
            <v>20</v>
          </cell>
          <cell r="AG27">
            <v>6.0606060606060606E-4</v>
          </cell>
          <cell r="AH27">
            <v>0</v>
          </cell>
          <cell r="AI27" t="e">
            <v>#DIV/0!</v>
          </cell>
          <cell r="AJ27">
            <v>100</v>
          </cell>
          <cell r="AK27">
            <v>0</v>
          </cell>
          <cell r="AL27">
            <v>-100</v>
          </cell>
          <cell r="AM27">
            <v>20</v>
          </cell>
          <cell r="AN27">
            <v>6.0606060606060606E-4</v>
          </cell>
          <cell r="AO27">
            <v>0</v>
          </cell>
          <cell r="AP27" t="e">
            <v>#DIV/0!</v>
          </cell>
          <cell r="AQ27">
            <v>120</v>
          </cell>
          <cell r="AR27">
            <v>0</v>
          </cell>
          <cell r="AS27">
            <v>-120</v>
          </cell>
          <cell r="AT27">
            <v>20</v>
          </cell>
          <cell r="AU27">
            <v>6.0606060606060606E-4</v>
          </cell>
          <cell r="AV27">
            <v>0</v>
          </cell>
          <cell r="AW27" t="e">
            <v>#DIV/0!</v>
          </cell>
          <cell r="AX27">
            <v>140</v>
          </cell>
          <cell r="AY27">
            <v>0</v>
          </cell>
          <cell r="AZ27">
            <v>-140</v>
          </cell>
          <cell r="BA27">
            <v>20</v>
          </cell>
          <cell r="BB27">
            <v>6.0606060606060606E-4</v>
          </cell>
          <cell r="BC27">
            <v>0</v>
          </cell>
          <cell r="BD27">
            <v>0</v>
          </cell>
          <cell r="BE27">
            <v>160</v>
          </cell>
          <cell r="BF27">
            <v>0</v>
          </cell>
          <cell r="BG27">
            <v>-160</v>
          </cell>
          <cell r="BH27">
            <v>20</v>
          </cell>
          <cell r="BI27">
            <v>6.0606060606060606E-4</v>
          </cell>
          <cell r="BJ27">
            <v>0</v>
          </cell>
          <cell r="BK27" t="e">
            <v>#DIV/0!</v>
          </cell>
          <cell r="BL27">
            <v>180</v>
          </cell>
          <cell r="BM27">
            <v>0</v>
          </cell>
          <cell r="BN27">
            <v>-180</v>
          </cell>
          <cell r="BO27">
            <v>20</v>
          </cell>
          <cell r="BP27">
            <v>6.0606060606060606E-4</v>
          </cell>
          <cell r="BQ27">
            <v>0</v>
          </cell>
          <cell r="BR27" t="e">
            <v>#DIV/0!</v>
          </cell>
          <cell r="BS27">
            <v>200</v>
          </cell>
          <cell r="BT27">
            <v>0</v>
          </cell>
          <cell r="BU27">
            <v>-200</v>
          </cell>
          <cell r="BV27">
            <v>20</v>
          </cell>
          <cell r="BW27">
            <v>6.0606060606060606E-4</v>
          </cell>
          <cell r="BX27">
            <v>0</v>
          </cell>
          <cell r="BY27" t="e">
            <v>#DIV/0!</v>
          </cell>
          <cell r="BZ27">
            <v>220</v>
          </cell>
          <cell r="CA27">
            <v>0</v>
          </cell>
          <cell r="CB27">
            <v>-220</v>
          </cell>
          <cell r="CC27">
            <v>20</v>
          </cell>
          <cell r="CD27">
            <v>6.0606060606060606E-4</v>
          </cell>
          <cell r="CE27">
            <v>0</v>
          </cell>
          <cell r="CF27" t="e">
            <v>#DIV/0!</v>
          </cell>
          <cell r="CG27">
            <v>240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7.4178359023799583E-3</v>
          </cell>
          <cell r="C30">
            <v>243.71375271934357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1.5519177868926599E-2</v>
          </cell>
          <cell r="C31">
            <v>509.88416666666672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7.4760079117088929E-4</v>
          </cell>
          <cell r="C34">
            <v>24.5625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Fotocópia/Xerox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GNA</v>
          </cell>
          <cell r="B36">
            <v>4.0779926179876837E-2</v>
          </cell>
          <cell r="C36">
            <v>1339.8286205990148</v>
          </cell>
          <cell r="D36">
            <v>330</v>
          </cell>
          <cell r="E36">
            <v>0.01</v>
          </cell>
          <cell r="F36">
            <v>546.98936638364603</v>
          </cell>
          <cell r="G36">
            <v>1.2911195580539553E-2</v>
          </cell>
          <cell r="H36">
            <v>330</v>
          </cell>
          <cell r="I36">
            <v>546.98936638364603</v>
          </cell>
          <cell r="J36">
            <v>216.98936638364603</v>
          </cell>
          <cell r="K36">
            <v>330</v>
          </cell>
          <cell r="L36">
            <v>0.01</v>
          </cell>
          <cell r="M36">
            <v>397.99111373827321</v>
          </cell>
          <cell r="N36">
            <v>1.3168764017999827E-2</v>
          </cell>
          <cell r="O36">
            <v>660</v>
          </cell>
          <cell r="P36">
            <v>944.9804801219193</v>
          </cell>
          <cell r="Q36">
            <v>284.9804801219193</v>
          </cell>
          <cell r="R36">
            <v>330</v>
          </cell>
          <cell r="S36">
            <v>0.01</v>
          </cell>
          <cell r="T36">
            <v>170.49494167226254</v>
          </cell>
          <cell r="U36">
            <v>1.0286817759198093E-2</v>
          </cell>
          <cell r="V36">
            <v>990</v>
          </cell>
          <cell r="W36">
            <v>1115.4754217941818</v>
          </cell>
          <cell r="X36">
            <v>125.47542179418178</v>
          </cell>
          <cell r="Y36">
            <v>330</v>
          </cell>
          <cell r="Z36">
            <v>0.01</v>
          </cell>
          <cell r="AA36">
            <v>0</v>
          </cell>
          <cell r="AB36" t="e">
            <v>#DIV/0!</v>
          </cell>
          <cell r="AC36">
            <v>1320</v>
          </cell>
          <cell r="AD36">
            <v>1115.4754217941818</v>
          </cell>
          <cell r="AE36">
            <v>-204.52457820581822</v>
          </cell>
          <cell r="AF36">
            <v>330</v>
          </cell>
          <cell r="AG36">
            <v>0.01</v>
          </cell>
          <cell r="AH36">
            <v>0</v>
          </cell>
          <cell r="AI36" t="e">
            <v>#DIV/0!</v>
          </cell>
          <cell r="AJ36">
            <v>1650</v>
          </cell>
          <cell r="AK36">
            <v>1115.4754217941818</v>
          </cell>
          <cell r="AL36">
            <v>-534.52457820581822</v>
          </cell>
          <cell r="AM36">
            <v>330</v>
          </cell>
          <cell r="AN36">
            <v>0.01</v>
          </cell>
          <cell r="AO36">
            <v>0</v>
          </cell>
          <cell r="AP36" t="e">
            <v>#DIV/0!</v>
          </cell>
          <cell r="AQ36">
            <v>1980</v>
          </cell>
          <cell r="AR36">
            <v>1115.4754217941818</v>
          </cell>
          <cell r="AS36">
            <v>-864.52457820581822</v>
          </cell>
          <cell r="AT36">
            <v>330</v>
          </cell>
          <cell r="AU36">
            <v>0.01</v>
          </cell>
          <cell r="AV36">
            <v>0</v>
          </cell>
          <cell r="AW36" t="e">
            <v>#DIV/0!</v>
          </cell>
          <cell r="AX36">
            <v>2310</v>
          </cell>
          <cell r="AY36">
            <v>1115.4754217941818</v>
          </cell>
          <cell r="AZ36">
            <v>-1194.5245782058182</v>
          </cell>
          <cell r="BA36">
            <v>330</v>
          </cell>
          <cell r="BB36">
            <v>0.01</v>
          </cell>
          <cell r="BC36">
            <v>0</v>
          </cell>
          <cell r="BD36">
            <v>0</v>
          </cell>
          <cell r="BE36">
            <v>2640</v>
          </cell>
          <cell r="BF36">
            <v>1115.4754217941818</v>
          </cell>
          <cell r="BG36">
            <v>-1524.5245782058182</v>
          </cell>
          <cell r="BH36">
            <v>330</v>
          </cell>
          <cell r="BI36">
            <v>0.01</v>
          </cell>
          <cell r="BJ36">
            <v>0</v>
          </cell>
          <cell r="BK36" t="e">
            <v>#DIV/0!</v>
          </cell>
          <cell r="BL36">
            <v>2970</v>
          </cell>
          <cell r="BM36">
            <v>1115.4754217941818</v>
          </cell>
          <cell r="BN36">
            <v>-1854.5245782058182</v>
          </cell>
          <cell r="BO36">
            <v>330</v>
          </cell>
          <cell r="BP36">
            <v>0.01</v>
          </cell>
          <cell r="BQ36">
            <v>0</v>
          </cell>
          <cell r="BR36" t="e">
            <v>#DIV/0!</v>
          </cell>
          <cell r="BS36">
            <v>3300</v>
          </cell>
          <cell r="BT36">
            <v>1115.4754217941818</v>
          </cell>
          <cell r="BU36">
            <v>-2184.5245782058182</v>
          </cell>
          <cell r="BV36">
            <v>330</v>
          </cell>
          <cell r="BW36">
            <v>0.01</v>
          </cell>
          <cell r="BX36">
            <v>0</v>
          </cell>
          <cell r="BY36" t="e">
            <v>#DIV/0!</v>
          </cell>
          <cell r="BZ36">
            <v>3630</v>
          </cell>
          <cell r="CA36">
            <v>1115.4754217941818</v>
          </cell>
          <cell r="CB36">
            <v>-2514.5245782058182</v>
          </cell>
          <cell r="CC36">
            <v>330</v>
          </cell>
          <cell r="CD36">
            <v>0.01</v>
          </cell>
          <cell r="CE36">
            <v>0</v>
          </cell>
          <cell r="CF36" t="e">
            <v>#DIV/0!</v>
          </cell>
          <cell r="CG36">
            <v>3960</v>
          </cell>
          <cell r="CH36">
            <v>1115.4754217941818</v>
          </cell>
        </row>
        <row r="37">
          <cell r="A37" t="str">
            <v>Parcerias - Unidade Vitória / Unidade Pará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Pesquisas/Consultas</v>
          </cell>
          <cell r="B38">
            <v>4.8854339335153039E-3</v>
          </cell>
          <cell r="C38">
            <v>160.51142857142852</v>
          </cell>
          <cell r="D38">
            <v>200</v>
          </cell>
          <cell r="E38">
            <v>6.0606060606060606E-3</v>
          </cell>
          <cell r="F38">
            <v>58.9</v>
          </cell>
          <cell r="G38">
            <v>1.390281907528717E-3</v>
          </cell>
          <cell r="H38">
            <v>200</v>
          </cell>
          <cell r="I38">
            <v>58.9</v>
          </cell>
          <cell r="J38">
            <v>-141.1</v>
          </cell>
          <cell r="K38">
            <v>200</v>
          </cell>
          <cell r="L38">
            <v>6.0606060606060606E-3</v>
          </cell>
          <cell r="M38">
            <v>0</v>
          </cell>
          <cell r="N38">
            <v>0</v>
          </cell>
          <cell r="O38">
            <v>400</v>
          </cell>
          <cell r="P38">
            <v>58.9</v>
          </cell>
          <cell r="Q38">
            <v>-341.1</v>
          </cell>
          <cell r="R38">
            <v>200</v>
          </cell>
          <cell r="S38">
            <v>6.0606060606060606E-3</v>
          </cell>
          <cell r="T38">
            <v>0</v>
          </cell>
          <cell r="U38">
            <v>0</v>
          </cell>
          <cell r="V38">
            <v>600</v>
          </cell>
          <cell r="W38">
            <v>58.9</v>
          </cell>
          <cell r="X38">
            <v>-541.1</v>
          </cell>
          <cell r="Y38">
            <v>200</v>
          </cell>
          <cell r="Z38">
            <v>6.0606060606060606E-3</v>
          </cell>
          <cell r="AA38">
            <v>0</v>
          </cell>
          <cell r="AB38" t="e">
            <v>#DIV/0!</v>
          </cell>
          <cell r="AC38">
            <v>800</v>
          </cell>
          <cell r="AD38">
            <v>58.9</v>
          </cell>
          <cell r="AE38">
            <v>-741.1</v>
          </cell>
          <cell r="AF38">
            <v>200</v>
          </cell>
          <cell r="AG38">
            <v>6.0606060606060606E-3</v>
          </cell>
          <cell r="AH38">
            <v>0</v>
          </cell>
          <cell r="AI38" t="e">
            <v>#DIV/0!</v>
          </cell>
          <cell r="AJ38">
            <v>1000</v>
          </cell>
          <cell r="AK38">
            <v>58.9</v>
          </cell>
          <cell r="AL38">
            <v>-941.1</v>
          </cell>
          <cell r="AM38">
            <v>200</v>
          </cell>
          <cell r="AN38">
            <v>6.0606060606060606E-3</v>
          </cell>
          <cell r="AO38">
            <v>0</v>
          </cell>
          <cell r="AP38" t="e">
            <v>#DIV/0!</v>
          </cell>
          <cell r="AQ38">
            <v>1200</v>
          </cell>
          <cell r="AR38">
            <v>58.9</v>
          </cell>
          <cell r="AS38">
            <v>-1141.0999999999999</v>
          </cell>
          <cell r="AT38">
            <v>200</v>
          </cell>
          <cell r="AU38">
            <v>6.0606060606060606E-3</v>
          </cell>
          <cell r="AV38">
            <v>0</v>
          </cell>
          <cell r="AW38" t="e">
            <v>#DIV/0!</v>
          </cell>
          <cell r="AX38">
            <v>1400</v>
          </cell>
          <cell r="AY38">
            <v>58.9</v>
          </cell>
          <cell r="AZ38">
            <v>-1341.1</v>
          </cell>
          <cell r="BA38">
            <v>200</v>
          </cell>
          <cell r="BB38">
            <v>6.0606060606060606E-3</v>
          </cell>
          <cell r="BC38">
            <v>0</v>
          </cell>
          <cell r="BD38">
            <v>0</v>
          </cell>
          <cell r="BE38">
            <v>1600</v>
          </cell>
          <cell r="BF38">
            <v>58.9</v>
          </cell>
          <cell r="BG38">
            <v>-1541.1</v>
          </cell>
          <cell r="BH38">
            <v>200</v>
          </cell>
          <cell r="BI38">
            <v>6.0606060606060606E-3</v>
          </cell>
          <cell r="BJ38">
            <v>0</v>
          </cell>
          <cell r="BK38" t="e">
            <v>#DIV/0!</v>
          </cell>
          <cell r="BL38">
            <v>1800</v>
          </cell>
          <cell r="BM38">
            <v>58.9</v>
          </cell>
          <cell r="BN38">
            <v>-1741.1</v>
          </cell>
          <cell r="BO38">
            <v>200</v>
          </cell>
          <cell r="BP38">
            <v>6.0606060606060606E-3</v>
          </cell>
          <cell r="BQ38">
            <v>0</v>
          </cell>
          <cell r="BR38" t="e">
            <v>#DIV/0!</v>
          </cell>
          <cell r="BS38">
            <v>2000</v>
          </cell>
          <cell r="BT38">
            <v>58.9</v>
          </cell>
          <cell r="BU38">
            <v>-1941.1</v>
          </cell>
          <cell r="BV38">
            <v>200</v>
          </cell>
          <cell r="BW38">
            <v>6.0606060606060606E-3</v>
          </cell>
          <cell r="BX38">
            <v>0</v>
          </cell>
          <cell r="BY38" t="e">
            <v>#DIV/0!</v>
          </cell>
          <cell r="BZ38">
            <v>2200</v>
          </cell>
          <cell r="CA38">
            <v>58.9</v>
          </cell>
          <cell r="CB38">
            <v>-2141.1</v>
          </cell>
          <cell r="CC38">
            <v>200</v>
          </cell>
          <cell r="CD38">
            <v>6.0606060606060606E-3</v>
          </cell>
          <cell r="CE38">
            <v>0</v>
          </cell>
          <cell r="CF38" t="e">
            <v>#DIV/0!</v>
          </cell>
          <cell r="CG38">
            <v>2400</v>
          </cell>
          <cell r="CH38">
            <v>58.9</v>
          </cell>
        </row>
        <row r="39">
          <cell r="A39" t="str">
            <v>IR s/ Salário</v>
          </cell>
          <cell r="B39">
            <v>8.3371121308862178E-5</v>
          </cell>
          <cell r="C39">
            <v>2.7391666666666663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Material de Escritório/Informática/Elétrico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Pagamento de Haveres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Pauta</v>
          </cell>
          <cell r="B42">
            <v>1.561000614524117E-3</v>
          </cell>
          <cell r="C42">
            <v>51.286833891919002</v>
          </cell>
          <cell r="D42">
            <v>80</v>
          </cell>
          <cell r="E42">
            <v>2.4242424242424242E-3</v>
          </cell>
          <cell r="F42">
            <v>0</v>
          </cell>
          <cell r="G42">
            <v>0</v>
          </cell>
          <cell r="H42">
            <v>80</v>
          </cell>
          <cell r="I42">
            <v>0</v>
          </cell>
          <cell r="J42">
            <v>-80</v>
          </cell>
          <cell r="K42">
            <v>80</v>
          </cell>
          <cell r="L42">
            <v>2.4242424242424242E-3</v>
          </cell>
          <cell r="M42">
            <v>40.34383392026578</v>
          </cell>
          <cell r="N42">
            <v>1.3349002280154828E-3</v>
          </cell>
          <cell r="O42">
            <v>160</v>
          </cell>
          <cell r="P42">
            <v>40.34383392026578</v>
          </cell>
          <cell r="Q42">
            <v>-119.65616607973422</v>
          </cell>
          <cell r="R42">
            <v>80</v>
          </cell>
          <cell r="S42">
            <v>2.4242424242424242E-3</v>
          </cell>
          <cell r="T42">
            <v>64.908028201669879</v>
          </cell>
          <cell r="U42">
            <v>3.9162279576772608E-3</v>
          </cell>
          <cell r="V42">
            <v>240</v>
          </cell>
          <cell r="W42">
            <v>105.25186212193566</v>
          </cell>
          <cell r="X42">
            <v>-134.74813787806434</v>
          </cell>
          <cell r="Y42">
            <v>80</v>
          </cell>
          <cell r="Z42">
            <v>2.4242424242424242E-3</v>
          </cell>
          <cell r="AA42">
            <v>0</v>
          </cell>
          <cell r="AB42" t="e">
            <v>#DIV/0!</v>
          </cell>
          <cell r="AC42">
            <v>320</v>
          </cell>
          <cell r="AD42">
            <v>105.25186212193566</v>
          </cell>
          <cell r="AE42">
            <v>-214.74813787806434</v>
          </cell>
          <cell r="AF42">
            <v>80</v>
          </cell>
          <cell r="AG42">
            <v>2.4242424242424242E-3</v>
          </cell>
          <cell r="AH42">
            <v>0</v>
          </cell>
          <cell r="AI42" t="e">
            <v>#DIV/0!</v>
          </cell>
          <cell r="AJ42">
            <v>400</v>
          </cell>
          <cell r="AK42">
            <v>105.25186212193566</v>
          </cell>
          <cell r="AL42">
            <v>-294.74813787806431</v>
          </cell>
          <cell r="AM42">
            <v>80</v>
          </cell>
          <cell r="AN42">
            <v>2.4242424242424242E-3</v>
          </cell>
          <cell r="AO42">
            <v>0</v>
          </cell>
          <cell r="AP42" t="e">
            <v>#DIV/0!</v>
          </cell>
          <cell r="AQ42">
            <v>480</v>
          </cell>
          <cell r="AR42">
            <v>105.25186212193566</v>
          </cell>
          <cell r="AS42">
            <v>-374.74813787806431</v>
          </cell>
          <cell r="AT42">
            <v>80</v>
          </cell>
          <cell r="AU42">
            <v>2.4242424242424242E-3</v>
          </cell>
          <cell r="AV42">
            <v>0</v>
          </cell>
          <cell r="AW42" t="e">
            <v>#DIV/0!</v>
          </cell>
          <cell r="AX42">
            <v>560</v>
          </cell>
          <cell r="AY42">
            <v>105.25186212193566</v>
          </cell>
          <cell r="AZ42">
            <v>-454.74813787806431</v>
          </cell>
          <cell r="BA42">
            <v>80</v>
          </cell>
          <cell r="BB42">
            <v>2.4242424242424242E-3</v>
          </cell>
          <cell r="BC42">
            <v>0</v>
          </cell>
          <cell r="BD42">
            <v>0</v>
          </cell>
          <cell r="BE42">
            <v>640</v>
          </cell>
          <cell r="BF42">
            <v>105.25186212193566</v>
          </cell>
          <cell r="BG42">
            <v>-534.74813787806431</v>
          </cell>
          <cell r="BH42">
            <v>80</v>
          </cell>
          <cell r="BI42">
            <v>2.4242424242424242E-3</v>
          </cell>
          <cell r="BJ42">
            <v>0</v>
          </cell>
          <cell r="BK42" t="e">
            <v>#DIV/0!</v>
          </cell>
          <cell r="BL42">
            <v>720</v>
          </cell>
          <cell r="BM42">
            <v>105.25186212193566</v>
          </cell>
          <cell r="BN42">
            <v>-614.74813787806431</v>
          </cell>
          <cell r="BO42">
            <v>80</v>
          </cell>
          <cell r="BP42">
            <v>2.4242424242424242E-3</v>
          </cell>
          <cell r="BQ42">
            <v>0</v>
          </cell>
          <cell r="BR42" t="e">
            <v>#DIV/0!</v>
          </cell>
          <cell r="BS42">
            <v>800</v>
          </cell>
          <cell r="BT42">
            <v>105.25186212193566</v>
          </cell>
          <cell r="BU42">
            <v>-694.74813787806431</v>
          </cell>
          <cell r="BV42">
            <v>80</v>
          </cell>
          <cell r="BW42">
            <v>2.4242424242424242E-3</v>
          </cell>
          <cell r="BX42">
            <v>0</v>
          </cell>
          <cell r="BY42" t="e">
            <v>#DIV/0!</v>
          </cell>
          <cell r="BZ42">
            <v>880</v>
          </cell>
          <cell r="CA42">
            <v>105.25186212193566</v>
          </cell>
          <cell r="CB42">
            <v>-774.74813787806431</v>
          </cell>
          <cell r="CC42">
            <v>80</v>
          </cell>
          <cell r="CD42">
            <v>2.4242424242424242E-3</v>
          </cell>
          <cell r="CE42">
            <v>0</v>
          </cell>
          <cell r="CF42" t="e">
            <v>#DIV/0!</v>
          </cell>
          <cell r="CG42">
            <v>960</v>
          </cell>
          <cell r="CH42">
            <v>105.25186212193566</v>
          </cell>
        </row>
        <row r="43">
          <cell r="A43" t="str">
            <v>Pauta - Gestão de Pauta</v>
          </cell>
          <cell r="B43">
            <v>4.6329784776824904E-4</v>
          </cell>
          <cell r="C43">
            <v>15.221697890373676</v>
          </cell>
          <cell r="D43">
            <v>20</v>
          </cell>
          <cell r="E43">
            <v>6.0606060606060606E-4</v>
          </cell>
          <cell r="F43">
            <v>15.306532638653222</v>
          </cell>
          <cell r="G43">
            <v>3.6129703556056649E-4</v>
          </cell>
          <cell r="H43">
            <v>20</v>
          </cell>
          <cell r="I43">
            <v>15.306532638653222</v>
          </cell>
          <cell r="J43">
            <v>-4.6934673613467783</v>
          </cell>
          <cell r="K43">
            <v>20</v>
          </cell>
          <cell r="L43">
            <v>6.0606060606060606E-4</v>
          </cell>
          <cell r="M43">
            <v>5.6191385179844007</v>
          </cell>
          <cell r="N43">
            <v>1.8592653597902139E-4</v>
          </cell>
          <cell r="O43">
            <v>40</v>
          </cell>
          <cell r="P43">
            <v>20.925671156637623</v>
          </cell>
          <cell r="Q43">
            <v>-19.074328843362377</v>
          </cell>
          <cell r="R43">
            <v>20</v>
          </cell>
          <cell r="S43">
            <v>6.0606060606060606E-4</v>
          </cell>
          <cell r="T43">
            <v>19.518321803124884</v>
          </cell>
          <cell r="U43">
            <v>1.1776385702989634E-3</v>
          </cell>
          <cell r="V43">
            <v>60</v>
          </cell>
          <cell r="W43">
            <v>40.443992959762511</v>
          </cell>
          <cell r="X43">
            <v>-19.556007040237489</v>
          </cell>
          <cell r="Y43">
            <v>20</v>
          </cell>
          <cell r="Z43">
            <v>6.0606060606060606E-4</v>
          </cell>
          <cell r="AA43">
            <v>0</v>
          </cell>
          <cell r="AB43" t="e">
            <v>#DIV/0!</v>
          </cell>
          <cell r="AC43">
            <v>80</v>
          </cell>
          <cell r="AD43">
            <v>40.443992959762511</v>
          </cell>
          <cell r="AE43">
            <v>-39.556007040237489</v>
          </cell>
          <cell r="AF43">
            <v>20</v>
          </cell>
          <cell r="AG43">
            <v>6.0606060606060606E-4</v>
          </cell>
          <cell r="AH43">
            <v>0</v>
          </cell>
          <cell r="AI43" t="e">
            <v>#DIV/0!</v>
          </cell>
          <cell r="AJ43">
            <v>100</v>
          </cell>
          <cell r="AK43">
            <v>40.443992959762511</v>
          </cell>
          <cell r="AL43">
            <v>-59.556007040237489</v>
          </cell>
          <cell r="AM43">
            <v>20</v>
          </cell>
          <cell r="AN43">
            <v>6.0606060606060606E-4</v>
          </cell>
          <cell r="AO43">
            <v>0</v>
          </cell>
          <cell r="AP43" t="e">
            <v>#DIV/0!</v>
          </cell>
          <cell r="AQ43">
            <v>120</v>
          </cell>
          <cell r="AR43">
            <v>40.443992959762511</v>
          </cell>
          <cell r="AS43">
            <v>-79.556007040237489</v>
          </cell>
          <cell r="AT43">
            <v>20</v>
          </cell>
          <cell r="AU43">
            <v>6.0606060606060606E-4</v>
          </cell>
          <cell r="AV43">
            <v>0</v>
          </cell>
          <cell r="AW43" t="e">
            <v>#DIV/0!</v>
          </cell>
          <cell r="AX43">
            <v>140</v>
          </cell>
          <cell r="AY43">
            <v>40.443992959762511</v>
          </cell>
          <cell r="AZ43">
            <v>-99.556007040237489</v>
          </cell>
          <cell r="BA43">
            <v>20</v>
          </cell>
          <cell r="BB43">
            <v>6.0606060606060606E-4</v>
          </cell>
          <cell r="BC43">
            <v>0</v>
          </cell>
          <cell r="BD43">
            <v>0</v>
          </cell>
          <cell r="BE43">
            <v>160</v>
          </cell>
          <cell r="BF43">
            <v>40.443992959762511</v>
          </cell>
          <cell r="BG43">
            <v>-119.55600704023749</v>
          </cell>
          <cell r="BH43">
            <v>20</v>
          </cell>
          <cell r="BI43">
            <v>6.0606060606060606E-4</v>
          </cell>
          <cell r="BJ43">
            <v>0</v>
          </cell>
          <cell r="BK43" t="e">
            <v>#DIV/0!</v>
          </cell>
          <cell r="BL43">
            <v>180</v>
          </cell>
          <cell r="BM43">
            <v>40.443992959762511</v>
          </cell>
          <cell r="BN43">
            <v>-139.55600704023749</v>
          </cell>
          <cell r="BO43">
            <v>20</v>
          </cell>
          <cell r="BP43">
            <v>6.0606060606060606E-4</v>
          </cell>
          <cell r="BQ43">
            <v>0</v>
          </cell>
          <cell r="BR43" t="e">
            <v>#DIV/0!</v>
          </cell>
          <cell r="BS43">
            <v>200</v>
          </cell>
          <cell r="BT43">
            <v>40.443992959762511</v>
          </cell>
          <cell r="BU43">
            <v>-159.55600704023749</v>
          </cell>
          <cell r="BV43">
            <v>20</v>
          </cell>
          <cell r="BW43">
            <v>6.0606060606060606E-4</v>
          </cell>
          <cell r="BX43">
            <v>0</v>
          </cell>
          <cell r="BY43" t="e">
            <v>#DIV/0!</v>
          </cell>
          <cell r="BZ43">
            <v>220</v>
          </cell>
          <cell r="CA43">
            <v>40.443992959762511</v>
          </cell>
          <cell r="CB43">
            <v>-179.55600704023749</v>
          </cell>
          <cell r="CC43">
            <v>20</v>
          </cell>
          <cell r="CD43">
            <v>6.0606060606060606E-4</v>
          </cell>
          <cell r="CE43">
            <v>0</v>
          </cell>
          <cell r="CF43" t="e">
            <v>#DIV/0!</v>
          </cell>
          <cell r="CG43">
            <v>240</v>
          </cell>
          <cell r="CH43">
            <v>40.443992959762511</v>
          </cell>
        </row>
        <row r="44">
          <cell r="A44" t="str">
            <v>Exames Médicos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Plano de Saúde</v>
          </cell>
          <cell r="B45">
            <v>4.5659194855634043E-2</v>
          </cell>
          <cell r="C45">
            <v>1500.137489</v>
          </cell>
          <cell r="D45">
            <v>860</v>
          </cell>
          <cell r="E45">
            <v>2.6060606060606062E-2</v>
          </cell>
          <cell r="F45">
            <v>0</v>
          </cell>
          <cell r="G45">
            <v>0</v>
          </cell>
          <cell r="H45">
            <v>860</v>
          </cell>
          <cell r="I45">
            <v>0</v>
          </cell>
          <cell r="J45">
            <v>-860</v>
          </cell>
          <cell r="K45">
            <v>860</v>
          </cell>
          <cell r="L45">
            <v>2.6060606060606062E-2</v>
          </cell>
          <cell r="M45">
            <v>0</v>
          </cell>
          <cell r="N45">
            <v>0</v>
          </cell>
          <cell r="O45">
            <v>1720</v>
          </cell>
          <cell r="P45">
            <v>0</v>
          </cell>
          <cell r="Q45">
            <v>-1720</v>
          </cell>
          <cell r="R45">
            <v>860</v>
          </cell>
          <cell r="S45">
            <v>2.6060606060606062E-2</v>
          </cell>
          <cell r="T45">
            <v>0</v>
          </cell>
          <cell r="U45">
            <v>0</v>
          </cell>
          <cell r="V45">
            <v>2580</v>
          </cell>
          <cell r="W45">
            <v>0</v>
          </cell>
          <cell r="X45">
            <v>-2580</v>
          </cell>
          <cell r="Y45">
            <v>860</v>
          </cell>
          <cell r="Z45">
            <v>2.6060606060606062E-2</v>
          </cell>
          <cell r="AA45">
            <v>0</v>
          </cell>
          <cell r="AB45" t="e">
            <v>#DIV/0!</v>
          </cell>
          <cell r="AC45">
            <v>3440</v>
          </cell>
          <cell r="AD45">
            <v>0</v>
          </cell>
          <cell r="AE45">
            <v>-3440</v>
          </cell>
          <cell r="AF45">
            <v>860</v>
          </cell>
          <cell r="AG45">
            <v>2.6060606060606062E-2</v>
          </cell>
          <cell r="AH45">
            <v>0</v>
          </cell>
          <cell r="AI45" t="e">
            <v>#DIV/0!</v>
          </cell>
          <cell r="AJ45">
            <v>4300</v>
          </cell>
          <cell r="AK45">
            <v>0</v>
          </cell>
          <cell r="AL45">
            <v>-4300</v>
          </cell>
          <cell r="AM45">
            <v>860</v>
          </cell>
          <cell r="AN45">
            <v>2.6060606060606062E-2</v>
          </cell>
          <cell r="AO45">
            <v>0</v>
          </cell>
          <cell r="AP45" t="e">
            <v>#DIV/0!</v>
          </cell>
          <cell r="AQ45">
            <v>5160</v>
          </cell>
          <cell r="AR45">
            <v>0</v>
          </cell>
          <cell r="AS45">
            <v>-5160</v>
          </cell>
          <cell r="AT45">
            <v>860</v>
          </cell>
          <cell r="AU45">
            <v>2.6060606060606062E-2</v>
          </cell>
          <cell r="AV45">
            <v>0</v>
          </cell>
          <cell r="AW45" t="e">
            <v>#DIV/0!</v>
          </cell>
          <cell r="AX45">
            <v>6020</v>
          </cell>
          <cell r="AY45">
            <v>0</v>
          </cell>
          <cell r="AZ45">
            <v>-6020</v>
          </cell>
          <cell r="BA45">
            <v>860</v>
          </cell>
          <cell r="BB45">
            <v>2.6060606060606062E-2</v>
          </cell>
          <cell r="BC45">
            <v>0</v>
          </cell>
          <cell r="BD45">
            <v>0</v>
          </cell>
          <cell r="BE45">
            <v>6880</v>
          </cell>
          <cell r="BF45">
            <v>0</v>
          </cell>
          <cell r="BG45">
            <v>-6880</v>
          </cell>
          <cell r="BH45">
            <v>860</v>
          </cell>
          <cell r="BI45">
            <v>2.6060606060606062E-2</v>
          </cell>
          <cell r="BJ45">
            <v>0</v>
          </cell>
          <cell r="BK45" t="e">
            <v>#DIV/0!</v>
          </cell>
          <cell r="BL45">
            <v>7740</v>
          </cell>
          <cell r="BM45">
            <v>0</v>
          </cell>
          <cell r="BN45">
            <v>-7740</v>
          </cell>
          <cell r="BO45">
            <v>989</v>
          </cell>
          <cell r="BP45">
            <v>2.9969696969696969E-2</v>
          </cell>
          <cell r="BQ45">
            <v>0</v>
          </cell>
          <cell r="BR45" t="e">
            <v>#DIV/0!</v>
          </cell>
          <cell r="BS45">
            <v>8729</v>
          </cell>
          <cell r="BT45">
            <v>0</v>
          </cell>
          <cell r="BU45">
            <v>-8729</v>
          </cell>
          <cell r="BV45">
            <v>989</v>
          </cell>
          <cell r="BW45">
            <v>2.9969696969696969E-2</v>
          </cell>
          <cell r="BX45">
            <v>0</v>
          </cell>
          <cell r="BY45" t="e">
            <v>#DIV/0!</v>
          </cell>
          <cell r="BZ45">
            <v>9718</v>
          </cell>
          <cell r="CA45">
            <v>0</v>
          </cell>
          <cell r="CB45">
            <v>-9718</v>
          </cell>
          <cell r="CC45">
            <v>989</v>
          </cell>
          <cell r="CD45">
            <v>2.9969696969696969E-2</v>
          </cell>
          <cell r="CE45">
            <v>0</v>
          </cell>
          <cell r="CF45" t="e">
            <v>#DIV/0!</v>
          </cell>
          <cell r="CG45">
            <v>10707</v>
          </cell>
          <cell r="CH45">
            <v>0</v>
          </cell>
        </row>
        <row r="46">
          <cell r="A46" t="str">
            <v>Plano Odontológico</v>
          </cell>
          <cell r="B46">
            <v>2.5531042540780455E-3</v>
          </cell>
          <cell r="C46">
            <v>83.882499833333341</v>
          </cell>
          <cell r="D46">
            <v>88.2</v>
          </cell>
          <cell r="E46">
            <v>2.6727272727272728E-3</v>
          </cell>
          <cell r="F46">
            <v>0</v>
          </cell>
          <cell r="G46">
            <v>0</v>
          </cell>
          <cell r="H46">
            <v>88.2</v>
          </cell>
          <cell r="I46">
            <v>0</v>
          </cell>
          <cell r="J46">
            <v>-88.2</v>
          </cell>
          <cell r="K46">
            <v>88.2</v>
          </cell>
          <cell r="L46">
            <v>2.6727272727272728E-3</v>
          </cell>
          <cell r="M46">
            <v>0</v>
          </cell>
          <cell r="N46">
            <v>0</v>
          </cell>
          <cell r="O46">
            <v>176.4</v>
          </cell>
          <cell r="P46">
            <v>0</v>
          </cell>
          <cell r="Q46">
            <v>-176.4</v>
          </cell>
          <cell r="R46">
            <v>88.2</v>
          </cell>
          <cell r="S46">
            <v>2.6727272727272728E-3</v>
          </cell>
          <cell r="T46">
            <v>0</v>
          </cell>
          <cell r="U46">
            <v>0</v>
          </cell>
          <cell r="V46">
            <v>264.60000000000002</v>
          </cell>
          <cell r="W46">
            <v>0</v>
          </cell>
          <cell r="X46">
            <v>-264.60000000000002</v>
          </cell>
          <cell r="Y46">
            <v>88.2</v>
          </cell>
          <cell r="Z46">
            <v>2.6727272727272728E-3</v>
          </cell>
          <cell r="AA46">
            <v>0</v>
          </cell>
          <cell r="AB46" t="e">
            <v>#DIV/0!</v>
          </cell>
          <cell r="AC46">
            <v>352.8</v>
          </cell>
          <cell r="AD46">
            <v>0</v>
          </cell>
          <cell r="AE46">
            <v>-352.8</v>
          </cell>
          <cell r="AF46">
            <v>88.2</v>
          </cell>
          <cell r="AG46">
            <v>2.6727272727272728E-3</v>
          </cell>
          <cell r="AH46">
            <v>0</v>
          </cell>
          <cell r="AI46" t="e">
            <v>#DIV/0!</v>
          </cell>
          <cell r="AJ46">
            <v>441</v>
          </cell>
          <cell r="AK46">
            <v>0</v>
          </cell>
          <cell r="AL46">
            <v>-441</v>
          </cell>
          <cell r="AM46">
            <v>88.2</v>
          </cell>
          <cell r="AN46">
            <v>2.6727272727272728E-3</v>
          </cell>
          <cell r="AO46">
            <v>0</v>
          </cell>
          <cell r="AP46" t="e">
            <v>#DIV/0!</v>
          </cell>
          <cell r="AQ46">
            <v>529.20000000000005</v>
          </cell>
          <cell r="AR46">
            <v>0</v>
          </cell>
          <cell r="AS46">
            <v>-529.20000000000005</v>
          </cell>
          <cell r="AT46">
            <v>88.2</v>
          </cell>
          <cell r="AU46">
            <v>2.6727272727272728E-3</v>
          </cell>
          <cell r="AV46">
            <v>0</v>
          </cell>
          <cell r="AW46" t="e">
            <v>#DIV/0!</v>
          </cell>
          <cell r="AX46">
            <v>617.40000000000009</v>
          </cell>
          <cell r="AY46">
            <v>0</v>
          </cell>
          <cell r="AZ46">
            <v>-617.40000000000009</v>
          </cell>
          <cell r="BA46">
            <v>88.2</v>
          </cell>
          <cell r="BB46">
            <v>2.6727272727272728E-3</v>
          </cell>
          <cell r="BC46">
            <v>0</v>
          </cell>
          <cell r="BD46">
            <v>0</v>
          </cell>
          <cell r="BE46">
            <v>705.60000000000014</v>
          </cell>
          <cell r="BF46">
            <v>0</v>
          </cell>
          <cell r="BG46">
            <v>-705.60000000000014</v>
          </cell>
          <cell r="BH46">
            <v>88.2</v>
          </cell>
          <cell r="BI46">
            <v>2.6727272727272728E-3</v>
          </cell>
          <cell r="BJ46">
            <v>0</v>
          </cell>
          <cell r="BK46" t="e">
            <v>#DIV/0!</v>
          </cell>
          <cell r="BL46">
            <v>793.80000000000018</v>
          </cell>
          <cell r="BM46">
            <v>0</v>
          </cell>
          <cell r="BN46">
            <v>-793.80000000000018</v>
          </cell>
          <cell r="BO46">
            <v>88.2</v>
          </cell>
          <cell r="BP46">
            <v>2.6727272727272728E-3</v>
          </cell>
          <cell r="BQ46">
            <v>0</v>
          </cell>
          <cell r="BR46" t="e">
            <v>#DIV/0!</v>
          </cell>
          <cell r="BS46">
            <v>882.00000000000023</v>
          </cell>
          <cell r="BT46">
            <v>0</v>
          </cell>
          <cell r="BU46">
            <v>-882.00000000000023</v>
          </cell>
          <cell r="BV46">
            <v>88.2</v>
          </cell>
          <cell r="BW46">
            <v>2.6727272727272728E-3</v>
          </cell>
          <cell r="BX46">
            <v>0</v>
          </cell>
          <cell r="BY46" t="e">
            <v>#DIV/0!</v>
          </cell>
          <cell r="BZ46">
            <v>970.20000000000027</v>
          </cell>
          <cell r="CA46">
            <v>0</v>
          </cell>
          <cell r="CB46">
            <v>-970.20000000000027</v>
          </cell>
          <cell r="CC46">
            <v>88.2</v>
          </cell>
          <cell r="CD46">
            <v>2.6727272727272728E-3</v>
          </cell>
          <cell r="CE46">
            <v>0</v>
          </cell>
          <cell r="CF46" t="e">
            <v>#DIV/0!</v>
          </cell>
          <cell r="CG46">
            <v>1058.4000000000003</v>
          </cell>
          <cell r="CH46">
            <v>0</v>
          </cell>
        </row>
        <row r="47">
          <cell r="A47" t="str">
            <v>Redação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Remuneração</v>
          </cell>
          <cell r="B48">
            <v>0.46332307803440576</v>
          </cell>
          <cell r="C48">
            <v>15222.526833333332</v>
          </cell>
          <cell r="D48">
            <v>16500</v>
          </cell>
          <cell r="E48">
            <v>0.5</v>
          </cell>
          <cell r="F48">
            <v>14340</v>
          </cell>
          <cell r="G48">
            <v>0.33848289565300171</v>
          </cell>
          <cell r="H48">
            <v>16500</v>
          </cell>
          <cell r="I48">
            <v>14340</v>
          </cell>
          <cell r="J48">
            <v>-2160</v>
          </cell>
          <cell r="K48">
            <v>17110</v>
          </cell>
          <cell r="L48">
            <v>0.51848484848484844</v>
          </cell>
          <cell r="M48">
            <v>25937.3</v>
          </cell>
          <cell r="N48">
            <v>0.85821560123748108</v>
          </cell>
          <cell r="O48">
            <v>33610</v>
          </cell>
          <cell r="P48">
            <v>40277.300000000003</v>
          </cell>
          <cell r="Q48">
            <v>6667.3000000000029</v>
          </cell>
          <cell r="R48">
            <v>17110</v>
          </cell>
          <cell r="S48">
            <v>0.51848484848484844</v>
          </cell>
          <cell r="T48">
            <v>18131.53</v>
          </cell>
          <cell r="U48">
            <v>1.0939664424999</v>
          </cell>
          <cell r="V48">
            <v>50720</v>
          </cell>
          <cell r="W48">
            <v>58408.83</v>
          </cell>
          <cell r="X48">
            <v>7688.8300000000017</v>
          </cell>
          <cell r="Y48">
            <v>17110</v>
          </cell>
          <cell r="Z48">
            <v>0.51848484848484844</v>
          </cell>
          <cell r="AA48">
            <v>0</v>
          </cell>
          <cell r="AB48" t="e">
            <v>#DIV/0!</v>
          </cell>
          <cell r="AC48">
            <v>67830</v>
          </cell>
          <cell r="AD48">
            <v>58408.83</v>
          </cell>
          <cell r="AE48">
            <v>-9421.1699999999983</v>
          </cell>
          <cell r="AF48">
            <v>17110</v>
          </cell>
          <cell r="AG48">
            <v>0.51848484848484844</v>
          </cell>
          <cell r="AH48">
            <v>0</v>
          </cell>
          <cell r="AI48" t="e">
            <v>#DIV/0!</v>
          </cell>
          <cell r="AJ48">
            <v>84940</v>
          </cell>
          <cell r="AK48">
            <v>58408.83</v>
          </cell>
          <cell r="AL48">
            <v>-26531.17</v>
          </cell>
          <cell r="AM48">
            <v>17110</v>
          </cell>
          <cell r="AN48">
            <v>0.51848484848484844</v>
          </cell>
          <cell r="AO48">
            <v>0</v>
          </cell>
          <cell r="AP48" t="e">
            <v>#DIV/0!</v>
          </cell>
          <cell r="AQ48">
            <v>102050</v>
          </cell>
          <cell r="AR48">
            <v>58408.83</v>
          </cell>
          <cell r="AS48">
            <v>-43641.17</v>
          </cell>
          <cell r="AT48">
            <v>17110</v>
          </cell>
          <cell r="AU48">
            <v>0.51848484848484844</v>
          </cell>
          <cell r="AV48">
            <v>0</v>
          </cell>
          <cell r="AW48" t="e">
            <v>#DIV/0!</v>
          </cell>
          <cell r="AX48">
            <v>119160</v>
          </cell>
          <cell r="AY48">
            <v>58408.83</v>
          </cell>
          <cell r="AZ48">
            <v>-60751.17</v>
          </cell>
          <cell r="BA48">
            <v>17110</v>
          </cell>
          <cell r="BB48">
            <v>0.51848484848484844</v>
          </cell>
          <cell r="BC48">
            <v>0</v>
          </cell>
          <cell r="BD48">
            <v>0</v>
          </cell>
          <cell r="BE48">
            <v>136270</v>
          </cell>
          <cell r="BF48">
            <v>58408.83</v>
          </cell>
          <cell r="BG48">
            <v>-77861.17</v>
          </cell>
          <cell r="BH48">
            <v>17110</v>
          </cell>
          <cell r="BI48">
            <v>0.51848484848484844</v>
          </cell>
          <cell r="BJ48">
            <v>0</v>
          </cell>
          <cell r="BK48" t="e">
            <v>#DIV/0!</v>
          </cell>
          <cell r="BL48">
            <v>153380</v>
          </cell>
          <cell r="BM48">
            <v>58408.83</v>
          </cell>
          <cell r="BN48">
            <v>-94971.17</v>
          </cell>
          <cell r="BO48">
            <v>17110</v>
          </cell>
          <cell r="BP48">
            <v>0.51848484848484844</v>
          </cell>
          <cell r="BQ48">
            <v>0</v>
          </cell>
          <cell r="BR48" t="e">
            <v>#DIV/0!</v>
          </cell>
          <cell r="BS48">
            <v>170490</v>
          </cell>
          <cell r="BT48">
            <v>58408.83</v>
          </cell>
          <cell r="BU48">
            <v>-112081.17</v>
          </cell>
          <cell r="BV48">
            <v>17110</v>
          </cell>
          <cell r="BW48">
            <v>0.51848484848484844</v>
          </cell>
          <cell r="BX48">
            <v>0</v>
          </cell>
          <cell r="BY48" t="e">
            <v>#DIV/0!</v>
          </cell>
          <cell r="BZ48">
            <v>187600</v>
          </cell>
          <cell r="CA48">
            <v>58408.83</v>
          </cell>
          <cell r="CB48">
            <v>-129191.17</v>
          </cell>
          <cell r="CC48">
            <v>17110</v>
          </cell>
          <cell r="CD48">
            <v>0.51848484848484844</v>
          </cell>
          <cell r="CE48">
            <v>0</v>
          </cell>
          <cell r="CF48" t="e">
            <v>#DIV/0!</v>
          </cell>
          <cell r="CG48">
            <v>204710</v>
          </cell>
          <cell r="CH48">
            <v>58408.83</v>
          </cell>
        </row>
        <row r="49">
          <cell r="A49" t="str">
            <v>Seguro de Vida</v>
          </cell>
          <cell r="B49">
            <v>1.7013859745069523E-3</v>
          </cell>
          <cell r="C49">
            <v>55.899209166666651</v>
          </cell>
          <cell r="D49">
            <v>60.7</v>
          </cell>
          <cell r="E49">
            <v>1.8393939393939395E-3</v>
          </cell>
          <cell r="F49">
            <v>57.549984000000002</v>
          </cell>
          <cell r="G49">
            <v>1.3584159852931604E-3</v>
          </cell>
          <cell r="H49">
            <v>60.7</v>
          </cell>
          <cell r="I49">
            <v>57.549984000000002</v>
          </cell>
          <cell r="J49">
            <v>-3.1500160000000008</v>
          </cell>
          <cell r="K49">
            <v>60.7</v>
          </cell>
          <cell r="L49">
            <v>1.8393939393939395E-3</v>
          </cell>
          <cell r="M49">
            <v>57.549993000000001</v>
          </cell>
          <cell r="N49">
            <v>1.904219091567273E-3</v>
          </cell>
          <cell r="O49">
            <v>121.4</v>
          </cell>
          <cell r="P49">
            <v>115.099977</v>
          </cell>
          <cell r="Q49">
            <v>-6.3000230000000101</v>
          </cell>
          <cell r="R49">
            <v>60.7</v>
          </cell>
          <cell r="S49">
            <v>1.8393939393939395E-3</v>
          </cell>
          <cell r="T49">
            <v>57.549976000000001</v>
          </cell>
          <cell r="U49">
            <v>3.4722796427369687E-3</v>
          </cell>
          <cell r="V49">
            <v>182.10000000000002</v>
          </cell>
          <cell r="W49">
            <v>172.64995299999998</v>
          </cell>
          <cell r="X49">
            <v>-9.4500470000000405</v>
          </cell>
          <cell r="Y49">
            <v>60.7</v>
          </cell>
          <cell r="Z49">
            <v>1.8393939393939395E-3</v>
          </cell>
          <cell r="AA49">
            <v>0</v>
          </cell>
          <cell r="AB49" t="e">
            <v>#DIV/0!</v>
          </cell>
          <cell r="AC49">
            <v>242.8</v>
          </cell>
          <cell r="AD49">
            <v>172.64995299999998</v>
          </cell>
          <cell r="AE49">
            <v>-70.150047000000029</v>
          </cell>
          <cell r="AF49">
            <v>60.7</v>
          </cell>
          <cell r="AG49">
            <v>1.8393939393939395E-3</v>
          </cell>
          <cell r="AH49">
            <v>0</v>
          </cell>
          <cell r="AI49" t="e">
            <v>#DIV/0!</v>
          </cell>
          <cell r="AJ49">
            <v>303.5</v>
          </cell>
          <cell r="AK49">
            <v>172.64995299999998</v>
          </cell>
          <cell r="AL49">
            <v>-130.85004700000002</v>
          </cell>
          <cell r="AM49">
            <v>60.7</v>
          </cell>
          <cell r="AN49">
            <v>1.8393939393939395E-3</v>
          </cell>
          <cell r="AO49">
            <v>0</v>
          </cell>
          <cell r="AP49" t="e">
            <v>#DIV/0!</v>
          </cell>
          <cell r="AQ49">
            <v>364.2</v>
          </cell>
          <cell r="AR49">
            <v>172.64995299999998</v>
          </cell>
          <cell r="AS49">
            <v>-191.55004700000001</v>
          </cell>
          <cell r="AT49">
            <v>60.7</v>
          </cell>
          <cell r="AU49">
            <v>1.8393939393939395E-3</v>
          </cell>
          <cell r="AV49">
            <v>0</v>
          </cell>
          <cell r="AW49" t="e">
            <v>#DIV/0!</v>
          </cell>
          <cell r="AX49">
            <v>424.9</v>
          </cell>
          <cell r="AY49">
            <v>172.64995299999998</v>
          </cell>
          <cell r="AZ49">
            <v>-252.250047</v>
          </cell>
          <cell r="BA49">
            <v>60.7</v>
          </cell>
          <cell r="BB49">
            <v>1.8393939393939395E-3</v>
          </cell>
          <cell r="BC49">
            <v>0</v>
          </cell>
          <cell r="BD49">
            <v>0</v>
          </cell>
          <cell r="BE49">
            <v>485.59999999999997</v>
          </cell>
          <cell r="BF49">
            <v>172.64995299999998</v>
          </cell>
          <cell r="BG49">
            <v>-312.95004699999998</v>
          </cell>
          <cell r="BH49">
            <v>60.7</v>
          </cell>
          <cell r="BI49">
            <v>1.8393939393939395E-3</v>
          </cell>
          <cell r="BJ49">
            <v>0</v>
          </cell>
          <cell r="BK49" t="e">
            <v>#DIV/0!</v>
          </cell>
          <cell r="BL49">
            <v>546.29999999999995</v>
          </cell>
          <cell r="BM49">
            <v>172.64995299999998</v>
          </cell>
          <cell r="BN49">
            <v>-373.65004699999997</v>
          </cell>
          <cell r="BO49">
            <v>60.7</v>
          </cell>
          <cell r="BP49">
            <v>1.8393939393939395E-3</v>
          </cell>
          <cell r="BQ49">
            <v>0</v>
          </cell>
          <cell r="BR49" t="e">
            <v>#DIV/0!</v>
          </cell>
          <cell r="BS49">
            <v>607</v>
          </cell>
          <cell r="BT49">
            <v>172.64995299999998</v>
          </cell>
          <cell r="BU49">
            <v>-434.35004700000002</v>
          </cell>
          <cell r="BV49">
            <v>60.7</v>
          </cell>
          <cell r="BW49">
            <v>1.8393939393939395E-3</v>
          </cell>
          <cell r="BX49">
            <v>0</v>
          </cell>
          <cell r="BY49" t="e">
            <v>#DIV/0!</v>
          </cell>
          <cell r="BZ49">
            <v>667.7</v>
          </cell>
          <cell r="CA49">
            <v>172.64995299999998</v>
          </cell>
          <cell r="CB49">
            <v>-495.05004700000006</v>
          </cell>
          <cell r="CC49">
            <v>60.7</v>
          </cell>
          <cell r="CD49">
            <v>1.8393939393939395E-3</v>
          </cell>
          <cell r="CE49">
            <v>0</v>
          </cell>
          <cell r="CF49" t="e">
            <v>#DIV/0!</v>
          </cell>
          <cell r="CG49">
            <v>728.40000000000009</v>
          </cell>
          <cell r="CH49">
            <v>172.64995299999998</v>
          </cell>
        </row>
        <row r="50">
          <cell r="A50" t="str">
            <v>Indenização por Ruptura de Contrato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Vale Alimentação / Refeição</v>
          </cell>
          <cell r="B51">
            <v>8.5596550657454987E-3</v>
          </cell>
          <cell r="C51">
            <v>281.22833741666665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  <row r="52">
          <cell r="A52" t="str">
            <v>Vale Transporte</v>
          </cell>
          <cell r="B52">
            <v>1.8475060747795587E-3</v>
          </cell>
          <cell r="C52">
            <v>60.699999916666663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</row>
        <row r="53">
          <cell r="A53" t="str">
            <v>Viagens - Alimentação / Hospedagem</v>
          </cell>
          <cell r="B53">
            <v>0</v>
          </cell>
          <cell r="C53">
            <v>0</v>
          </cell>
          <cell r="D53">
            <v>60</v>
          </cell>
          <cell r="E53">
            <v>1.8181818181818182E-3</v>
          </cell>
          <cell r="F53">
            <v>0</v>
          </cell>
          <cell r="G53">
            <v>0</v>
          </cell>
          <cell r="H53">
            <v>60</v>
          </cell>
          <cell r="I53">
            <v>0</v>
          </cell>
          <cell r="J53">
            <v>-60</v>
          </cell>
          <cell r="K53">
            <v>60</v>
          </cell>
          <cell r="L53">
            <v>1.8181818181818182E-3</v>
          </cell>
          <cell r="M53">
            <v>0</v>
          </cell>
          <cell r="N53">
            <v>0</v>
          </cell>
          <cell r="O53">
            <v>120</v>
          </cell>
          <cell r="P53">
            <v>0</v>
          </cell>
          <cell r="Q53">
            <v>-120</v>
          </cell>
          <cell r="R53">
            <v>60</v>
          </cell>
          <cell r="S53">
            <v>1.8181818181818182E-3</v>
          </cell>
          <cell r="T53">
            <v>0</v>
          </cell>
          <cell r="U53">
            <v>0</v>
          </cell>
          <cell r="V53">
            <v>180</v>
          </cell>
          <cell r="W53">
            <v>0</v>
          </cell>
          <cell r="X53">
            <v>-180</v>
          </cell>
          <cell r="Y53">
            <v>60</v>
          </cell>
          <cell r="Z53">
            <v>1.8181818181818182E-3</v>
          </cell>
          <cell r="AA53">
            <v>0</v>
          </cell>
          <cell r="AB53" t="e">
            <v>#DIV/0!</v>
          </cell>
          <cell r="AC53">
            <v>240</v>
          </cell>
          <cell r="AD53">
            <v>0</v>
          </cell>
          <cell r="AE53">
            <v>-240</v>
          </cell>
          <cell r="AF53">
            <v>60</v>
          </cell>
          <cell r="AG53">
            <v>1.8181818181818182E-3</v>
          </cell>
          <cell r="AH53">
            <v>0</v>
          </cell>
          <cell r="AI53" t="e">
            <v>#DIV/0!</v>
          </cell>
          <cell r="AJ53">
            <v>300</v>
          </cell>
          <cell r="AK53">
            <v>0</v>
          </cell>
          <cell r="AL53">
            <v>-300</v>
          </cell>
          <cell r="AM53">
            <v>60</v>
          </cell>
          <cell r="AN53">
            <v>1.8181818181818182E-3</v>
          </cell>
          <cell r="AO53">
            <v>0</v>
          </cell>
          <cell r="AP53" t="e">
            <v>#DIV/0!</v>
          </cell>
          <cell r="AQ53">
            <v>360</v>
          </cell>
          <cell r="AR53">
            <v>0</v>
          </cell>
          <cell r="AS53">
            <v>-360</v>
          </cell>
          <cell r="AT53">
            <v>60</v>
          </cell>
          <cell r="AU53">
            <v>1.8181818181818182E-3</v>
          </cell>
          <cell r="AV53">
            <v>0</v>
          </cell>
          <cell r="AW53" t="e">
            <v>#DIV/0!</v>
          </cell>
          <cell r="AX53">
            <v>420</v>
          </cell>
          <cell r="AY53">
            <v>0</v>
          </cell>
          <cell r="AZ53">
            <v>-420</v>
          </cell>
          <cell r="BA53">
            <v>60</v>
          </cell>
          <cell r="BB53">
            <v>1.8181818181818182E-3</v>
          </cell>
          <cell r="BC53">
            <v>0</v>
          </cell>
          <cell r="BD53">
            <v>0</v>
          </cell>
          <cell r="BE53">
            <v>480</v>
          </cell>
          <cell r="BF53">
            <v>0</v>
          </cell>
          <cell r="BG53">
            <v>-480</v>
          </cell>
          <cell r="BH53">
            <v>60</v>
          </cell>
          <cell r="BI53">
            <v>1.8181818181818182E-3</v>
          </cell>
          <cell r="BJ53">
            <v>0</v>
          </cell>
          <cell r="BK53" t="e">
            <v>#DIV/0!</v>
          </cell>
          <cell r="BL53">
            <v>540</v>
          </cell>
          <cell r="BM53">
            <v>0</v>
          </cell>
          <cell r="BN53">
            <v>-540</v>
          </cell>
          <cell r="BO53">
            <v>60</v>
          </cell>
          <cell r="BP53">
            <v>1.8181818181818182E-3</v>
          </cell>
          <cell r="BQ53">
            <v>0</v>
          </cell>
          <cell r="BR53" t="e">
            <v>#DIV/0!</v>
          </cell>
          <cell r="BS53">
            <v>600</v>
          </cell>
          <cell r="BT53">
            <v>0</v>
          </cell>
          <cell r="BU53">
            <v>-600</v>
          </cell>
          <cell r="BV53">
            <v>60</v>
          </cell>
          <cell r="BW53">
            <v>1.8181818181818182E-3</v>
          </cell>
          <cell r="BX53">
            <v>0</v>
          </cell>
          <cell r="BY53" t="e">
            <v>#DIV/0!</v>
          </cell>
          <cell r="BZ53">
            <v>660</v>
          </cell>
          <cell r="CA53">
            <v>0</v>
          </cell>
          <cell r="CB53">
            <v>-660</v>
          </cell>
          <cell r="CC53">
            <v>60</v>
          </cell>
          <cell r="CD53">
            <v>1.8181818181818182E-3</v>
          </cell>
          <cell r="CE53">
            <v>0</v>
          </cell>
          <cell r="CF53" t="e">
            <v>#DIV/0!</v>
          </cell>
          <cell r="CG53">
            <v>720</v>
          </cell>
          <cell r="CH53">
            <v>0</v>
          </cell>
        </row>
        <row r="54">
          <cell r="A54" t="str">
            <v>Viagens - Passagens / Traslados</v>
          </cell>
          <cell r="B54">
            <v>1.6879671807437722E-3</v>
          </cell>
          <cell r="C54">
            <v>55.458333333333336</v>
          </cell>
          <cell r="D54">
            <v>125</v>
          </cell>
          <cell r="E54">
            <v>3.787878787878788E-3</v>
          </cell>
          <cell r="F54">
            <v>0</v>
          </cell>
          <cell r="G54">
            <v>0</v>
          </cell>
          <cell r="H54">
            <v>125</v>
          </cell>
          <cell r="I54">
            <v>0</v>
          </cell>
          <cell r="J54">
            <v>-125</v>
          </cell>
          <cell r="K54">
            <v>125</v>
          </cell>
          <cell r="L54">
            <v>3.787878787878788E-3</v>
          </cell>
          <cell r="M54">
            <v>0</v>
          </cell>
          <cell r="N54">
            <v>0</v>
          </cell>
          <cell r="O54">
            <v>250</v>
          </cell>
          <cell r="P54">
            <v>0</v>
          </cell>
          <cell r="Q54">
            <v>-250</v>
          </cell>
          <cell r="R54">
            <v>125</v>
          </cell>
          <cell r="S54">
            <v>3.787878787878788E-3</v>
          </cell>
          <cell r="T54">
            <v>0</v>
          </cell>
          <cell r="U54">
            <v>0</v>
          </cell>
          <cell r="V54">
            <v>375</v>
          </cell>
          <cell r="W54">
            <v>0</v>
          </cell>
          <cell r="X54">
            <v>-375</v>
          </cell>
          <cell r="Y54">
            <v>125</v>
          </cell>
          <cell r="Z54">
            <v>3.787878787878788E-3</v>
          </cell>
          <cell r="AA54">
            <v>0</v>
          </cell>
          <cell r="AB54" t="e">
            <v>#DIV/0!</v>
          </cell>
          <cell r="AC54">
            <v>500</v>
          </cell>
          <cell r="AD54">
            <v>0</v>
          </cell>
          <cell r="AE54">
            <v>-500</v>
          </cell>
          <cell r="AF54">
            <v>125</v>
          </cell>
          <cell r="AG54">
            <v>3.787878787878788E-3</v>
          </cell>
          <cell r="AH54">
            <v>0</v>
          </cell>
          <cell r="AI54" t="e">
            <v>#DIV/0!</v>
          </cell>
          <cell r="AJ54">
            <v>625</v>
          </cell>
          <cell r="AK54">
            <v>0</v>
          </cell>
          <cell r="AL54">
            <v>-625</v>
          </cell>
          <cell r="AM54">
            <v>125</v>
          </cell>
          <cell r="AN54">
            <v>3.787878787878788E-3</v>
          </cell>
          <cell r="AO54">
            <v>0</v>
          </cell>
          <cell r="AP54" t="e">
            <v>#DIV/0!</v>
          </cell>
          <cell r="AQ54">
            <v>750</v>
          </cell>
          <cell r="AR54">
            <v>0</v>
          </cell>
          <cell r="AS54">
            <v>-750</v>
          </cell>
          <cell r="AT54">
            <v>125</v>
          </cell>
          <cell r="AU54">
            <v>3.787878787878788E-3</v>
          </cell>
          <cell r="AV54">
            <v>0</v>
          </cell>
          <cell r="AW54" t="e">
            <v>#DIV/0!</v>
          </cell>
          <cell r="AX54">
            <v>875</v>
          </cell>
          <cell r="AY54">
            <v>0</v>
          </cell>
          <cell r="AZ54">
            <v>-875</v>
          </cell>
          <cell r="BA54">
            <v>125</v>
          </cell>
          <cell r="BB54">
            <v>3.787878787878788E-3</v>
          </cell>
          <cell r="BC54">
            <v>0</v>
          </cell>
          <cell r="BD54">
            <v>0</v>
          </cell>
          <cell r="BE54">
            <v>1000</v>
          </cell>
          <cell r="BF54">
            <v>0</v>
          </cell>
          <cell r="BG54">
            <v>-1000</v>
          </cell>
          <cell r="BH54">
            <v>125</v>
          </cell>
          <cell r="BI54">
            <v>3.787878787878788E-3</v>
          </cell>
          <cell r="BJ54">
            <v>0</v>
          </cell>
          <cell r="BK54" t="e">
            <v>#DIV/0!</v>
          </cell>
          <cell r="BL54">
            <v>1125</v>
          </cell>
          <cell r="BM54">
            <v>0</v>
          </cell>
          <cell r="BN54">
            <v>-1125</v>
          </cell>
          <cell r="BO54">
            <v>125</v>
          </cell>
          <cell r="BP54">
            <v>3.787878787878788E-3</v>
          </cell>
          <cell r="BQ54">
            <v>0</v>
          </cell>
          <cell r="BR54" t="e">
            <v>#DIV/0!</v>
          </cell>
          <cell r="BS54">
            <v>1250</v>
          </cell>
          <cell r="BT54">
            <v>0</v>
          </cell>
          <cell r="BU54">
            <v>-1250</v>
          </cell>
          <cell r="BV54">
            <v>125</v>
          </cell>
          <cell r="BW54">
            <v>3.787878787878788E-3</v>
          </cell>
          <cell r="BX54">
            <v>0</v>
          </cell>
          <cell r="BY54" t="e">
            <v>#DIV/0!</v>
          </cell>
          <cell r="BZ54">
            <v>1375</v>
          </cell>
          <cell r="CA54">
            <v>0</v>
          </cell>
          <cell r="CB54">
            <v>-1375</v>
          </cell>
          <cell r="CC54">
            <v>125</v>
          </cell>
          <cell r="CD54">
            <v>3.787878787878788E-3</v>
          </cell>
          <cell r="CE54">
            <v>0</v>
          </cell>
          <cell r="CF54" t="e">
            <v>#DIV/0!</v>
          </cell>
          <cell r="CG54">
            <v>1500</v>
          </cell>
          <cell r="CH54">
            <v>0</v>
          </cell>
        </row>
        <row r="55">
          <cell r="A55" t="str">
            <v>Imobiliário - Total</v>
          </cell>
          <cell r="B55">
            <v>0.77455435226600855</v>
          </cell>
          <cell r="C55">
            <v>25448.061990058846</v>
          </cell>
          <cell r="D55">
            <v>23374.172377592069</v>
          </cell>
          <cell r="E55">
            <v>0.70830825386642637</v>
          </cell>
          <cell r="F55">
            <v>15662.028687999222</v>
          </cell>
          <cell r="G55">
            <v>0.36968820237896516</v>
          </cell>
          <cell r="H55">
            <v>23374.172377592069</v>
          </cell>
          <cell r="I55">
            <v>15662.028687999222</v>
          </cell>
          <cell r="J55">
            <v>-7712.1436895928464</v>
          </cell>
          <cell r="K55">
            <v>23984.172377592069</v>
          </cell>
          <cell r="L55">
            <v>0.72679310235127481</v>
          </cell>
          <cell r="M55">
            <v>44786.960991350381</v>
          </cell>
          <cell r="N55">
            <v>1.4819147966361719</v>
          </cell>
          <cell r="O55">
            <v>47358.344755184138</v>
          </cell>
          <cell r="P55">
            <v>60448.989679349608</v>
          </cell>
          <cell r="Q55">
            <v>13090.644924165472</v>
          </cell>
          <cell r="R55">
            <v>23984.172377592069</v>
          </cell>
          <cell r="S55">
            <v>0.72679310235127481</v>
          </cell>
          <cell r="T55">
            <v>21148.630943982804</v>
          </cell>
          <cell r="U55">
            <v>1.276003324459225</v>
          </cell>
          <cell r="V55">
            <v>71342.517132776207</v>
          </cell>
          <cell r="W55">
            <v>81597.620623332405</v>
          </cell>
          <cell r="X55">
            <v>10255.103490556206</v>
          </cell>
          <cell r="Y55">
            <v>23984.172377592069</v>
          </cell>
          <cell r="Z55">
            <v>0.72679310235127481</v>
          </cell>
          <cell r="AA55">
            <v>0</v>
          </cell>
          <cell r="AB55" t="e">
            <v>#DIV/0!</v>
          </cell>
          <cell r="AC55">
            <v>95326.689510368276</v>
          </cell>
          <cell r="AD55">
            <v>81597.620623332405</v>
          </cell>
          <cell r="AE55">
            <v>-13729.068887035863</v>
          </cell>
          <cell r="AF55">
            <v>23984.172377592069</v>
          </cell>
          <cell r="AG55">
            <v>0.72679310235127481</v>
          </cell>
          <cell r="AH55">
            <v>0</v>
          </cell>
          <cell r="AI55" t="e">
            <v>#DIV/0!</v>
          </cell>
          <cell r="AJ55">
            <v>119310.86188796035</v>
          </cell>
          <cell r="AK55">
            <v>81597.620623332405</v>
          </cell>
          <cell r="AL55">
            <v>-37713.241264627934</v>
          </cell>
          <cell r="AM55">
            <v>23984.172377592069</v>
          </cell>
          <cell r="AN55">
            <v>0.72679310235127481</v>
          </cell>
          <cell r="AO55">
            <v>0</v>
          </cell>
          <cell r="AP55" t="e">
            <v>#DIV/0!</v>
          </cell>
          <cell r="AQ55">
            <v>143295.03426555241</v>
          </cell>
          <cell r="AR55">
            <v>81597.620623332405</v>
          </cell>
          <cell r="AS55">
            <v>-61697.413642219995</v>
          </cell>
          <cell r="AT55">
            <v>23984.172377592069</v>
          </cell>
          <cell r="AU55">
            <v>0.72679310235127481</v>
          </cell>
          <cell r="AV55">
            <v>0</v>
          </cell>
          <cell r="AW55" t="e">
            <v>#DIV/0!</v>
          </cell>
          <cell r="AX55">
            <v>167279.20664314448</v>
          </cell>
          <cell r="AY55">
            <v>81597.620623332405</v>
          </cell>
          <cell r="AZ55">
            <v>-85681.586019812064</v>
          </cell>
          <cell r="BA55">
            <v>23984.172377592069</v>
          </cell>
          <cell r="BB55">
            <v>0.72679310235127481</v>
          </cell>
          <cell r="BC55">
            <v>0</v>
          </cell>
          <cell r="BD55">
            <v>0</v>
          </cell>
          <cell r="BE55">
            <v>191263.37902073655</v>
          </cell>
          <cell r="BF55">
            <v>81597.620623332405</v>
          </cell>
          <cell r="BG55">
            <v>-109665.75839740415</v>
          </cell>
          <cell r="BH55">
            <v>23984.172377592069</v>
          </cell>
          <cell r="BI55">
            <v>0.72679310235127481</v>
          </cell>
          <cell r="BJ55">
            <v>0</v>
          </cell>
          <cell r="BK55" t="e">
            <v>#DIV/0!</v>
          </cell>
          <cell r="BL55">
            <v>215247.55139832862</v>
          </cell>
          <cell r="BM55">
            <v>81597.620623332405</v>
          </cell>
          <cell r="BN55">
            <v>-133649.9307749962</v>
          </cell>
          <cell r="BO55">
            <v>24121.269135447106</v>
          </cell>
          <cell r="BP55">
            <v>0.7309475495590031</v>
          </cell>
          <cell r="BQ55">
            <v>0</v>
          </cell>
          <cell r="BR55" t="e">
            <v>#DIV/0!</v>
          </cell>
          <cell r="BS55">
            <v>239368.82053377572</v>
          </cell>
          <cell r="BT55">
            <v>81597.620623332405</v>
          </cell>
          <cell r="BU55">
            <v>-157771.19991044333</v>
          </cell>
          <cell r="BV55">
            <v>24121.269135447106</v>
          </cell>
          <cell r="BW55">
            <v>0.7309475495590031</v>
          </cell>
          <cell r="BX55">
            <v>0</v>
          </cell>
          <cell r="BY55" t="e">
            <v>#DIV/0!</v>
          </cell>
          <cell r="BZ55">
            <v>263490.08966922283</v>
          </cell>
          <cell r="CA55">
            <v>81597.620623332405</v>
          </cell>
          <cell r="CB55">
            <v>-181892.46904589041</v>
          </cell>
          <cell r="CC55">
            <v>24121.269135447106</v>
          </cell>
          <cell r="CD55">
            <v>0.7309475495590031</v>
          </cell>
          <cell r="CE55">
            <v>0</v>
          </cell>
          <cell r="CF55" t="e">
            <v>#DIV/0!</v>
          </cell>
          <cell r="CG55">
            <v>287611.35880466993</v>
          </cell>
          <cell r="CH55">
            <v>81597.620623332405</v>
          </cell>
        </row>
        <row r="56">
          <cell r="A56" t="str">
            <v>Distribuição Anual de Lucros</v>
          </cell>
          <cell r="M56">
            <v>39367.769999999997</v>
          </cell>
          <cell r="T56">
            <v>1423.33</v>
          </cell>
          <cell r="AO56">
            <v>0</v>
          </cell>
        </row>
        <row r="57">
          <cell r="A57" t="str">
            <v>Ajuste Mensal de Lucros</v>
          </cell>
          <cell r="F57">
            <v>752.32999999999993</v>
          </cell>
          <cell r="M57">
            <v>5165.68</v>
          </cell>
          <cell r="T57">
            <v>0</v>
          </cell>
          <cell r="AA57">
            <v>0</v>
          </cell>
          <cell r="AH57">
            <v>0</v>
          </cell>
          <cell r="AO57">
            <v>0</v>
          </cell>
          <cell r="AV57">
            <v>0</v>
          </cell>
          <cell r="BC57">
            <v>0</v>
          </cell>
          <cell r="BJ57">
            <v>0</v>
          </cell>
          <cell r="BQ57">
            <v>0</v>
          </cell>
          <cell r="BX57">
            <v>0</v>
          </cell>
          <cell r="CE57">
            <v>0</v>
          </cell>
        </row>
        <row r="58">
          <cell r="A58" t="str">
            <v>Impostos</v>
          </cell>
          <cell r="B58">
            <v>0.17349999999999999</v>
          </cell>
          <cell r="C58">
            <v>5700.3601391666652</v>
          </cell>
          <cell r="D58">
            <v>5725.5</v>
          </cell>
          <cell r="F58">
            <v>7990.3693715938807</v>
          </cell>
          <cell r="H58">
            <v>5725.5</v>
          </cell>
          <cell r="I58">
            <v>7990.3693715938807</v>
          </cell>
          <cell r="J58">
            <v>2264.8693715938807</v>
          </cell>
          <cell r="K58">
            <v>5725.5</v>
          </cell>
          <cell r="M58">
            <v>7163.6870619736501</v>
          </cell>
          <cell r="O58">
            <v>11451</v>
          </cell>
          <cell r="P58">
            <v>15154.05643356753</v>
          </cell>
          <cell r="Q58">
            <v>3703.0564335675299</v>
          </cell>
          <cell r="R58">
            <v>5725.5</v>
          </cell>
          <cell r="T58">
            <v>3142.696233878296</v>
          </cell>
          <cell r="V58">
            <v>17176.5</v>
          </cell>
          <cell r="W58">
            <v>18296.752667445828</v>
          </cell>
          <cell r="X58">
            <v>1120.2526674458277</v>
          </cell>
          <cell r="Y58">
            <v>5725.5</v>
          </cell>
          <cell r="AA58">
            <v>0</v>
          </cell>
          <cell r="AC58">
            <v>22902</v>
          </cell>
          <cell r="AD58">
            <v>18296.752667445828</v>
          </cell>
          <cell r="AE58">
            <v>-4605.2473325541723</v>
          </cell>
          <cell r="AF58">
            <v>5725.5</v>
          </cell>
          <cell r="AH58">
            <v>0</v>
          </cell>
          <cell r="AJ58">
            <v>28627.5</v>
          </cell>
          <cell r="AK58">
            <v>18296.752667445828</v>
          </cell>
          <cell r="AL58">
            <v>-10330.747332554172</v>
          </cell>
          <cell r="AM58">
            <v>5725.5</v>
          </cell>
          <cell r="AO58">
            <v>0</v>
          </cell>
          <cell r="AQ58">
            <v>34353</v>
          </cell>
          <cell r="AR58">
            <v>18296.752667445828</v>
          </cell>
          <cell r="AS58">
            <v>-16056.247332554172</v>
          </cell>
          <cell r="AT58">
            <v>5725.5</v>
          </cell>
          <cell r="AV58">
            <v>0</v>
          </cell>
          <cell r="AX58">
            <v>40078.5</v>
          </cell>
          <cell r="AY58">
            <v>18296.752667445828</v>
          </cell>
          <cell r="AZ58">
            <v>-21781.747332554172</v>
          </cell>
          <cell r="BA58">
            <v>5725.5</v>
          </cell>
          <cell r="BC58">
            <v>0</v>
          </cell>
          <cell r="BE58">
            <v>45804</v>
          </cell>
          <cell r="BF58">
            <v>18296.752667445828</v>
          </cell>
          <cell r="BG58">
            <v>-27507.247332554172</v>
          </cell>
          <cell r="BH58">
            <v>5725.5</v>
          </cell>
          <cell r="BJ58">
            <v>0</v>
          </cell>
          <cell r="BL58">
            <v>51529.5</v>
          </cell>
          <cell r="BM58">
            <v>18296.752667445828</v>
          </cell>
          <cell r="BN58">
            <v>-33232.747332554172</v>
          </cell>
          <cell r="BO58">
            <v>5725.5</v>
          </cell>
          <cell r="BQ58">
            <v>0</v>
          </cell>
          <cell r="BS58">
            <v>57255</v>
          </cell>
          <cell r="BT58">
            <v>18296.752667445828</v>
          </cell>
          <cell r="BU58">
            <v>-38958.247332554172</v>
          </cell>
          <cell r="BV58">
            <v>5725.5</v>
          </cell>
          <cell r="BX58">
            <v>0</v>
          </cell>
          <cell r="BZ58">
            <v>62980.5</v>
          </cell>
          <cell r="CA58">
            <v>18296.752667445828</v>
          </cell>
          <cell r="CB58">
            <v>-44683.747332554172</v>
          </cell>
          <cell r="CC58">
            <v>5725.5</v>
          </cell>
          <cell r="CE58">
            <v>0</v>
          </cell>
          <cell r="CG58">
            <v>68706</v>
          </cell>
          <cell r="CH58">
            <v>18296.752667445828</v>
          </cell>
        </row>
        <row r="60">
          <cell r="A60" t="str">
            <v>Margem de Contribuição</v>
          </cell>
          <cell r="B60">
            <v>5.1945647733991712E-2</v>
          </cell>
          <cell r="C60">
            <v>1706.6795374411504</v>
          </cell>
          <cell r="D60">
            <v>0.11819174613357367</v>
          </cell>
          <cell r="F60">
            <v>0.44170626329508289</v>
          </cell>
          <cell r="H60">
            <v>0.11819174613357367</v>
          </cell>
          <cell r="I60">
            <v>0.44170626329508289</v>
          </cell>
          <cell r="K60">
            <v>9.9706897648725173E-2</v>
          </cell>
          <cell r="M60">
            <v>-0.71894748696896993</v>
          </cell>
          <cell r="O60">
            <v>0.10894932189114942</v>
          </cell>
          <cell r="P60">
            <v>-4.153832720109632E-2</v>
          </cell>
          <cell r="R60">
            <v>9.9706897648725173E-2</v>
          </cell>
          <cell r="T60">
            <v>-0.46561800225164918</v>
          </cell>
          <cell r="V60">
            <v>0.10586851381034135</v>
          </cell>
          <cell r="W60">
            <v>-0.12036953401941597</v>
          </cell>
          <cell r="Y60">
            <v>9.9706897648725173E-2</v>
          </cell>
          <cell r="AA60">
            <v>0</v>
          </cell>
          <cell r="AC60">
            <v>0.1043281097699373</v>
          </cell>
          <cell r="AD60">
            <v>-0.12036953401941597</v>
          </cell>
          <cell r="AF60">
            <v>9.9706897648725173E-2</v>
          </cell>
          <cell r="AH60">
            <v>0</v>
          </cell>
          <cell r="AJ60">
            <v>0.10340386734569487</v>
          </cell>
          <cell r="AK60">
            <v>-0.12036953401941597</v>
          </cell>
          <cell r="AM60">
            <v>9.9706897648725173E-2</v>
          </cell>
          <cell r="AO60">
            <v>0</v>
          </cell>
          <cell r="AQ60">
            <v>0.10278770572953326</v>
          </cell>
          <cell r="AR60">
            <v>-0.12036953401941597</v>
          </cell>
          <cell r="AT60">
            <v>9.9706897648725173E-2</v>
          </cell>
          <cell r="AV60">
            <v>0</v>
          </cell>
          <cell r="AX60">
            <v>0.10234759028941783</v>
          </cell>
          <cell r="AY60">
            <v>-0.12036953401941597</v>
          </cell>
          <cell r="BA60">
            <v>9.9706897648725173E-2</v>
          </cell>
          <cell r="BC60">
            <v>0</v>
          </cell>
          <cell r="BE60">
            <v>0.10201750370933124</v>
          </cell>
          <cell r="BF60">
            <v>-0.12036953401941597</v>
          </cell>
          <cell r="BH60">
            <v>9.9706897648725173E-2</v>
          </cell>
          <cell r="BJ60">
            <v>0</v>
          </cell>
          <cell r="BL60">
            <v>0.10176076970259723</v>
          </cell>
          <cell r="BM60">
            <v>-0.12036953401941597</v>
          </cell>
          <cell r="BO60">
            <v>9.5552450440996778E-2</v>
          </cell>
          <cell r="BQ60">
            <v>0</v>
          </cell>
          <cell r="BS60">
            <v>0.10113993777643721</v>
          </cell>
          <cell r="BT60">
            <v>-0.12036953401941597</v>
          </cell>
          <cell r="BV60">
            <v>9.5552450440996778E-2</v>
          </cell>
          <cell r="BX60">
            <v>0</v>
          </cell>
          <cell r="BZ60">
            <v>0.10063198438230626</v>
          </cell>
          <cell r="CA60">
            <v>-0.12036953401941597</v>
          </cell>
          <cell r="CC60">
            <v>9.5552450440996778E-2</v>
          </cell>
          <cell r="CE60">
            <v>0</v>
          </cell>
          <cell r="CG60">
            <v>0.10020868988719715</v>
          </cell>
          <cell r="CH60">
            <v>-0.12036953401941597</v>
          </cell>
        </row>
        <row r="62">
          <cell r="A62" t="str">
            <v>Rateio</v>
          </cell>
          <cell r="C62">
            <v>9352.572899998122</v>
          </cell>
          <cell r="F62">
            <v>9247.4198586064449</v>
          </cell>
          <cell r="I62">
            <v>9247.4198586064449</v>
          </cell>
          <cell r="M62">
            <v>6648.0357748687602</v>
          </cell>
          <cell r="P62">
            <v>15895.455633475205</v>
          </cell>
          <cell r="T62">
            <v>3557.9625525562128</v>
          </cell>
          <cell r="W62">
            <v>19453.418186031417</v>
          </cell>
          <cell r="AA62">
            <v>0</v>
          </cell>
          <cell r="AD62">
            <v>19453.418186031417</v>
          </cell>
          <cell r="AH62">
            <v>0</v>
          </cell>
          <cell r="AK62">
            <v>19453.418186031417</v>
          </cell>
          <cell r="AO62">
            <v>0</v>
          </cell>
          <cell r="AR62">
            <v>19453.418186031417</v>
          </cell>
          <cell r="AV62">
            <v>0</v>
          </cell>
          <cell r="AY62">
            <v>19453.418186031417</v>
          </cell>
          <cell r="BC62">
            <v>0</v>
          </cell>
          <cell r="BF62">
            <v>19453.418186031417</v>
          </cell>
          <cell r="BJ62">
            <v>0</v>
          </cell>
          <cell r="BM62">
            <v>19453.418186031417</v>
          </cell>
          <cell r="BQ62">
            <v>0</v>
          </cell>
          <cell r="BT62">
            <v>19453.418186031417</v>
          </cell>
          <cell r="BX62">
            <v>0</v>
          </cell>
          <cell r="CA62">
            <v>19453.418186031417</v>
          </cell>
          <cell r="CE62">
            <v>0</v>
          </cell>
          <cell r="CH62">
            <v>19453.418186031417</v>
          </cell>
        </row>
        <row r="64">
          <cell r="A64" t="str">
            <v>Resultado</v>
          </cell>
          <cell r="C64">
            <v>20185.09973779121</v>
          </cell>
          <cell r="F64">
            <v>9465.6906028004596</v>
          </cell>
          <cell r="G64">
            <v>0.22342917465769227</v>
          </cell>
          <cell r="I64">
            <v>9465.6906028004596</v>
          </cell>
          <cell r="J64">
            <v>0.22342917465769227</v>
          </cell>
          <cell r="M64">
            <v>-28376.324828192792</v>
          </cell>
          <cell r="N64">
            <v>-0.93891826340203266</v>
          </cell>
          <cell r="P64">
            <v>-18910.634225392332</v>
          </cell>
          <cell r="Q64">
            <v>-0.26052059209373246</v>
          </cell>
          <cell r="T64">
            <v>-11275.170730417314</v>
          </cell>
          <cell r="U64">
            <v>-0.68028778666409451</v>
          </cell>
          <cell r="W64">
            <v>-30185.804955809646</v>
          </cell>
          <cell r="X64">
            <v>-0.33855016171830232</v>
          </cell>
          <cell r="AA64">
            <v>0</v>
          </cell>
          <cell r="AB64" t="e">
            <v>#DIV/0!</v>
          </cell>
          <cell r="AD64">
            <v>-30185.804955809646</v>
          </cell>
          <cell r="AE64">
            <v>-0.33855016171830232</v>
          </cell>
          <cell r="AH64">
            <v>0</v>
          </cell>
          <cell r="AI64" t="e">
            <v>#DIV/0!</v>
          </cell>
          <cell r="AK64">
            <v>-30185.804955809646</v>
          </cell>
          <cell r="AL64">
            <v>-0.33855016171830232</v>
          </cell>
          <cell r="AO64">
            <v>0</v>
          </cell>
          <cell r="AP64" t="e">
            <v>#DIV/0!</v>
          </cell>
          <cell r="AR64">
            <v>-30185.804955809646</v>
          </cell>
          <cell r="AS64">
            <v>-0.33855016171830232</v>
          </cell>
          <cell r="AV64">
            <v>0</v>
          </cell>
          <cell r="AW64" t="e">
            <v>#DIV/0!</v>
          </cell>
          <cell r="AY64">
            <v>-30185.804955809646</v>
          </cell>
          <cell r="AZ64">
            <v>-0.33855016171830232</v>
          </cell>
          <cell r="BC64">
            <v>0</v>
          </cell>
          <cell r="BD64" t="e">
            <v>#DIV/0!</v>
          </cell>
          <cell r="BF64">
            <v>-30185.804955809646</v>
          </cell>
          <cell r="BG64">
            <v>-0.33855016171830232</v>
          </cell>
          <cell r="BJ64">
            <v>0</v>
          </cell>
          <cell r="BK64" t="e">
            <v>#DIV/0!</v>
          </cell>
          <cell r="BM64">
            <v>-30185.804955809646</v>
          </cell>
          <cell r="BN64">
            <v>-0.33855016171830232</v>
          </cell>
          <cell r="BQ64">
            <v>0</v>
          </cell>
          <cell r="BR64" t="e">
            <v>#DIV/0!</v>
          </cell>
          <cell r="BT64">
            <v>-30185.804955809646</v>
          </cell>
          <cell r="BU64">
            <v>-0.33855016171830232</v>
          </cell>
          <cell r="BX64">
            <v>0</v>
          </cell>
          <cell r="BY64" t="e">
            <v>#DIV/0!</v>
          </cell>
          <cell r="CA64">
            <v>-30185.804955809646</v>
          </cell>
          <cell r="CB64">
            <v>-0.33855016171830232</v>
          </cell>
          <cell r="CE64">
            <v>0</v>
          </cell>
          <cell r="CF64" t="e">
            <v>#DIV/0!</v>
          </cell>
          <cell r="CH64">
            <v>-30185.804955809646</v>
          </cell>
        </row>
        <row r="66">
          <cell r="A66" t="str">
            <v>Imobiliário Pronto? N</v>
          </cell>
          <cell r="CG66" t="str">
            <v>Total Ano</v>
          </cell>
        </row>
        <row r="67">
          <cell r="CG67" t="str">
            <v>Receita</v>
          </cell>
          <cell r="CH67">
            <v>396000</v>
          </cell>
        </row>
        <row r="68">
          <cell r="A68" t="str">
            <v>Impostos - Cálculo Aproximado %</v>
          </cell>
          <cell r="B68">
            <v>0.17349999999999999</v>
          </cell>
          <cell r="CG68" t="str">
            <v>Desp Dir</v>
          </cell>
          <cell r="CH68">
            <v>287611.35880466993</v>
          </cell>
        </row>
        <row r="69">
          <cell r="CG69" t="str">
            <v>Imposto</v>
          </cell>
          <cell r="CH69">
            <v>68706</v>
          </cell>
        </row>
        <row r="70">
          <cell r="CG70" t="str">
            <v>MC</v>
          </cell>
          <cell r="CH70">
            <v>39682.64119533007</v>
          </cell>
        </row>
        <row r="71">
          <cell r="CG71" t="str">
            <v>MC %</v>
          </cell>
          <cell r="CH71">
            <v>0.10020868988719715</v>
          </cell>
        </row>
        <row r="72">
          <cell r="CG72" t="str">
            <v>Rateio</v>
          </cell>
          <cell r="CH72">
            <v>87572.933106707249</v>
          </cell>
        </row>
        <row r="73">
          <cell r="CG73" t="str">
            <v>ML</v>
          </cell>
          <cell r="CH73">
            <v>-47890.291911377179</v>
          </cell>
        </row>
        <row r="74">
          <cell r="CG74" t="str">
            <v>ML %</v>
          </cell>
          <cell r="CH74">
            <v>-0.1209350805842858</v>
          </cell>
        </row>
      </sheetData>
      <sheetData sheetId="32">
        <row r="11">
          <cell r="A11" t="str">
            <v>13º (+ Encargos)</v>
          </cell>
          <cell r="B11">
            <v>8.1167474307119276E-4</v>
          </cell>
          <cell r="C11">
            <v>163.83333333333334</v>
          </cell>
          <cell r="D11">
            <v>172</v>
          </cell>
          <cell r="E11">
            <v>7.4351152192139974E-4</v>
          </cell>
          <cell r="F11">
            <v>0</v>
          </cell>
          <cell r="G11">
            <v>0</v>
          </cell>
          <cell r="H11">
            <v>172</v>
          </cell>
          <cell r="I11">
            <v>0</v>
          </cell>
          <cell r="J11">
            <v>-172</v>
          </cell>
          <cell r="K11">
            <v>172</v>
          </cell>
          <cell r="L11">
            <v>9.2938937227042529E-4</v>
          </cell>
          <cell r="M11">
            <v>0</v>
          </cell>
          <cell r="N11">
            <v>0</v>
          </cell>
          <cell r="O11">
            <v>344</v>
          </cell>
          <cell r="P11">
            <v>0</v>
          </cell>
          <cell r="Q11">
            <v>-344</v>
          </cell>
          <cell r="R11">
            <v>172</v>
          </cell>
          <cell r="S11">
            <v>9.2938937227042529E-4</v>
          </cell>
          <cell r="T11">
            <v>0</v>
          </cell>
          <cell r="U11">
            <v>0</v>
          </cell>
          <cell r="V11">
            <v>516</v>
          </cell>
          <cell r="W11">
            <v>0</v>
          </cell>
          <cell r="X11">
            <v>-516</v>
          </cell>
          <cell r="Y11">
            <v>172</v>
          </cell>
          <cell r="Z11">
            <v>9.2938937227042529E-4</v>
          </cell>
          <cell r="AA11">
            <v>0</v>
          </cell>
          <cell r="AB11" t="e">
            <v>#DIV/0!</v>
          </cell>
          <cell r="AC11">
            <v>688</v>
          </cell>
          <cell r="AD11">
            <v>0</v>
          </cell>
          <cell r="AE11">
            <v>-688</v>
          </cell>
          <cell r="AF11">
            <v>172</v>
          </cell>
          <cell r="AG11">
            <v>1.2391858520133996E-3</v>
          </cell>
          <cell r="AH11">
            <v>0</v>
          </cell>
          <cell r="AI11" t="e">
            <v>#DIV/0!</v>
          </cell>
          <cell r="AJ11">
            <v>860</v>
          </cell>
          <cell r="AK11">
            <v>0</v>
          </cell>
          <cell r="AL11">
            <v>-860</v>
          </cell>
          <cell r="AM11">
            <v>172</v>
          </cell>
          <cell r="AN11">
            <v>1.2391858520133996E-3</v>
          </cell>
          <cell r="AO11">
            <v>0</v>
          </cell>
          <cell r="AP11" t="e">
            <v>#DIV/0!</v>
          </cell>
          <cell r="AQ11">
            <v>1032</v>
          </cell>
          <cell r="AR11">
            <v>0</v>
          </cell>
          <cell r="AS11">
            <v>-1032</v>
          </cell>
          <cell r="AT11">
            <v>172</v>
          </cell>
          <cell r="AU11">
            <v>9.2938937227042529E-4</v>
          </cell>
          <cell r="AV11">
            <v>0</v>
          </cell>
          <cell r="AW11" t="e">
            <v>#DIV/0!</v>
          </cell>
          <cell r="AX11">
            <v>1204</v>
          </cell>
          <cell r="AY11">
            <v>0</v>
          </cell>
          <cell r="AZ11">
            <v>-1204</v>
          </cell>
          <cell r="BA11">
            <v>172</v>
          </cell>
          <cell r="BB11">
            <v>9.2938937227042529E-4</v>
          </cell>
          <cell r="BC11">
            <v>0</v>
          </cell>
          <cell r="BD11" t="e">
            <v>#DIV/0!</v>
          </cell>
          <cell r="BE11">
            <v>1376</v>
          </cell>
          <cell r="BF11">
            <v>0</v>
          </cell>
          <cell r="BG11">
            <v>-1376</v>
          </cell>
          <cell r="BH11">
            <v>172</v>
          </cell>
          <cell r="BI11">
            <v>9.2938937227042529E-4</v>
          </cell>
          <cell r="BJ11">
            <v>0</v>
          </cell>
          <cell r="BK11" t="e">
            <v>#DIV/0!</v>
          </cell>
          <cell r="BL11">
            <v>1548</v>
          </cell>
          <cell r="BM11">
            <v>0</v>
          </cell>
          <cell r="BN11">
            <v>-1548</v>
          </cell>
          <cell r="BO11">
            <v>172</v>
          </cell>
          <cell r="BP11">
            <v>7.4351152192139974E-4</v>
          </cell>
          <cell r="BQ11">
            <v>0</v>
          </cell>
          <cell r="BR11" t="e">
            <v>#DIV/0!</v>
          </cell>
          <cell r="BS11">
            <v>1720</v>
          </cell>
          <cell r="BT11">
            <v>0</v>
          </cell>
          <cell r="BU11">
            <v>-1720</v>
          </cell>
          <cell r="BV11">
            <v>172</v>
          </cell>
          <cell r="BW11">
            <v>9.2938937227042529E-4</v>
          </cell>
          <cell r="BX11">
            <v>0</v>
          </cell>
          <cell r="BY11" t="e">
            <v>#DIV/0!</v>
          </cell>
          <cell r="BZ11">
            <v>1892</v>
          </cell>
          <cell r="CA11">
            <v>0</v>
          </cell>
          <cell r="CB11">
            <v>-1892</v>
          </cell>
          <cell r="CC11">
            <v>172</v>
          </cell>
          <cell r="CD11">
            <v>9.2938937227042529E-4</v>
          </cell>
          <cell r="CE11">
            <v>0</v>
          </cell>
          <cell r="CF11" t="e">
            <v>#DIV/0!</v>
          </cell>
          <cell r="CG11">
            <v>2064</v>
          </cell>
          <cell r="CH11">
            <v>0</v>
          </cell>
          <cell r="CI11">
            <v>-2064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>
            <v>2.9888865222869308E-3</v>
          </cell>
          <cell r="C13">
            <v>603.29491102372754</v>
          </cell>
          <cell r="D13">
            <v>626.81713277620838</v>
          </cell>
          <cell r="E13">
            <v>2.709568374167714E-3</v>
          </cell>
          <cell r="F13">
            <v>596.88180199999999</v>
          </cell>
          <cell r="G13">
            <v>4.3773274661574263E-3</v>
          </cell>
          <cell r="H13">
            <v>626.81713277620838</v>
          </cell>
          <cell r="I13">
            <v>596.88180199999999</v>
          </cell>
          <cell r="J13">
            <v>-29.935330776208389</v>
          </cell>
          <cell r="K13">
            <v>626.81713277620838</v>
          </cell>
          <cell r="L13">
            <v>3.386960357902489E-3</v>
          </cell>
          <cell r="M13">
            <v>599.86767299999997</v>
          </cell>
          <cell r="N13">
            <v>9.1866303969959217E-3</v>
          </cell>
          <cell r="O13">
            <v>1253.6342655524168</v>
          </cell>
          <cell r="P13">
            <v>1196.7494750000001</v>
          </cell>
          <cell r="Q13">
            <v>-56.884790552416689</v>
          </cell>
          <cell r="R13">
            <v>626.81713277620838</v>
          </cell>
          <cell r="S13">
            <v>3.386960357902489E-3</v>
          </cell>
          <cell r="T13">
            <v>821.50668399999995</v>
          </cell>
          <cell r="U13">
            <v>6.4611364350468372E-3</v>
          </cell>
          <cell r="V13">
            <v>1880.4513983286251</v>
          </cell>
          <cell r="W13">
            <v>2018.256159</v>
          </cell>
          <cell r="X13">
            <v>137.80476067137488</v>
          </cell>
          <cell r="Y13">
            <v>626.81713277620838</v>
          </cell>
          <cell r="Z13">
            <v>3.386960357902489E-3</v>
          </cell>
          <cell r="AA13">
            <v>0</v>
          </cell>
          <cell r="AB13" t="e">
            <v>#DIV/0!</v>
          </cell>
          <cell r="AC13">
            <v>2507.2685311048335</v>
          </cell>
          <cell r="AD13">
            <v>2018.256159</v>
          </cell>
          <cell r="AE13">
            <v>-489.0123721048335</v>
          </cell>
          <cell r="AF13">
            <v>626.81713277620838</v>
          </cell>
          <cell r="AG13">
            <v>4.5159472252086167E-3</v>
          </cell>
          <cell r="AH13">
            <v>0</v>
          </cell>
          <cell r="AI13" t="e">
            <v>#DIV/0!</v>
          </cell>
          <cell r="AJ13">
            <v>3134.0856638810419</v>
          </cell>
          <cell r="AK13">
            <v>2018.256159</v>
          </cell>
          <cell r="AL13">
            <v>-1115.8295048810419</v>
          </cell>
          <cell r="AM13">
            <v>626.81713277620838</v>
          </cell>
          <cell r="AN13">
            <v>4.5159472252086167E-3</v>
          </cell>
          <cell r="AO13">
            <v>0</v>
          </cell>
          <cell r="AP13" t="e">
            <v>#DIV/0!</v>
          </cell>
          <cell r="AQ13">
            <v>3760.9027966572503</v>
          </cell>
          <cell r="AR13">
            <v>2018.256159</v>
          </cell>
          <cell r="AS13">
            <v>-1742.6466376572503</v>
          </cell>
          <cell r="AT13">
            <v>626.81713277620838</v>
          </cell>
          <cell r="AU13">
            <v>3.386960357902489E-3</v>
          </cell>
          <cell r="AV13">
            <v>0</v>
          </cell>
          <cell r="AW13" t="e">
            <v>#DIV/0!</v>
          </cell>
          <cell r="AX13">
            <v>4387.7199294334587</v>
          </cell>
          <cell r="AY13">
            <v>2018.256159</v>
          </cell>
          <cell r="AZ13">
            <v>-2369.4637704334586</v>
          </cell>
          <cell r="BA13">
            <v>626.81713277620838</v>
          </cell>
          <cell r="BB13">
            <v>3.386960357902489E-3</v>
          </cell>
          <cell r="BC13">
            <v>0</v>
          </cell>
          <cell r="BD13" t="e">
            <v>#DIV/0!</v>
          </cell>
          <cell r="BE13">
            <v>5014.5370622096671</v>
          </cell>
          <cell r="BF13">
            <v>2018.256159</v>
          </cell>
          <cell r="BG13">
            <v>-2996.280903209667</v>
          </cell>
          <cell r="BH13">
            <v>626.81713277620838</v>
          </cell>
          <cell r="BI13">
            <v>3.386960357902489E-3</v>
          </cell>
          <cell r="BJ13">
            <v>0</v>
          </cell>
          <cell r="BK13" t="e">
            <v>#DIV/0!</v>
          </cell>
          <cell r="BL13">
            <v>5641.3541949858754</v>
          </cell>
          <cell r="BM13">
            <v>2018.256159</v>
          </cell>
          <cell r="BN13">
            <v>-3623.0980359858754</v>
          </cell>
          <cell r="BO13">
            <v>651.10740634131093</v>
          </cell>
          <cell r="BP13">
            <v>2.8145689454832754E-3</v>
          </cell>
          <cell r="BQ13">
            <v>0</v>
          </cell>
          <cell r="BR13" t="e">
            <v>#DIV/0!</v>
          </cell>
          <cell r="BS13">
            <v>6292.4616013271861</v>
          </cell>
          <cell r="BT13">
            <v>2018.256159</v>
          </cell>
          <cell r="BU13">
            <v>-4274.2054423271857</v>
          </cell>
          <cell r="BV13">
            <v>651.10740634131093</v>
          </cell>
          <cell r="BW13">
            <v>3.5182110677917191E-3</v>
          </cell>
          <cell r="BX13">
            <v>0</v>
          </cell>
          <cell r="BY13" t="e">
            <v>#DIV/0!</v>
          </cell>
          <cell r="BZ13">
            <v>6943.5690076684969</v>
          </cell>
          <cell r="CA13">
            <v>2018.256159</v>
          </cell>
          <cell r="CB13">
            <v>-4925.3128486684964</v>
          </cell>
          <cell r="CC13">
            <v>651.10740634131093</v>
          </cell>
          <cell r="CD13">
            <v>3.5182110677917191E-3</v>
          </cell>
          <cell r="CE13">
            <v>0</v>
          </cell>
          <cell r="CF13" t="e">
            <v>#DIV/0!</v>
          </cell>
          <cell r="CG13">
            <v>7594.6764140098076</v>
          </cell>
          <cell r="CH13">
            <v>2018.256159</v>
          </cell>
          <cell r="CI13">
            <v>-5576.4202550098071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>
            <v>2.8760431181605738E-3</v>
          </cell>
          <cell r="C15">
            <v>580.51791666666657</v>
          </cell>
          <cell r="D15">
            <v>638.57000000000005</v>
          </cell>
          <cell r="E15">
            <v>2.7603729799613274E-3</v>
          </cell>
          <cell r="F15">
            <v>298.20999999999998</v>
          </cell>
          <cell r="G15">
            <v>2.1869703839334106E-3</v>
          </cell>
          <cell r="H15">
            <v>638.57000000000005</v>
          </cell>
          <cell r="I15">
            <v>298.20999999999998</v>
          </cell>
          <cell r="J15">
            <v>-340.36000000000007</v>
          </cell>
          <cell r="K15">
            <v>638.57000000000005</v>
          </cell>
          <cell r="L15">
            <v>3.4504661130856135E-3</v>
          </cell>
          <cell r="M15">
            <v>88.47</v>
          </cell>
          <cell r="N15">
            <v>1.3548674612812968E-3</v>
          </cell>
          <cell r="O15">
            <v>1277.1400000000001</v>
          </cell>
          <cell r="P15">
            <v>386.67999999999995</v>
          </cell>
          <cell r="Q15">
            <v>-890.46000000000015</v>
          </cell>
          <cell r="R15">
            <v>638.57000000000005</v>
          </cell>
          <cell r="S15">
            <v>3.4504661130856135E-3</v>
          </cell>
          <cell r="T15">
            <v>513.99</v>
          </cell>
          <cell r="U15">
            <v>4.0425228192662206E-3</v>
          </cell>
          <cell r="V15">
            <v>1915.71</v>
          </cell>
          <cell r="W15">
            <v>900.67</v>
          </cell>
          <cell r="X15">
            <v>-1015.0400000000001</v>
          </cell>
          <cell r="Y15">
            <v>638.57000000000005</v>
          </cell>
          <cell r="Z15">
            <v>3.4504661130856135E-3</v>
          </cell>
          <cell r="AA15">
            <v>0</v>
          </cell>
          <cell r="AB15" t="e">
            <v>#DIV/0!</v>
          </cell>
          <cell r="AC15">
            <v>2554.2800000000002</v>
          </cell>
          <cell r="AD15">
            <v>900.67</v>
          </cell>
          <cell r="AE15">
            <v>-1653.6100000000001</v>
          </cell>
          <cell r="AF15">
            <v>638.57000000000005</v>
          </cell>
          <cell r="AG15">
            <v>4.6006215669778874E-3</v>
          </cell>
          <cell r="AH15">
            <v>0</v>
          </cell>
          <cell r="AI15" t="e">
            <v>#DIV/0!</v>
          </cell>
          <cell r="AJ15">
            <v>3192.8500000000004</v>
          </cell>
          <cell r="AK15">
            <v>900.67</v>
          </cell>
          <cell r="AL15">
            <v>-2292.1800000000003</v>
          </cell>
          <cell r="AM15">
            <v>638.57000000000005</v>
          </cell>
          <cell r="AN15">
            <v>4.6006215669778874E-3</v>
          </cell>
          <cell r="AO15">
            <v>0</v>
          </cell>
          <cell r="AP15" t="e">
            <v>#DIV/0!</v>
          </cell>
          <cell r="AQ15">
            <v>3831.4200000000005</v>
          </cell>
          <cell r="AR15">
            <v>900.67</v>
          </cell>
          <cell r="AS15">
            <v>-2930.7500000000005</v>
          </cell>
          <cell r="AT15">
            <v>638.57000000000005</v>
          </cell>
          <cell r="AU15">
            <v>3.4504661130856135E-3</v>
          </cell>
          <cell r="AV15">
            <v>0</v>
          </cell>
          <cell r="AW15" t="e">
            <v>#DIV/0!</v>
          </cell>
          <cell r="AX15">
            <v>4469.9900000000007</v>
          </cell>
          <cell r="AY15">
            <v>900.67</v>
          </cell>
          <cell r="AZ15">
            <v>-3569.3200000000006</v>
          </cell>
          <cell r="BA15">
            <v>638.57000000000005</v>
          </cell>
          <cell r="BB15">
            <v>3.4504661130856135E-3</v>
          </cell>
          <cell r="BC15">
            <v>0</v>
          </cell>
          <cell r="BD15" t="e">
            <v>#DIV/0!</v>
          </cell>
          <cell r="BE15">
            <v>5108.5600000000004</v>
          </cell>
          <cell r="BF15">
            <v>900.67</v>
          </cell>
          <cell r="BG15">
            <v>-4207.8900000000003</v>
          </cell>
          <cell r="BH15">
            <v>638.57000000000005</v>
          </cell>
          <cell r="BI15">
            <v>3.4504661130856135E-3</v>
          </cell>
          <cell r="BJ15">
            <v>0</v>
          </cell>
          <cell r="BK15" t="e">
            <v>#DIV/0!</v>
          </cell>
          <cell r="BL15">
            <v>5747.13</v>
          </cell>
          <cell r="BM15">
            <v>900.67</v>
          </cell>
          <cell r="BN15">
            <v>-4846.46</v>
          </cell>
          <cell r="BO15">
            <v>638.57000000000005</v>
          </cell>
          <cell r="BP15">
            <v>2.7603729799613274E-3</v>
          </cell>
          <cell r="BQ15">
            <v>0</v>
          </cell>
          <cell r="BR15" t="e">
            <v>#DIV/0!</v>
          </cell>
          <cell r="BS15">
            <v>6385.7</v>
          </cell>
          <cell r="BT15">
            <v>900.67</v>
          </cell>
          <cell r="BU15">
            <v>-5485.03</v>
          </cell>
          <cell r="BV15">
            <v>638.57000000000005</v>
          </cell>
          <cell r="BW15">
            <v>3.4504661130856135E-3</v>
          </cell>
          <cell r="BX15">
            <v>0</v>
          </cell>
          <cell r="BY15" t="e">
            <v>#DIV/0!</v>
          </cell>
          <cell r="BZ15">
            <v>7024.2699999999995</v>
          </cell>
          <cell r="CA15">
            <v>900.67</v>
          </cell>
          <cell r="CB15">
            <v>-6123.5999999999995</v>
          </cell>
          <cell r="CC15">
            <v>638.57000000000005</v>
          </cell>
          <cell r="CD15">
            <v>3.4504661130856135E-3</v>
          </cell>
          <cell r="CE15">
            <v>0</v>
          </cell>
          <cell r="CF15" t="e">
            <v>#DIV/0!</v>
          </cell>
          <cell r="CG15">
            <v>7662.8399999999992</v>
          </cell>
          <cell r="CH15">
            <v>900.67</v>
          </cell>
          <cell r="CI15">
            <v>-6762.1699999999992</v>
          </cell>
        </row>
        <row r="16">
          <cell r="A16" t="str">
            <v>Back Office / Encerramento</v>
          </cell>
          <cell r="B16">
            <v>7.3520675582947222E-4</v>
          </cell>
          <cell r="C16">
            <v>148.39857285809819</v>
          </cell>
          <cell r="D16">
            <v>163.24</v>
          </cell>
          <cell r="E16">
            <v>7.0564430720028665E-4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8.8205535540362924E-4</v>
          </cell>
          <cell r="M16">
            <v>0</v>
          </cell>
          <cell r="N16">
            <v>0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8.8205535540362924E-4</v>
          </cell>
          <cell r="T16">
            <v>0</v>
          </cell>
          <cell r="U16">
            <v>0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8.8205535540362924E-4</v>
          </cell>
          <cell r="AA16">
            <v>0</v>
          </cell>
          <cell r="AB16" t="e">
            <v>#DIV/0!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1.1760738283876011E-3</v>
          </cell>
          <cell r="AH16">
            <v>0</v>
          </cell>
          <cell r="AI16" t="e">
            <v>#DIV/0!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1.1760738283876011E-3</v>
          </cell>
          <cell r="AO16">
            <v>0</v>
          </cell>
          <cell r="AP16" t="e">
            <v>#DIV/0!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8.8205535540362924E-4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8.8205535540362924E-4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8.8205535540362924E-4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7.0564430720028665E-4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8.8205535540362924E-4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8.8205535540362924E-4</v>
          </cell>
          <cell r="CE16">
            <v>0</v>
          </cell>
          <cell r="CF16" t="e">
            <v>#DIV/0!</v>
          </cell>
          <cell r="CG16">
            <v>1958.88</v>
          </cell>
          <cell r="CH16">
            <v>0</v>
          </cell>
          <cell r="CI16">
            <v>-1958.88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>
            <v>1.4167018378990095E-3</v>
          </cell>
          <cell r="C18">
            <v>285.9556570212219</v>
          </cell>
          <cell r="D18">
            <v>314.55</v>
          </cell>
          <cell r="E18">
            <v>1.3597183094207926E-3</v>
          </cell>
          <cell r="F18">
            <v>249.68461530721461</v>
          </cell>
          <cell r="G18">
            <v>1.8311017705666649E-3</v>
          </cell>
          <cell r="H18">
            <v>314.55</v>
          </cell>
          <cell r="I18">
            <v>249.68461530721461</v>
          </cell>
          <cell r="J18">
            <v>-64.865384692785398</v>
          </cell>
          <cell r="K18">
            <v>314.55</v>
          </cell>
          <cell r="L18">
            <v>1.6996478316724552E-3</v>
          </cell>
          <cell r="M18">
            <v>248.55793264430582</v>
          </cell>
          <cell r="N18">
            <v>3.8065226086031224E-3</v>
          </cell>
          <cell r="O18">
            <v>629.1</v>
          </cell>
          <cell r="P18">
            <v>498.24254795152046</v>
          </cell>
          <cell r="Q18">
            <v>-130.85745204847956</v>
          </cell>
          <cell r="R18">
            <v>314.55</v>
          </cell>
          <cell r="S18">
            <v>1.6996478316724552E-3</v>
          </cell>
          <cell r="T18">
            <v>267.04460044971637</v>
          </cell>
          <cell r="U18">
            <v>2.1003013503760946E-3</v>
          </cell>
          <cell r="V18">
            <v>943.65000000000009</v>
          </cell>
          <cell r="W18">
            <v>765.28714840123689</v>
          </cell>
          <cell r="X18">
            <v>-178.3628515987632</v>
          </cell>
          <cell r="Y18">
            <v>314.55</v>
          </cell>
          <cell r="Z18">
            <v>1.6996478316724552E-3</v>
          </cell>
          <cell r="AA18">
            <v>0</v>
          </cell>
          <cell r="AB18" t="e">
            <v>#DIV/0!</v>
          </cell>
          <cell r="AC18">
            <v>1258.2</v>
          </cell>
          <cell r="AD18">
            <v>765.28714840123689</v>
          </cell>
          <cell r="AE18">
            <v>-492.91285159876315</v>
          </cell>
          <cell r="AF18">
            <v>314.55</v>
          </cell>
          <cell r="AG18">
            <v>2.26619714971404E-3</v>
          </cell>
          <cell r="AH18">
            <v>0</v>
          </cell>
          <cell r="AI18" t="e">
            <v>#DIV/0!</v>
          </cell>
          <cell r="AJ18">
            <v>1572.75</v>
          </cell>
          <cell r="AK18">
            <v>765.28714840123689</v>
          </cell>
          <cell r="AL18">
            <v>-807.46285159876311</v>
          </cell>
          <cell r="AM18">
            <v>314.55</v>
          </cell>
          <cell r="AN18">
            <v>2.26619714971404E-3</v>
          </cell>
          <cell r="AO18">
            <v>0</v>
          </cell>
          <cell r="AP18" t="e">
            <v>#DIV/0!</v>
          </cell>
          <cell r="AQ18">
            <v>1887.3</v>
          </cell>
          <cell r="AR18">
            <v>765.28714840123689</v>
          </cell>
          <cell r="AS18">
            <v>-1122.0128515987631</v>
          </cell>
          <cell r="AT18">
            <v>314.55</v>
          </cell>
          <cell r="AU18">
            <v>1.6996478316724552E-3</v>
          </cell>
          <cell r="AV18">
            <v>0</v>
          </cell>
          <cell r="AW18" t="e">
            <v>#DIV/0!</v>
          </cell>
          <cell r="AX18">
            <v>2201.85</v>
          </cell>
          <cell r="AY18">
            <v>765.28714840123689</v>
          </cell>
          <cell r="AZ18">
            <v>-1436.562851598763</v>
          </cell>
          <cell r="BA18">
            <v>314.55</v>
          </cell>
          <cell r="BB18">
            <v>1.6996478316724552E-3</v>
          </cell>
          <cell r="BC18">
            <v>0</v>
          </cell>
          <cell r="BD18" t="e">
            <v>#DIV/0!</v>
          </cell>
          <cell r="BE18">
            <v>2516.4</v>
          </cell>
          <cell r="BF18">
            <v>765.28714840123689</v>
          </cell>
          <cell r="BG18">
            <v>-1751.1128515987632</v>
          </cell>
          <cell r="BH18">
            <v>314.55</v>
          </cell>
          <cell r="BI18">
            <v>1.6996478316724552E-3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765.28714840123689</v>
          </cell>
          <cell r="BN18">
            <v>-2065.6628515987632</v>
          </cell>
          <cell r="BO18">
            <v>314.55</v>
          </cell>
          <cell r="BP18">
            <v>1.3597183094207926E-3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765.28714840123689</v>
          </cell>
          <cell r="BU18">
            <v>-2380.2128515987633</v>
          </cell>
          <cell r="BV18">
            <v>314.55</v>
          </cell>
          <cell r="BW18">
            <v>1.6996478316724552E-3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765.28714840123689</v>
          </cell>
          <cell r="CB18">
            <v>-2694.7628515987635</v>
          </cell>
          <cell r="CC18">
            <v>314.55</v>
          </cell>
          <cell r="CD18">
            <v>1.6996478316724552E-3</v>
          </cell>
          <cell r="CE18">
            <v>0</v>
          </cell>
          <cell r="CF18" t="e">
            <v>#DIV/0!</v>
          </cell>
          <cell r="CG18">
            <v>3774.6000000000008</v>
          </cell>
          <cell r="CH18">
            <v>765.28714840123689</v>
          </cell>
          <cell r="CI18">
            <v>-3009.3128515987637</v>
          </cell>
        </row>
        <row r="19">
          <cell r="A19" t="str">
            <v>Cartório</v>
          </cell>
          <cell r="B19">
            <v>3.744603222731034E-4</v>
          </cell>
          <cell r="C19">
            <v>75.583333499999995</v>
          </cell>
          <cell r="D19">
            <v>83.13</v>
          </cell>
          <cell r="E19">
            <v>3.5934949312398817E-4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4.4918685184209563E-4</v>
          </cell>
          <cell r="M19">
            <v>0</v>
          </cell>
          <cell r="N19">
            <v>0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4.4918685184209563E-4</v>
          </cell>
          <cell r="T19">
            <v>0</v>
          </cell>
          <cell r="U19">
            <v>0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4.4918685184209563E-4</v>
          </cell>
          <cell r="AA19">
            <v>0</v>
          </cell>
          <cell r="AB19" t="e">
            <v>#DIV/0!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5.9891581324345293E-4</v>
          </cell>
          <cell r="AH19">
            <v>0</v>
          </cell>
          <cell r="AI19" t="e">
            <v>#DIV/0!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5.9891581324345293E-4</v>
          </cell>
          <cell r="AO19">
            <v>0</v>
          </cell>
          <cell r="AP19" t="e">
            <v>#DIV/0!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4.4918685184209563E-4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4.4918685184209563E-4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4.4918685184209563E-4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3.5934949312398817E-4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4.4918685184209563E-4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4.4918685184209563E-4</v>
          </cell>
          <cell r="CE19">
            <v>0</v>
          </cell>
          <cell r="CF19" t="e">
            <v>#DIV/0!</v>
          </cell>
          <cell r="CG19">
            <v>997.56</v>
          </cell>
          <cell r="CH19">
            <v>0</v>
          </cell>
          <cell r="CI19">
            <v>-997.56</v>
          </cell>
        </row>
        <row r="20">
          <cell r="A20" t="str">
            <v>Ajuste de NFs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>
            <v>1.9656070456571459E-3</v>
          </cell>
          <cell r="C21">
            <v>396.75</v>
          </cell>
          <cell r="D21">
            <v>436.42</v>
          </cell>
          <cell r="E21">
            <v>1.8865308046333564E-3</v>
          </cell>
          <cell r="F21">
            <v>0</v>
          </cell>
          <cell r="G21">
            <v>0</v>
          </cell>
          <cell r="H21">
            <v>436.42</v>
          </cell>
          <cell r="I21">
            <v>0</v>
          </cell>
          <cell r="J21">
            <v>-436.42</v>
          </cell>
          <cell r="K21">
            <v>436.42</v>
          </cell>
          <cell r="L21">
            <v>2.3581634293387151E-3</v>
          </cell>
          <cell r="M21">
            <v>0</v>
          </cell>
          <cell r="N21">
            <v>0</v>
          </cell>
          <cell r="O21">
            <v>872.84</v>
          </cell>
          <cell r="P21">
            <v>0</v>
          </cell>
          <cell r="Q21">
            <v>-872.84</v>
          </cell>
          <cell r="R21">
            <v>436.42</v>
          </cell>
          <cell r="S21">
            <v>2.3581634293387151E-3</v>
          </cell>
          <cell r="T21">
            <v>0</v>
          </cell>
          <cell r="U21">
            <v>0</v>
          </cell>
          <cell r="V21">
            <v>1309.26</v>
          </cell>
          <cell r="W21">
            <v>0</v>
          </cell>
          <cell r="X21">
            <v>-1309.26</v>
          </cell>
          <cell r="Y21">
            <v>436.42</v>
          </cell>
          <cell r="Z21">
            <v>2.3581634293387151E-3</v>
          </cell>
          <cell r="AA21">
            <v>0</v>
          </cell>
          <cell r="AB21" t="e">
            <v>#DIV/0!</v>
          </cell>
          <cell r="AC21">
            <v>1745.68</v>
          </cell>
          <cell r="AD21">
            <v>0</v>
          </cell>
          <cell r="AE21">
            <v>-1745.68</v>
          </cell>
          <cell r="AF21">
            <v>436.42</v>
          </cell>
          <cell r="AG21">
            <v>3.1442179624167903E-3</v>
          </cell>
          <cell r="AH21">
            <v>0</v>
          </cell>
          <cell r="AI21" t="e">
            <v>#DIV/0!</v>
          </cell>
          <cell r="AJ21">
            <v>2182.1</v>
          </cell>
          <cell r="AK21">
            <v>0</v>
          </cell>
          <cell r="AL21">
            <v>-2182.1</v>
          </cell>
          <cell r="AM21">
            <v>436.42</v>
          </cell>
          <cell r="AN21">
            <v>3.1442179624167903E-3</v>
          </cell>
          <cell r="AO21">
            <v>0</v>
          </cell>
          <cell r="AP21" t="e">
            <v>#DIV/0!</v>
          </cell>
          <cell r="AQ21">
            <v>2618.52</v>
          </cell>
          <cell r="AR21">
            <v>0</v>
          </cell>
          <cell r="AS21">
            <v>-2618.52</v>
          </cell>
          <cell r="AT21">
            <v>436.42</v>
          </cell>
          <cell r="AU21">
            <v>2.3581634293387151E-3</v>
          </cell>
          <cell r="AV21">
            <v>0</v>
          </cell>
          <cell r="AW21" t="e">
            <v>#DIV/0!</v>
          </cell>
          <cell r="AX21">
            <v>3054.94</v>
          </cell>
          <cell r="AY21">
            <v>0</v>
          </cell>
          <cell r="AZ21">
            <v>-3054.94</v>
          </cell>
          <cell r="BA21">
            <v>436.42</v>
          </cell>
          <cell r="BB21">
            <v>2.3581634293387151E-3</v>
          </cell>
          <cell r="BC21">
            <v>0</v>
          </cell>
          <cell r="BD21" t="e">
            <v>#DIV/0!</v>
          </cell>
          <cell r="BE21">
            <v>3491.36</v>
          </cell>
          <cell r="BF21">
            <v>0</v>
          </cell>
          <cell r="BG21">
            <v>-3491.36</v>
          </cell>
          <cell r="BH21">
            <v>436.42</v>
          </cell>
          <cell r="BI21">
            <v>2.3581634293387151E-3</v>
          </cell>
          <cell r="BJ21">
            <v>0</v>
          </cell>
          <cell r="BK21" t="e">
            <v>#DIV/0!</v>
          </cell>
          <cell r="BL21">
            <v>3927.78</v>
          </cell>
          <cell r="BM21">
            <v>0</v>
          </cell>
          <cell r="BN21">
            <v>-3927.78</v>
          </cell>
          <cell r="BO21">
            <v>436.42</v>
          </cell>
          <cell r="BP21">
            <v>1.8865308046333564E-3</v>
          </cell>
          <cell r="BQ21">
            <v>0</v>
          </cell>
          <cell r="BR21" t="e">
            <v>#DIV/0!</v>
          </cell>
          <cell r="BS21">
            <v>4364.2</v>
          </cell>
          <cell r="BT21">
            <v>0</v>
          </cell>
          <cell r="BU21">
            <v>-4364.2</v>
          </cell>
          <cell r="BV21">
            <v>436.42</v>
          </cell>
          <cell r="BW21">
            <v>2.3581634293387151E-3</v>
          </cell>
          <cell r="BX21">
            <v>0</v>
          </cell>
          <cell r="BY21" t="e">
            <v>#DIV/0!</v>
          </cell>
          <cell r="BZ21">
            <v>4800.62</v>
          </cell>
          <cell r="CA21">
            <v>0</v>
          </cell>
          <cell r="CB21">
            <v>-4800.62</v>
          </cell>
          <cell r="CC21">
            <v>436.42</v>
          </cell>
          <cell r="CD21">
            <v>2.3581634293387151E-3</v>
          </cell>
          <cell r="CE21">
            <v>0</v>
          </cell>
          <cell r="CF21" t="e">
            <v>#DIV/0!</v>
          </cell>
          <cell r="CG21">
            <v>5237.04</v>
          </cell>
          <cell r="CH21">
            <v>0</v>
          </cell>
          <cell r="CI21">
            <v>-5237.04</v>
          </cell>
        </row>
        <row r="22">
          <cell r="A22" t="str">
            <v>Penalidades/Irregularidades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  <cell r="CI22">
            <v>0</v>
          </cell>
        </row>
        <row r="23">
          <cell r="A23" t="str">
            <v>Controladoria Jurídica - Custas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194.24543786159066</v>
          </cell>
          <cell r="N23">
            <v>2.9747578078558523E-3</v>
          </cell>
          <cell r="O23">
            <v>0</v>
          </cell>
          <cell r="P23">
            <v>194.24543786159066</v>
          </cell>
          <cell r="Q23">
            <v>194.24543786159066</v>
          </cell>
          <cell r="R23">
            <v>0</v>
          </cell>
          <cell r="S23">
            <v>0</v>
          </cell>
          <cell r="T23">
            <v>105.4843515230382</v>
          </cell>
          <cell r="U23">
            <v>8.2963267399634513E-4</v>
          </cell>
          <cell r="V23">
            <v>0</v>
          </cell>
          <cell r="W23">
            <v>299.72978938462887</v>
          </cell>
          <cell r="X23">
            <v>299.72978938462887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299.72978938462887</v>
          </cell>
          <cell r="AE23">
            <v>299.72978938462887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299.72978938462887</v>
          </cell>
          <cell r="AL23">
            <v>299.72978938462887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299.72978938462887</v>
          </cell>
          <cell r="AS23">
            <v>299.72978938462887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299.72978938462887</v>
          </cell>
          <cell r="AZ23">
            <v>299.72978938462887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299.72978938462887</v>
          </cell>
          <cell r="BG23">
            <v>299.72978938462887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299.72978938462887</v>
          </cell>
          <cell r="BN23">
            <v>299.72978938462887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299.72978938462887</v>
          </cell>
          <cell r="BU23">
            <v>299.72978938462887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299.72978938462887</v>
          </cell>
          <cell r="CB23">
            <v>299.72978938462887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299.72978938462887</v>
          </cell>
          <cell r="CI23">
            <v>299.72978938462887</v>
          </cell>
        </row>
        <row r="24">
          <cell r="A24" t="str">
            <v>Correios</v>
          </cell>
          <cell r="B24">
            <v>3.7157032999189898E-5</v>
          </cell>
          <cell r="C24">
            <v>7.5</v>
          </cell>
          <cell r="D24">
            <v>8.25</v>
          </cell>
          <cell r="E24">
            <v>3.5662616603788073E-5</v>
          </cell>
          <cell r="F24">
            <v>118.449671</v>
          </cell>
          <cell r="G24">
            <v>8.6866946937948491E-4</v>
          </cell>
          <cell r="H24">
            <v>8.25</v>
          </cell>
          <cell r="I24">
            <v>118.449671</v>
          </cell>
          <cell r="J24">
            <v>110.199671</v>
          </cell>
          <cell r="K24">
            <v>8.25</v>
          </cell>
          <cell r="L24">
            <v>4.4578269309482612E-5</v>
          </cell>
          <cell r="M24">
            <v>0</v>
          </cell>
          <cell r="N24">
            <v>0</v>
          </cell>
          <cell r="O24">
            <v>16.5</v>
          </cell>
          <cell r="P24">
            <v>118.449671</v>
          </cell>
          <cell r="Q24">
            <v>101.949671</v>
          </cell>
          <cell r="R24">
            <v>8.25</v>
          </cell>
          <cell r="S24">
            <v>4.4578269309482612E-5</v>
          </cell>
          <cell r="T24">
            <v>0</v>
          </cell>
          <cell r="U24">
            <v>0</v>
          </cell>
          <cell r="V24">
            <v>24.75</v>
          </cell>
          <cell r="W24">
            <v>118.449671</v>
          </cell>
          <cell r="X24">
            <v>93.699670999999995</v>
          </cell>
          <cell r="Y24">
            <v>8.25</v>
          </cell>
          <cell r="Z24">
            <v>4.4578269309482612E-5</v>
          </cell>
          <cell r="AA24">
            <v>0</v>
          </cell>
          <cell r="AB24" t="e">
            <v>#DIV/0!</v>
          </cell>
          <cell r="AC24">
            <v>33</v>
          </cell>
          <cell r="AD24">
            <v>118.449671</v>
          </cell>
          <cell r="AE24">
            <v>85.449670999999995</v>
          </cell>
          <cell r="AF24">
            <v>8.25</v>
          </cell>
          <cell r="AG24">
            <v>5.9437693483200857E-5</v>
          </cell>
          <cell r="AH24">
            <v>0</v>
          </cell>
          <cell r="AI24" t="e">
            <v>#DIV/0!</v>
          </cell>
          <cell r="AJ24">
            <v>41.25</v>
          </cell>
          <cell r="AK24">
            <v>118.449671</v>
          </cell>
          <cell r="AL24">
            <v>77.199670999999995</v>
          </cell>
          <cell r="AM24">
            <v>8.25</v>
          </cell>
          <cell r="AN24">
            <v>5.9437693483200857E-5</v>
          </cell>
          <cell r="AO24">
            <v>0</v>
          </cell>
          <cell r="AP24" t="e">
            <v>#DIV/0!</v>
          </cell>
          <cell r="AQ24">
            <v>49.5</v>
          </cell>
          <cell r="AR24">
            <v>118.449671</v>
          </cell>
          <cell r="AS24">
            <v>68.949670999999995</v>
          </cell>
          <cell r="AT24">
            <v>8.25</v>
          </cell>
          <cell r="AU24">
            <v>4.4578269309482612E-5</v>
          </cell>
          <cell r="AV24">
            <v>0</v>
          </cell>
          <cell r="AW24" t="e">
            <v>#DIV/0!</v>
          </cell>
          <cell r="AX24">
            <v>57.75</v>
          </cell>
          <cell r="AY24">
            <v>118.449671</v>
          </cell>
          <cell r="AZ24">
            <v>60.699670999999995</v>
          </cell>
          <cell r="BA24">
            <v>8.25</v>
          </cell>
          <cell r="BB24">
            <v>4.4578269309482612E-5</v>
          </cell>
          <cell r="BC24">
            <v>0</v>
          </cell>
          <cell r="BD24" t="e">
            <v>#DIV/0!</v>
          </cell>
          <cell r="BE24">
            <v>66</v>
          </cell>
          <cell r="BF24">
            <v>118.449671</v>
          </cell>
          <cell r="BG24">
            <v>52.449670999999995</v>
          </cell>
          <cell r="BH24">
            <v>8.25</v>
          </cell>
          <cell r="BI24">
            <v>4.4578269309482612E-5</v>
          </cell>
          <cell r="BJ24">
            <v>0</v>
          </cell>
          <cell r="BK24" t="e">
            <v>#DIV/0!</v>
          </cell>
          <cell r="BL24">
            <v>74.25</v>
          </cell>
          <cell r="BM24">
            <v>118.449671</v>
          </cell>
          <cell r="BN24">
            <v>44.199670999999995</v>
          </cell>
          <cell r="BO24">
            <v>8.25</v>
          </cell>
          <cell r="BP24">
            <v>3.5662616603788073E-5</v>
          </cell>
          <cell r="BQ24">
            <v>0</v>
          </cell>
          <cell r="BR24" t="e">
            <v>#DIV/0!</v>
          </cell>
          <cell r="BS24">
            <v>82.5</v>
          </cell>
          <cell r="BT24">
            <v>118.449671</v>
          </cell>
          <cell r="BU24">
            <v>35.949670999999995</v>
          </cell>
          <cell r="BV24">
            <v>8.25</v>
          </cell>
          <cell r="BW24">
            <v>4.4578269309482612E-5</v>
          </cell>
          <cell r="BX24">
            <v>0</v>
          </cell>
          <cell r="BY24" t="e">
            <v>#DIV/0!</v>
          </cell>
          <cell r="BZ24">
            <v>90.75</v>
          </cell>
          <cell r="CA24">
            <v>118.449671</v>
          </cell>
          <cell r="CB24">
            <v>27.699670999999995</v>
          </cell>
          <cell r="CC24">
            <v>8.25</v>
          </cell>
          <cell r="CD24">
            <v>4.4578269309482612E-5</v>
          </cell>
          <cell r="CE24">
            <v>0</v>
          </cell>
          <cell r="CF24" t="e">
            <v>#DIV/0!</v>
          </cell>
          <cell r="CG24">
            <v>99</v>
          </cell>
          <cell r="CH24">
            <v>118.449671</v>
          </cell>
          <cell r="CI24">
            <v>19.449670999999995</v>
          </cell>
        </row>
        <row r="25">
          <cell r="A25" t="str">
            <v xml:space="preserve">Correspondentes </v>
          </cell>
          <cell r="B25">
            <v>4.5355184933051013E-3</v>
          </cell>
          <cell r="C25">
            <v>915.476451</v>
          </cell>
          <cell r="D25">
            <v>1007</v>
          </cell>
          <cell r="E25">
            <v>4.3530005963654042E-3</v>
          </cell>
          <cell r="F25">
            <v>855.34981400000004</v>
          </cell>
          <cell r="G25">
            <v>6.2728436709733127E-3</v>
          </cell>
          <cell r="H25">
            <v>1007</v>
          </cell>
          <cell r="I25">
            <v>855.34981400000004</v>
          </cell>
          <cell r="J25">
            <v>-151.65018599999996</v>
          </cell>
          <cell r="K25">
            <v>1007</v>
          </cell>
          <cell r="L25">
            <v>5.4412505690483622E-3</v>
          </cell>
          <cell r="M25">
            <v>537.30980299999999</v>
          </cell>
          <cell r="N25">
            <v>8.2285923896480585E-3</v>
          </cell>
          <cell r="O25">
            <v>2014</v>
          </cell>
          <cell r="P25">
            <v>1392.659617</v>
          </cell>
          <cell r="Q25">
            <v>-621.34038299999997</v>
          </cell>
          <cell r="R25">
            <v>1007</v>
          </cell>
          <cell r="S25">
            <v>5.4412505690483622E-3</v>
          </cell>
          <cell r="T25">
            <v>641.55588499999999</v>
          </cell>
          <cell r="U25">
            <v>5.0458263875698657E-3</v>
          </cell>
          <cell r="V25">
            <v>3021</v>
          </cell>
          <cell r="W25">
            <v>2034.215502</v>
          </cell>
          <cell r="X25">
            <v>-986.78449799999999</v>
          </cell>
          <cell r="Y25">
            <v>1007</v>
          </cell>
          <cell r="Z25">
            <v>5.4412505690483622E-3</v>
          </cell>
          <cell r="AA25">
            <v>0</v>
          </cell>
          <cell r="AB25" t="e">
            <v>#DIV/0!</v>
          </cell>
          <cell r="AC25">
            <v>4028</v>
          </cell>
          <cell r="AD25">
            <v>2034.215502</v>
          </cell>
          <cell r="AE25">
            <v>-1993.784498</v>
          </cell>
          <cell r="AF25">
            <v>1007</v>
          </cell>
          <cell r="AG25">
            <v>7.2550008894040315E-3</v>
          </cell>
          <cell r="AH25">
            <v>0</v>
          </cell>
          <cell r="AI25" t="e">
            <v>#DIV/0!</v>
          </cell>
          <cell r="AJ25">
            <v>5035</v>
          </cell>
          <cell r="AK25">
            <v>2034.215502</v>
          </cell>
          <cell r="AL25">
            <v>-3000.784498</v>
          </cell>
          <cell r="AM25">
            <v>1007</v>
          </cell>
          <cell r="AN25">
            <v>7.2550008894040315E-3</v>
          </cell>
          <cell r="AO25">
            <v>0</v>
          </cell>
          <cell r="AP25" t="e">
            <v>#DIV/0!</v>
          </cell>
          <cell r="AQ25">
            <v>6042</v>
          </cell>
          <cell r="AR25">
            <v>2034.215502</v>
          </cell>
          <cell r="AS25">
            <v>-4007.784498</v>
          </cell>
          <cell r="AT25">
            <v>1007</v>
          </cell>
          <cell r="AU25">
            <v>5.4412505690483622E-3</v>
          </cell>
          <cell r="AV25">
            <v>0</v>
          </cell>
          <cell r="AW25" t="e">
            <v>#DIV/0!</v>
          </cell>
          <cell r="AX25">
            <v>7049</v>
          </cell>
          <cell r="AY25">
            <v>2034.215502</v>
          </cell>
          <cell r="AZ25">
            <v>-5014.784498</v>
          </cell>
          <cell r="BA25">
            <v>1007</v>
          </cell>
          <cell r="BB25">
            <v>5.4412505690483622E-3</v>
          </cell>
          <cell r="BC25">
            <v>0</v>
          </cell>
          <cell r="BD25" t="e">
            <v>#DIV/0!</v>
          </cell>
          <cell r="BE25">
            <v>8056</v>
          </cell>
          <cell r="BF25">
            <v>2034.215502</v>
          </cell>
          <cell r="BG25">
            <v>-6021.784498</v>
          </cell>
          <cell r="BH25">
            <v>1007</v>
          </cell>
          <cell r="BI25">
            <v>5.4412505690483622E-3</v>
          </cell>
          <cell r="BJ25">
            <v>0</v>
          </cell>
          <cell r="BK25" t="e">
            <v>#DIV/0!</v>
          </cell>
          <cell r="BL25">
            <v>9063</v>
          </cell>
          <cell r="BM25">
            <v>2034.215502</v>
          </cell>
          <cell r="BN25">
            <v>-7028.784498</v>
          </cell>
          <cell r="BO25">
            <v>1007</v>
          </cell>
          <cell r="BP25">
            <v>4.3530005963654042E-3</v>
          </cell>
          <cell r="BQ25">
            <v>0</v>
          </cell>
          <cell r="BR25" t="e">
            <v>#DIV/0!</v>
          </cell>
          <cell r="BS25">
            <v>10070</v>
          </cell>
          <cell r="BT25">
            <v>2034.215502</v>
          </cell>
          <cell r="BU25">
            <v>-8035.784498</v>
          </cell>
          <cell r="BV25">
            <v>1007</v>
          </cell>
          <cell r="BW25">
            <v>5.4412505690483622E-3</v>
          </cell>
          <cell r="BX25">
            <v>0</v>
          </cell>
          <cell r="BY25" t="e">
            <v>#DIV/0!</v>
          </cell>
          <cell r="BZ25">
            <v>11077</v>
          </cell>
          <cell r="CA25">
            <v>2034.215502</v>
          </cell>
          <cell r="CB25">
            <v>-9042.7844980000009</v>
          </cell>
          <cell r="CC25">
            <v>1007</v>
          </cell>
          <cell r="CD25">
            <v>5.4412505690483622E-3</v>
          </cell>
          <cell r="CE25">
            <v>0</v>
          </cell>
          <cell r="CF25" t="e">
            <v>#DIV/0!</v>
          </cell>
          <cell r="CG25">
            <v>12084</v>
          </cell>
          <cell r="CH25">
            <v>2034.215502</v>
          </cell>
          <cell r="CI25">
            <v>-10049.784498000001</v>
          </cell>
        </row>
        <row r="26">
          <cell r="A26" t="str">
            <v>Custas/Guias/Despesas</v>
          </cell>
          <cell r="B26">
            <v>5.4647385144607468E-3</v>
          </cell>
          <cell r="C26">
            <v>1103.0358333333334</v>
          </cell>
          <cell r="D26">
            <v>1213.3399999999999</v>
          </cell>
          <cell r="E26">
            <v>5.2449550581866924E-3</v>
          </cell>
          <cell r="F26">
            <v>1137.4649999999999</v>
          </cell>
          <cell r="G26">
            <v>8.3417801809490526E-3</v>
          </cell>
          <cell r="H26">
            <v>1213.3399999999999</v>
          </cell>
          <cell r="I26">
            <v>1137.4649999999999</v>
          </cell>
          <cell r="J26">
            <v>-75.875</v>
          </cell>
          <cell r="K26">
            <v>1213.3399999999999</v>
          </cell>
          <cell r="L26">
            <v>6.5561936101778935E-3</v>
          </cell>
          <cell r="M26">
            <v>2071.27</v>
          </cell>
          <cell r="N26">
            <v>3.1720315660993689E-2</v>
          </cell>
          <cell r="O26">
            <v>2426.6799999999998</v>
          </cell>
          <cell r="P26">
            <v>3208.7349999999997</v>
          </cell>
          <cell r="Q26">
            <v>782.05499999999984</v>
          </cell>
          <cell r="R26">
            <v>1213.3399999999999</v>
          </cell>
          <cell r="S26">
            <v>6.5561936101778935E-3</v>
          </cell>
          <cell r="T26">
            <v>538.03</v>
          </cell>
          <cell r="U26">
            <v>4.2315970202723872E-3</v>
          </cell>
          <cell r="V26">
            <v>3640.0199999999995</v>
          </cell>
          <cell r="W26">
            <v>3746.7649999999994</v>
          </cell>
          <cell r="X26">
            <v>106.74499999999989</v>
          </cell>
          <cell r="Y26">
            <v>1213.3399999999999</v>
          </cell>
          <cell r="Z26">
            <v>6.5561936101778935E-3</v>
          </cell>
          <cell r="AA26">
            <v>0</v>
          </cell>
          <cell r="AB26" t="e">
            <v>#DIV/0!</v>
          </cell>
          <cell r="AC26">
            <v>4853.3599999999997</v>
          </cell>
          <cell r="AD26">
            <v>3746.7649999999994</v>
          </cell>
          <cell r="AE26">
            <v>-1106.5950000000003</v>
          </cell>
          <cell r="AF26">
            <v>1213.3399999999999</v>
          </cell>
          <cell r="AG26">
            <v>8.7415916376856872E-3</v>
          </cell>
          <cell r="AH26">
            <v>0</v>
          </cell>
          <cell r="AI26" t="e">
            <v>#DIV/0!</v>
          </cell>
          <cell r="AJ26">
            <v>6066.7</v>
          </cell>
          <cell r="AK26">
            <v>3746.7649999999994</v>
          </cell>
          <cell r="AL26">
            <v>-2319.9350000000004</v>
          </cell>
          <cell r="AM26">
            <v>1213.3399999999999</v>
          </cell>
          <cell r="AN26">
            <v>8.7415916376856872E-3</v>
          </cell>
          <cell r="AO26">
            <v>0</v>
          </cell>
          <cell r="AP26" t="e">
            <v>#DIV/0!</v>
          </cell>
          <cell r="AQ26">
            <v>7280.04</v>
          </cell>
          <cell r="AR26">
            <v>3746.7649999999994</v>
          </cell>
          <cell r="AS26">
            <v>-3533.2750000000005</v>
          </cell>
          <cell r="AT26">
            <v>1213.3399999999999</v>
          </cell>
          <cell r="AU26">
            <v>6.5561936101778935E-3</v>
          </cell>
          <cell r="AV26">
            <v>0</v>
          </cell>
          <cell r="AW26" t="e">
            <v>#DIV/0!</v>
          </cell>
          <cell r="AX26">
            <v>8493.3799999999992</v>
          </cell>
          <cell r="AY26">
            <v>3746.7649999999994</v>
          </cell>
          <cell r="AZ26">
            <v>-4746.6149999999998</v>
          </cell>
          <cell r="BA26">
            <v>1213.3399999999999</v>
          </cell>
          <cell r="BB26">
            <v>6.5561936101778935E-3</v>
          </cell>
          <cell r="BC26">
            <v>0</v>
          </cell>
          <cell r="BD26" t="e">
            <v>#DIV/0!</v>
          </cell>
          <cell r="BE26">
            <v>9706.7199999999993</v>
          </cell>
          <cell r="BF26">
            <v>3746.7649999999994</v>
          </cell>
          <cell r="BG26">
            <v>-5959.9549999999999</v>
          </cell>
          <cell r="BH26">
            <v>1213.3399999999999</v>
          </cell>
          <cell r="BI26">
            <v>6.5561936101778935E-3</v>
          </cell>
          <cell r="BJ26">
            <v>0</v>
          </cell>
          <cell r="BK26" t="e">
            <v>#DIV/0!</v>
          </cell>
          <cell r="BL26">
            <v>10920.06</v>
          </cell>
          <cell r="BM26">
            <v>3746.7649999999994</v>
          </cell>
          <cell r="BN26">
            <v>-7173.2950000000001</v>
          </cell>
          <cell r="BO26">
            <v>1213.3399999999999</v>
          </cell>
          <cell r="BP26">
            <v>5.2449550581866924E-3</v>
          </cell>
          <cell r="BQ26">
            <v>0</v>
          </cell>
          <cell r="BR26" t="e">
            <v>#DIV/0!</v>
          </cell>
          <cell r="BS26">
            <v>12133.4</v>
          </cell>
          <cell r="BT26">
            <v>3746.7649999999994</v>
          </cell>
          <cell r="BU26">
            <v>-8386.6350000000002</v>
          </cell>
          <cell r="BV26">
            <v>1213.3399999999999</v>
          </cell>
          <cell r="BW26">
            <v>6.5561936101778935E-3</v>
          </cell>
          <cell r="BX26">
            <v>0</v>
          </cell>
          <cell r="BY26" t="e">
            <v>#DIV/0!</v>
          </cell>
          <cell r="BZ26">
            <v>13346.74</v>
          </cell>
          <cell r="CA26">
            <v>3746.7649999999994</v>
          </cell>
          <cell r="CB26">
            <v>-9599.9750000000004</v>
          </cell>
          <cell r="CC26">
            <v>1213.3399999999999</v>
          </cell>
          <cell r="CD26">
            <v>6.5561936101778935E-3</v>
          </cell>
          <cell r="CE26">
            <v>0</v>
          </cell>
          <cell r="CF26" t="e">
            <v>#DIV/0!</v>
          </cell>
          <cell r="CG26">
            <v>14560.08</v>
          </cell>
          <cell r="CH26">
            <v>3746.7649999999994</v>
          </cell>
          <cell r="CI26">
            <v>-10813.315000000001</v>
          </cell>
        </row>
        <row r="27">
          <cell r="A27" t="str">
            <v>Consultoria</v>
          </cell>
          <cell r="B27">
            <v>4.8638556195939583E-2</v>
          </cell>
          <cell r="C27">
            <v>9817.5</v>
          </cell>
          <cell r="D27">
            <v>10799.25</v>
          </cell>
          <cell r="E27">
            <v>4.6682365134358583E-2</v>
          </cell>
          <cell r="F27">
            <v>7080</v>
          </cell>
          <cell r="G27">
            <v>5.192230414221035E-2</v>
          </cell>
          <cell r="H27">
            <v>10799.25</v>
          </cell>
          <cell r="I27">
            <v>7080</v>
          </cell>
          <cell r="J27">
            <v>-3719.25</v>
          </cell>
          <cell r="K27">
            <v>10799.25</v>
          </cell>
          <cell r="L27">
            <v>5.8352954526112735E-2</v>
          </cell>
          <cell r="M27">
            <v>6000</v>
          </cell>
          <cell r="N27">
            <v>9.1886569093339907E-2</v>
          </cell>
          <cell r="O27">
            <v>21598.5</v>
          </cell>
          <cell r="P27">
            <v>13080</v>
          </cell>
          <cell r="Q27">
            <v>-8518.5</v>
          </cell>
          <cell r="R27">
            <v>10799.25</v>
          </cell>
          <cell r="S27">
            <v>5.8352954526112735E-2</v>
          </cell>
          <cell r="T27">
            <v>7200</v>
          </cell>
          <cell r="U27">
            <v>5.6627880501015172E-2</v>
          </cell>
          <cell r="V27">
            <v>32397.75</v>
          </cell>
          <cell r="W27">
            <v>20280</v>
          </cell>
          <cell r="X27">
            <v>-12117.75</v>
          </cell>
          <cell r="Y27">
            <v>10799.25</v>
          </cell>
          <cell r="Z27">
            <v>5.8352954526112735E-2</v>
          </cell>
          <cell r="AA27">
            <v>0</v>
          </cell>
          <cell r="AB27" t="e">
            <v>#DIV/0!</v>
          </cell>
          <cell r="AC27">
            <v>43197</v>
          </cell>
          <cell r="AD27">
            <v>20280</v>
          </cell>
          <cell r="AE27">
            <v>-22917</v>
          </cell>
          <cell r="AF27">
            <v>10799.25</v>
          </cell>
          <cell r="AG27">
            <v>7.7803940769509916E-2</v>
          </cell>
          <cell r="AH27">
            <v>0</v>
          </cell>
          <cell r="AI27" t="e">
            <v>#DIV/0!</v>
          </cell>
          <cell r="AJ27">
            <v>53996.25</v>
          </cell>
          <cell r="AK27">
            <v>20280</v>
          </cell>
          <cell r="AL27">
            <v>-33716.25</v>
          </cell>
          <cell r="AM27">
            <v>10799.25</v>
          </cell>
          <cell r="AN27">
            <v>7.7803940769509916E-2</v>
          </cell>
          <cell r="AO27">
            <v>0</v>
          </cell>
          <cell r="AP27" t="e">
            <v>#DIV/0!</v>
          </cell>
          <cell r="AQ27">
            <v>64795.5</v>
          </cell>
          <cell r="AR27">
            <v>20280</v>
          </cell>
          <cell r="AS27">
            <v>-44515.5</v>
          </cell>
          <cell r="AT27">
            <v>10799.25</v>
          </cell>
          <cell r="AU27">
            <v>5.8352954526112735E-2</v>
          </cell>
          <cell r="AV27">
            <v>0</v>
          </cell>
          <cell r="AW27" t="e">
            <v>#DIV/0!</v>
          </cell>
          <cell r="AX27">
            <v>75594.75</v>
          </cell>
          <cell r="AY27">
            <v>20280</v>
          </cell>
          <cell r="AZ27">
            <v>-55314.75</v>
          </cell>
          <cell r="BA27">
            <v>10799.25</v>
          </cell>
          <cell r="BB27">
            <v>5.8352954526112735E-2</v>
          </cell>
          <cell r="BC27">
            <v>0</v>
          </cell>
          <cell r="BD27" t="e">
            <v>#DIV/0!</v>
          </cell>
          <cell r="BE27">
            <v>86394</v>
          </cell>
          <cell r="BF27">
            <v>20280</v>
          </cell>
          <cell r="BG27">
            <v>-66114</v>
          </cell>
          <cell r="BH27">
            <v>10799.25</v>
          </cell>
          <cell r="BI27">
            <v>5.8352954526112735E-2</v>
          </cell>
          <cell r="BJ27">
            <v>0</v>
          </cell>
          <cell r="BK27" t="e">
            <v>#DIV/0!</v>
          </cell>
          <cell r="BL27">
            <v>97193.25</v>
          </cell>
          <cell r="BM27">
            <v>20280</v>
          </cell>
          <cell r="BN27">
            <v>-76913.25</v>
          </cell>
          <cell r="BO27">
            <v>10799.25</v>
          </cell>
          <cell r="BP27">
            <v>4.6682365134358583E-2</v>
          </cell>
          <cell r="BQ27">
            <v>0</v>
          </cell>
          <cell r="BR27" t="e">
            <v>#DIV/0!</v>
          </cell>
          <cell r="BS27">
            <v>107992.5</v>
          </cell>
          <cell r="BT27">
            <v>20280</v>
          </cell>
          <cell r="BU27">
            <v>-87712.5</v>
          </cell>
          <cell r="BV27">
            <v>10799.25</v>
          </cell>
          <cell r="BW27">
            <v>5.8352954526112735E-2</v>
          </cell>
          <cell r="BX27">
            <v>0</v>
          </cell>
          <cell r="BY27" t="e">
            <v>#DIV/0!</v>
          </cell>
          <cell r="BZ27">
            <v>118791.75</v>
          </cell>
          <cell r="CA27">
            <v>20280</v>
          </cell>
          <cell r="CB27">
            <v>-98511.75</v>
          </cell>
          <cell r="CC27">
            <v>10799.25</v>
          </cell>
          <cell r="CD27">
            <v>5.8352954526112735E-2</v>
          </cell>
          <cell r="CE27">
            <v>0</v>
          </cell>
          <cell r="CF27" t="e">
            <v>#DIV/0!</v>
          </cell>
          <cell r="CG27">
            <v>129591</v>
          </cell>
          <cell r="CH27">
            <v>20280</v>
          </cell>
          <cell r="CI27">
            <v>-109311</v>
          </cell>
        </row>
        <row r="28">
          <cell r="A28" t="str">
            <v>Deslocamento</v>
          </cell>
          <cell r="B28">
            <v>2.3331727144891689E-4</v>
          </cell>
          <cell r="C28">
            <v>47.094167500000005</v>
          </cell>
          <cell r="D28">
            <v>52</v>
          </cell>
          <cell r="E28">
            <v>2.2478255313902783E-4</v>
          </cell>
          <cell r="F28">
            <v>36.359580999999999</v>
          </cell>
          <cell r="G28">
            <v>2.6664876033408657E-4</v>
          </cell>
          <cell r="H28">
            <v>52</v>
          </cell>
          <cell r="I28">
            <v>36.359580999999999</v>
          </cell>
          <cell r="J28">
            <v>-15.640419000000001</v>
          </cell>
          <cell r="K28">
            <v>52</v>
          </cell>
          <cell r="L28">
            <v>2.8097818231431461E-4</v>
          </cell>
          <cell r="M28">
            <v>0</v>
          </cell>
          <cell r="N28">
            <v>0</v>
          </cell>
          <cell r="O28">
            <v>104</v>
          </cell>
          <cell r="P28">
            <v>36.359580999999999</v>
          </cell>
          <cell r="Q28">
            <v>-67.640419000000009</v>
          </cell>
          <cell r="R28">
            <v>52</v>
          </cell>
          <cell r="S28">
            <v>2.8097818231431461E-4</v>
          </cell>
          <cell r="T28">
            <v>0</v>
          </cell>
          <cell r="U28">
            <v>0</v>
          </cell>
          <cell r="V28">
            <v>156</v>
          </cell>
          <cell r="W28">
            <v>36.359580999999999</v>
          </cell>
          <cell r="X28">
            <v>-119.64041900000001</v>
          </cell>
          <cell r="Y28">
            <v>52</v>
          </cell>
          <cell r="Z28">
            <v>2.8097818231431461E-4</v>
          </cell>
          <cell r="AA28">
            <v>0</v>
          </cell>
          <cell r="AB28" t="e">
            <v>#DIV/0!</v>
          </cell>
          <cell r="AC28">
            <v>208</v>
          </cell>
          <cell r="AD28">
            <v>36.359580999999999</v>
          </cell>
          <cell r="AE28">
            <v>-171.64041900000001</v>
          </cell>
          <cell r="AF28">
            <v>52</v>
          </cell>
          <cell r="AG28">
            <v>3.7463758316684173E-4</v>
          </cell>
          <cell r="AH28">
            <v>0</v>
          </cell>
          <cell r="AI28" t="e">
            <v>#DIV/0!</v>
          </cell>
          <cell r="AJ28">
            <v>260</v>
          </cell>
          <cell r="AK28">
            <v>36.359580999999999</v>
          </cell>
          <cell r="AL28">
            <v>-223.64041900000001</v>
          </cell>
          <cell r="AM28">
            <v>52</v>
          </cell>
          <cell r="AN28">
            <v>3.7463758316684173E-4</v>
          </cell>
          <cell r="AO28">
            <v>0</v>
          </cell>
          <cell r="AP28" t="e">
            <v>#DIV/0!</v>
          </cell>
          <cell r="AQ28">
            <v>312</v>
          </cell>
          <cell r="AR28">
            <v>36.359580999999999</v>
          </cell>
          <cell r="AS28">
            <v>-275.64041900000001</v>
          </cell>
          <cell r="AT28">
            <v>52</v>
          </cell>
          <cell r="AU28">
            <v>2.8097818231431461E-4</v>
          </cell>
          <cell r="AV28">
            <v>0</v>
          </cell>
          <cell r="AW28" t="e">
            <v>#DIV/0!</v>
          </cell>
          <cell r="AX28">
            <v>364</v>
          </cell>
          <cell r="AY28">
            <v>36.359580999999999</v>
          </cell>
          <cell r="AZ28">
            <v>-327.64041900000001</v>
          </cell>
          <cell r="BA28">
            <v>52</v>
          </cell>
          <cell r="BB28">
            <v>2.8097818231431461E-4</v>
          </cell>
          <cell r="BC28">
            <v>0</v>
          </cell>
          <cell r="BD28" t="e">
            <v>#DIV/0!</v>
          </cell>
          <cell r="BE28">
            <v>416</v>
          </cell>
          <cell r="BF28">
            <v>36.359580999999999</v>
          </cell>
          <cell r="BG28">
            <v>-379.64041900000001</v>
          </cell>
          <cell r="BH28">
            <v>52</v>
          </cell>
          <cell r="BI28">
            <v>2.8097818231431461E-4</v>
          </cell>
          <cell r="BJ28">
            <v>0</v>
          </cell>
          <cell r="BK28" t="e">
            <v>#DIV/0!</v>
          </cell>
          <cell r="BL28">
            <v>468</v>
          </cell>
          <cell r="BM28">
            <v>36.359580999999999</v>
          </cell>
          <cell r="BN28">
            <v>-431.64041900000001</v>
          </cell>
          <cell r="BO28">
            <v>52</v>
          </cell>
          <cell r="BP28">
            <v>2.2478255313902783E-4</v>
          </cell>
          <cell r="BQ28">
            <v>0</v>
          </cell>
          <cell r="BR28" t="e">
            <v>#DIV/0!</v>
          </cell>
          <cell r="BS28">
            <v>520</v>
          </cell>
          <cell r="BT28">
            <v>36.359580999999999</v>
          </cell>
          <cell r="BU28">
            <v>-483.64041900000001</v>
          </cell>
          <cell r="BV28">
            <v>52</v>
          </cell>
          <cell r="BW28">
            <v>2.8097818231431461E-4</v>
          </cell>
          <cell r="BX28">
            <v>0</v>
          </cell>
          <cell r="BY28" t="e">
            <v>#DIV/0!</v>
          </cell>
          <cell r="BZ28">
            <v>572</v>
          </cell>
          <cell r="CA28">
            <v>36.359580999999999</v>
          </cell>
          <cell r="CB28">
            <v>-535.64041899999995</v>
          </cell>
          <cell r="CC28">
            <v>52</v>
          </cell>
          <cell r="CD28">
            <v>2.8097818231431461E-4</v>
          </cell>
          <cell r="CE28">
            <v>0</v>
          </cell>
          <cell r="CF28" t="e">
            <v>#DIV/0!</v>
          </cell>
          <cell r="CG28">
            <v>624</v>
          </cell>
          <cell r="CH28">
            <v>36.359580999999999</v>
          </cell>
          <cell r="CI28">
            <v>-587.64041899999995</v>
          </cell>
        </row>
        <row r="29">
          <cell r="A29" t="str">
            <v>Digitação / Atual. Sistemas / Lanç. Planilhas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>
            <v>1.9531438293777254E-3</v>
          </cell>
          <cell r="C31">
            <v>394.23434913794944</v>
          </cell>
          <cell r="D31">
            <v>924.10246553244099</v>
          </cell>
          <cell r="E31">
            <v>3.9946559916240881E-3</v>
          </cell>
          <cell r="F31">
            <v>971.54386892408775</v>
          </cell>
          <cell r="G31">
            <v>7.1249712217198065E-3</v>
          </cell>
          <cell r="H31">
            <v>924.10246553244099</v>
          </cell>
          <cell r="I31">
            <v>971.54386892408775</v>
          </cell>
          <cell r="J31">
            <v>47.441403391646759</v>
          </cell>
          <cell r="K31">
            <v>924.10246553244099</v>
          </cell>
          <cell r="L31">
            <v>4.9933198276438818E-3</v>
          </cell>
          <cell r="M31">
            <v>924.10246553244099</v>
          </cell>
          <cell r="N31">
            <v>1.4152100841412066E-2</v>
          </cell>
          <cell r="O31">
            <v>1848.204931064882</v>
          </cell>
          <cell r="P31">
            <v>1895.6463344565286</v>
          </cell>
          <cell r="Q31">
            <v>47.441403391646645</v>
          </cell>
          <cell r="R31">
            <v>924.10246553244099</v>
          </cell>
          <cell r="S31">
            <v>4.9933198276438818E-3</v>
          </cell>
          <cell r="T31">
            <v>943.35913725044577</v>
          </cell>
          <cell r="U31">
            <v>7.4195039574665297E-3</v>
          </cell>
          <cell r="V31">
            <v>2772.3073965973231</v>
          </cell>
          <cell r="W31">
            <v>2839.0054717069743</v>
          </cell>
          <cell r="X31">
            <v>66.698075109651199</v>
          </cell>
          <cell r="Y31">
            <v>924.10246553244099</v>
          </cell>
          <cell r="Z31">
            <v>4.9933198276438818E-3</v>
          </cell>
          <cell r="AA31">
            <v>0</v>
          </cell>
          <cell r="AB31" t="e">
            <v>#DIV/0!</v>
          </cell>
          <cell r="AC31">
            <v>3696.409862129764</v>
          </cell>
          <cell r="AD31">
            <v>2839.0054717069743</v>
          </cell>
          <cell r="AE31">
            <v>-857.40439042278967</v>
          </cell>
          <cell r="AF31">
            <v>924.10246553244099</v>
          </cell>
          <cell r="AG31">
            <v>6.657759890107565E-3</v>
          </cell>
          <cell r="AH31">
            <v>0</v>
          </cell>
          <cell r="AI31" t="e">
            <v>#DIV/0!</v>
          </cell>
          <cell r="AJ31">
            <v>4620.5123276622053</v>
          </cell>
          <cell r="AK31">
            <v>2839.0054717069743</v>
          </cell>
          <cell r="AL31">
            <v>-1781.506855955231</v>
          </cell>
          <cell r="AM31">
            <v>924.10246553244099</v>
          </cell>
          <cell r="AN31">
            <v>6.657759890107565E-3</v>
          </cell>
          <cell r="AO31">
            <v>0</v>
          </cell>
          <cell r="AP31" t="e">
            <v>#DIV/0!</v>
          </cell>
          <cell r="AQ31">
            <v>5544.6147931946462</v>
          </cell>
          <cell r="AR31">
            <v>2839.0054717069743</v>
          </cell>
          <cell r="AS31">
            <v>-2705.6093214876719</v>
          </cell>
          <cell r="AT31">
            <v>924.10246553244099</v>
          </cell>
          <cell r="AU31">
            <v>4.9933198276438818E-3</v>
          </cell>
          <cell r="AV31">
            <v>0</v>
          </cell>
          <cell r="AW31" t="e">
            <v>#DIV/0!</v>
          </cell>
          <cell r="AX31">
            <v>6468.717258727087</v>
          </cell>
          <cell r="AY31">
            <v>2839.0054717069743</v>
          </cell>
          <cell r="AZ31">
            <v>-3629.7117870201128</v>
          </cell>
          <cell r="BA31">
            <v>924.10246553244099</v>
          </cell>
          <cell r="BB31">
            <v>4.9933198276438818E-3</v>
          </cell>
          <cell r="BC31">
            <v>0</v>
          </cell>
          <cell r="BD31" t="e">
            <v>#DIV/0!</v>
          </cell>
          <cell r="BE31">
            <v>7392.8197242595279</v>
          </cell>
          <cell r="BF31">
            <v>2839.0054717069743</v>
          </cell>
          <cell r="BG31">
            <v>-4553.8142525525536</v>
          </cell>
          <cell r="BH31">
            <v>924.10246553244099</v>
          </cell>
          <cell r="BI31">
            <v>4.9933198276438818E-3</v>
          </cell>
          <cell r="BJ31">
            <v>0</v>
          </cell>
          <cell r="BK31" t="e">
            <v>#DIV/0!</v>
          </cell>
          <cell r="BL31">
            <v>8316.9221897919688</v>
          </cell>
          <cell r="BM31">
            <v>2839.0054717069743</v>
          </cell>
          <cell r="BN31">
            <v>-5477.9167180849945</v>
          </cell>
          <cell r="BO31">
            <v>924.10246553244099</v>
          </cell>
          <cell r="BP31">
            <v>3.9946559916240881E-3</v>
          </cell>
          <cell r="BQ31">
            <v>0</v>
          </cell>
          <cell r="BR31" t="e">
            <v>#DIV/0!</v>
          </cell>
          <cell r="BS31">
            <v>9241.0246553244106</v>
          </cell>
          <cell r="BT31">
            <v>2839.0054717069743</v>
          </cell>
          <cell r="BU31">
            <v>-6402.0191836174363</v>
          </cell>
          <cell r="BV31">
            <v>924.10246553244099</v>
          </cell>
          <cell r="BW31">
            <v>4.9933198276438818E-3</v>
          </cell>
          <cell r="BX31">
            <v>0</v>
          </cell>
          <cell r="BY31" t="e">
            <v>#DIV/0!</v>
          </cell>
          <cell r="BZ31">
            <v>10165.127120856852</v>
          </cell>
          <cell r="CA31">
            <v>2839.0054717069743</v>
          </cell>
          <cell r="CB31">
            <v>-7326.1216491498781</v>
          </cell>
          <cell r="CC31">
            <v>924.10246553244099</v>
          </cell>
          <cell r="CD31">
            <v>4.9933198276438818E-3</v>
          </cell>
          <cell r="CE31">
            <v>0</v>
          </cell>
          <cell r="CF31" t="e">
            <v>#DIV/0!</v>
          </cell>
          <cell r="CG31">
            <v>11089.229586389294</v>
          </cell>
          <cell r="CH31">
            <v>2839.0054717069743</v>
          </cell>
          <cell r="CI31">
            <v>-8250.2241146823199</v>
          </cell>
        </row>
        <row r="32">
          <cell r="A32" t="str">
            <v>Encargos Rescisórios</v>
          </cell>
          <cell r="B32">
            <v>3.7157032999189904E-4</v>
          </cell>
          <cell r="C32">
            <v>75</v>
          </cell>
          <cell r="D32">
            <v>85</v>
          </cell>
          <cell r="E32">
            <v>3.6743301955418012E-4</v>
          </cell>
          <cell r="F32">
            <v>0</v>
          </cell>
          <cell r="G32">
            <v>0</v>
          </cell>
          <cell r="H32">
            <v>85</v>
          </cell>
          <cell r="I32">
            <v>0</v>
          </cell>
          <cell r="J32">
            <v>-85</v>
          </cell>
          <cell r="K32">
            <v>85</v>
          </cell>
          <cell r="L32">
            <v>4.5929125955224506E-4</v>
          </cell>
          <cell r="M32">
            <v>0</v>
          </cell>
          <cell r="N32">
            <v>0</v>
          </cell>
          <cell r="O32">
            <v>170</v>
          </cell>
          <cell r="P32">
            <v>0</v>
          </cell>
          <cell r="Q32">
            <v>-170</v>
          </cell>
          <cell r="R32">
            <v>85</v>
          </cell>
          <cell r="S32">
            <v>4.5929125955224506E-4</v>
          </cell>
          <cell r="T32">
            <v>0</v>
          </cell>
          <cell r="U32">
            <v>0</v>
          </cell>
          <cell r="V32">
            <v>255</v>
          </cell>
          <cell r="W32">
            <v>0</v>
          </cell>
          <cell r="X32">
            <v>-255</v>
          </cell>
          <cell r="Y32">
            <v>85</v>
          </cell>
          <cell r="Z32">
            <v>4.5929125955224506E-4</v>
          </cell>
          <cell r="AA32">
            <v>0</v>
          </cell>
          <cell r="AB32" t="e">
            <v>#DIV/0!</v>
          </cell>
          <cell r="AC32">
            <v>340</v>
          </cell>
          <cell r="AD32">
            <v>0</v>
          </cell>
          <cell r="AE32">
            <v>-340</v>
          </cell>
          <cell r="AF32">
            <v>85</v>
          </cell>
          <cell r="AG32">
            <v>6.1238835709964516E-4</v>
          </cell>
          <cell r="AH32">
            <v>0</v>
          </cell>
          <cell r="AI32" t="e">
            <v>#DIV/0!</v>
          </cell>
          <cell r="AJ32">
            <v>425</v>
          </cell>
          <cell r="AK32">
            <v>0</v>
          </cell>
          <cell r="AL32">
            <v>-425</v>
          </cell>
          <cell r="AM32">
            <v>85</v>
          </cell>
          <cell r="AN32">
            <v>6.1238835709964516E-4</v>
          </cell>
          <cell r="AO32">
            <v>0</v>
          </cell>
          <cell r="AP32" t="e">
            <v>#DIV/0!</v>
          </cell>
          <cell r="AQ32">
            <v>510</v>
          </cell>
          <cell r="AR32">
            <v>0</v>
          </cell>
          <cell r="AS32">
            <v>-510</v>
          </cell>
          <cell r="AT32">
            <v>85</v>
          </cell>
          <cell r="AU32">
            <v>4.5929125955224506E-4</v>
          </cell>
          <cell r="AV32">
            <v>0</v>
          </cell>
          <cell r="AW32" t="e">
            <v>#DIV/0!</v>
          </cell>
          <cell r="AX32">
            <v>595</v>
          </cell>
          <cell r="AY32">
            <v>0</v>
          </cell>
          <cell r="AZ32">
            <v>-595</v>
          </cell>
          <cell r="BA32">
            <v>85</v>
          </cell>
          <cell r="BB32">
            <v>4.5929125955224506E-4</v>
          </cell>
          <cell r="BC32">
            <v>0</v>
          </cell>
          <cell r="BD32" t="e">
            <v>#DIV/0!</v>
          </cell>
          <cell r="BE32">
            <v>680</v>
          </cell>
          <cell r="BF32">
            <v>0</v>
          </cell>
          <cell r="BG32">
            <v>-680</v>
          </cell>
          <cell r="BH32">
            <v>85</v>
          </cell>
          <cell r="BI32">
            <v>4.5929125955224506E-4</v>
          </cell>
          <cell r="BJ32">
            <v>0</v>
          </cell>
          <cell r="BK32" t="e">
            <v>#DIV/0!</v>
          </cell>
          <cell r="BL32">
            <v>765</v>
          </cell>
          <cell r="BM32">
            <v>0</v>
          </cell>
          <cell r="BN32">
            <v>-765</v>
          </cell>
          <cell r="BO32">
            <v>85</v>
          </cell>
          <cell r="BP32">
            <v>3.6743301955418012E-4</v>
          </cell>
          <cell r="BQ32">
            <v>0</v>
          </cell>
          <cell r="BR32" t="e">
            <v>#DIV/0!</v>
          </cell>
          <cell r="BS32">
            <v>850</v>
          </cell>
          <cell r="BT32">
            <v>0</v>
          </cell>
          <cell r="BU32">
            <v>-850</v>
          </cell>
          <cell r="BV32">
            <v>85</v>
          </cell>
          <cell r="BW32">
            <v>4.5929125955224506E-4</v>
          </cell>
          <cell r="BX32">
            <v>0</v>
          </cell>
          <cell r="BY32" t="e">
            <v>#DIV/0!</v>
          </cell>
          <cell r="BZ32">
            <v>935</v>
          </cell>
          <cell r="CA32">
            <v>0</v>
          </cell>
          <cell r="CB32">
            <v>-935</v>
          </cell>
          <cell r="CC32">
            <v>85</v>
          </cell>
          <cell r="CD32">
            <v>4.5929125955224506E-4</v>
          </cell>
          <cell r="CE32">
            <v>0</v>
          </cell>
          <cell r="CF32" t="e">
            <v>#DIV/0!</v>
          </cell>
          <cell r="CG32">
            <v>1020</v>
          </cell>
          <cell r="CH32">
            <v>0</v>
          </cell>
          <cell r="CI32">
            <v>-1020</v>
          </cell>
        </row>
        <row r="33">
          <cell r="A33" t="str">
            <v>Encerramento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>
            <v>1.2437325942265508E-3</v>
          </cell>
          <cell r="C35">
            <v>251.04250000000002</v>
          </cell>
          <cell r="D35">
            <v>276.14</v>
          </cell>
          <cell r="E35">
            <v>1.1936818119963682E-3</v>
          </cell>
          <cell r="F35">
            <v>1226.18</v>
          </cell>
          <cell r="G35">
            <v>8.9923857193637702E-3</v>
          </cell>
          <cell r="H35">
            <v>276.14</v>
          </cell>
          <cell r="I35">
            <v>1226.18</v>
          </cell>
          <cell r="J35">
            <v>950.04000000000008</v>
          </cell>
          <cell r="K35">
            <v>276.14</v>
          </cell>
          <cell r="L35">
            <v>1.4921022166206699E-3</v>
          </cell>
          <cell r="M35">
            <v>0</v>
          </cell>
          <cell r="N35">
            <v>0</v>
          </cell>
          <cell r="O35">
            <v>552.28</v>
          </cell>
          <cell r="P35">
            <v>1226.18</v>
          </cell>
          <cell r="Q35">
            <v>673.90000000000009</v>
          </cell>
          <cell r="R35">
            <v>276.14</v>
          </cell>
          <cell r="S35">
            <v>1.4921022166206699E-3</v>
          </cell>
          <cell r="T35">
            <v>0</v>
          </cell>
          <cell r="U35">
            <v>0</v>
          </cell>
          <cell r="V35">
            <v>828.42</v>
          </cell>
          <cell r="W35">
            <v>1226.18</v>
          </cell>
          <cell r="X35">
            <v>397.7600000000001</v>
          </cell>
          <cell r="Y35">
            <v>276.14</v>
          </cell>
          <cell r="Z35">
            <v>1.4921022166206699E-3</v>
          </cell>
          <cell r="AA35">
            <v>0</v>
          </cell>
          <cell r="AB35" t="e">
            <v>#DIV/0!</v>
          </cell>
          <cell r="AC35">
            <v>1104.56</v>
          </cell>
          <cell r="AD35">
            <v>1226.18</v>
          </cell>
          <cell r="AE35">
            <v>121.62000000000012</v>
          </cell>
          <cell r="AF35">
            <v>276.14</v>
          </cell>
          <cell r="AG35">
            <v>1.9894696579940709E-3</v>
          </cell>
          <cell r="AH35">
            <v>0</v>
          </cell>
          <cell r="AI35" t="e">
            <v>#DIV/0!</v>
          </cell>
          <cell r="AJ35">
            <v>1380.6999999999998</v>
          </cell>
          <cell r="AK35">
            <v>1226.18</v>
          </cell>
          <cell r="AL35">
            <v>-154.51999999999975</v>
          </cell>
          <cell r="AM35">
            <v>276.14</v>
          </cell>
          <cell r="AN35">
            <v>1.9894696579940709E-3</v>
          </cell>
          <cell r="AO35">
            <v>0</v>
          </cell>
          <cell r="AP35" t="e">
            <v>#DIV/0!</v>
          </cell>
          <cell r="AQ35">
            <v>1656.8399999999997</v>
          </cell>
          <cell r="AR35">
            <v>1226.18</v>
          </cell>
          <cell r="AS35">
            <v>-430.65999999999963</v>
          </cell>
          <cell r="AT35">
            <v>276.14</v>
          </cell>
          <cell r="AU35">
            <v>1.4921022166206699E-3</v>
          </cell>
          <cell r="AV35">
            <v>0</v>
          </cell>
          <cell r="AW35" t="e">
            <v>#DIV/0!</v>
          </cell>
          <cell r="AX35">
            <v>1932.9799999999996</v>
          </cell>
          <cell r="AY35">
            <v>1226.18</v>
          </cell>
          <cell r="AZ35">
            <v>-706.7999999999995</v>
          </cell>
          <cell r="BA35">
            <v>276.14</v>
          </cell>
          <cell r="BB35">
            <v>1.4921022166206699E-3</v>
          </cell>
          <cell r="BC35">
            <v>0</v>
          </cell>
          <cell r="BD35" t="e">
            <v>#DIV/0!</v>
          </cell>
          <cell r="BE35">
            <v>2209.1199999999994</v>
          </cell>
          <cell r="BF35">
            <v>1226.18</v>
          </cell>
          <cell r="BG35">
            <v>-982.93999999999937</v>
          </cell>
          <cell r="BH35">
            <v>276.14</v>
          </cell>
          <cell r="BI35">
            <v>1.4921022166206699E-3</v>
          </cell>
          <cell r="BJ35">
            <v>0</v>
          </cell>
          <cell r="BK35" t="e">
            <v>#DIV/0!</v>
          </cell>
          <cell r="BL35">
            <v>2485.2599999999993</v>
          </cell>
          <cell r="BM35">
            <v>1226.18</v>
          </cell>
          <cell r="BN35">
            <v>-1259.0799999999992</v>
          </cell>
          <cell r="BO35">
            <v>276.14</v>
          </cell>
          <cell r="BP35">
            <v>1.1936818119963682E-3</v>
          </cell>
          <cell r="BQ35">
            <v>0</v>
          </cell>
          <cell r="BR35" t="e">
            <v>#DIV/0!</v>
          </cell>
          <cell r="BS35">
            <v>2761.3999999999992</v>
          </cell>
          <cell r="BT35">
            <v>1226.18</v>
          </cell>
          <cell r="BU35">
            <v>-1535.2199999999991</v>
          </cell>
          <cell r="BV35">
            <v>276.14</v>
          </cell>
          <cell r="BW35">
            <v>1.4921022166206699E-3</v>
          </cell>
          <cell r="BX35">
            <v>0</v>
          </cell>
          <cell r="BY35" t="e">
            <v>#DIV/0!</v>
          </cell>
          <cell r="BZ35">
            <v>3037.5399999999991</v>
          </cell>
          <cell r="CA35">
            <v>1226.18</v>
          </cell>
          <cell r="CB35">
            <v>-1811.359999999999</v>
          </cell>
          <cell r="CC35">
            <v>276.14</v>
          </cell>
          <cell r="CD35">
            <v>1.4921022166206699E-3</v>
          </cell>
          <cell r="CE35">
            <v>0</v>
          </cell>
          <cell r="CF35" t="e">
            <v>#DIV/0!</v>
          </cell>
          <cell r="CG35">
            <v>3313.6799999999989</v>
          </cell>
          <cell r="CH35">
            <v>1226.18</v>
          </cell>
          <cell r="CI35">
            <v>-2087.4999999999991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  <cell r="CI36">
            <v>0</v>
          </cell>
        </row>
        <row r="37">
          <cell r="A37" t="str">
            <v>GNA</v>
          </cell>
          <cell r="B37">
            <v>1.3035657835108214E-2</v>
          </cell>
          <cell r="C37">
            <v>2631.1959236746147</v>
          </cell>
          <cell r="D37">
            <v>2894.32</v>
          </cell>
          <cell r="E37">
            <v>1.251139690771829E-2</v>
          </cell>
          <cell r="F37">
            <v>1760.5394487088461</v>
          </cell>
          <cell r="G37">
            <v>1.2911195580539554E-2</v>
          </cell>
          <cell r="H37">
            <v>2894.32</v>
          </cell>
          <cell r="I37">
            <v>1760.5394487088461</v>
          </cell>
          <cell r="J37">
            <v>-1133.7805512911541</v>
          </cell>
          <cell r="K37">
            <v>2894.32</v>
          </cell>
          <cell r="L37">
            <v>1.5639245627614751E-2</v>
          </cell>
          <cell r="M37">
            <v>859.89263597095089</v>
          </cell>
          <cell r="N37">
            <v>1.3168764017999827E-2</v>
          </cell>
          <cell r="O37">
            <v>5788.64</v>
          </cell>
          <cell r="P37">
            <v>2620.4320846797968</v>
          </cell>
          <cell r="Q37">
            <v>-3168.2079153202035</v>
          </cell>
          <cell r="R37">
            <v>2894.32</v>
          </cell>
          <cell r="S37">
            <v>1.5639245627614751E-2</v>
          </cell>
          <cell r="T37">
            <v>1307.9261877883371</v>
          </cell>
          <cell r="U37">
            <v>1.0286817759198093E-2</v>
          </cell>
          <cell r="V37">
            <v>8682.9600000000009</v>
          </cell>
          <cell r="W37">
            <v>3928.3582724681337</v>
          </cell>
          <cell r="X37">
            <v>-4754.6017275318673</v>
          </cell>
          <cell r="Y37">
            <v>2894.32</v>
          </cell>
          <cell r="Z37">
            <v>1.5639245627614751E-2</v>
          </cell>
          <cell r="AA37">
            <v>0</v>
          </cell>
          <cell r="AB37" t="e">
            <v>#DIV/0!</v>
          </cell>
          <cell r="AC37">
            <v>11577.28</v>
          </cell>
          <cell r="AD37">
            <v>3928.3582724681337</v>
          </cell>
          <cell r="AE37">
            <v>-7648.921727531867</v>
          </cell>
          <cell r="AF37">
            <v>2894.32</v>
          </cell>
          <cell r="AG37">
            <v>2.0852327879066414E-2</v>
          </cell>
          <cell r="AH37">
            <v>0</v>
          </cell>
          <cell r="AI37" t="e">
            <v>#DIV/0!</v>
          </cell>
          <cell r="AJ37">
            <v>14471.6</v>
          </cell>
          <cell r="AK37">
            <v>3928.3582724681337</v>
          </cell>
          <cell r="AL37">
            <v>-10543.241727531866</v>
          </cell>
          <cell r="AM37">
            <v>2894.32</v>
          </cell>
          <cell r="AN37">
            <v>2.0852327879066414E-2</v>
          </cell>
          <cell r="AO37">
            <v>0</v>
          </cell>
          <cell r="AP37" t="e">
            <v>#DIV/0!</v>
          </cell>
          <cell r="AQ37">
            <v>17365.920000000002</v>
          </cell>
          <cell r="AR37">
            <v>3928.3582724681337</v>
          </cell>
          <cell r="AS37">
            <v>-13437.561727531869</v>
          </cell>
          <cell r="AT37">
            <v>2894.32</v>
          </cell>
          <cell r="AU37">
            <v>1.5639245627614751E-2</v>
          </cell>
          <cell r="AV37">
            <v>0</v>
          </cell>
          <cell r="AW37" t="e">
            <v>#DIV/0!</v>
          </cell>
          <cell r="AX37">
            <v>20260.240000000002</v>
          </cell>
          <cell r="AY37">
            <v>3928.3582724681337</v>
          </cell>
          <cell r="AZ37">
            <v>-16331.881727531869</v>
          </cell>
          <cell r="BA37">
            <v>2894.32</v>
          </cell>
          <cell r="BB37">
            <v>1.5639245627614751E-2</v>
          </cell>
          <cell r="BC37">
            <v>0</v>
          </cell>
          <cell r="BD37" t="e">
            <v>#DIV/0!</v>
          </cell>
          <cell r="BE37">
            <v>23154.560000000001</v>
          </cell>
          <cell r="BF37">
            <v>3928.3582724681337</v>
          </cell>
          <cell r="BG37">
            <v>-19226.201727531869</v>
          </cell>
          <cell r="BH37">
            <v>2894.32</v>
          </cell>
          <cell r="BI37">
            <v>1.5639245627614751E-2</v>
          </cell>
          <cell r="BJ37">
            <v>0</v>
          </cell>
          <cell r="BK37" t="e">
            <v>#DIV/0!</v>
          </cell>
          <cell r="BL37">
            <v>26048.880000000001</v>
          </cell>
          <cell r="BM37">
            <v>3928.3582724681337</v>
          </cell>
          <cell r="BN37">
            <v>-22120.521727531868</v>
          </cell>
          <cell r="BO37">
            <v>2894.32</v>
          </cell>
          <cell r="BP37">
            <v>1.251139690771829E-2</v>
          </cell>
          <cell r="BQ37">
            <v>0</v>
          </cell>
          <cell r="BR37" t="e">
            <v>#DIV/0!</v>
          </cell>
          <cell r="BS37">
            <v>28943.200000000001</v>
          </cell>
          <cell r="BT37">
            <v>3928.3582724681337</v>
          </cell>
          <cell r="BU37">
            <v>-25014.841727531868</v>
          </cell>
          <cell r="BV37">
            <v>2894.32</v>
          </cell>
          <cell r="BW37">
            <v>1.5639245627614751E-2</v>
          </cell>
          <cell r="BX37">
            <v>0</v>
          </cell>
          <cell r="BY37" t="e">
            <v>#DIV/0!</v>
          </cell>
          <cell r="BZ37">
            <v>31837.52</v>
          </cell>
          <cell r="CA37">
            <v>3928.3582724681337</v>
          </cell>
          <cell r="CB37">
            <v>-27909.161727531868</v>
          </cell>
          <cell r="CC37">
            <v>2894.32</v>
          </cell>
          <cell r="CD37">
            <v>1.5639245627614751E-2</v>
          </cell>
          <cell r="CE37">
            <v>0</v>
          </cell>
          <cell r="CF37" t="e">
            <v>#DIV/0!</v>
          </cell>
          <cell r="CG37">
            <v>34731.840000000004</v>
          </cell>
          <cell r="CH37">
            <v>3928.3582724681337</v>
          </cell>
          <cell r="CI37">
            <v>-30803.481727531871</v>
          </cell>
        </row>
        <row r="38">
          <cell r="A38" t="str">
            <v>Parcerias - Unidade Vitória / Unidade Pará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  <cell r="CI38">
            <v>0</v>
          </cell>
        </row>
        <row r="39">
          <cell r="A39" t="str">
            <v>IR s/ Salário</v>
          </cell>
          <cell r="B39">
            <v>5.2486373390966799E-5</v>
          </cell>
          <cell r="C39">
            <v>10.594166666666666</v>
          </cell>
          <cell r="D39">
            <v>12</v>
          </cell>
          <cell r="E39">
            <v>5.1872896878237192E-5</v>
          </cell>
          <cell r="F39">
            <v>0</v>
          </cell>
          <cell r="G39">
            <v>0</v>
          </cell>
          <cell r="H39">
            <v>12</v>
          </cell>
          <cell r="I39">
            <v>0</v>
          </cell>
          <cell r="J39">
            <v>-12</v>
          </cell>
          <cell r="K39">
            <v>12</v>
          </cell>
          <cell r="L39">
            <v>6.4841118995611065E-5</v>
          </cell>
          <cell r="M39">
            <v>0</v>
          </cell>
          <cell r="N39">
            <v>0</v>
          </cell>
          <cell r="O39">
            <v>24</v>
          </cell>
          <cell r="P39">
            <v>0</v>
          </cell>
          <cell r="Q39">
            <v>-24</v>
          </cell>
          <cell r="R39">
            <v>12</v>
          </cell>
          <cell r="S39">
            <v>6.4841118995611065E-5</v>
          </cell>
          <cell r="T39">
            <v>0</v>
          </cell>
          <cell r="U39">
            <v>0</v>
          </cell>
          <cell r="V39">
            <v>36</v>
          </cell>
          <cell r="W39">
            <v>0</v>
          </cell>
          <cell r="X39">
            <v>-36</v>
          </cell>
          <cell r="Y39">
            <v>12</v>
          </cell>
          <cell r="Z39">
            <v>6.4841118995611065E-5</v>
          </cell>
          <cell r="AA39">
            <v>0</v>
          </cell>
          <cell r="AB39" t="e">
            <v>#DIV/0!</v>
          </cell>
          <cell r="AC39">
            <v>48</v>
          </cell>
          <cell r="AD39">
            <v>0</v>
          </cell>
          <cell r="AE39">
            <v>-48</v>
          </cell>
          <cell r="AF39">
            <v>12</v>
          </cell>
          <cell r="AG39">
            <v>8.6454826884655795E-5</v>
          </cell>
          <cell r="AH39">
            <v>0</v>
          </cell>
          <cell r="AI39" t="e">
            <v>#DIV/0!</v>
          </cell>
          <cell r="AJ39">
            <v>60</v>
          </cell>
          <cell r="AK39">
            <v>0</v>
          </cell>
          <cell r="AL39">
            <v>-60</v>
          </cell>
          <cell r="AM39">
            <v>12</v>
          </cell>
          <cell r="AN39">
            <v>8.6454826884655795E-5</v>
          </cell>
          <cell r="AO39">
            <v>0</v>
          </cell>
          <cell r="AP39" t="e">
            <v>#DIV/0!</v>
          </cell>
          <cell r="AQ39">
            <v>72</v>
          </cell>
          <cell r="AR39">
            <v>0</v>
          </cell>
          <cell r="AS39">
            <v>-72</v>
          </cell>
          <cell r="AT39">
            <v>12</v>
          </cell>
          <cell r="AU39">
            <v>6.4841118995611065E-5</v>
          </cell>
          <cell r="AV39">
            <v>0</v>
          </cell>
          <cell r="AW39" t="e">
            <v>#DIV/0!</v>
          </cell>
          <cell r="AX39">
            <v>84</v>
          </cell>
          <cell r="AY39">
            <v>0</v>
          </cell>
          <cell r="AZ39">
            <v>-84</v>
          </cell>
          <cell r="BA39">
            <v>12</v>
          </cell>
          <cell r="BB39">
            <v>6.4841118995611065E-5</v>
          </cell>
          <cell r="BC39">
            <v>0</v>
          </cell>
          <cell r="BD39" t="e">
            <v>#DIV/0!</v>
          </cell>
          <cell r="BE39">
            <v>96</v>
          </cell>
          <cell r="BF39">
            <v>0</v>
          </cell>
          <cell r="BG39">
            <v>-96</v>
          </cell>
          <cell r="BH39">
            <v>12</v>
          </cell>
          <cell r="BI39">
            <v>6.4841118995611065E-5</v>
          </cell>
          <cell r="BJ39">
            <v>0</v>
          </cell>
          <cell r="BK39" t="e">
            <v>#DIV/0!</v>
          </cell>
          <cell r="BL39">
            <v>108</v>
          </cell>
          <cell r="BM39">
            <v>0</v>
          </cell>
          <cell r="BN39">
            <v>-108</v>
          </cell>
          <cell r="BO39">
            <v>12</v>
          </cell>
          <cell r="BP39">
            <v>5.1872896878237192E-5</v>
          </cell>
          <cell r="BQ39">
            <v>0</v>
          </cell>
          <cell r="BR39" t="e">
            <v>#DIV/0!</v>
          </cell>
          <cell r="BS39">
            <v>120</v>
          </cell>
          <cell r="BT39">
            <v>0</v>
          </cell>
          <cell r="BU39">
            <v>-120</v>
          </cell>
          <cell r="BV39">
            <v>12</v>
          </cell>
          <cell r="BW39">
            <v>6.4841118995611065E-5</v>
          </cell>
          <cell r="BX39">
            <v>0</v>
          </cell>
          <cell r="BY39" t="e">
            <v>#DIV/0!</v>
          </cell>
          <cell r="BZ39">
            <v>132</v>
          </cell>
          <cell r="CA39">
            <v>0</v>
          </cell>
          <cell r="CB39">
            <v>-132</v>
          </cell>
          <cell r="CC39">
            <v>12</v>
          </cell>
          <cell r="CD39">
            <v>6.4841118995611065E-5</v>
          </cell>
          <cell r="CE39">
            <v>0</v>
          </cell>
          <cell r="CF39" t="e">
            <v>#DIV/0!</v>
          </cell>
          <cell r="CG39">
            <v>144</v>
          </cell>
          <cell r="CH39">
            <v>0</v>
          </cell>
          <cell r="CI39">
            <v>-144</v>
          </cell>
        </row>
        <row r="40">
          <cell r="A40" t="str">
            <v>Pauta</v>
          </cell>
          <cell r="B40">
            <v>8.6788456997618428E-4</v>
          </cell>
          <cell r="C40">
            <v>175.17906435003286</v>
          </cell>
          <cell r="D40">
            <v>193</v>
          </cell>
          <cell r="E40">
            <v>8.3428909145831487E-4</v>
          </cell>
          <cell r="F40">
            <v>72.876962475317356</v>
          </cell>
          <cell r="G40">
            <v>5.3445477550902241E-4</v>
          </cell>
          <cell r="H40">
            <v>193</v>
          </cell>
          <cell r="I40">
            <v>72.876962475317356</v>
          </cell>
          <cell r="J40">
            <v>-120.12303752468264</v>
          </cell>
          <cell r="K40">
            <v>193</v>
          </cell>
          <cell r="L40">
            <v>1.0428613305127447E-3</v>
          </cell>
          <cell r="M40">
            <v>80.68766784053156</v>
          </cell>
          <cell r="N40">
            <v>1.2356854943349105E-3</v>
          </cell>
          <cell r="O40">
            <v>386</v>
          </cell>
          <cell r="P40">
            <v>153.56463031584892</v>
          </cell>
          <cell r="Q40">
            <v>-232.43536968415108</v>
          </cell>
          <cell r="R40">
            <v>193</v>
          </cell>
          <cell r="S40">
            <v>1.0428613305127447E-3</v>
          </cell>
          <cell r="T40">
            <v>97.362042302504818</v>
          </cell>
          <cell r="U40">
            <v>7.6575084678347596E-4</v>
          </cell>
          <cell r="V40">
            <v>579</v>
          </cell>
          <cell r="W40">
            <v>250.92667261835373</v>
          </cell>
          <cell r="X40">
            <v>-328.07332738164627</v>
          </cell>
          <cell r="Y40">
            <v>193</v>
          </cell>
          <cell r="Z40">
            <v>1.0428613305127447E-3</v>
          </cell>
          <cell r="AA40">
            <v>0</v>
          </cell>
          <cell r="AB40" t="e">
            <v>#DIV/0!</v>
          </cell>
          <cell r="AC40">
            <v>772</v>
          </cell>
          <cell r="AD40">
            <v>250.92667261835373</v>
          </cell>
          <cell r="AE40">
            <v>-521.07332738164632</v>
          </cell>
          <cell r="AF40">
            <v>193</v>
          </cell>
          <cell r="AG40">
            <v>1.3904817990615472E-3</v>
          </cell>
          <cell r="AH40">
            <v>0</v>
          </cell>
          <cell r="AI40" t="e">
            <v>#DIV/0!</v>
          </cell>
          <cell r="AJ40">
            <v>965</v>
          </cell>
          <cell r="AK40">
            <v>250.92667261835373</v>
          </cell>
          <cell r="AL40">
            <v>-714.07332738164632</v>
          </cell>
          <cell r="AM40">
            <v>193</v>
          </cell>
          <cell r="AN40">
            <v>1.3904817990615472E-3</v>
          </cell>
          <cell r="AO40">
            <v>0</v>
          </cell>
          <cell r="AP40" t="e">
            <v>#DIV/0!</v>
          </cell>
          <cell r="AQ40">
            <v>1158</v>
          </cell>
          <cell r="AR40">
            <v>250.92667261835373</v>
          </cell>
          <cell r="AS40">
            <v>-907.07332738164632</v>
          </cell>
          <cell r="AT40">
            <v>193</v>
          </cell>
          <cell r="AU40">
            <v>1.0428613305127447E-3</v>
          </cell>
          <cell r="AV40">
            <v>0</v>
          </cell>
          <cell r="AW40" t="e">
            <v>#DIV/0!</v>
          </cell>
          <cell r="AX40">
            <v>1351</v>
          </cell>
          <cell r="AY40">
            <v>250.92667261835373</v>
          </cell>
          <cell r="AZ40">
            <v>-1100.0733273816463</v>
          </cell>
          <cell r="BA40">
            <v>193</v>
          </cell>
          <cell r="BB40">
            <v>1.0428613305127447E-3</v>
          </cell>
          <cell r="BC40">
            <v>0</v>
          </cell>
          <cell r="BD40" t="e">
            <v>#DIV/0!</v>
          </cell>
          <cell r="BE40">
            <v>1544</v>
          </cell>
          <cell r="BF40">
            <v>250.92667261835373</v>
          </cell>
          <cell r="BG40">
            <v>-1293.0733273816463</v>
          </cell>
          <cell r="BH40">
            <v>193</v>
          </cell>
          <cell r="BI40">
            <v>1.0428613305127447E-3</v>
          </cell>
          <cell r="BJ40">
            <v>0</v>
          </cell>
          <cell r="BK40" t="e">
            <v>#DIV/0!</v>
          </cell>
          <cell r="BL40">
            <v>1737</v>
          </cell>
          <cell r="BM40">
            <v>250.92667261835373</v>
          </cell>
          <cell r="BN40">
            <v>-1486.0733273816463</v>
          </cell>
          <cell r="BO40">
            <v>193</v>
          </cell>
          <cell r="BP40">
            <v>8.3428909145831487E-4</v>
          </cell>
          <cell r="BQ40">
            <v>0</v>
          </cell>
          <cell r="BR40" t="e">
            <v>#DIV/0!</v>
          </cell>
          <cell r="BS40">
            <v>1930</v>
          </cell>
          <cell r="BT40">
            <v>250.92667261835373</v>
          </cell>
          <cell r="BU40">
            <v>-1679.0733273816463</v>
          </cell>
          <cell r="BV40">
            <v>193</v>
          </cell>
          <cell r="BW40">
            <v>1.0428613305127447E-3</v>
          </cell>
          <cell r="BX40">
            <v>0</v>
          </cell>
          <cell r="BY40" t="e">
            <v>#DIV/0!</v>
          </cell>
          <cell r="BZ40">
            <v>2123</v>
          </cell>
          <cell r="CA40">
            <v>250.92667261835373</v>
          </cell>
          <cell r="CB40">
            <v>-1872.0733273816463</v>
          </cell>
          <cell r="CC40">
            <v>193</v>
          </cell>
          <cell r="CD40">
            <v>1.0428613305127447E-3</v>
          </cell>
          <cell r="CE40">
            <v>0</v>
          </cell>
          <cell r="CF40" t="e">
            <v>#DIV/0!</v>
          </cell>
          <cell r="CG40">
            <v>2316</v>
          </cell>
          <cell r="CH40">
            <v>250.92667261835373</v>
          </cell>
          <cell r="CI40">
            <v>-2065.0733273816463</v>
          </cell>
        </row>
        <row r="41">
          <cell r="A41" t="str">
            <v>Pauta - Gestão de Pauta</v>
          </cell>
          <cell r="B41">
            <v>3.6050604141810036E-4</v>
          </cell>
          <cell r="C41">
            <v>72.766717156741251</v>
          </cell>
          <cell r="D41">
            <v>80</v>
          </cell>
          <cell r="E41">
            <v>3.4581931252158129E-4</v>
          </cell>
          <cell r="F41">
            <v>107.14572847057256</v>
          </cell>
          <cell r="G41">
            <v>7.8577021203216882E-4</v>
          </cell>
          <cell r="H41">
            <v>80</v>
          </cell>
          <cell r="I41">
            <v>107.14572847057256</v>
          </cell>
          <cell r="J41">
            <v>27.145728470572564</v>
          </cell>
          <cell r="K41">
            <v>80</v>
          </cell>
          <cell r="L41">
            <v>4.3227412663740712E-4</v>
          </cell>
          <cell r="M41">
            <v>84.287077769766015</v>
          </cell>
          <cell r="N41">
            <v>1.2908083991945531E-3</v>
          </cell>
          <cell r="O41">
            <v>160</v>
          </cell>
          <cell r="P41">
            <v>191.43280624033858</v>
          </cell>
          <cell r="Q41">
            <v>31.432806240338579</v>
          </cell>
          <cell r="R41">
            <v>80</v>
          </cell>
          <cell r="S41">
            <v>4.3227412663740712E-4</v>
          </cell>
          <cell r="T41">
            <v>107.35076991718688</v>
          </cell>
          <cell r="U41">
            <v>8.4431202368922674E-4</v>
          </cell>
          <cell r="V41">
            <v>240</v>
          </cell>
          <cell r="W41">
            <v>298.78357615752543</v>
          </cell>
          <cell r="X41">
            <v>58.783576157525431</v>
          </cell>
          <cell r="Y41">
            <v>80</v>
          </cell>
          <cell r="Z41">
            <v>4.3227412663740712E-4</v>
          </cell>
          <cell r="AA41">
            <v>0</v>
          </cell>
          <cell r="AB41" t="e">
            <v>#DIV/0!</v>
          </cell>
          <cell r="AC41">
            <v>320</v>
          </cell>
          <cell r="AD41">
            <v>298.78357615752543</v>
          </cell>
          <cell r="AE41">
            <v>-21.216423842474569</v>
          </cell>
          <cell r="AF41">
            <v>80</v>
          </cell>
          <cell r="AG41">
            <v>5.7636551256437193E-4</v>
          </cell>
          <cell r="AH41">
            <v>0</v>
          </cell>
          <cell r="AI41" t="e">
            <v>#DIV/0!</v>
          </cell>
          <cell r="AJ41">
            <v>400</v>
          </cell>
          <cell r="AK41">
            <v>298.78357615752543</v>
          </cell>
          <cell r="AL41">
            <v>-101.21642384247457</v>
          </cell>
          <cell r="AM41">
            <v>80</v>
          </cell>
          <cell r="AN41">
            <v>5.7636551256437193E-4</v>
          </cell>
          <cell r="AO41">
            <v>0</v>
          </cell>
          <cell r="AP41" t="e">
            <v>#DIV/0!</v>
          </cell>
          <cell r="AQ41">
            <v>480</v>
          </cell>
          <cell r="AR41">
            <v>298.78357615752543</v>
          </cell>
          <cell r="AS41">
            <v>-181.21642384247457</v>
          </cell>
          <cell r="AT41">
            <v>80</v>
          </cell>
          <cell r="AU41">
            <v>4.3227412663740712E-4</v>
          </cell>
          <cell r="AV41">
            <v>0</v>
          </cell>
          <cell r="AW41" t="e">
            <v>#DIV/0!</v>
          </cell>
          <cell r="AX41">
            <v>560</v>
          </cell>
          <cell r="AY41">
            <v>298.78357615752543</v>
          </cell>
          <cell r="AZ41">
            <v>-261.21642384247457</v>
          </cell>
          <cell r="BA41">
            <v>80</v>
          </cell>
          <cell r="BB41">
            <v>4.3227412663740712E-4</v>
          </cell>
          <cell r="BC41">
            <v>0</v>
          </cell>
          <cell r="BD41" t="e">
            <v>#DIV/0!</v>
          </cell>
          <cell r="BE41">
            <v>640</v>
          </cell>
          <cell r="BF41">
            <v>298.78357615752543</v>
          </cell>
          <cell r="BG41">
            <v>-341.21642384247457</v>
          </cell>
          <cell r="BH41">
            <v>80</v>
          </cell>
          <cell r="BI41">
            <v>4.3227412663740712E-4</v>
          </cell>
          <cell r="BJ41">
            <v>0</v>
          </cell>
          <cell r="BK41" t="e">
            <v>#DIV/0!</v>
          </cell>
          <cell r="BL41">
            <v>720</v>
          </cell>
          <cell r="BM41">
            <v>298.78357615752543</v>
          </cell>
          <cell r="BN41">
            <v>-421.21642384247457</v>
          </cell>
          <cell r="BO41">
            <v>80</v>
          </cell>
          <cell r="BP41">
            <v>3.4581931252158129E-4</v>
          </cell>
          <cell r="BQ41">
            <v>0</v>
          </cell>
          <cell r="BR41" t="e">
            <v>#DIV/0!</v>
          </cell>
          <cell r="BS41">
            <v>800</v>
          </cell>
          <cell r="BT41">
            <v>298.78357615752543</v>
          </cell>
          <cell r="BU41">
            <v>-501.21642384247457</v>
          </cell>
          <cell r="BV41">
            <v>80</v>
          </cell>
          <cell r="BW41">
            <v>4.3227412663740712E-4</v>
          </cell>
          <cell r="BX41">
            <v>0</v>
          </cell>
          <cell r="BY41" t="e">
            <v>#DIV/0!</v>
          </cell>
          <cell r="BZ41">
            <v>880</v>
          </cell>
          <cell r="CA41">
            <v>298.78357615752543</v>
          </cell>
          <cell r="CB41">
            <v>-581.21642384247457</v>
          </cell>
          <cell r="CC41">
            <v>80</v>
          </cell>
          <cell r="CD41">
            <v>4.3227412663740712E-4</v>
          </cell>
          <cell r="CE41">
            <v>0</v>
          </cell>
          <cell r="CF41" t="e">
            <v>#DIV/0!</v>
          </cell>
          <cell r="CG41">
            <v>960</v>
          </cell>
          <cell r="CH41">
            <v>298.78357615752543</v>
          </cell>
          <cell r="CI41">
            <v>-661.21642384247457</v>
          </cell>
        </row>
        <row r="42">
          <cell r="A42" t="str">
            <v>Exames Médicos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>
            <v>1.5546639404193744E-2</v>
          </cell>
          <cell r="C43">
            <v>3138.0276119999999</v>
          </cell>
          <cell r="D43">
            <v>3608.73</v>
          </cell>
          <cell r="E43">
            <v>1.5599606595950076E-2</v>
          </cell>
          <cell r="F43">
            <v>3612.2491719999998</v>
          </cell>
          <cell r="G43">
            <v>2.6491002845484675E-2</v>
          </cell>
          <cell r="H43">
            <v>3608.73</v>
          </cell>
          <cell r="I43">
            <v>3612.2491719999998</v>
          </cell>
          <cell r="J43">
            <v>3.5191719999997986</v>
          </cell>
          <cell r="K43">
            <v>3608.73</v>
          </cell>
          <cell r="L43">
            <v>1.9499507612752626E-2</v>
          </cell>
          <cell r="M43">
            <v>1993.289262</v>
          </cell>
          <cell r="N43">
            <v>3.0526085249295919E-2</v>
          </cell>
          <cell r="O43">
            <v>7217.46</v>
          </cell>
          <cell r="P43">
            <v>5605.5384340000001</v>
          </cell>
          <cell r="Q43">
            <v>-1611.921566</v>
          </cell>
          <cell r="R43">
            <v>3608.73</v>
          </cell>
          <cell r="S43">
            <v>1.9499507612752626E-2</v>
          </cell>
          <cell r="T43">
            <v>1992.5089029999999</v>
          </cell>
          <cell r="U43">
            <v>1.5671049452262893E-2</v>
          </cell>
          <cell r="V43">
            <v>10826.19</v>
          </cell>
          <cell r="W43">
            <v>7598.047337</v>
          </cell>
          <cell r="X43">
            <v>-3228.1426630000005</v>
          </cell>
          <cell r="Y43">
            <v>3608.73</v>
          </cell>
          <cell r="Z43">
            <v>1.9499507612752626E-2</v>
          </cell>
          <cell r="AA43">
            <v>0</v>
          </cell>
          <cell r="AB43" t="e">
            <v>#DIV/0!</v>
          </cell>
          <cell r="AC43">
            <v>14434.92</v>
          </cell>
          <cell r="AD43">
            <v>7598.047337</v>
          </cell>
          <cell r="AE43">
            <v>-6836.8726630000001</v>
          </cell>
          <cell r="AF43">
            <v>3608.73</v>
          </cell>
          <cell r="AG43">
            <v>2.5999343951955325E-2</v>
          </cell>
          <cell r="AH43">
            <v>0</v>
          </cell>
          <cell r="AI43" t="e">
            <v>#DIV/0!</v>
          </cell>
          <cell r="AJ43">
            <v>18043.650000000001</v>
          </cell>
          <cell r="AK43">
            <v>7598.047337</v>
          </cell>
          <cell r="AL43">
            <v>-10445.602663000001</v>
          </cell>
          <cell r="AM43">
            <v>3608.73</v>
          </cell>
          <cell r="AN43">
            <v>2.5999343951955325E-2</v>
          </cell>
          <cell r="AO43">
            <v>0</v>
          </cell>
          <cell r="AP43" t="e">
            <v>#DIV/0!</v>
          </cell>
          <cell r="AQ43">
            <v>21652.38</v>
          </cell>
          <cell r="AR43">
            <v>7598.047337</v>
          </cell>
          <cell r="AS43">
            <v>-14054.332663000001</v>
          </cell>
          <cell r="AT43">
            <v>3608.73</v>
          </cell>
          <cell r="AU43">
            <v>1.9499507612752626E-2</v>
          </cell>
          <cell r="AV43">
            <v>0</v>
          </cell>
          <cell r="AW43" t="e">
            <v>#DIV/0!</v>
          </cell>
          <cell r="AX43">
            <v>25261.11</v>
          </cell>
          <cell r="AY43">
            <v>7598.047337</v>
          </cell>
          <cell r="AZ43">
            <v>-17663.062663000001</v>
          </cell>
          <cell r="BA43">
            <v>3608.73</v>
          </cell>
          <cell r="BB43">
            <v>1.9499507612752626E-2</v>
          </cell>
          <cell r="BC43">
            <v>0</v>
          </cell>
          <cell r="BD43" t="e">
            <v>#DIV/0!</v>
          </cell>
          <cell r="BE43">
            <v>28869.84</v>
          </cell>
          <cell r="BF43">
            <v>7598.047337</v>
          </cell>
          <cell r="BG43">
            <v>-21271.792663</v>
          </cell>
          <cell r="BH43">
            <v>3608.73</v>
          </cell>
          <cell r="BI43">
            <v>1.9499507612752626E-2</v>
          </cell>
          <cell r="BJ43">
            <v>0</v>
          </cell>
          <cell r="BK43" t="e">
            <v>#DIV/0!</v>
          </cell>
          <cell r="BL43">
            <v>32478.57</v>
          </cell>
          <cell r="BM43">
            <v>7598.047337</v>
          </cell>
          <cell r="BN43">
            <v>-24880.522663</v>
          </cell>
          <cell r="BO43">
            <v>3608.73</v>
          </cell>
          <cell r="BP43">
            <v>1.5599606595950076E-2</v>
          </cell>
          <cell r="BQ43">
            <v>0</v>
          </cell>
          <cell r="BR43" t="e">
            <v>#DIV/0!</v>
          </cell>
          <cell r="BS43">
            <v>36087.300000000003</v>
          </cell>
          <cell r="BT43">
            <v>7598.047337</v>
          </cell>
          <cell r="BU43">
            <v>-28489.252663000003</v>
          </cell>
          <cell r="BV43">
            <v>3608.73</v>
          </cell>
          <cell r="BW43">
            <v>1.9499507612752626E-2</v>
          </cell>
          <cell r="BX43">
            <v>0</v>
          </cell>
          <cell r="BY43" t="e">
            <v>#DIV/0!</v>
          </cell>
          <cell r="BZ43">
            <v>39696.030000000006</v>
          </cell>
          <cell r="CA43">
            <v>7598.047337</v>
          </cell>
          <cell r="CB43">
            <v>-32097.982663000006</v>
          </cell>
          <cell r="CC43">
            <v>3608.73</v>
          </cell>
          <cell r="CD43">
            <v>1.9499507612752626E-2</v>
          </cell>
          <cell r="CE43">
            <v>0</v>
          </cell>
          <cell r="CF43" t="e">
            <v>#DIV/0!</v>
          </cell>
          <cell r="CG43">
            <v>43304.760000000009</v>
          </cell>
          <cell r="CH43">
            <v>7598.047337</v>
          </cell>
          <cell r="CI43">
            <v>-35706.712663000013</v>
          </cell>
        </row>
        <row r="44">
          <cell r="A44" t="str">
            <v>Plano Odontológico</v>
          </cell>
          <cell r="B44">
            <v>4.6352573615214451E-4</v>
          </cell>
          <cell r="C44">
            <v>93.560834666666665</v>
          </cell>
          <cell r="D44">
            <v>107.59</v>
          </cell>
          <cell r="E44">
            <v>4.6508374792746164E-4</v>
          </cell>
          <cell r="F44">
            <v>87.880020999999999</v>
          </cell>
          <cell r="G44">
            <v>6.4448208734263176E-4</v>
          </cell>
          <cell r="H44">
            <v>107.59</v>
          </cell>
          <cell r="I44">
            <v>87.880020999999999</v>
          </cell>
          <cell r="J44">
            <v>-19.709979000000004</v>
          </cell>
          <cell r="K44">
            <v>107.59</v>
          </cell>
          <cell r="L44">
            <v>5.8135466606148295E-4</v>
          </cell>
          <cell r="M44">
            <v>87.879990000000006</v>
          </cell>
          <cell r="N44">
            <v>1.3458317955095033E-3</v>
          </cell>
          <cell r="O44">
            <v>215.18</v>
          </cell>
          <cell r="P44">
            <v>175.76001100000002</v>
          </cell>
          <cell r="Q44">
            <v>-39.419988999999987</v>
          </cell>
          <cell r="R44">
            <v>107.59</v>
          </cell>
          <cell r="S44">
            <v>5.8135466606148295E-4</v>
          </cell>
          <cell r="T44">
            <v>87.879986000000002</v>
          </cell>
          <cell r="U44">
            <v>6.9117463133873424E-4</v>
          </cell>
          <cell r="V44">
            <v>322.77</v>
          </cell>
          <cell r="W44">
            <v>263.63999699999999</v>
          </cell>
          <cell r="X44">
            <v>-59.130002999999988</v>
          </cell>
          <cell r="Y44">
            <v>107.59</v>
          </cell>
          <cell r="Z44">
            <v>5.8135466606148295E-4</v>
          </cell>
          <cell r="AA44">
            <v>0</v>
          </cell>
          <cell r="AB44" t="e">
            <v>#DIV/0!</v>
          </cell>
          <cell r="AC44">
            <v>430.36</v>
          </cell>
          <cell r="AD44">
            <v>263.63999699999999</v>
          </cell>
          <cell r="AE44">
            <v>-166.72000300000002</v>
          </cell>
          <cell r="AF44">
            <v>107.59</v>
          </cell>
          <cell r="AG44">
            <v>7.7513956871000974E-4</v>
          </cell>
          <cell r="AH44">
            <v>0</v>
          </cell>
          <cell r="AI44" t="e">
            <v>#DIV/0!</v>
          </cell>
          <cell r="AJ44">
            <v>537.95000000000005</v>
          </cell>
          <cell r="AK44">
            <v>263.63999699999999</v>
          </cell>
          <cell r="AL44">
            <v>-274.31000300000005</v>
          </cell>
          <cell r="AM44">
            <v>107.59</v>
          </cell>
          <cell r="AN44">
            <v>7.7513956871000974E-4</v>
          </cell>
          <cell r="AO44">
            <v>0</v>
          </cell>
          <cell r="AP44" t="e">
            <v>#DIV/0!</v>
          </cell>
          <cell r="AQ44">
            <v>645.54000000000008</v>
          </cell>
          <cell r="AR44">
            <v>263.63999699999999</v>
          </cell>
          <cell r="AS44">
            <v>-381.90000300000008</v>
          </cell>
          <cell r="AT44">
            <v>107.59</v>
          </cell>
          <cell r="AU44">
            <v>5.8135466606148295E-4</v>
          </cell>
          <cell r="AV44">
            <v>0</v>
          </cell>
          <cell r="AW44" t="e">
            <v>#DIV/0!</v>
          </cell>
          <cell r="AX44">
            <v>753.13000000000011</v>
          </cell>
          <cell r="AY44">
            <v>263.63999699999999</v>
          </cell>
          <cell r="AZ44">
            <v>-489.49000300000012</v>
          </cell>
          <cell r="BA44">
            <v>107.59</v>
          </cell>
          <cell r="BB44">
            <v>5.8135466606148295E-4</v>
          </cell>
          <cell r="BC44">
            <v>0</v>
          </cell>
          <cell r="BD44" t="e">
            <v>#DIV/0!</v>
          </cell>
          <cell r="BE44">
            <v>860.72000000000014</v>
          </cell>
          <cell r="BF44">
            <v>263.63999699999999</v>
          </cell>
          <cell r="BG44">
            <v>-597.08000300000015</v>
          </cell>
          <cell r="BH44">
            <v>107.59</v>
          </cell>
          <cell r="BI44">
            <v>5.8135466606148295E-4</v>
          </cell>
          <cell r="BJ44">
            <v>0</v>
          </cell>
          <cell r="BK44" t="e">
            <v>#DIV/0!</v>
          </cell>
          <cell r="BL44">
            <v>968.31000000000017</v>
          </cell>
          <cell r="BM44">
            <v>263.63999699999999</v>
          </cell>
          <cell r="BN44">
            <v>-704.67000300000018</v>
          </cell>
          <cell r="BO44">
            <v>107.59</v>
          </cell>
          <cell r="BP44">
            <v>4.6508374792746164E-4</v>
          </cell>
          <cell r="BQ44">
            <v>0</v>
          </cell>
          <cell r="BR44" t="e">
            <v>#DIV/0!</v>
          </cell>
          <cell r="BS44">
            <v>1075.9000000000001</v>
          </cell>
          <cell r="BT44">
            <v>263.63999699999999</v>
          </cell>
          <cell r="BU44">
            <v>-812.2600030000001</v>
          </cell>
          <cell r="BV44">
            <v>107.59</v>
          </cell>
          <cell r="BW44">
            <v>5.8135466606148295E-4</v>
          </cell>
          <cell r="BX44">
            <v>0</v>
          </cell>
          <cell r="BY44" t="e">
            <v>#DIV/0!</v>
          </cell>
          <cell r="BZ44">
            <v>1183.49</v>
          </cell>
          <cell r="CA44">
            <v>263.63999699999999</v>
          </cell>
          <cell r="CB44">
            <v>-919.85000300000002</v>
          </cell>
          <cell r="CC44">
            <v>107.59</v>
          </cell>
          <cell r="CD44">
            <v>5.8135466606148295E-4</v>
          </cell>
          <cell r="CE44">
            <v>0</v>
          </cell>
          <cell r="CF44" t="e">
            <v>#DIV/0!</v>
          </cell>
          <cell r="CG44">
            <v>1291.08</v>
          </cell>
          <cell r="CH44">
            <v>263.63999699999999</v>
          </cell>
          <cell r="CI44">
            <v>-1027.4400029999999</v>
          </cell>
        </row>
        <row r="45">
          <cell r="A45" t="str">
            <v>Redação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>
            <v>0.1679689724654784</v>
          </cell>
          <cell r="C46">
            <v>33903.872074999999</v>
          </cell>
          <cell r="D46">
            <v>53240</v>
          </cell>
          <cell r="E46">
            <v>0.23014275248311236</v>
          </cell>
          <cell r="F46">
            <v>49543.434499999996</v>
          </cell>
          <cell r="G46">
            <v>0.36333464327099957</v>
          </cell>
          <cell r="H46">
            <v>53240</v>
          </cell>
          <cell r="I46">
            <v>49543.434499999996</v>
          </cell>
          <cell r="J46">
            <v>-3696.5655000000042</v>
          </cell>
          <cell r="K46">
            <v>53240</v>
          </cell>
          <cell r="L46">
            <v>0.28767843127719445</v>
          </cell>
          <cell r="M46">
            <v>52389.054000000004</v>
          </cell>
          <cell r="N46">
            <v>0.80230840501761924</v>
          </cell>
          <cell r="O46">
            <v>106480</v>
          </cell>
          <cell r="P46">
            <v>101932.48850000001</v>
          </cell>
          <cell r="Q46">
            <v>-4547.5114999999932</v>
          </cell>
          <cell r="R46">
            <v>53240</v>
          </cell>
          <cell r="S46">
            <v>0.28767843127719445</v>
          </cell>
          <cell r="T46">
            <v>49024.59</v>
          </cell>
          <cell r="U46">
            <v>0.38557758668489767</v>
          </cell>
          <cell r="V46">
            <v>159720</v>
          </cell>
          <cell r="W46">
            <v>150957.0785</v>
          </cell>
          <cell r="X46">
            <v>-8762.9214999999967</v>
          </cell>
          <cell r="Y46">
            <v>53240</v>
          </cell>
          <cell r="Z46">
            <v>0.28767843127719445</v>
          </cell>
          <cell r="AA46">
            <v>0</v>
          </cell>
          <cell r="AB46" t="e">
            <v>#DIV/0!</v>
          </cell>
          <cell r="AC46">
            <v>212960</v>
          </cell>
          <cell r="AD46">
            <v>150957.0785</v>
          </cell>
          <cell r="AE46">
            <v>-62002.921499999997</v>
          </cell>
          <cell r="AF46">
            <v>53240</v>
          </cell>
          <cell r="AG46">
            <v>0.38357124861158953</v>
          </cell>
          <cell r="AH46">
            <v>0</v>
          </cell>
          <cell r="AI46" t="e">
            <v>#DIV/0!</v>
          </cell>
          <cell r="AJ46">
            <v>266200</v>
          </cell>
          <cell r="AK46">
            <v>150957.0785</v>
          </cell>
          <cell r="AL46">
            <v>-115242.9215</v>
          </cell>
          <cell r="AM46">
            <v>53240</v>
          </cell>
          <cell r="AN46">
            <v>0.38357124861158953</v>
          </cell>
          <cell r="AO46">
            <v>0</v>
          </cell>
          <cell r="AP46" t="e">
            <v>#DIV/0!</v>
          </cell>
          <cell r="AQ46">
            <v>319440</v>
          </cell>
          <cell r="AR46">
            <v>150957.0785</v>
          </cell>
          <cell r="AS46">
            <v>-168482.9215</v>
          </cell>
          <cell r="AT46">
            <v>53240</v>
          </cell>
          <cell r="AU46">
            <v>0.28767843127719445</v>
          </cell>
          <cell r="AV46">
            <v>0</v>
          </cell>
          <cell r="AW46" t="e">
            <v>#DIV/0!</v>
          </cell>
          <cell r="AX46">
            <v>372680</v>
          </cell>
          <cell r="AY46">
            <v>150957.0785</v>
          </cell>
          <cell r="AZ46">
            <v>-221722.9215</v>
          </cell>
          <cell r="BA46">
            <v>53240</v>
          </cell>
          <cell r="BB46">
            <v>0.28767843127719445</v>
          </cell>
          <cell r="BC46">
            <v>0</v>
          </cell>
          <cell r="BD46" t="e">
            <v>#DIV/0!</v>
          </cell>
          <cell r="BE46">
            <v>425920</v>
          </cell>
          <cell r="BF46">
            <v>150957.0785</v>
          </cell>
          <cell r="BG46">
            <v>-274962.9215</v>
          </cell>
          <cell r="BH46">
            <v>53240</v>
          </cell>
          <cell r="BI46">
            <v>0.28767843127719445</v>
          </cell>
          <cell r="BJ46">
            <v>0</v>
          </cell>
          <cell r="BK46" t="e">
            <v>#DIV/0!</v>
          </cell>
          <cell r="BL46">
            <v>479160</v>
          </cell>
          <cell r="BM46">
            <v>150957.0785</v>
          </cell>
          <cell r="BN46">
            <v>-328202.9215</v>
          </cell>
          <cell r="BO46">
            <v>53240</v>
          </cell>
          <cell r="BP46">
            <v>0.23014275248311236</v>
          </cell>
          <cell r="BQ46">
            <v>0</v>
          </cell>
          <cell r="BR46" t="e">
            <v>#DIV/0!</v>
          </cell>
          <cell r="BS46">
            <v>532400</v>
          </cell>
          <cell r="BT46">
            <v>150957.0785</v>
          </cell>
          <cell r="BU46">
            <v>-381442.9215</v>
          </cell>
          <cell r="BV46">
            <v>53240</v>
          </cell>
          <cell r="BW46">
            <v>0.28767843127719445</v>
          </cell>
          <cell r="BX46">
            <v>0</v>
          </cell>
          <cell r="BY46" t="e">
            <v>#DIV/0!</v>
          </cell>
          <cell r="BZ46">
            <v>585640</v>
          </cell>
          <cell r="CA46">
            <v>150957.0785</v>
          </cell>
          <cell r="CB46">
            <v>-434682.9215</v>
          </cell>
          <cell r="CC46">
            <v>53240</v>
          </cell>
          <cell r="CD46">
            <v>0.28767843127719445</v>
          </cell>
          <cell r="CE46">
            <v>0</v>
          </cell>
          <cell r="CF46" t="e">
            <v>#DIV/0!</v>
          </cell>
          <cell r="CG46">
            <v>638880</v>
          </cell>
          <cell r="CH46">
            <v>150957.0785</v>
          </cell>
          <cell r="CI46">
            <v>-487922.9215</v>
          </cell>
        </row>
        <row r="47">
          <cell r="A47" t="str">
            <v>Pesquisas/Consultas</v>
          </cell>
          <cell r="B47">
            <v>8.0446509908100054E-4</v>
          </cell>
          <cell r="C47">
            <v>162.3780952380952</v>
          </cell>
          <cell r="D47">
            <v>178.61</v>
          </cell>
          <cell r="E47">
            <v>7.7208484261849552E-4</v>
          </cell>
          <cell r="F47">
            <v>58.9</v>
          </cell>
          <cell r="G47">
            <v>4.3195250197403812E-4</v>
          </cell>
          <cell r="H47">
            <v>178.61</v>
          </cell>
          <cell r="I47">
            <v>58.9</v>
          </cell>
          <cell r="J47">
            <v>-119.71000000000001</v>
          </cell>
          <cell r="K47">
            <v>178.61</v>
          </cell>
          <cell r="L47">
            <v>9.6510602198384115E-4</v>
          </cell>
          <cell r="M47">
            <v>58.9</v>
          </cell>
          <cell r="N47">
            <v>9.0201981993295335E-4</v>
          </cell>
          <cell r="O47">
            <v>357.22</v>
          </cell>
          <cell r="P47">
            <v>117.8</v>
          </cell>
          <cell r="Q47">
            <v>-239.42000000000002</v>
          </cell>
          <cell r="R47">
            <v>178.61</v>
          </cell>
          <cell r="S47">
            <v>9.6510602198384115E-4</v>
          </cell>
          <cell r="T47">
            <v>40.479999999999997</v>
          </cell>
          <cell r="U47">
            <v>3.1837452815015193E-4</v>
          </cell>
          <cell r="V47">
            <v>535.83000000000004</v>
          </cell>
          <cell r="W47">
            <v>158.28</v>
          </cell>
          <cell r="X47">
            <v>-377.55000000000007</v>
          </cell>
          <cell r="Y47">
            <v>178.61</v>
          </cell>
          <cell r="Z47">
            <v>9.6510602198384115E-4</v>
          </cell>
          <cell r="AA47">
            <v>0</v>
          </cell>
          <cell r="AB47" t="e">
            <v>#DIV/0!</v>
          </cell>
          <cell r="AC47">
            <v>714.44</v>
          </cell>
          <cell r="AD47">
            <v>158.28</v>
          </cell>
          <cell r="AE47">
            <v>-556.16000000000008</v>
          </cell>
          <cell r="AF47">
            <v>178.61</v>
          </cell>
          <cell r="AG47">
            <v>1.2868080524890309E-3</v>
          </cell>
          <cell r="AH47">
            <v>0</v>
          </cell>
          <cell r="AI47" t="e">
            <v>#DIV/0!</v>
          </cell>
          <cell r="AJ47">
            <v>893.05000000000007</v>
          </cell>
          <cell r="AK47">
            <v>158.28</v>
          </cell>
          <cell r="AL47">
            <v>-734.7700000000001</v>
          </cell>
          <cell r="AM47">
            <v>178.61</v>
          </cell>
          <cell r="AN47">
            <v>1.2868080524890309E-3</v>
          </cell>
          <cell r="AO47">
            <v>0</v>
          </cell>
          <cell r="AP47" t="e">
            <v>#DIV/0!</v>
          </cell>
          <cell r="AQ47">
            <v>1071.6600000000001</v>
          </cell>
          <cell r="AR47">
            <v>158.28</v>
          </cell>
          <cell r="AS47">
            <v>-913.38000000000011</v>
          </cell>
          <cell r="AT47">
            <v>178.61</v>
          </cell>
          <cell r="AU47">
            <v>9.6510602198384115E-4</v>
          </cell>
          <cell r="AV47">
            <v>0</v>
          </cell>
          <cell r="AW47" t="e">
            <v>#DIV/0!</v>
          </cell>
          <cell r="AX47">
            <v>1250.27</v>
          </cell>
          <cell r="AY47">
            <v>158.28</v>
          </cell>
          <cell r="AZ47">
            <v>-1091.99</v>
          </cell>
          <cell r="BA47">
            <v>178.61</v>
          </cell>
          <cell r="BB47">
            <v>9.6510602198384115E-4</v>
          </cell>
          <cell r="BC47">
            <v>0</v>
          </cell>
          <cell r="BD47" t="e">
            <v>#DIV/0!</v>
          </cell>
          <cell r="BE47">
            <v>1428.88</v>
          </cell>
          <cell r="BF47">
            <v>158.28</v>
          </cell>
          <cell r="BG47">
            <v>-1270.6000000000001</v>
          </cell>
          <cell r="BH47">
            <v>178.61</v>
          </cell>
          <cell r="BI47">
            <v>9.6510602198384115E-4</v>
          </cell>
          <cell r="BJ47">
            <v>0</v>
          </cell>
          <cell r="BK47" t="e">
            <v>#DIV/0!</v>
          </cell>
          <cell r="BL47">
            <v>1607.4900000000002</v>
          </cell>
          <cell r="BM47">
            <v>158.28</v>
          </cell>
          <cell r="BN47">
            <v>-1449.2100000000003</v>
          </cell>
          <cell r="BO47">
            <v>178.61</v>
          </cell>
          <cell r="BP47">
            <v>7.7208484261849552E-4</v>
          </cell>
          <cell r="BQ47">
            <v>0</v>
          </cell>
          <cell r="BR47" t="e">
            <v>#DIV/0!</v>
          </cell>
          <cell r="BS47">
            <v>1786.1000000000004</v>
          </cell>
          <cell r="BT47">
            <v>158.28</v>
          </cell>
          <cell r="BU47">
            <v>-1627.8200000000004</v>
          </cell>
          <cell r="BV47">
            <v>178.61</v>
          </cell>
          <cell r="BW47">
            <v>9.6510602198384115E-4</v>
          </cell>
          <cell r="BX47">
            <v>0</v>
          </cell>
          <cell r="BY47" t="e">
            <v>#DIV/0!</v>
          </cell>
          <cell r="BZ47">
            <v>1964.7100000000005</v>
          </cell>
          <cell r="CA47">
            <v>158.28</v>
          </cell>
          <cell r="CB47">
            <v>-1806.4300000000005</v>
          </cell>
          <cell r="CC47">
            <v>178.61</v>
          </cell>
          <cell r="CD47">
            <v>9.6510602198384115E-4</v>
          </cell>
          <cell r="CE47">
            <v>0</v>
          </cell>
          <cell r="CF47" t="e">
            <v>#DIV/0!</v>
          </cell>
          <cell r="CG47">
            <v>2143.3200000000006</v>
          </cell>
          <cell r="CH47">
            <v>158.28</v>
          </cell>
          <cell r="CI47">
            <v>-1985.0400000000006</v>
          </cell>
        </row>
        <row r="48">
          <cell r="A48" t="str">
            <v>Seguro de Vida</v>
          </cell>
          <cell r="B48">
            <v>4.6867452717644533E-4</v>
          </cell>
          <cell r="C48">
            <v>94.600097749999989</v>
          </cell>
          <cell r="D48">
            <v>105</v>
          </cell>
          <cell r="E48">
            <v>4.5388784768457546E-4</v>
          </cell>
          <cell r="F48">
            <v>94.019976</v>
          </cell>
          <cell r="G48">
            <v>6.8951042221967768E-4</v>
          </cell>
          <cell r="H48">
            <v>105</v>
          </cell>
          <cell r="I48">
            <v>94.019976</v>
          </cell>
          <cell r="J48">
            <v>-10.980024</v>
          </cell>
          <cell r="K48">
            <v>105</v>
          </cell>
          <cell r="L48">
            <v>5.6735979121159681E-4</v>
          </cell>
          <cell r="M48">
            <v>93.049998000000002</v>
          </cell>
          <cell r="N48">
            <v>1.4250075117270234E-3</v>
          </cell>
          <cell r="O48">
            <v>210</v>
          </cell>
          <cell r="P48">
            <v>187.069974</v>
          </cell>
          <cell r="Q48">
            <v>-22.930025999999998</v>
          </cell>
          <cell r="R48">
            <v>105</v>
          </cell>
          <cell r="S48">
            <v>5.6735979121159681E-4</v>
          </cell>
          <cell r="T48">
            <v>82.509973000000002</v>
          </cell>
          <cell r="U48">
            <v>6.4893956822027613E-4</v>
          </cell>
          <cell r="V48">
            <v>315</v>
          </cell>
          <cell r="W48">
            <v>269.579947</v>
          </cell>
          <cell r="X48">
            <v>-45.420052999999996</v>
          </cell>
          <cell r="Y48">
            <v>105</v>
          </cell>
          <cell r="Z48">
            <v>5.6735979121159681E-4</v>
          </cell>
          <cell r="AA48">
            <v>0</v>
          </cell>
          <cell r="AB48" t="e">
            <v>#DIV/0!</v>
          </cell>
          <cell r="AC48">
            <v>420</v>
          </cell>
          <cell r="AD48">
            <v>269.579947</v>
          </cell>
          <cell r="AE48">
            <v>-150.420053</v>
          </cell>
          <cell r="AF48">
            <v>105</v>
          </cell>
          <cell r="AG48">
            <v>7.564797352407382E-4</v>
          </cell>
          <cell r="AH48">
            <v>0</v>
          </cell>
          <cell r="AI48" t="e">
            <v>#DIV/0!</v>
          </cell>
          <cell r="AJ48">
            <v>525</v>
          </cell>
          <cell r="AK48">
            <v>269.579947</v>
          </cell>
          <cell r="AL48">
            <v>-255.420053</v>
          </cell>
          <cell r="AM48">
            <v>105</v>
          </cell>
          <cell r="AN48">
            <v>7.564797352407382E-4</v>
          </cell>
          <cell r="AO48">
            <v>0</v>
          </cell>
          <cell r="AP48" t="e">
            <v>#DIV/0!</v>
          </cell>
          <cell r="AQ48">
            <v>630</v>
          </cell>
          <cell r="AR48">
            <v>269.579947</v>
          </cell>
          <cell r="AS48">
            <v>-360.420053</v>
          </cell>
          <cell r="AT48">
            <v>105</v>
          </cell>
          <cell r="AU48">
            <v>5.6735979121159681E-4</v>
          </cell>
          <cell r="AV48">
            <v>0</v>
          </cell>
          <cell r="AW48" t="e">
            <v>#DIV/0!</v>
          </cell>
          <cell r="AX48">
            <v>735</v>
          </cell>
          <cell r="AY48">
            <v>269.579947</v>
          </cell>
          <cell r="AZ48">
            <v>-465.420053</v>
          </cell>
          <cell r="BA48">
            <v>105</v>
          </cell>
          <cell r="BB48">
            <v>5.6735979121159681E-4</v>
          </cell>
          <cell r="BC48">
            <v>0</v>
          </cell>
          <cell r="BD48" t="e">
            <v>#DIV/0!</v>
          </cell>
          <cell r="BE48">
            <v>840</v>
          </cell>
          <cell r="BF48">
            <v>269.579947</v>
          </cell>
          <cell r="BG48">
            <v>-570.42005300000005</v>
          </cell>
          <cell r="BH48">
            <v>105</v>
          </cell>
          <cell r="BI48">
            <v>5.6735979121159681E-4</v>
          </cell>
          <cell r="BJ48">
            <v>0</v>
          </cell>
          <cell r="BK48" t="e">
            <v>#DIV/0!</v>
          </cell>
          <cell r="BL48">
            <v>945</v>
          </cell>
          <cell r="BM48">
            <v>269.579947</v>
          </cell>
          <cell r="BN48">
            <v>-675.42005300000005</v>
          </cell>
          <cell r="BO48">
            <v>105</v>
          </cell>
          <cell r="BP48">
            <v>4.5388784768457546E-4</v>
          </cell>
          <cell r="BQ48">
            <v>0</v>
          </cell>
          <cell r="BR48" t="e">
            <v>#DIV/0!</v>
          </cell>
          <cell r="BS48">
            <v>1050</v>
          </cell>
          <cell r="BT48">
            <v>269.579947</v>
          </cell>
          <cell r="BU48">
            <v>-780.42005300000005</v>
          </cell>
          <cell r="BV48">
            <v>105</v>
          </cell>
          <cell r="BW48">
            <v>5.6735979121159681E-4</v>
          </cell>
          <cell r="BX48">
            <v>0</v>
          </cell>
          <cell r="BY48" t="e">
            <v>#DIV/0!</v>
          </cell>
          <cell r="BZ48">
            <v>1155</v>
          </cell>
          <cell r="CA48">
            <v>269.579947</v>
          </cell>
          <cell r="CB48">
            <v>-885.42005300000005</v>
          </cell>
          <cell r="CC48">
            <v>105</v>
          </cell>
          <cell r="CD48">
            <v>5.6735979121159681E-4</v>
          </cell>
          <cell r="CE48">
            <v>0</v>
          </cell>
          <cell r="CF48" t="e">
            <v>#DIV/0!</v>
          </cell>
          <cell r="CG48">
            <v>1260</v>
          </cell>
          <cell r="CH48">
            <v>269.579947</v>
          </cell>
          <cell r="CI48">
            <v>-990.42005300000005</v>
          </cell>
        </row>
        <row r="49">
          <cell r="A49" t="str">
            <v>Indenização por Ruptura de Contrato</v>
          </cell>
          <cell r="B49">
            <v>4.1318744551875836E-3</v>
          </cell>
          <cell r="C49">
            <v>834.00250000000005</v>
          </cell>
          <cell r="D49">
            <v>917.4</v>
          </cell>
          <cell r="E49">
            <v>3.9656829663412335E-3</v>
          </cell>
          <cell r="F49">
            <v>0</v>
          </cell>
          <cell r="G49">
            <v>0</v>
          </cell>
          <cell r="H49">
            <v>917.4</v>
          </cell>
          <cell r="I49">
            <v>0</v>
          </cell>
          <cell r="J49">
            <v>-917.4</v>
          </cell>
          <cell r="K49">
            <v>917.4</v>
          </cell>
          <cell r="L49">
            <v>4.9571035472144656E-3</v>
          </cell>
          <cell r="M49">
            <v>0</v>
          </cell>
          <cell r="N49">
            <v>0</v>
          </cell>
          <cell r="O49">
            <v>1834.8</v>
          </cell>
          <cell r="P49">
            <v>0</v>
          </cell>
          <cell r="Q49">
            <v>-1834.8</v>
          </cell>
          <cell r="R49">
            <v>917.4</v>
          </cell>
          <cell r="S49">
            <v>4.9571035472144656E-3</v>
          </cell>
          <cell r="T49">
            <v>0</v>
          </cell>
          <cell r="U49">
            <v>0</v>
          </cell>
          <cell r="V49">
            <v>2752.2</v>
          </cell>
          <cell r="W49">
            <v>0</v>
          </cell>
          <cell r="X49">
            <v>-2752.2</v>
          </cell>
          <cell r="Y49">
            <v>917.4</v>
          </cell>
          <cell r="Z49">
            <v>4.9571035472144656E-3</v>
          </cell>
          <cell r="AA49">
            <v>0</v>
          </cell>
          <cell r="AB49" t="e">
            <v>#DIV/0!</v>
          </cell>
          <cell r="AC49">
            <v>3669.6</v>
          </cell>
          <cell r="AD49">
            <v>0</v>
          </cell>
          <cell r="AE49">
            <v>-3669.6</v>
          </cell>
          <cell r="AF49">
            <v>917.4</v>
          </cell>
          <cell r="AG49">
            <v>6.6094715153319347E-3</v>
          </cell>
          <cell r="AH49">
            <v>0</v>
          </cell>
          <cell r="AI49" t="e">
            <v>#DIV/0!</v>
          </cell>
          <cell r="AJ49">
            <v>4587</v>
          </cell>
          <cell r="AK49">
            <v>0</v>
          </cell>
          <cell r="AL49">
            <v>-4587</v>
          </cell>
          <cell r="AM49">
            <v>917.4</v>
          </cell>
          <cell r="AN49">
            <v>6.6094715153319347E-3</v>
          </cell>
          <cell r="AO49">
            <v>0</v>
          </cell>
          <cell r="AP49" t="e">
            <v>#DIV/0!</v>
          </cell>
          <cell r="AQ49">
            <v>5504.4</v>
          </cell>
          <cell r="AR49">
            <v>0</v>
          </cell>
          <cell r="AS49">
            <v>-5504.4</v>
          </cell>
          <cell r="AT49">
            <v>917.4</v>
          </cell>
          <cell r="AU49">
            <v>4.9571035472144656E-3</v>
          </cell>
          <cell r="AV49">
            <v>0</v>
          </cell>
          <cell r="AW49" t="e">
            <v>#DIV/0!</v>
          </cell>
          <cell r="AX49">
            <v>6421.7999999999993</v>
          </cell>
          <cell r="AY49">
            <v>0</v>
          </cell>
          <cell r="AZ49">
            <v>-6421.7999999999993</v>
          </cell>
          <cell r="BA49">
            <v>917.4</v>
          </cell>
          <cell r="BB49">
            <v>4.9571035472144656E-3</v>
          </cell>
          <cell r="BC49">
            <v>0</v>
          </cell>
          <cell r="BD49" t="e">
            <v>#DIV/0!</v>
          </cell>
          <cell r="BE49">
            <v>7339.1999999999989</v>
          </cell>
          <cell r="BF49">
            <v>0</v>
          </cell>
          <cell r="BG49">
            <v>-7339.1999999999989</v>
          </cell>
          <cell r="BH49">
            <v>917.4</v>
          </cell>
          <cell r="BI49">
            <v>4.9571035472144656E-3</v>
          </cell>
          <cell r="BJ49">
            <v>0</v>
          </cell>
          <cell r="BK49" t="e">
            <v>#DIV/0!</v>
          </cell>
          <cell r="BL49">
            <v>8256.5999999999985</v>
          </cell>
          <cell r="BM49">
            <v>0</v>
          </cell>
          <cell r="BN49">
            <v>-8256.5999999999985</v>
          </cell>
          <cell r="BO49">
            <v>917.4</v>
          </cell>
          <cell r="BP49">
            <v>3.9656829663412335E-3</v>
          </cell>
          <cell r="BQ49">
            <v>0</v>
          </cell>
          <cell r="BR49" t="e">
            <v>#DIV/0!</v>
          </cell>
          <cell r="BS49">
            <v>9173.9999999999982</v>
          </cell>
          <cell r="BT49">
            <v>0</v>
          </cell>
          <cell r="BU49">
            <v>-9173.9999999999982</v>
          </cell>
          <cell r="BV49">
            <v>917.4</v>
          </cell>
          <cell r="BW49">
            <v>4.9571035472144656E-3</v>
          </cell>
          <cell r="BX49">
            <v>0</v>
          </cell>
          <cell r="BY49" t="e">
            <v>#DIV/0!</v>
          </cell>
          <cell r="BZ49">
            <v>10091.399999999998</v>
          </cell>
          <cell r="CA49">
            <v>0</v>
          </cell>
          <cell r="CB49">
            <v>-10091.399999999998</v>
          </cell>
          <cell r="CC49">
            <v>917.4</v>
          </cell>
          <cell r="CD49">
            <v>4.9571035472144656E-3</v>
          </cell>
          <cell r="CE49">
            <v>0</v>
          </cell>
          <cell r="CF49" t="e">
            <v>#DIV/0!</v>
          </cell>
          <cell r="CG49">
            <v>11008.799999999997</v>
          </cell>
          <cell r="CH49">
            <v>0</v>
          </cell>
          <cell r="CI49">
            <v>-11008.799999999997</v>
          </cell>
        </row>
        <row r="50">
          <cell r="A50" t="str">
            <v>Vale Alimentação / Refeição</v>
          </cell>
          <cell r="B50">
            <v>2.8864202245169127E-3</v>
          </cell>
          <cell r="C50">
            <v>582.61249450000003</v>
          </cell>
          <cell r="D50">
            <v>611.74</v>
          </cell>
          <cell r="E50">
            <v>2.6443938280244017E-3</v>
          </cell>
          <cell r="F50">
            <v>513.22988399999997</v>
          </cell>
          <cell r="G50">
            <v>3.7638528434914319E-3</v>
          </cell>
          <cell r="H50">
            <v>611.74</v>
          </cell>
          <cell r="I50">
            <v>513.22988399999997</v>
          </cell>
          <cell r="J50">
            <v>-98.510116000000039</v>
          </cell>
          <cell r="K50">
            <v>611.74</v>
          </cell>
          <cell r="L50">
            <v>3.305492177864593E-3</v>
          </cell>
          <cell r="M50">
            <v>664.18010400000003</v>
          </cell>
          <cell r="N50">
            <v>1.0171538502769615E-2</v>
          </cell>
          <cell r="O50">
            <v>1223.48</v>
          </cell>
          <cell r="P50">
            <v>1177.4099879999999</v>
          </cell>
          <cell r="Q50">
            <v>-46.070012000000133</v>
          </cell>
          <cell r="R50">
            <v>611.74</v>
          </cell>
          <cell r="S50">
            <v>3.305492177864593E-3</v>
          </cell>
          <cell r="T50">
            <v>630.79988900000001</v>
          </cell>
          <cell r="U50">
            <v>4.9612306575480044E-3</v>
          </cell>
          <cell r="V50">
            <v>1835.22</v>
          </cell>
          <cell r="W50">
            <v>1808.2098769999998</v>
          </cell>
          <cell r="X50">
            <v>-27.010123000000249</v>
          </cell>
          <cell r="Y50">
            <v>611.74</v>
          </cell>
          <cell r="Z50">
            <v>3.305492177864593E-3</v>
          </cell>
          <cell r="AA50">
            <v>0</v>
          </cell>
          <cell r="AB50" t="e">
            <v>#DIV/0!</v>
          </cell>
          <cell r="AC50">
            <v>2446.96</v>
          </cell>
          <cell r="AD50">
            <v>1808.2098769999998</v>
          </cell>
          <cell r="AE50">
            <v>-638.75012300000026</v>
          </cell>
          <cell r="AF50">
            <v>611.74</v>
          </cell>
          <cell r="AG50">
            <v>4.4073229832016112E-3</v>
          </cell>
          <cell r="AH50">
            <v>0</v>
          </cell>
          <cell r="AI50" t="e">
            <v>#DIV/0!</v>
          </cell>
          <cell r="AJ50">
            <v>3058.7</v>
          </cell>
          <cell r="AK50">
            <v>1808.2098769999998</v>
          </cell>
          <cell r="AL50">
            <v>-1250.490123</v>
          </cell>
          <cell r="AM50">
            <v>611.74</v>
          </cell>
          <cell r="AN50">
            <v>4.4073229832016112E-3</v>
          </cell>
          <cell r="AO50">
            <v>0</v>
          </cell>
          <cell r="AP50" t="e">
            <v>#DIV/0!</v>
          </cell>
          <cell r="AQ50">
            <v>3670.4399999999996</v>
          </cell>
          <cell r="AR50">
            <v>1808.2098769999998</v>
          </cell>
          <cell r="AS50">
            <v>-1862.2301229999998</v>
          </cell>
          <cell r="AT50">
            <v>611.74</v>
          </cell>
          <cell r="AU50">
            <v>3.305492177864593E-3</v>
          </cell>
          <cell r="AV50">
            <v>0</v>
          </cell>
          <cell r="AW50" t="e">
            <v>#DIV/0!</v>
          </cell>
          <cell r="AX50">
            <v>4282.1799999999994</v>
          </cell>
          <cell r="AY50">
            <v>1808.2098769999998</v>
          </cell>
          <cell r="AZ50">
            <v>-2473.9701229999996</v>
          </cell>
          <cell r="BA50">
            <v>611.74</v>
          </cell>
          <cell r="BB50">
            <v>3.305492177864593E-3</v>
          </cell>
          <cell r="BC50">
            <v>0</v>
          </cell>
          <cell r="BD50" t="e">
            <v>#DIV/0!</v>
          </cell>
          <cell r="BE50">
            <v>4893.9199999999992</v>
          </cell>
          <cell r="BF50">
            <v>1808.2098769999998</v>
          </cell>
          <cell r="BG50">
            <v>-3085.7101229999994</v>
          </cell>
          <cell r="BH50">
            <v>611.74</v>
          </cell>
          <cell r="BI50">
            <v>3.305492177864593E-3</v>
          </cell>
          <cell r="BJ50">
            <v>0</v>
          </cell>
          <cell r="BK50" t="e">
            <v>#DIV/0!</v>
          </cell>
          <cell r="BL50">
            <v>5505.6599999999989</v>
          </cell>
          <cell r="BM50">
            <v>1808.2098769999998</v>
          </cell>
          <cell r="BN50">
            <v>-3697.4501229999992</v>
          </cell>
          <cell r="BO50">
            <v>611.74</v>
          </cell>
          <cell r="BP50">
            <v>2.6443938280244017E-3</v>
          </cell>
          <cell r="BQ50">
            <v>0</v>
          </cell>
          <cell r="BR50" t="e">
            <v>#DIV/0!</v>
          </cell>
          <cell r="BS50">
            <v>6117.3999999999987</v>
          </cell>
          <cell r="BT50">
            <v>1808.2098769999998</v>
          </cell>
          <cell r="BU50">
            <v>-4309.1901229999985</v>
          </cell>
          <cell r="BV50">
            <v>611.74</v>
          </cell>
          <cell r="BW50">
            <v>3.305492177864593E-3</v>
          </cell>
          <cell r="BX50">
            <v>0</v>
          </cell>
          <cell r="BY50" t="e">
            <v>#DIV/0!</v>
          </cell>
          <cell r="BZ50">
            <v>6729.1399999999985</v>
          </cell>
          <cell r="CA50">
            <v>1808.2098769999998</v>
          </cell>
          <cell r="CB50">
            <v>-4920.9301229999983</v>
          </cell>
          <cell r="CC50">
            <v>611.74</v>
          </cell>
          <cell r="CD50">
            <v>3.305492177864593E-3</v>
          </cell>
          <cell r="CE50">
            <v>0</v>
          </cell>
          <cell r="CF50" t="e">
            <v>#DIV/0!</v>
          </cell>
          <cell r="CG50">
            <v>7340.8799999999983</v>
          </cell>
          <cell r="CH50">
            <v>1808.2098769999998</v>
          </cell>
          <cell r="CI50">
            <v>-5532.6701229999981</v>
          </cell>
        </row>
        <row r="51">
          <cell r="A51" t="str">
            <v>Vale Transporte</v>
          </cell>
          <cell r="B51">
            <v>5.10289921094109E-4</v>
          </cell>
          <cell r="C51">
            <v>103.00000024999999</v>
          </cell>
          <cell r="D51">
            <v>109</v>
          </cell>
          <cell r="E51">
            <v>4.7117881331065449E-4</v>
          </cell>
          <cell r="F51">
            <v>50.4</v>
          </cell>
          <cell r="G51">
            <v>3.6961640236827706E-4</v>
          </cell>
          <cell r="H51">
            <v>109</v>
          </cell>
          <cell r="I51">
            <v>50.4</v>
          </cell>
          <cell r="J51">
            <v>-58.6</v>
          </cell>
          <cell r="K51">
            <v>109</v>
          </cell>
          <cell r="L51">
            <v>5.8897349754346716E-4</v>
          </cell>
          <cell r="M51">
            <v>194.80075600000001</v>
          </cell>
          <cell r="N51">
            <v>2.983262187604808E-3</v>
          </cell>
          <cell r="O51">
            <v>218</v>
          </cell>
          <cell r="P51">
            <v>245.20075600000001</v>
          </cell>
          <cell r="Q51">
            <v>27.200756000000013</v>
          </cell>
          <cell r="R51">
            <v>109</v>
          </cell>
          <cell r="S51">
            <v>5.8897349754346716E-4</v>
          </cell>
          <cell r="T51">
            <v>126</v>
          </cell>
          <cell r="U51">
            <v>9.909879087677655E-4</v>
          </cell>
          <cell r="V51">
            <v>327</v>
          </cell>
          <cell r="W51">
            <v>371.20075600000001</v>
          </cell>
          <cell r="X51">
            <v>44.200756000000013</v>
          </cell>
          <cell r="Y51">
            <v>109</v>
          </cell>
          <cell r="Z51">
            <v>5.8897349754346716E-4</v>
          </cell>
          <cell r="AA51">
            <v>0</v>
          </cell>
          <cell r="AB51" t="e">
            <v>#DIV/0!</v>
          </cell>
          <cell r="AC51">
            <v>436</v>
          </cell>
          <cell r="AD51">
            <v>371.20075600000001</v>
          </cell>
          <cell r="AE51">
            <v>-64.799243999999987</v>
          </cell>
          <cell r="AF51">
            <v>109</v>
          </cell>
          <cell r="AG51">
            <v>7.8529801086895681E-4</v>
          </cell>
          <cell r="AH51">
            <v>0</v>
          </cell>
          <cell r="AI51" t="e">
            <v>#DIV/0!</v>
          </cell>
          <cell r="AJ51">
            <v>545</v>
          </cell>
          <cell r="AK51">
            <v>371.20075600000001</v>
          </cell>
          <cell r="AL51">
            <v>-173.79924399999999</v>
          </cell>
          <cell r="AM51">
            <v>109</v>
          </cell>
          <cell r="AN51">
            <v>7.8529801086895681E-4</v>
          </cell>
          <cell r="AO51">
            <v>0</v>
          </cell>
          <cell r="AP51" t="e">
            <v>#DIV/0!</v>
          </cell>
          <cell r="AQ51">
            <v>654</v>
          </cell>
          <cell r="AR51">
            <v>371.20075600000001</v>
          </cell>
          <cell r="AS51">
            <v>-282.79924399999999</v>
          </cell>
          <cell r="AT51">
            <v>109</v>
          </cell>
          <cell r="AU51">
            <v>5.8897349754346716E-4</v>
          </cell>
          <cell r="AV51">
            <v>0</v>
          </cell>
          <cell r="AW51" t="e">
            <v>#DIV/0!</v>
          </cell>
          <cell r="AX51">
            <v>763</v>
          </cell>
          <cell r="AY51">
            <v>371.20075600000001</v>
          </cell>
          <cell r="AZ51">
            <v>-391.79924399999999</v>
          </cell>
          <cell r="BA51">
            <v>109</v>
          </cell>
          <cell r="BB51">
            <v>5.8897349754346716E-4</v>
          </cell>
          <cell r="BC51">
            <v>0</v>
          </cell>
          <cell r="BD51" t="e">
            <v>#DIV/0!</v>
          </cell>
          <cell r="BE51">
            <v>872</v>
          </cell>
          <cell r="BF51">
            <v>371.20075600000001</v>
          </cell>
          <cell r="BG51">
            <v>-500.79924399999999</v>
          </cell>
          <cell r="BH51">
            <v>109</v>
          </cell>
          <cell r="BI51">
            <v>5.8897349754346716E-4</v>
          </cell>
          <cell r="BJ51">
            <v>0</v>
          </cell>
          <cell r="BK51" t="e">
            <v>#DIV/0!</v>
          </cell>
          <cell r="BL51">
            <v>981</v>
          </cell>
          <cell r="BM51">
            <v>371.20075600000001</v>
          </cell>
          <cell r="BN51">
            <v>-609.79924400000004</v>
          </cell>
          <cell r="BO51">
            <v>109</v>
          </cell>
          <cell r="BP51">
            <v>4.7117881331065449E-4</v>
          </cell>
          <cell r="BQ51">
            <v>0</v>
          </cell>
          <cell r="BR51" t="e">
            <v>#DIV/0!</v>
          </cell>
          <cell r="BS51">
            <v>1090</v>
          </cell>
          <cell r="BT51">
            <v>371.20075600000001</v>
          </cell>
          <cell r="BU51">
            <v>-718.79924400000004</v>
          </cell>
          <cell r="BV51">
            <v>109</v>
          </cell>
          <cell r="BW51">
            <v>5.8897349754346716E-4</v>
          </cell>
          <cell r="BX51">
            <v>0</v>
          </cell>
          <cell r="BY51" t="e">
            <v>#DIV/0!</v>
          </cell>
          <cell r="BZ51">
            <v>1199</v>
          </cell>
          <cell r="CA51">
            <v>371.20075600000001</v>
          </cell>
          <cell r="CB51">
            <v>-827.79924400000004</v>
          </cell>
          <cell r="CC51">
            <v>109</v>
          </cell>
          <cell r="CD51">
            <v>5.8897349754346716E-4</v>
          </cell>
          <cell r="CE51">
            <v>0</v>
          </cell>
          <cell r="CF51" t="e">
            <v>#DIV/0!</v>
          </cell>
          <cell r="CG51">
            <v>1308</v>
          </cell>
          <cell r="CH51">
            <v>371.20075600000001</v>
          </cell>
          <cell r="CI51">
            <v>-936.79924400000004</v>
          </cell>
        </row>
        <row r="52">
          <cell r="A52" t="str">
            <v>Viagens - Alimentação / Hospedagem</v>
          </cell>
          <cell r="B52">
            <v>3.3792257233152147E-4</v>
          </cell>
          <cell r="C52">
            <v>68.208333333333329</v>
          </cell>
          <cell r="D52">
            <v>75</v>
          </cell>
          <cell r="E52">
            <v>3.2420560548898246E-4</v>
          </cell>
          <cell r="F52">
            <v>0</v>
          </cell>
          <cell r="G52">
            <v>0</v>
          </cell>
          <cell r="H52">
            <v>75</v>
          </cell>
          <cell r="I52">
            <v>0</v>
          </cell>
          <cell r="J52">
            <v>-75</v>
          </cell>
          <cell r="K52">
            <v>75</v>
          </cell>
          <cell r="L52">
            <v>4.0525699372256918E-4</v>
          </cell>
          <cell r="M52">
            <v>0</v>
          </cell>
          <cell r="N52">
            <v>0</v>
          </cell>
          <cell r="O52">
            <v>150</v>
          </cell>
          <cell r="P52">
            <v>0</v>
          </cell>
          <cell r="Q52">
            <v>-150</v>
          </cell>
          <cell r="R52">
            <v>75</v>
          </cell>
          <cell r="S52">
            <v>4.0525699372256918E-4</v>
          </cell>
          <cell r="T52">
            <v>0</v>
          </cell>
          <cell r="U52">
            <v>0</v>
          </cell>
          <cell r="V52">
            <v>225</v>
          </cell>
          <cell r="W52">
            <v>0</v>
          </cell>
          <cell r="X52">
            <v>-225</v>
          </cell>
          <cell r="Y52">
            <v>75</v>
          </cell>
          <cell r="Z52">
            <v>4.0525699372256918E-4</v>
          </cell>
          <cell r="AA52">
            <v>0</v>
          </cell>
          <cell r="AB52" t="e">
            <v>#DIV/0!</v>
          </cell>
          <cell r="AC52">
            <v>300</v>
          </cell>
          <cell r="AD52">
            <v>0</v>
          </cell>
          <cell r="AE52">
            <v>-300</v>
          </cell>
          <cell r="AF52">
            <v>75</v>
          </cell>
          <cell r="AG52">
            <v>5.403426680290987E-4</v>
          </cell>
          <cell r="AH52">
            <v>0</v>
          </cell>
          <cell r="AI52" t="e">
            <v>#DIV/0!</v>
          </cell>
          <cell r="AJ52">
            <v>375</v>
          </cell>
          <cell r="AK52">
            <v>0</v>
          </cell>
          <cell r="AL52">
            <v>-375</v>
          </cell>
          <cell r="AM52">
            <v>75</v>
          </cell>
          <cell r="AN52">
            <v>5.403426680290987E-4</v>
          </cell>
          <cell r="AO52">
            <v>0</v>
          </cell>
          <cell r="AP52" t="e">
            <v>#DIV/0!</v>
          </cell>
          <cell r="AQ52">
            <v>450</v>
          </cell>
          <cell r="AR52">
            <v>0</v>
          </cell>
          <cell r="AS52">
            <v>-450</v>
          </cell>
          <cell r="AT52">
            <v>75</v>
          </cell>
          <cell r="AU52">
            <v>4.0525699372256918E-4</v>
          </cell>
          <cell r="AV52">
            <v>0</v>
          </cell>
          <cell r="AW52" t="e">
            <v>#DIV/0!</v>
          </cell>
          <cell r="AX52">
            <v>525</v>
          </cell>
          <cell r="AY52">
            <v>0</v>
          </cell>
          <cell r="AZ52">
            <v>-525</v>
          </cell>
          <cell r="BA52">
            <v>75</v>
          </cell>
          <cell r="BB52">
            <v>4.0525699372256918E-4</v>
          </cell>
          <cell r="BC52">
            <v>0</v>
          </cell>
          <cell r="BD52" t="e">
            <v>#DIV/0!</v>
          </cell>
          <cell r="BE52">
            <v>600</v>
          </cell>
          <cell r="BF52">
            <v>0</v>
          </cell>
          <cell r="BG52">
            <v>-600</v>
          </cell>
          <cell r="BH52">
            <v>75</v>
          </cell>
          <cell r="BI52">
            <v>4.0525699372256918E-4</v>
          </cell>
          <cell r="BJ52">
            <v>0</v>
          </cell>
          <cell r="BK52" t="e">
            <v>#DIV/0!</v>
          </cell>
          <cell r="BL52">
            <v>675</v>
          </cell>
          <cell r="BM52">
            <v>0</v>
          </cell>
          <cell r="BN52">
            <v>-675</v>
          </cell>
          <cell r="BO52">
            <v>75</v>
          </cell>
          <cell r="BP52">
            <v>3.2420560548898246E-4</v>
          </cell>
          <cell r="BQ52">
            <v>0</v>
          </cell>
          <cell r="BR52" t="e">
            <v>#DIV/0!</v>
          </cell>
          <cell r="BS52">
            <v>750</v>
          </cell>
          <cell r="BT52">
            <v>0</v>
          </cell>
          <cell r="BU52">
            <v>-750</v>
          </cell>
          <cell r="BV52">
            <v>75</v>
          </cell>
          <cell r="BW52">
            <v>4.0525699372256918E-4</v>
          </cell>
          <cell r="BX52">
            <v>0</v>
          </cell>
          <cell r="BY52" t="e">
            <v>#DIV/0!</v>
          </cell>
          <cell r="BZ52">
            <v>825</v>
          </cell>
          <cell r="CA52">
            <v>0</v>
          </cell>
          <cell r="CB52">
            <v>-825</v>
          </cell>
          <cell r="CC52">
            <v>75</v>
          </cell>
          <cell r="CD52">
            <v>4.0525699372256918E-4</v>
          </cell>
          <cell r="CE52">
            <v>0</v>
          </cell>
          <cell r="CF52" t="e">
            <v>#DIV/0!</v>
          </cell>
          <cell r="CG52">
            <v>900</v>
          </cell>
          <cell r="CH52">
            <v>0</v>
          </cell>
          <cell r="CI52">
            <v>-900</v>
          </cell>
        </row>
        <row r="53">
          <cell r="A53" t="str">
            <v>Viagens - Passagens / Traslados</v>
          </cell>
          <cell r="B53">
            <v>2.5610526280283865E-3</v>
          </cell>
          <cell r="C53">
            <v>516.93833333333339</v>
          </cell>
          <cell r="D53">
            <v>568.63</v>
          </cell>
          <cell r="E53">
            <v>2.4580404459893348E-3</v>
          </cell>
          <cell r="F53">
            <v>0</v>
          </cell>
          <cell r="G53">
            <v>0</v>
          </cell>
          <cell r="H53">
            <v>568.63</v>
          </cell>
          <cell r="I53">
            <v>0</v>
          </cell>
          <cell r="J53">
            <v>-568.63</v>
          </cell>
          <cell r="K53">
            <v>568.63</v>
          </cell>
          <cell r="L53">
            <v>3.0725504578728601E-3</v>
          </cell>
          <cell r="M53">
            <v>0</v>
          </cell>
          <cell r="N53">
            <v>0</v>
          </cell>
          <cell r="O53">
            <v>1137.26</v>
          </cell>
          <cell r="P53">
            <v>0</v>
          </cell>
          <cell r="Q53">
            <v>-1137.26</v>
          </cell>
          <cell r="R53">
            <v>568.63</v>
          </cell>
          <cell r="S53">
            <v>3.0725504578728601E-3</v>
          </cell>
          <cell r="T53">
            <v>0</v>
          </cell>
          <cell r="U53">
            <v>0</v>
          </cell>
          <cell r="V53">
            <v>1705.8899999999999</v>
          </cell>
          <cell r="W53">
            <v>0</v>
          </cell>
          <cell r="X53">
            <v>-1705.8899999999999</v>
          </cell>
          <cell r="Y53">
            <v>568.63</v>
          </cell>
          <cell r="Z53">
            <v>3.0725504578728601E-3</v>
          </cell>
          <cell r="AA53">
            <v>0</v>
          </cell>
          <cell r="AB53" t="e">
            <v>#DIV/0!</v>
          </cell>
          <cell r="AC53">
            <v>2274.52</v>
          </cell>
          <cell r="AD53">
            <v>0</v>
          </cell>
          <cell r="AE53">
            <v>-2274.52</v>
          </cell>
          <cell r="AF53">
            <v>568.63</v>
          </cell>
          <cell r="AG53">
            <v>4.0967340176184851E-3</v>
          </cell>
          <cell r="AH53">
            <v>0</v>
          </cell>
          <cell r="AI53" t="e">
            <v>#DIV/0!</v>
          </cell>
          <cell r="AJ53">
            <v>2843.15</v>
          </cell>
          <cell r="AK53">
            <v>0</v>
          </cell>
          <cell r="AL53">
            <v>-2843.15</v>
          </cell>
          <cell r="AM53">
            <v>568.63</v>
          </cell>
          <cell r="AN53">
            <v>4.0967340176184851E-3</v>
          </cell>
          <cell r="AO53">
            <v>0</v>
          </cell>
          <cell r="AP53" t="e">
            <v>#DIV/0!</v>
          </cell>
          <cell r="AQ53">
            <v>3411.78</v>
          </cell>
          <cell r="AR53">
            <v>0</v>
          </cell>
          <cell r="AS53">
            <v>-3411.78</v>
          </cell>
          <cell r="AT53">
            <v>568.63</v>
          </cell>
          <cell r="AU53">
            <v>3.0725504578728601E-3</v>
          </cell>
          <cell r="AV53">
            <v>0</v>
          </cell>
          <cell r="AW53" t="e">
            <v>#DIV/0!</v>
          </cell>
          <cell r="AX53">
            <v>3980.4100000000003</v>
          </cell>
          <cell r="AY53">
            <v>0</v>
          </cell>
          <cell r="AZ53">
            <v>-3980.4100000000003</v>
          </cell>
          <cell r="BA53">
            <v>568.63</v>
          </cell>
          <cell r="BB53">
            <v>3.0725504578728601E-3</v>
          </cell>
          <cell r="BC53">
            <v>0</v>
          </cell>
          <cell r="BD53" t="e">
            <v>#DIV/0!</v>
          </cell>
          <cell r="BE53">
            <v>4549.04</v>
          </cell>
          <cell r="BF53">
            <v>0</v>
          </cell>
          <cell r="BG53">
            <v>-4549.04</v>
          </cell>
          <cell r="BH53">
            <v>568.63</v>
          </cell>
          <cell r="BI53">
            <v>3.0725504578728601E-3</v>
          </cell>
          <cell r="BJ53">
            <v>0</v>
          </cell>
          <cell r="BK53" t="e">
            <v>#DIV/0!</v>
          </cell>
          <cell r="BL53">
            <v>5117.67</v>
          </cell>
          <cell r="BM53">
            <v>0</v>
          </cell>
          <cell r="BN53">
            <v>-5117.67</v>
          </cell>
          <cell r="BO53">
            <v>568.63</v>
          </cell>
          <cell r="BP53">
            <v>2.4580404459893348E-3</v>
          </cell>
          <cell r="BQ53">
            <v>0</v>
          </cell>
          <cell r="BR53" t="e">
            <v>#DIV/0!</v>
          </cell>
          <cell r="BS53">
            <v>5686.3</v>
          </cell>
          <cell r="BT53">
            <v>0</v>
          </cell>
          <cell r="BU53">
            <v>-5686.3</v>
          </cell>
          <cell r="BV53">
            <v>568.63</v>
          </cell>
          <cell r="BW53">
            <v>3.0725504578728601E-3</v>
          </cell>
          <cell r="BX53">
            <v>0</v>
          </cell>
          <cell r="BY53" t="e">
            <v>#DIV/0!</v>
          </cell>
          <cell r="BZ53">
            <v>6254.93</v>
          </cell>
          <cell r="CA53">
            <v>0</v>
          </cell>
          <cell r="CB53">
            <v>-6254.93</v>
          </cell>
          <cell r="CC53">
            <v>568.63</v>
          </cell>
          <cell r="CD53">
            <v>3.0725504578728601E-3</v>
          </cell>
          <cell r="CE53">
            <v>0</v>
          </cell>
          <cell r="CF53" t="e">
            <v>#DIV/0!</v>
          </cell>
          <cell r="CG53">
            <v>6823.56</v>
          </cell>
          <cell r="CH53">
            <v>0</v>
          </cell>
          <cell r="CI53">
            <v>-6823.56</v>
          </cell>
        </row>
      </sheetData>
      <sheetData sheetId="33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e">
            <v>#DIV/0!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e">
            <v>#DIV/0!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663.61</v>
          </cell>
          <cell r="E13">
            <v>2.2120333333333332E-2</v>
          </cell>
          <cell r="F13">
            <v>0</v>
          </cell>
          <cell r="G13">
            <v>0</v>
          </cell>
          <cell r="H13">
            <v>663.61</v>
          </cell>
          <cell r="I13">
            <v>0</v>
          </cell>
          <cell r="J13">
            <v>-663.61</v>
          </cell>
          <cell r="K13">
            <v>663.61</v>
          </cell>
          <cell r="L13">
            <v>1.618560975609756E-2</v>
          </cell>
          <cell r="M13">
            <v>0</v>
          </cell>
          <cell r="N13" t="e">
            <v>#DIV/0!</v>
          </cell>
          <cell r="O13">
            <v>1327.22</v>
          </cell>
          <cell r="P13">
            <v>0</v>
          </cell>
          <cell r="Q13">
            <v>-1327.22</v>
          </cell>
          <cell r="R13">
            <v>663.61</v>
          </cell>
          <cell r="S13">
            <v>1.8131420765027322E-2</v>
          </cell>
          <cell r="T13">
            <v>0</v>
          </cell>
          <cell r="U13">
            <v>0</v>
          </cell>
          <cell r="V13">
            <v>1990.83</v>
          </cell>
          <cell r="W13">
            <v>0</v>
          </cell>
          <cell r="X13">
            <v>-1990.83</v>
          </cell>
          <cell r="Y13">
            <v>663.61</v>
          </cell>
          <cell r="Z13">
            <v>1.8131420765027322E-2</v>
          </cell>
          <cell r="AA13">
            <v>0</v>
          </cell>
          <cell r="AB13" t="e">
            <v>#DIV/0!</v>
          </cell>
          <cell r="AC13">
            <v>2654.44</v>
          </cell>
          <cell r="AD13">
            <v>0</v>
          </cell>
          <cell r="AE13">
            <v>-2654.44</v>
          </cell>
          <cell r="AF13">
            <v>663.61</v>
          </cell>
          <cell r="AG13">
            <v>1.8131420765027322E-2</v>
          </cell>
          <cell r="AH13">
            <v>0</v>
          </cell>
          <cell r="AI13" t="e">
            <v>#DIV/0!</v>
          </cell>
          <cell r="AJ13">
            <v>3318.05</v>
          </cell>
          <cell r="AK13">
            <v>0</v>
          </cell>
          <cell r="AL13">
            <v>-3318.05</v>
          </cell>
          <cell r="AM13">
            <v>663.61</v>
          </cell>
          <cell r="AN13">
            <v>1.8131420765027322E-2</v>
          </cell>
          <cell r="AO13">
            <v>0</v>
          </cell>
          <cell r="AP13" t="e">
            <v>#DIV/0!</v>
          </cell>
          <cell r="AQ13">
            <v>3981.6600000000003</v>
          </cell>
          <cell r="AR13">
            <v>0</v>
          </cell>
          <cell r="AS13">
            <v>-3981.6600000000003</v>
          </cell>
          <cell r="AT13">
            <v>663.61</v>
          </cell>
          <cell r="AU13">
            <v>1.8131420765027322E-2</v>
          </cell>
          <cell r="AV13">
            <v>0</v>
          </cell>
          <cell r="AW13" t="e">
            <v>#DIV/0!</v>
          </cell>
          <cell r="AX13">
            <v>4645.2700000000004</v>
          </cell>
          <cell r="AY13">
            <v>0</v>
          </cell>
          <cell r="AZ13">
            <v>-4645.2700000000004</v>
          </cell>
          <cell r="BA13">
            <v>663.61</v>
          </cell>
          <cell r="BB13">
            <v>1.8131420765027322E-2</v>
          </cell>
          <cell r="BC13">
            <v>0</v>
          </cell>
          <cell r="BD13" t="e">
            <v>#DIV/0!</v>
          </cell>
          <cell r="BE13">
            <v>5308.88</v>
          </cell>
          <cell r="BF13">
            <v>0</v>
          </cell>
          <cell r="BG13">
            <v>-5308.88</v>
          </cell>
          <cell r="BH13">
            <v>663.61</v>
          </cell>
          <cell r="BI13">
            <v>1.8131420765027322E-2</v>
          </cell>
          <cell r="BJ13">
            <v>0</v>
          </cell>
          <cell r="BK13" t="e">
            <v>#DIV/0!</v>
          </cell>
          <cell r="BL13">
            <v>5972.49</v>
          </cell>
          <cell r="BM13">
            <v>0</v>
          </cell>
          <cell r="BN13">
            <v>-5972.49</v>
          </cell>
          <cell r="BO13">
            <v>663.61</v>
          </cell>
          <cell r="BP13">
            <v>1.8131420765027322E-2</v>
          </cell>
          <cell r="BQ13">
            <v>0</v>
          </cell>
          <cell r="BR13" t="e">
            <v>#DIV/0!</v>
          </cell>
          <cell r="BS13">
            <v>6636.0999999999995</v>
          </cell>
          <cell r="BT13">
            <v>0</v>
          </cell>
          <cell r="BU13">
            <v>-6636.0999999999995</v>
          </cell>
          <cell r="BV13">
            <v>663.61</v>
          </cell>
          <cell r="BW13">
            <v>1.8131420765027322E-2</v>
          </cell>
          <cell r="BX13">
            <v>0</v>
          </cell>
          <cell r="BY13" t="e">
            <v>#DIV/0!</v>
          </cell>
          <cell r="BZ13">
            <v>7299.7099999999991</v>
          </cell>
          <cell r="CA13">
            <v>0</v>
          </cell>
          <cell r="CB13">
            <v>-7299.7099999999991</v>
          </cell>
          <cell r="CC13">
            <v>663.61</v>
          </cell>
          <cell r="CD13">
            <v>1.8131420765027322E-2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e">
            <v>#DIV/0!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396</v>
          </cell>
          <cell r="E15">
            <v>1.32E-2</v>
          </cell>
          <cell r="F15">
            <v>53.945</v>
          </cell>
          <cell r="G15">
            <v>2.4299549549549548E-3</v>
          </cell>
          <cell r="H15">
            <v>396</v>
          </cell>
          <cell r="I15">
            <v>53.945</v>
          </cell>
          <cell r="J15">
            <v>-342.05500000000001</v>
          </cell>
          <cell r="K15">
            <v>396</v>
          </cell>
          <cell r="L15">
            <v>9.6585365853658536E-3</v>
          </cell>
          <cell r="M15">
            <v>75.522999999999996</v>
          </cell>
          <cell r="N15" t="e">
            <v>#DIV/0!</v>
          </cell>
          <cell r="O15">
            <v>792</v>
          </cell>
          <cell r="P15">
            <v>129.46799999999999</v>
          </cell>
          <cell r="Q15">
            <v>-662.53200000000004</v>
          </cell>
          <cell r="R15">
            <v>396</v>
          </cell>
          <cell r="S15">
            <v>1.0819672131147541E-2</v>
          </cell>
          <cell r="T15">
            <v>163.98</v>
          </cell>
          <cell r="U15">
            <v>4.9690909090909091E-3</v>
          </cell>
          <cell r="V15">
            <v>1188</v>
          </cell>
          <cell r="W15">
            <v>293.44799999999998</v>
          </cell>
          <cell r="X15">
            <v>-894.55200000000002</v>
          </cell>
          <cell r="Y15">
            <v>396</v>
          </cell>
          <cell r="Z15">
            <v>1.0819672131147541E-2</v>
          </cell>
          <cell r="AA15">
            <v>0</v>
          </cell>
          <cell r="AB15" t="e">
            <v>#DIV/0!</v>
          </cell>
          <cell r="AC15">
            <v>1584</v>
          </cell>
          <cell r="AD15">
            <v>293.44799999999998</v>
          </cell>
          <cell r="AE15">
            <v>-1290.5520000000001</v>
          </cell>
          <cell r="AF15">
            <v>396</v>
          </cell>
          <cell r="AG15">
            <v>1.0819672131147541E-2</v>
          </cell>
          <cell r="AH15">
            <v>0</v>
          </cell>
          <cell r="AI15" t="e">
            <v>#DIV/0!</v>
          </cell>
          <cell r="AJ15">
            <v>1980</v>
          </cell>
          <cell r="AK15">
            <v>293.44799999999998</v>
          </cell>
          <cell r="AL15">
            <v>-1686.5520000000001</v>
          </cell>
          <cell r="AM15">
            <v>396</v>
          </cell>
          <cell r="AN15">
            <v>1.0819672131147541E-2</v>
          </cell>
          <cell r="AO15">
            <v>0</v>
          </cell>
          <cell r="AP15" t="e">
            <v>#DIV/0!</v>
          </cell>
          <cell r="AQ15">
            <v>2376</v>
          </cell>
          <cell r="AR15">
            <v>293.44799999999998</v>
          </cell>
          <cell r="AS15">
            <v>-2082.5520000000001</v>
          </cell>
          <cell r="AT15">
            <v>396</v>
          </cell>
          <cell r="AU15">
            <v>1.0819672131147541E-2</v>
          </cell>
          <cell r="AV15">
            <v>0</v>
          </cell>
          <cell r="AW15" t="e">
            <v>#DIV/0!</v>
          </cell>
          <cell r="AX15">
            <v>2772</v>
          </cell>
          <cell r="AY15">
            <v>293.44799999999998</v>
          </cell>
          <cell r="AZ15">
            <v>-2478.5520000000001</v>
          </cell>
          <cell r="BA15">
            <v>396</v>
          </cell>
          <cell r="BB15">
            <v>1.0819672131147541E-2</v>
          </cell>
          <cell r="BC15">
            <v>0</v>
          </cell>
          <cell r="BD15" t="e">
            <v>#DIV/0!</v>
          </cell>
          <cell r="BE15">
            <v>3168</v>
          </cell>
          <cell r="BF15">
            <v>293.44799999999998</v>
          </cell>
          <cell r="BG15">
            <v>-2874.5520000000001</v>
          </cell>
          <cell r="BH15">
            <v>396</v>
          </cell>
          <cell r="BI15">
            <v>1.0819672131147541E-2</v>
          </cell>
          <cell r="BJ15">
            <v>0</v>
          </cell>
          <cell r="BK15" t="e">
            <v>#DIV/0!</v>
          </cell>
          <cell r="BL15">
            <v>3564</v>
          </cell>
          <cell r="BM15">
            <v>293.44799999999998</v>
          </cell>
          <cell r="BN15">
            <v>-3270.5520000000001</v>
          </cell>
          <cell r="BO15">
            <v>396</v>
          </cell>
          <cell r="BP15">
            <v>1.0819672131147541E-2</v>
          </cell>
          <cell r="BQ15">
            <v>0</v>
          </cell>
          <cell r="BR15" t="e">
            <v>#DIV/0!</v>
          </cell>
          <cell r="BS15">
            <v>3960</v>
          </cell>
          <cell r="BT15">
            <v>293.44799999999998</v>
          </cell>
          <cell r="BU15">
            <v>-3666.5520000000001</v>
          </cell>
          <cell r="BV15">
            <v>396</v>
          </cell>
          <cell r="BW15">
            <v>1.0819672131147541E-2</v>
          </cell>
          <cell r="BX15">
            <v>0</v>
          </cell>
          <cell r="BY15" t="e">
            <v>#DIV/0!</v>
          </cell>
          <cell r="BZ15">
            <v>4356</v>
          </cell>
          <cell r="CA15">
            <v>293.44799999999998</v>
          </cell>
          <cell r="CB15">
            <v>-4062.5520000000001</v>
          </cell>
          <cell r="CC15">
            <v>396</v>
          </cell>
          <cell r="CD15">
            <v>1.0819672131147541E-2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163.24</v>
          </cell>
          <cell r="E16">
            <v>5.4413333333333336E-3</v>
          </cell>
          <cell r="F16">
            <v>0</v>
          </cell>
          <cell r="G16">
            <v>0</v>
          </cell>
          <cell r="H16">
            <v>163.24</v>
          </cell>
          <cell r="I16">
            <v>0</v>
          </cell>
          <cell r="J16">
            <v>-163.24</v>
          </cell>
          <cell r="K16">
            <v>163.24</v>
          </cell>
          <cell r="L16">
            <v>3.9814634146341467E-3</v>
          </cell>
          <cell r="M16">
            <v>0</v>
          </cell>
          <cell r="N16" t="e">
            <v>#DIV/0!</v>
          </cell>
          <cell r="O16">
            <v>326.48</v>
          </cell>
          <cell r="P16">
            <v>0</v>
          </cell>
          <cell r="Q16">
            <v>-326.48</v>
          </cell>
          <cell r="R16">
            <v>163.24</v>
          </cell>
          <cell r="S16">
            <v>4.4601092896174865E-3</v>
          </cell>
          <cell r="T16">
            <v>0</v>
          </cell>
          <cell r="U16">
            <v>0</v>
          </cell>
          <cell r="V16">
            <v>489.72</v>
          </cell>
          <cell r="W16">
            <v>0</v>
          </cell>
          <cell r="X16">
            <v>-489.72</v>
          </cell>
          <cell r="Y16">
            <v>163.24</v>
          </cell>
          <cell r="Z16">
            <v>4.4601092896174865E-3</v>
          </cell>
          <cell r="AA16">
            <v>0</v>
          </cell>
          <cell r="AB16" t="e">
            <v>#DIV/0!</v>
          </cell>
          <cell r="AC16">
            <v>652.96</v>
          </cell>
          <cell r="AD16">
            <v>0</v>
          </cell>
          <cell r="AE16">
            <v>-652.96</v>
          </cell>
          <cell r="AF16">
            <v>163.24</v>
          </cell>
          <cell r="AG16">
            <v>4.4601092896174865E-3</v>
          </cell>
          <cell r="AH16">
            <v>0</v>
          </cell>
          <cell r="AI16" t="e">
            <v>#DIV/0!</v>
          </cell>
          <cell r="AJ16">
            <v>816.2</v>
          </cell>
          <cell r="AK16">
            <v>0</v>
          </cell>
          <cell r="AL16">
            <v>-816.2</v>
          </cell>
          <cell r="AM16">
            <v>163.24</v>
          </cell>
          <cell r="AN16">
            <v>4.4601092896174865E-3</v>
          </cell>
          <cell r="AO16">
            <v>0</v>
          </cell>
          <cell r="AP16" t="e">
            <v>#DIV/0!</v>
          </cell>
          <cell r="AQ16">
            <v>979.44</v>
          </cell>
          <cell r="AR16">
            <v>0</v>
          </cell>
          <cell r="AS16">
            <v>-979.44</v>
          </cell>
          <cell r="AT16">
            <v>163.24</v>
          </cell>
          <cell r="AU16">
            <v>4.4601092896174865E-3</v>
          </cell>
          <cell r="AV16">
            <v>0</v>
          </cell>
          <cell r="AW16" t="e">
            <v>#DIV/0!</v>
          </cell>
          <cell r="AX16">
            <v>1142.68</v>
          </cell>
          <cell r="AY16">
            <v>0</v>
          </cell>
          <cell r="AZ16">
            <v>-1142.68</v>
          </cell>
          <cell r="BA16">
            <v>163.24</v>
          </cell>
          <cell r="BB16">
            <v>4.4601092896174865E-3</v>
          </cell>
          <cell r="BC16">
            <v>0</v>
          </cell>
          <cell r="BD16" t="e">
            <v>#DIV/0!</v>
          </cell>
          <cell r="BE16">
            <v>1305.92</v>
          </cell>
          <cell r="BF16">
            <v>0</v>
          </cell>
          <cell r="BG16">
            <v>-1305.92</v>
          </cell>
          <cell r="BH16">
            <v>163.24</v>
          </cell>
          <cell r="BI16">
            <v>4.4601092896174865E-3</v>
          </cell>
          <cell r="BJ16">
            <v>0</v>
          </cell>
          <cell r="BK16" t="e">
            <v>#DIV/0!</v>
          </cell>
          <cell r="BL16">
            <v>1469.16</v>
          </cell>
          <cell r="BM16">
            <v>0</v>
          </cell>
          <cell r="BN16">
            <v>-1469.16</v>
          </cell>
          <cell r="BO16">
            <v>163.24</v>
          </cell>
          <cell r="BP16">
            <v>4.4601092896174865E-3</v>
          </cell>
          <cell r="BQ16">
            <v>0</v>
          </cell>
          <cell r="BR16" t="e">
            <v>#DIV/0!</v>
          </cell>
          <cell r="BS16">
            <v>1632.4</v>
          </cell>
          <cell r="BT16">
            <v>0</v>
          </cell>
          <cell r="BU16">
            <v>-1632.4</v>
          </cell>
          <cell r="BV16">
            <v>163.24</v>
          </cell>
          <cell r="BW16">
            <v>4.4601092896174865E-3</v>
          </cell>
          <cell r="BX16">
            <v>0</v>
          </cell>
          <cell r="BY16" t="e">
            <v>#DIV/0!</v>
          </cell>
          <cell r="BZ16">
            <v>1795.64</v>
          </cell>
          <cell r="CA16">
            <v>0</v>
          </cell>
          <cell r="CB16">
            <v>-1795.64</v>
          </cell>
          <cell r="CC16">
            <v>163.24</v>
          </cell>
          <cell r="CD16">
            <v>4.4601092896174865E-3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e">
            <v>#DIV/0!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314.55</v>
          </cell>
          <cell r="E18">
            <v>1.0485E-2</v>
          </cell>
          <cell r="F18">
            <v>1221.8608834182842</v>
          </cell>
          <cell r="G18">
            <v>5.5038778532355143E-2</v>
          </cell>
          <cell r="H18">
            <v>314.55</v>
          </cell>
          <cell r="I18">
            <v>1221.8608834182842</v>
          </cell>
          <cell r="J18">
            <v>907.31088341828422</v>
          </cell>
          <cell r="K18">
            <v>314.55</v>
          </cell>
          <cell r="L18">
            <v>7.6719512195121955E-3</v>
          </cell>
          <cell r="M18">
            <v>820.63571412723184</v>
          </cell>
          <cell r="N18" t="e">
            <v>#DIV/0!</v>
          </cell>
          <cell r="O18">
            <v>629.1</v>
          </cell>
          <cell r="P18">
            <v>2042.4965975455161</v>
          </cell>
          <cell r="Q18">
            <v>1413.3965975455162</v>
          </cell>
          <cell r="R18">
            <v>314.55</v>
          </cell>
          <cell r="S18">
            <v>8.5942622950819676E-3</v>
          </cell>
          <cell r="T18">
            <v>583.20085155685183</v>
          </cell>
          <cell r="U18">
            <v>1.7672753077480358E-2</v>
          </cell>
          <cell r="V18">
            <v>943.65000000000009</v>
          </cell>
          <cell r="W18">
            <v>2625.697449102368</v>
          </cell>
          <cell r="X18">
            <v>1682.0474491023679</v>
          </cell>
          <cell r="Y18">
            <v>314.55</v>
          </cell>
          <cell r="Z18">
            <v>8.5942622950819676E-3</v>
          </cell>
          <cell r="AA18">
            <v>0</v>
          </cell>
          <cell r="AB18" t="e">
            <v>#DIV/0!</v>
          </cell>
          <cell r="AC18">
            <v>1258.2</v>
          </cell>
          <cell r="AD18">
            <v>2625.697449102368</v>
          </cell>
          <cell r="AE18">
            <v>1367.4974491023679</v>
          </cell>
          <cell r="AF18">
            <v>314.55</v>
          </cell>
          <cell r="AG18">
            <v>8.5942622950819676E-3</v>
          </cell>
          <cell r="AH18">
            <v>0</v>
          </cell>
          <cell r="AI18" t="e">
            <v>#DIV/0!</v>
          </cell>
          <cell r="AJ18">
            <v>1572.75</v>
          </cell>
          <cell r="AK18">
            <v>2625.697449102368</v>
          </cell>
          <cell r="AL18">
            <v>1052.947449102368</v>
          </cell>
          <cell r="AM18">
            <v>314.55</v>
          </cell>
          <cell r="AN18">
            <v>8.5942622950819676E-3</v>
          </cell>
          <cell r="AO18">
            <v>0</v>
          </cell>
          <cell r="AP18" t="e">
            <v>#DIV/0!</v>
          </cell>
          <cell r="AQ18">
            <v>1887.3</v>
          </cell>
          <cell r="AR18">
            <v>2625.697449102368</v>
          </cell>
          <cell r="AS18">
            <v>738.397449102368</v>
          </cell>
          <cell r="AT18">
            <v>314.55</v>
          </cell>
          <cell r="AU18">
            <v>8.5942622950819676E-3</v>
          </cell>
          <cell r="AV18">
            <v>0</v>
          </cell>
          <cell r="AW18" t="e">
            <v>#DIV/0!</v>
          </cell>
          <cell r="AX18">
            <v>2201.85</v>
          </cell>
          <cell r="AY18">
            <v>2625.697449102368</v>
          </cell>
          <cell r="AZ18">
            <v>423.84744910236805</v>
          </cell>
          <cell r="BA18">
            <v>314.55</v>
          </cell>
          <cell r="BB18">
            <v>8.5942622950819676E-3</v>
          </cell>
          <cell r="BC18">
            <v>0</v>
          </cell>
          <cell r="BD18" t="e">
            <v>#DIV/0!</v>
          </cell>
          <cell r="BE18">
            <v>2516.4</v>
          </cell>
          <cell r="BF18">
            <v>2625.697449102368</v>
          </cell>
          <cell r="BG18">
            <v>109.29744910236786</v>
          </cell>
          <cell r="BH18">
            <v>314.55</v>
          </cell>
          <cell r="BI18">
            <v>8.5942622950819676E-3</v>
          </cell>
          <cell r="BJ18">
            <v>0</v>
          </cell>
          <cell r="BK18" t="e">
            <v>#DIV/0!</v>
          </cell>
          <cell r="BL18">
            <v>2830.9500000000003</v>
          </cell>
          <cell r="BM18">
            <v>2625.697449102368</v>
          </cell>
          <cell r="BN18">
            <v>-205.25255089763232</v>
          </cell>
          <cell r="BO18">
            <v>314.55</v>
          </cell>
          <cell r="BP18">
            <v>8.5942622950819676E-3</v>
          </cell>
          <cell r="BQ18">
            <v>0</v>
          </cell>
          <cell r="BR18" t="e">
            <v>#DIV/0!</v>
          </cell>
          <cell r="BS18">
            <v>3145.5000000000005</v>
          </cell>
          <cell r="BT18">
            <v>2625.697449102368</v>
          </cell>
          <cell r="BU18">
            <v>-519.8025508976325</v>
          </cell>
          <cell r="BV18">
            <v>314.55</v>
          </cell>
          <cell r="BW18">
            <v>8.5942622950819676E-3</v>
          </cell>
          <cell r="BX18">
            <v>0</v>
          </cell>
          <cell r="BY18" t="e">
            <v>#DIV/0!</v>
          </cell>
          <cell r="BZ18">
            <v>3460.0500000000006</v>
          </cell>
          <cell r="CA18">
            <v>2625.697449102368</v>
          </cell>
          <cell r="CB18">
            <v>-834.35255089763268</v>
          </cell>
          <cell r="CC18">
            <v>314.55</v>
          </cell>
          <cell r="CD18">
            <v>8.5942622950819676E-3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83.13</v>
          </cell>
          <cell r="E19">
            <v>2.771E-3</v>
          </cell>
          <cell r="F19">
            <v>0</v>
          </cell>
          <cell r="G19">
            <v>0</v>
          </cell>
          <cell r="H19">
            <v>83.13</v>
          </cell>
          <cell r="I19">
            <v>0</v>
          </cell>
          <cell r="J19">
            <v>-83.13</v>
          </cell>
          <cell r="K19">
            <v>83.13</v>
          </cell>
          <cell r="L19">
            <v>2.027560975609756E-3</v>
          </cell>
          <cell r="M19">
            <v>0</v>
          </cell>
          <cell r="N19" t="e">
            <v>#DIV/0!</v>
          </cell>
          <cell r="O19">
            <v>166.26</v>
          </cell>
          <cell r="P19">
            <v>0</v>
          </cell>
          <cell r="Q19">
            <v>-166.26</v>
          </cell>
          <cell r="R19">
            <v>83.13</v>
          </cell>
          <cell r="S19">
            <v>2.2713114754098359E-3</v>
          </cell>
          <cell r="T19">
            <v>0</v>
          </cell>
          <cell r="U19">
            <v>0</v>
          </cell>
          <cell r="V19">
            <v>249.39</v>
          </cell>
          <cell r="W19">
            <v>0</v>
          </cell>
          <cell r="X19">
            <v>-249.39</v>
          </cell>
          <cell r="Y19">
            <v>83.13</v>
          </cell>
          <cell r="Z19">
            <v>2.2713114754098359E-3</v>
          </cell>
          <cell r="AA19">
            <v>0</v>
          </cell>
          <cell r="AB19" t="e">
            <v>#DIV/0!</v>
          </cell>
          <cell r="AC19">
            <v>332.52</v>
          </cell>
          <cell r="AD19">
            <v>0</v>
          </cell>
          <cell r="AE19">
            <v>-332.52</v>
          </cell>
          <cell r="AF19">
            <v>83.13</v>
          </cell>
          <cell r="AG19">
            <v>2.2713114754098359E-3</v>
          </cell>
          <cell r="AH19">
            <v>0</v>
          </cell>
          <cell r="AI19" t="e">
            <v>#DIV/0!</v>
          </cell>
          <cell r="AJ19">
            <v>415.65</v>
          </cell>
          <cell r="AK19">
            <v>0</v>
          </cell>
          <cell r="AL19">
            <v>-415.65</v>
          </cell>
          <cell r="AM19">
            <v>83.13</v>
          </cell>
          <cell r="AN19">
            <v>2.2713114754098359E-3</v>
          </cell>
          <cell r="AO19">
            <v>0</v>
          </cell>
          <cell r="AP19" t="e">
            <v>#DIV/0!</v>
          </cell>
          <cell r="AQ19">
            <v>498.78</v>
          </cell>
          <cell r="AR19">
            <v>0</v>
          </cell>
          <cell r="AS19">
            <v>-498.78</v>
          </cell>
          <cell r="AT19">
            <v>83.13</v>
          </cell>
          <cell r="AU19">
            <v>2.2713114754098359E-3</v>
          </cell>
          <cell r="AV19">
            <v>0</v>
          </cell>
          <cell r="AW19" t="e">
            <v>#DIV/0!</v>
          </cell>
          <cell r="AX19">
            <v>581.91</v>
          </cell>
          <cell r="AY19">
            <v>0</v>
          </cell>
          <cell r="AZ19">
            <v>-581.91</v>
          </cell>
          <cell r="BA19">
            <v>83.13</v>
          </cell>
          <cell r="BB19">
            <v>2.2713114754098359E-3</v>
          </cell>
          <cell r="BC19">
            <v>0</v>
          </cell>
          <cell r="BD19" t="e">
            <v>#DIV/0!</v>
          </cell>
          <cell r="BE19">
            <v>665.04</v>
          </cell>
          <cell r="BF19">
            <v>0</v>
          </cell>
          <cell r="BG19">
            <v>-665.04</v>
          </cell>
          <cell r="BH19">
            <v>83.13</v>
          </cell>
          <cell r="BI19">
            <v>2.2713114754098359E-3</v>
          </cell>
          <cell r="BJ19">
            <v>0</v>
          </cell>
          <cell r="BK19" t="e">
            <v>#DIV/0!</v>
          </cell>
          <cell r="BL19">
            <v>748.17</v>
          </cell>
          <cell r="BM19">
            <v>0</v>
          </cell>
          <cell r="BN19">
            <v>-748.17</v>
          </cell>
          <cell r="BO19">
            <v>83.13</v>
          </cell>
          <cell r="BP19">
            <v>2.2713114754098359E-3</v>
          </cell>
          <cell r="BQ19">
            <v>0</v>
          </cell>
          <cell r="BR19" t="e">
            <v>#DIV/0!</v>
          </cell>
          <cell r="BS19">
            <v>831.3</v>
          </cell>
          <cell r="BT19">
            <v>0</v>
          </cell>
          <cell r="BU19">
            <v>-831.3</v>
          </cell>
          <cell r="BV19">
            <v>83.13</v>
          </cell>
          <cell r="BW19">
            <v>2.2713114754098359E-3</v>
          </cell>
          <cell r="BX19">
            <v>0</v>
          </cell>
          <cell r="BY19" t="e">
            <v>#DIV/0!</v>
          </cell>
          <cell r="BZ19">
            <v>914.43</v>
          </cell>
          <cell r="CA19">
            <v>0</v>
          </cell>
          <cell r="CB19">
            <v>-914.43</v>
          </cell>
          <cell r="CC19">
            <v>83.13</v>
          </cell>
          <cell r="CD19">
            <v>2.2713114754098359E-3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e">
            <v>#DIV/0!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e">
            <v>#DIV/0!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e">
            <v>#DIV/0!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119.53565406867119</v>
          </cell>
          <cell r="N23" t="e">
            <v>#DIV/0!</v>
          </cell>
          <cell r="O23">
            <v>0</v>
          </cell>
          <cell r="P23">
            <v>119.53565406867119</v>
          </cell>
          <cell r="Q23">
            <v>119.53565406867119</v>
          </cell>
          <cell r="R23">
            <v>0</v>
          </cell>
          <cell r="S23">
            <v>0</v>
          </cell>
          <cell r="T23">
            <v>118.66989546341796</v>
          </cell>
          <cell r="U23">
            <v>3.5960574382853925E-3</v>
          </cell>
          <cell r="V23">
            <v>0</v>
          </cell>
          <cell r="W23">
            <v>238.20554953208915</v>
          </cell>
          <cell r="X23">
            <v>238.20554953208915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238.20554953208915</v>
          </cell>
          <cell r="AE23">
            <v>238.20554953208915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238.20554953208915</v>
          </cell>
          <cell r="AL23">
            <v>238.20554953208915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238.20554953208915</v>
          </cell>
          <cell r="AS23">
            <v>238.20554953208915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238.20554953208915</v>
          </cell>
          <cell r="AZ23">
            <v>238.20554953208915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238.20554953208915</v>
          </cell>
          <cell r="BG23">
            <v>238.20554953208915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238.20554953208915</v>
          </cell>
          <cell r="BN23">
            <v>238.20554953208915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238.20554953208915</v>
          </cell>
          <cell r="BU23">
            <v>238.20554953208915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238.20554953208915</v>
          </cell>
          <cell r="CB23">
            <v>238.20554953208915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8.25</v>
          </cell>
          <cell r="E24">
            <v>2.7500000000000002E-4</v>
          </cell>
          <cell r="F24">
            <v>415.25043399999998</v>
          </cell>
          <cell r="G24">
            <v>1.8704974504504503E-2</v>
          </cell>
          <cell r="H24">
            <v>8.25</v>
          </cell>
          <cell r="I24">
            <v>415.25043399999998</v>
          </cell>
          <cell r="J24">
            <v>407.00043399999998</v>
          </cell>
          <cell r="K24">
            <v>8.25</v>
          </cell>
          <cell r="L24">
            <v>2.0121951219512194E-4</v>
          </cell>
          <cell r="M24">
            <v>749.549936</v>
          </cell>
          <cell r="N24" t="e">
            <v>#DIV/0!</v>
          </cell>
          <cell r="O24">
            <v>16.5</v>
          </cell>
          <cell r="P24">
            <v>1164.8003699999999</v>
          </cell>
          <cell r="Q24">
            <v>1148.3003699999999</v>
          </cell>
          <cell r="R24">
            <v>8.25</v>
          </cell>
          <cell r="S24">
            <v>2.2540983606557377E-4</v>
          </cell>
          <cell r="T24">
            <v>978.65005099999996</v>
          </cell>
          <cell r="U24">
            <v>2.9656062151515152E-2</v>
          </cell>
          <cell r="V24">
            <v>24.75</v>
          </cell>
          <cell r="W24">
            <v>2143.450421</v>
          </cell>
          <cell r="X24">
            <v>2118.700421</v>
          </cell>
          <cell r="Y24">
            <v>8.25</v>
          </cell>
          <cell r="Z24">
            <v>2.2540983606557377E-4</v>
          </cell>
          <cell r="AA24">
            <v>0</v>
          </cell>
          <cell r="AB24" t="e">
            <v>#DIV/0!</v>
          </cell>
          <cell r="AC24">
            <v>33</v>
          </cell>
          <cell r="AD24">
            <v>2143.450421</v>
          </cell>
          <cell r="AE24">
            <v>2110.450421</v>
          </cell>
          <cell r="AF24">
            <v>8.25</v>
          </cell>
          <cell r="AG24">
            <v>2.2540983606557377E-4</v>
          </cell>
          <cell r="AH24">
            <v>0</v>
          </cell>
          <cell r="AI24" t="e">
            <v>#DIV/0!</v>
          </cell>
          <cell r="AJ24">
            <v>41.25</v>
          </cell>
          <cell r="AK24">
            <v>2143.450421</v>
          </cell>
          <cell r="AL24">
            <v>2102.200421</v>
          </cell>
          <cell r="AM24">
            <v>8.25</v>
          </cell>
          <cell r="AN24">
            <v>2.2540983606557377E-4</v>
          </cell>
          <cell r="AO24">
            <v>0</v>
          </cell>
          <cell r="AP24" t="e">
            <v>#DIV/0!</v>
          </cell>
          <cell r="AQ24">
            <v>49.5</v>
          </cell>
          <cell r="AR24">
            <v>2143.450421</v>
          </cell>
          <cell r="AS24">
            <v>2093.950421</v>
          </cell>
          <cell r="AT24">
            <v>8.25</v>
          </cell>
          <cell r="AU24">
            <v>2.2540983606557377E-4</v>
          </cell>
          <cell r="AV24">
            <v>0</v>
          </cell>
          <cell r="AW24" t="e">
            <v>#DIV/0!</v>
          </cell>
          <cell r="AX24">
            <v>57.75</v>
          </cell>
          <cell r="AY24">
            <v>2143.450421</v>
          </cell>
          <cell r="AZ24">
            <v>2085.700421</v>
          </cell>
          <cell r="BA24">
            <v>8.25</v>
          </cell>
          <cell r="BB24">
            <v>2.2540983606557377E-4</v>
          </cell>
          <cell r="BC24">
            <v>0</v>
          </cell>
          <cell r="BD24" t="e">
            <v>#DIV/0!</v>
          </cell>
          <cell r="BE24">
            <v>66</v>
          </cell>
          <cell r="BF24">
            <v>2143.450421</v>
          </cell>
          <cell r="BG24">
            <v>2077.450421</v>
          </cell>
          <cell r="BH24">
            <v>8.25</v>
          </cell>
          <cell r="BI24">
            <v>2.2540983606557377E-4</v>
          </cell>
          <cell r="BJ24">
            <v>0</v>
          </cell>
          <cell r="BK24" t="e">
            <v>#DIV/0!</v>
          </cell>
          <cell r="BL24">
            <v>74.25</v>
          </cell>
          <cell r="BM24">
            <v>2143.450421</v>
          </cell>
          <cell r="BN24">
            <v>2069.200421</v>
          </cell>
          <cell r="BO24">
            <v>8.25</v>
          </cell>
          <cell r="BP24">
            <v>2.2540983606557377E-4</v>
          </cell>
          <cell r="BQ24">
            <v>0</v>
          </cell>
          <cell r="BR24" t="e">
            <v>#DIV/0!</v>
          </cell>
          <cell r="BS24">
            <v>82.5</v>
          </cell>
          <cell r="BT24">
            <v>2143.450421</v>
          </cell>
          <cell r="BU24">
            <v>2060.950421</v>
          </cell>
          <cell r="BV24">
            <v>8.25</v>
          </cell>
          <cell r="BW24">
            <v>2.2540983606557377E-4</v>
          </cell>
          <cell r="BX24">
            <v>0</v>
          </cell>
          <cell r="BY24" t="e">
            <v>#DIV/0!</v>
          </cell>
          <cell r="BZ24">
            <v>90.75</v>
          </cell>
          <cell r="CA24">
            <v>2143.450421</v>
          </cell>
          <cell r="CB24">
            <v>2052.700421</v>
          </cell>
          <cell r="CC24">
            <v>8.25</v>
          </cell>
          <cell r="CD24">
            <v>2.2540983606557377E-4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300</v>
          </cell>
          <cell r="E25">
            <v>0.01</v>
          </cell>
          <cell r="F25">
            <v>301.49924299999998</v>
          </cell>
          <cell r="G25">
            <v>1.3581046981981981E-2</v>
          </cell>
          <cell r="H25">
            <v>300</v>
          </cell>
          <cell r="I25">
            <v>301.49924299999998</v>
          </cell>
          <cell r="J25">
            <v>1.4992429999999786</v>
          </cell>
          <cell r="K25">
            <v>300</v>
          </cell>
          <cell r="L25">
            <v>7.3170731707317077E-3</v>
          </cell>
          <cell r="M25">
            <v>368.947114</v>
          </cell>
          <cell r="N25" t="e">
            <v>#DIV/0!</v>
          </cell>
          <cell r="O25">
            <v>600</v>
          </cell>
          <cell r="P25">
            <v>670.44635700000003</v>
          </cell>
          <cell r="Q25">
            <v>70.446357000000035</v>
          </cell>
          <cell r="R25">
            <v>300</v>
          </cell>
          <cell r="S25">
            <v>8.1967213114754103E-3</v>
          </cell>
          <cell r="T25">
            <v>128.29513599999999</v>
          </cell>
          <cell r="U25">
            <v>3.8877313939393934E-3</v>
          </cell>
          <cell r="V25">
            <v>900</v>
          </cell>
          <cell r="W25">
            <v>798.74149299999999</v>
          </cell>
          <cell r="X25">
            <v>-101.25850700000001</v>
          </cell>
          <cell r="Y25">
            <v>300</v>
          </cell>
          <cell r="Z25">
            <v>8.1967213114754103E-3</v>
          </cell>
          <cell r="AA25">
            <v>0</v>
          </cell>
          <cell r="AB25" t="e">
            <v>#DIV/0!</v>
          </cell>
          <cell r="AC25">
            <v>1200</v>
          </cell>
          <cell r="AD25">
            <v>798.74149299999999</v>
          </cell>
          <cell r="AE25">
            <v>-401.25850700000001</v>
          </cell>
          <cell r="AF25">
            <v>300</v>
          </cell>
          <cell r="AG25">
            <v>8.1967213114754103E-3</v>
          </cell>
          <cell r="AH25">
            <v>0</v>
          </cell>
          <cell r="AI25" t="e">
            <v>#DIV/0!</v>
          </cell>
          <cell r="AJ25">
            <v>1500</v>
          </cell>
          <cell r="AK25">
            <v>798.74149299999999</v>
          </cell>
          <cell r="AL25">
            <v>-701.25850700000001</v>
          </cell>
          <cell r="AM25">
            <v>300</v>
          </cell>
          <cell r="AN25">
            <v>8.1967213114754103E-3</v>
          </cell>
          <cell r="AO25">
            <v>0</v>
          </cell>
          <cell r="AP25" t="e">
            <v>#DIV/0!</v>
          </cell>
          <cell r="AQ25">
            <v>1800</v>
          </cell>
          <cell r="AR25">
            <v>798.74149299999999</v>
          </cell>
          <cell r="AS25">
            <v>-1001.258507</v>
          </cell>
          <cell r="AT25">
            <v>300</v>
          </cell>
          <cell r="AU25">
            <v>8.1967213114754103E-3</v>
          </cell>
          <cell r="AV25">
            <v>0</v>
          </cell>
          <cell r="AW25" t="e">
            <v>#DIV/0!</v>
          </cell>
          <cell r="AX25">
            <v>2100</v>
          </cell>
          <cell r="AY25">
            <v>798.74149299999999</v>
          </cell>
          <cell r="AZ25">
            <v>-1301.258507</v>
          </cell>
          <cell r="BA25">
            <v>300</v>
          </cell>
          <cell r="BB25">
            <v>8.1967213114754103E-3</v>
          </cell>
          <cell r="BC25">
            <v>0</v>
          </cell>
          <cell r="BD25" t="e">
            <v>#DIV/0!</v>
          </cell>
          <cell r="BE25">
            <v>2400</v>
          </cell>
          <cell r="BF25">
            <v>798.74149299999999</v>
          </cell>
          <cell r="BG25">
            <v>-1601.258507</v>
          </cell>
          <cell r="BH25">
            <v>300</v>
          </cell>
          <cell r="BI25">
            <v>8.1967213114754103E-3</v>
          </cell>
          <cell r="BJ25">
            <v>0</v>
          </cell>
          <cell r="BK25" t="e">
            <v>#DIV/0!</v>
          </cell>
          <cell r="BL25">
            <v>2700</v>
          </cell>
          <cell r="BM25">
            <v>798.74149299999999</v>
          </cell>
          <cell r="BN25">
            <v>-1901.258507</v>
          </cell>
          <cell r="BO25">
            <v>300</v>
          </cell>
          <cell r="BP25">
            <v>8.1967213114754103E-3</v>
          </cell>
          <cell r="BQ25">
            <v>0</v>
          </cell>
          <cell r="BR25" t="e">
            <v>#DIV/0!</v>
          </cell>
          <cell r="BS25">
            <v>3000</v>
          </cell>
          <cell r="BT25">
            <v>798.74149299999999</v>
          </cell>
          <cell r="BU25">
            <v>-2201.258507</v>
          </cell>
          <cell r="BV25">
            <v>300</v>
          </cell>
          <cell r="BW25">
            <v>8.1967213114754103E-3</v>
          </cell>
          <cell r="BX25">
            <v>0</v>
          </cell>
          <cell r="BY25" t="e">
            <v>#DIV/0!</v>
          </cell>
          <cell r="BZ25">
            <v>3300</v>
          </cell>
          <cell r="CA25">
            <v>798.74149299999999</v>
          </cell>
          <cell r="CB25">
            <v>-2501.258507</v>
          </cell>
          <cell r="CC25">
            <v>300</v>
          </cell>
          <cell r="CD25">
            <v>8.1967213114754103E-3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1000</v>
          </cell>
          <cell r="E26">
            <v>3.3333333333333333E-2</v>
          </cell>
          <cell r="F26">
            <v>0</v>
          </cell>
          <cell r="G26">
            <v>0</v>
          </cell>
          <cell r="H26">
            <v>1000</v>
          </cell>
          <cell r="I26">
            <v>0</v>
          </cell>
          <cell r="J26">
            <v>-1000</v>
          </cell>
          <cell r="K26">
            <v>1000</v>
          </cell>
          <cell r="L26">
            <v>2.4390243902439025E-2</v>
          </cell>
          <cell r="M26">
            <v>0</v>
          </cell>
          <cell r="N26" t="e">
            <v>#DIV/0!</v>
          </cell>
          <cell r="O26">
            <v>2000</v>
          </cell>
          <cell r="P26">
            <v>0</v>
          </cell>
          <cell r="Q26">
            <v>-2000</v>
          </cell>
          <cell r="R26">
            <v>1000</v>
          </cell>
          <cell r="S26">
            <v>2.7322404371584699E-2</v>
          </cell>
          <cell r="T26">
            <v>0</v>
          </cell>
          <cell r="U26">
            <v>0</v>
          </cell>
          <cell r="V26">
            <v>3000</v>
          </cell>
          <cell r="W26">
            <v>0</v>
          </cell>
          <cell r="X26">
            <v>-3000</v>
          </cell>
          <cell r="Y26">
            <v>1000</v>
          </cell>
          <cell r="Z26">
            <v>2.7322404371584699E-2</v>
          </cell>
          <cell r="AA26">
            <v>0</v>
          </cell>
          <cell r="AB26" t="e">
            <v>#DIV/0!</v>
          </cell>
          <cell r="AC26">
            <v>4000</v>
          </cell>
          <cell r="AD26">
            <v>0</v>
          </cell>
          <cell r="AE26">
            <v>-4000</v>
          </cell>
          <cell r="AF26">
            <v>1000</v>
          </cell>
          <cell r="AG26">
            <v>2.7322404371584699E-2</v>
          </cell>
          <cell r="AH26">
            <v>0</v>
          </cell>
          <cell r="AI26" t="e">
            <v>#DIV/0!</v>
          </cell>
          <cell r="AJ26">
            <v>5000</v>
          </cell>
          <cell r="AK26">
            <v>0</v>
          </cell>
          <cell r="AL26">
            <v>-5000</v>
          </cell>
          <cell r="AM26">
            <v>1000</v>
          </cell>
          <cell r="AN26">
            <v>2.7322404371584699E-2</v>
          </cell>
          <cell r="AO26">
            <v>0</v>
          </cell>
          <cell r="AP26" t="e">
            <v>#DIV/0!</v>
          </cell>
          <cell r="AQ26">
            <v>6000</v>
          </cell>
          <cell r="AR26">
            <v>0</v>
          </cell>
          <cell r="AS26">
            <v>-6000</v>
          </cell>
          <cell r="AT26">
            <v>1000</v>
          </cell>
          <cell r="AU26">
            <v>2.7322404371584699E-2</v>
          </cell>
          <cell r="AV26">
            <v>0</v>
          </cell>
          <cell r="AW26" t="e">
            <v>#DIV/0!</v>
          </cell>
          <cell r="AX26">
            <v>7000</v>
          </cell>
          <cell r="AY26">
            <v>0</v>
          </cell>
          <cell r="AZ26">
            <v>-7000</v>
          </cell>
          <cell r="BA26">
            <v>1000</v>
          </cell>
          <cell r="BB26">
            <v>2.7322404371584699E-2</v>
          </cell>
          <cell r="BC26">
            <v>0</v>
          </cell>
          <cell r="BD26" t="e">
            <v>#DIV/0!</v>
          </cell>
          <cell r="BE26">
            <v>8000</v>
          </cell>
          <cell r="BF26">
            <v>0</v>
          </cell>
          <cell r="BG26">
            <v>-8000</v>
          </cell>
          <cell r="BH26">
            <v>1000</v>
          </cell>
          <cell r="BI26">
            <v>2.7322404371584699E-2</v>
          </cell>
          <cell r="BJ26">
            <v>0</v>
          </cell>
          <cell r="BK26" t="e">
            <v>#DIV/0!</v>
          </cell>
          <cell r="BL26">
            <v>9000</v>
          </cell>
          <cell r="BM26">
            <v>0</v>
          </cell>
          <cell r="BN26">
            <v>-9000</v>
          </cell>
          <cell r="BO26">
            <v>1000</v>
          </cell>
          <cell r="BP26">
            <v>2.7322404371584699E-2</v>
          </cell>
          <cell r="BQ26">
            <v>0</v>
          </cell>
          <cell r="BR26" t="e">
            <v>#DIV/0!</v>
          </cell>
          <cell r="BS26">
            <v>10000</v>
          </cell>
          <cell r="BT26">
            <v>0</v>
          </cell>
          <cell r="BU26">
            <v>-10000</v>
          </cell>
          <cell r="BV26">
            <v>1000</v>
          </cell>
          <cell r="BW26">
            <v>2.7322404371584699E-2</v>
          </cell>
          <cell r="BX26">
            <v>0</v>
          </cell>
          <cell r="BY26" t="e">
            <v>#DIV/0!</v>
          </cell>
          <cell r="BZ26">
            <v>11000</v>
          </cell>
          <cell r="CA26">
            <v>0</v>
          </cell>
          <cell r="CB26">
            <v>-11000</v>
          </cell>
          <cell r="CC26">
            <v>1000</v>
          </cell>
          <cell r="CD26">
            <v>2.7322404371584699E-2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e">
            <v>#DIV/0!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50</v>
          </cell>
          <cell r="E28">
            <v>1.6666666666666668E-3</v>
          </cell>
          <cell r="F28">
            <v>0</v>
          </cell>
          <cell r="G28">
            <v>0</v>
          </cell>
          <cell r="H28">
            <v>50</v>
          </cell>
          <cell r="I28">
            <v>0</v>
          </cell>
          <cell r="J28">
            <v>-50</v>
          </cell>
          <cell r="K28">
            <v>50</v>
          </cell>
          <cell r="L28">
            <v>1.2195121951219512E-3</v>
          </cell>
          <cell r="M28">
            <v>0</v>
          </cell>
          <cell r="N28" t="e">
            <v>#DIV/0!</v>
          </cell>
          <cell r="O28">
            <v>100</v>
          </cell>
          <cell r="P28">
            <v>0</v>
          </cell>
          <cell r="Q28">
            <v>-100</v>
          </cell>
          <cell r="R28">
            <v>50</v>
          </cell>
          <cell r="S28">
            <v>1.366120218579235E-3</v>
          </cell>
          <cell r="T28">
            <v>0</v>
          </cell>
          <cell r="U28">
            <v>0</v>
          </cell>
          <cell r="V28">
            <v>150</v>
          </cell>
          <cell r="W28">
            <v>0</v>
          </cell>
          <cell r="X28">
            <v>-150</v>
          </cell>
          <cell r="Y28">
            <v>50</v>
          </cell>
          <cell r="Z28">
            <v>1.366120218579235E-3</v>
          </cell>
          <cell r="AA28">
            <v>0</v>
          </cell>
          <cell r="AB28" t="e">
            <v>#DIV/0!</v>
          </cell>
          <cell r="AC28">
            <v>200</v>
          </cell>
          <cell r="AD28">
            <v>0</v>
          </cell>
          <cell r="AE28">
            <v>-200</v>
          </cell>
          <cell r="AF28">
            <v>50</v>
          </cell>
          <cell r="AG28">
            <v>1.366120218579235E-3</v>
          </cell>
          <cell r="AH28">
            <v>0</v>
          </cell>
          <cell r="AI28" t="e">
            <v>#DIV/0!</v>
          </cell>
          <cell r="AJ28">
            <v>250</v>
          </cell>
          <cell r="AK28">
            <v>0</v>
          </cell>
          <cell r="AL28">
            <v>-250</v>
          </cell>
          <cell r="AM28">
            <v>50</v>
          </cell>
          <cell r="AN28">
            <v>1.366120218579235E-3</v>
          </cell>
          <cell r="AO28">
            <v>0</v>
          </cell>
          <cell r="AP28" t="e">
            <v>#DIV/0!</v>
          </cell>
          <cell r="AQ28">
            <v>300</v>
          </cell>
          <cell r="AR28">
            <v>0</v>
          </cell>
          <cell r="AS28">
            <v>-300</v>
          </cell>
          <cell r="AT28">
            <v>50</v>
          </cell>
          <cell r="AU28">
            <v>1.366120218579235E-3</v>
          </cell>
          <cell r="AV28">
            <v>0</v>
          </cell>
          <cell r="AW28" t="e">
            <v>#DIV/0!</v>
          </cell>
          <cell r="AX28">
            <v>350</v>
          </cell>
          <cell r="AY28">
            <v>0</v>
          </cell>
          <cell r="AZ28">
            <v>-350</v>
          </cell>
          <cell r="BA28">
            <v>50</v>
          </cell>
          <cell r="BB28">
            <v>1.366120218579235E-3</v>
          </cell>
          <cell r="BC28">
            <v>0</v>
          </cell>
          <cell r="BD28" t="e">
            <v>#DIV/0!</v>
          </cell>
          <cell r="BE28">
            <v>400</v>
          </cell>
          <cell r="BF28">
            <v>0</v>
          </cell>
          <cell r="BG28">
            <v>-400</v>
          </cell>
          <cell r="BH28">
            <v>50</v>
          </cell>
          <cell r="BI28">
            <v>1.366120218579235E-3</v>
          </cell>
          <cell r="BJ28">
            <v>0</v>
          </cell>
          <cell r="BK28" t="e">
            <v>#DIV/0!</v>
          </cell>
          <cell r="BL28">
            <v>450</v>
          </cell>
          <cell r="BM28">
            <v>0</v>
          </cell>
          <cell r="BN28">
            <v>-450</v>
          </cell>
          <cell r="BO28">
            <v>50</v>
          </cell>
          <cell r="BP28">
            <v>1.366120218579235E-3</v>
          </cell>
          <cell r="BQ28">
            <v>0</v>
          </cell>
          <cell r="BR28" t="e">
            <v>#DIV/0!</v>
          </cell>
          <cell r="BS28">
            <v>500</v>
          </cell>
          <cell r="BT28">
            <v>0</v>
          </cell>
          <cell r="BU28">
            <v>-500</v>
          </cell>
          <cell r="BV28">
            <v>50</v>
          </cell>
          <cell r="BW28">
            <v>1.366120218579235E-3</v>
          </cell>
          <cell r="BX28">
            <v>0</v>
          </cell>
          <cell r="BY28" t="e">
            <v>#DIV/0!</v>
          </cell>
          <cell r="BZ28">
            <v>550</v>
          </cell>
          <cell r="CA28">
            <v>0</v>
          </cell>
          <cell r="CB28">
            <v>-550</v>
          </cell>
          <cell r="CC28">
            <v>50</v>
          </cell>
          <cell r="CD28">
            <v>1.366120218579235E-3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e">
            <v>#DIV/0!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e">
            <v>#DIV/0!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400</v>
          </cell>
          <cell r="E31">
            <v>1.3333333333333334E-2</v>
          </cell>
          <cell r="F31">
            <v>0</v>
          </cell>
          <cell r="G31">
            <v>0</v>
          </cell>
          <cell r="H31">
            <v>400</v>
          </cell>
          <cell r="I31">
            <v>0</v>
          </cell>
          <cell r="J31">
            <v>-400</v>
          </cell>
          <cell r="K31">
            <v>400</v>
          </cell>
          <cell r="L31">
            <v>9.7560975609756097E-3</v>
          </cell>
          <cell r="M31">
            <v>0</v>
          </cell>
          <cell r="N31" t="e">
            <v>#DIV/0!</v>
          </cell>
          <cell r="O31">
            <v>800</v>
          </cell>
          <cell r="P31">
            <v>0</v>
          </cell>
          <cell r="Q31">
            <v>-800</v>
          </cell>
          <cell r="R31">
            <v>400</v>
          </cell>
          <cell r="S31">
            <v>1.092896174863388E-2</v>
          </cell>
          <cell r="T31">
            <v>0</v>
          </cell>
          <cell r="U31">
            <v>0</v>
          </cell>
          <cell r="V31">
            <v>1200</v>
          </cell>
          <cell r="W31">
            <v>0</v>
          </cell>
          <cell r="X31">
            <v>-1200</v>
          </cell>
          <cell r="Y31">
            <v>400</v>
          </cell>
          <cell r="Z31">
            <v>1.092896174863388E-2</v>
          </cell>
          <cell r="AA31">
            <v>0</v>
          </cell>
          <cell r="AB31" t="e">
            <v>#DIV/0!</v>
          </cell>
          <cell r="AC31">
            <v>1600</v>
          </cell>
          <cell r="AD31">
            <v>0</v>
          </cell>
          <cell r="AE31">
            <v>-1600</v>
          </cell>
          <cell r="AF31">
            <v>400</v>
          </cell>
          <cell r="AG31">
            <v>1.092896174863388E-2</v>
          </cell>
          <cell r="AH31">
            <v>0</v>
          </cell>
          <cell r="AI31" t="e">
            <v>#DIV/0!</v>
          </cell>
          <cell r="AJ31">
            <v>2000</v>
          </cell>
          <cell r="AK31">
            <v>0</v>
          </cell>
          <cell r="AL31">
            <v>-2000</v>
          </cell>
          <cell r="AM31">
            <v>400</v>
          </cell>
          <cell r="AN31">
            <v>1.092896174863388E-2</v>
          </cell>
          <cell r="AO31">
            <v>0</v>
          </cell>
          <cell r="AP31" t="e">
            <v>#DIV/0!</v>
          </cell>
          <cell r="AQ31">
            <v>2400</v>
          </cell>
          <cell r="AR31">
            <v>0</v>
          </cell>
          <cell r="AS31">
            <v>-2400</v>
          </cell>
          <cell r="AT31">
            <v>400</v>
          </cell>
          <cell r="AU31">
            <v>1.092896174863388E-2</v>
          </cell>
          <cell r="AV31">
            <v>0</v>
          </cell>
          <cell r="AW31" t="e">
            <v>#DIV/0!</v>
          </cell>
          <cell r="AX31">
            <v>2800</v>
          </cell>
          <cell r="AY31">
            <v>0</v>
          </cell>
          <cell r="AZ31">
            <v>-2800</v>
          </cell>
          <cell r="BA31">
            <v>400</v>
          </cell>
          <cell r="BB31">
            <v>1.092896174863388E-2</v>
          </cell>
          <cell r="BC31">
            <v>0</v>
          </cell>
          <cell r="BD31" t="e">
            <v>#DIV/0!</v>
          </cell>
          <cell r="BE31">
            <v>3200</v>
          </cell>
          <cell r="BF31">
            <v>0</v>
          </cell>
          <cell r="BG31">
            <v>-3200</v>
          </cell>
          <cell r="BH31">
            <v>400</v>
          </cell>
          <cell r="BI31">
            <v>1.092896174863388E-2</v>
          </cell>
          <cell r="BJ31">
            <v>0</v>
          </cell>
          <cell r="BK31" t="e">
            <v>#DIV/0!</v>
          </cell>
          <cell r="BL31">
            <v>3600</v>
          </cell>
          <cell r="BM31">
            <v>0</v>
          </cell>
          <cell r="BN31">
            <v>-3600</v>
          </cell>
          <cell r="BO31">
            <v>400</v>
          </cell>
          <cell r="BP31">
            <v>1.092896174863388E-2</v>
          </cell>
          <cell r="BQ31">
            <v>0</v>
          </cell>
          <cell r="BR31" t="e">
            <v>#DIV/0!</v>
          </cell>
          <cell r="BS31">
            <v>4000</v>
          </cell>
          <cell r="BT31">
            <v>0</v>
          </cell>
          <cell r="BU31">
            <v>-4000</v>
          </cell>
          <cell r="BV31">
            <v>400</v>
          </cell>
          <cell r="BW31">
            <v>1.092896174863388E-2</v>
          </cell>
          <cell r="BX31">
            <v>0</v>
          </cell>
          <cell r="BY31" t="e">
            <v>#DIV/0!</v>
          </cell>
          <cell r="BZ31">
            <v>4400</v>
          </cell>
          <cell r="CA31">
            <v>0</v>
          </cell>
          <cell r="CB31">
            <v>-4400</v>
          </cell>
          <cell r="CC31">
            <v>400</v>
          </cell>
          <cell r="CD31">
            <v>1.092896174863388E-2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e">
            <v>#DIV/0!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e">
            <v>#DIV/0!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e">
            <v>#DIV/0!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e">
            <v>#DIV/0!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e">
            <v>#DIV/0!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286.62854188797809</v>
          </cell>
          <cell r="G37">
            <v>1.2911195580539554E-2</v>
          </cell>
          <cell r="H37">
            <v>0</v>
          </cell>
          <cell r="I37">
            <v>286.62854188797809</v>
          </cell>
          <cell r="J37">
            <v>286.62854188797809</v>
          </cell>
          <cell r="K37">
            <v>0</v>
          </cell>
          <cell r="L37">
            <v>0</v>
          </cell>
          <cell r="M37">
            <v>0</v>
          </cell>
          <cell r="N37" t="e">
            <v>#DIV/0!</v>
          </cell>
          <cell r="O37">
            <v>0</v>
          </cell>
          <cell r="P37">
            <v>286.62854188797809</v>
          </cell>
          <cell r="Q37">
            <v>286.62854188797809</v>
          </cell>
          <cell r="R37">
            <v>0</v>
          </cell>
          <cell r="S37">
            <v>0</v>
          </cell>
          <cell r="T37">
            <v>339.46498605353707</v>
          </cell>
          <cell r="U37">
            <v>1.0286817759198093E-2</v>
          </cell>
          <cell r="V37">
            <v>0</v>
          </cell>
          <cell r="W37">
            <v>626.09352794151516</v>
          </cell>
          <cell r="X37">
            <v>626.09352794151516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626.09352794151516</v>
          </cell>
          <cell r="AE37">
            <v>626.09352794151516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626.09352794151516</v>
          </cell>
          <cell r="AL37">
            <v>626.09352794151516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626.09352794151516</v>
          </cell>
          <cell r="AS37">
            <v>626.09352794151516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626.09352794151516</v>
          </cell>
          <cell r="AZ37">
            <v>626.09352794151516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626.09352794151516</v>
          </cell>
          <cell r="BG37">
            <v>626.09352794151516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626.09352794151516</v>
          </cell>
          <cell r="BN37">
            <v>626.09352794151516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626.09352794151516</v>
          </cell>
          <cell r="BU37">
            <v>626.09352794151516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626.09352794151516</v>
          </cell>
          <cell r="CB37">
            <v>626.09352794151516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 t="e">
            <v>#DIV/0!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 t="e">
            <v>#DIV/0!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193</v>
          </cell>
          <cell r="E40">
            <v>6.4333333333333334E-3</v>
          </cell>
          <cell r="F40">
            <v>218.6308874259521</v>
          </cell>
          <cell r="G40">
            <v>9.8482381723401843E-3</v>
          </cell>
          <cell r="H40">
            <v>193</v>
          </cell>
          <cell r="I40">
            <v>218.6308874259521</v>
          </cell>
          <cell r="J40">
            <v>25.630887425952096</v>
          </cell>
          <cell r="K40">
            <v>193</v>
          </cell>
          <cell r="L40">
            <v>4.7073170731707316E-3</v>
          </cell>
          <cell r="M40">
            <v>121.03150176079734</v>
          </cell>
          <cell r="N40" t="e">
            <v>#DIV/0!</v>
          </cell>
          <cell r="O40">
            <v>386</v>
          </cell>
          <cell r="P40">
            <v>339.66238918674946</v>
          </cell>
          <cell r="Q40">
            <v>-46.337610813250535</v>
          </cell>
          <cell r="R40">
            <v>193</v>
          </cell>
          <cell r="S40">
            <v>5.2732240437158469E-3</v>
          </cell>
          <cell r="T40">
            <v>97.362042302504818</v>
          </cell>
          <cell r="U40">
            <v>2.9503649182577216E-3</v>
          </cell>
          <cell r="V40">
            <v>579</v>
          </cell>
          <cell r="W40">
            <v>437.02443148925431</v>
          </cell>
          <cell r="X40">
            <v>-141.97556851074569</v>
          </cell>
          <cell r="Y40">
            <v>193</v>
          </cell>
          <cell r="Z40">
            <v>5.2732240437158469E-3</v>
          </cell>
          <cell r="AA40">
            <v>0</v>
          </cell>
          <cell r="AB40" t="e">
            <v>#DIV/0!</v>
          </cell>
          <cell r="AC40">
            <v>772</v>
          </cell>
          <cell r="AD40">
            <v>437.02443148925431</v>
          </cell>
          <cell r="AE40">
            <v>-334.97556851074569</v>
          </cell>
          <cell r="AF40">
            <v>193</v>
          </cell>
          <cell r="AG40">
            <v>5.2732240437158469E-3</v>
          </cell>
          <cell r="AH40">
            <v>0</v>
          </cell>
          <cell r="AI40" t="e">
            <v>#DIV/0!</v>
          </cell>
          <cell r="AJ40">
            <v>965</v>
          </cell>
          <cell r="AK40">
            <v>437.02443148925431</v>
          </cell>
          <cell r="AL40">
            <v>-527.97556851074569</v>
          </cell>
          <cell r="AM40">
            <v>193</v>
          </cell>
          <cell r="AN40">
            <v>5.2732240437158469E-3</v>
          </cell>
          <cell r="AO40">
            <v>0</v>
          </cell>
          <cell r="AP40" t="e">
            <v>#DIV/0!</v>
          </cell>
          <cell r="AQ40">
            <v>1158</v>
          </cell>
          <cell r="AR40">
            <v>437.02443148925431</v>
          </cell>
          <cell r="AS40">
            <v>-720.97556851074569</v>
          </cell>
          <cell r="AT40">
            <v>193</v>
          </cell>
          <cell r="AU40">
            <v>5.2732240437158469E-3</v>
          </cell>
          <cell r="AV40">
            <v>0</v>
          </cell>
          <cell r="AW40" t="e">
            <v>#DIV/0!</v>
          </cell>
          <cell r="AX40">
            <v>1351</v>
          </cell>
          <cell r="AY40">
            <v>437.02443148925431</v>
          </cell>
          <cell r="AZ40">
            <v>-913.97556851074569</v>
          </cell>
          <cell r="BA40">
            <v>193</v>
          </cell>
          <cell r="BB40">
            <v>5.2732240437158469E-3</v>
          </cell>
          <cell r="BC40">
            <v>0</v>
          </cell>
          <cell r="BD40" t="e">
            <v>#DIV/0!</v>
          </cell>
          <cell r="BE40">
            <v>1544</v>
          </cell>
          <cell r="BF40">
            <v>437.02443148925431</v>
          </cell>
          <cell r="BG40">
            <v>-1106.9755685107457</v>
          </cell>
          <cell r="BH40">
            <v>193</v>
          </cell>
          <cell r="BI40">
            <v>5.2732240437158469E-3</v>
          </cell>
          <cell r="BJ40">
            <v>0</v>
          </cell>
          <cell r="BK40" t="e">
            <v>#DIV/0!</v>
          </cell>
          <cell r="BL40">
            <v>1737</v>
          </cell>
          <cell r="BM40">
            <v>437.02443148925431</v>
          </cell>
          <cell r="BN40">
            <v>-1299.9755685107457</v>
          </cell>
          <cell r="BO40">
            <v>193</v>
          </cell>
          <cell r="BP40">
            <v>5.2732240437158469E-3</v>
          </cell>
          <cell r="BQ40">
            <v>0</v>
          </cell>
          <cell r="BR40" t="e">
            <v>#DIV/0!</v>
          </cell>
          <cell r="BS40">
            <v>1930</v>
          </cell>
          <cell r="BT40">
            <v>437.02443148925431</v>
          </cell>
          <cell r="BU40">
            <v>-1492.9755685107457</v>
          </cell>
          <cell r="BV40">
            <v>193</v>
          </cell>
          <cell r="BW40">
            <v>5.2732240437158469E-3</v>
          </cell>
          <cell r="BX40">
            <v>0</v>
          </cell>
          <cell r="BY40" t="e">
            <v>#DIV/0!</v>
          </cell>
          <cell r="BZ40">
            <v>2123</v>
          </cell>
          <cell r="CA40">
            <v>437.02443148925431</v>
          </cell>
          <cell r="CB40">
            <v>-1685.9755685107457</v>
          </cell>
          <cell r="CC40">
            <v>193</v>
          </cell>
          <cell r="CD40">
            <v>5.2732240437158469E-3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80</v>
          </cell>
          <cell r="E41">
            <v>2.6666666666666666E-3</v>
          </cell>
          <cell r="F41">
            <v>61.226130554612887</v>
          </cell>
          <cell r="G41">
            <v>2.7579338087663462E-3</v>
          </cell>
          <cell r="H41">
            <v>80</v>
          </cell>
          <cell r="I41">
            <v>61.226130554612887</v>
          </cell>
          <cell r="J41">
            <v>-18.773869445387113</v>
          </cell>
          <cell r="K41">
            <v>80</v>
          </cell>
          <cell r="L41">
            <v>1.9512195121951219E-3</v>
          </cell>
          <cell r="M41">
            <v>39.333969625890809</v>
          </cell>
          <cell r="N41" t="e">
            <v>#DIV/0!</v>
          </cell>
          <cell r="O41">
            <v>160</v>
          </cell>
          <cell r="P41">
            <v>100.5601001805037</v>
          </cell>
          <cell r="Q41">
            <v>-59.439899819496304</v>
          </cell>
          <cell r="R41">
            <v>80</v>
          </cell>
          <cell r="S41">
            <v>2.185792349726776E-3</v>
          </cell>
          <cell r="T41">
            <v>78.073287212499537</v>
          </cell>
          <cell r="U41">
            <v>2.3658571882575617E-3</v>
          </cell>
          <cell r="V41">
            <v>240</v>
          </cell>
          <cell r="W41">
            <v>178.63338739300323</v>
          </cell>
          <cell r="X41">
            <v>-61.366612606996767</v>
          </cell>
          <cell r="Y41">
            <v>80</v>
          </cell>
          <cell r="Z41">
            <v>2.185792349726776E-3</v>
          </cell>
          <cell r="AA41">
            <v>0</v>
          </cell>
          <cell r="AB41" t="e">
            <v>#DIV/0!</v>
          </cell>
          <cell r="AC41">
            <v>320</v>
          </cell>
          <cell r="AD41">
            <v>178.63338739300323</v>
          </cell>
          <cell r="AE41">
            <v>-141.36661260699677</v>
          </cell>
          <cell r="AF41">
            <v>80</v>
          </cell>
          <cell r="AG41">
            <v>2.185792349726776E-3</v>
          </cell>
          <cell r="AH41">
            <v>0</v>
          </cell>
          <cell r="AI41" t="e">
            <v>#DIV/0!</v>
          </cell>
          <cell r="AJ41">
            <v>400</v>
          </cell>
          <cell r="AK41">
            <v>178.63338739300323</v>
          </cell>
          <cell r="AL41">
            <v>-221.36661260699677</v>
          </cell>
          <cell r="AM41">
            <v>80</v>
          </cell>
          <cell r="AN41">
            <v>2.185792349726776E-3</v>
          </cell>
          <cell r="AO41">
            <v>0</v>
          </cell>
          <cell r="AP41" t="e">
            <v>#DIV/0!</v>
          </cell>
          <cell r="AQ41">
            <v>480</v>
          </cell>
          <cell r="AR41">
            <v>178.63338739300323</v>
          </cell>
          <cell r="AS41">
            <v>-301.3666126069968</v>
          </cell>
          <cell r="AT41">
            <v>80</v>
          </cell>
          <cell r="AU41">
            <v>2.185792349726776E-3</v>
          </cell>
          <cell r="AV41">
            <v>0</v>
          </cell>
          <cell r="AW41" t="e">
            <v>#DIV/0!</v>
          </cell>
          <cell r="AX41">
            <v>560</v>
          </cell>
          <cell r="AY41">
            <v>178.63338739300323</v>
          </cell>
          <cell r="AZ41">
            <v>-381.3666126069968</v>
          </cell>
          <cell r="BA41">
            <v>80</v>
          </cell>
          <cell r="BB41">
            <v>2.185792349726776E-3</v>
          </cell>
          <cell r="BC41">
            <v>0</v>
          </cell>
          <cell r="BD41" t="e">
            <v>#DIV/0!</v>
          </cell>
          <cell r="BE41">
            <v>640</v>
          </cell>
          <cell r="BF41">
            <v>178.63338739300323</v>
          </cell>
          <cell r="BG41">
            <v>-461.3666126069968</v>
          </cell>
          <cell r="BH41">
            <v>80</v>
          </cell>
          <cell r="BI41">
            <v>2.185792349726776E-3</v>
          </cell>
          <cell r="BJ41">
            <v>0</v>
          </cell>
          <cell r="BK41" t="e">
            <v>#DIV/0!</v>
          </cell>
          <cell r="BL41">
            <v>720</v>
          </cell>
          <cell r="BM41">
            <v>178.63338739300323</v>
          </cell>
          <cell r="BN41">
            <v>-541.3666126069968</v>
          </cell>
          <cell r="BO41">
            <v>80</v>
          </cell>
          <cell r="BP41">
            <v>2.185792349726776E-3</v>
          </cell>
          <cell r="BQ41">
            <v>0</v>
          </cell>
          <cell r="BR41" t="e">
            <v>#DIV/0!</v>
          </cell>
          <cell r="BS41">
            <v>800</v>
          </cell>
          <cell r="BT41">
            <v>178.63338739300323</v>
          </cell>
          <cell r="BU41">
            <v>-621.3666126069968</v>
          </cell>
          <cell r="BV41">
            <v>80</v>
          </cell>
          <cell r="BW41">
            <v>2.185792349726776E-3</v>
          </cell>
          <cell r="BX41">
            <v>0</v>
          </cell>
          <cell r="BY41" t="e">
            <v>#DIV/0!</v>
          </cell>
          <cell r="BZ41">
            <v>880</v>
          </cell>
          <cell r="CA41">
            <v>178.63338739300323</v>
          </cell>
          <cell r="CB41">
            <v>-701.3666126069968</v>
          </cell>
          <cell r="CC41">
            <v>80</v>
          </cell>
          <cell r="CD41">
            <v>2.185792349726776E-3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 t="e">
            <v>#DIV/0!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2500</v>
          </cell>
          <cell r="E43">
            <v>8.3333333333333329E-2</v>
          </cell>
          <cell r="F43">
            <v>0</v>
          </cell>
          <cell r="G43">
            <v>0</v>
          </cell>
          <cell r="H43">
            <v>2500</v>
          </cell>
          <cell r="I43">
            <v>0</v>
          </cell>
          <cell r="J43">
            <v>-2500</v>
          </cell>
          <cell r="K43">
            <v>2500</v>
          </cell>
          <cell r="L43">
            <v>6.097560975609756E-2</v>
          </cell>
          <cell r="M43">
            <v>1724.3904299999999</v>
          </cell>
          <cell r="N43" t="e">
            <v>#DIV/0!</v>
          </cell>
          <cell r="O43">
            <v>5000</v>
          </cell>
          <cell r="P43">
            <v>1724.3904299999999</v>
          </cell>
          <cell r="Q43">
            <v>-3275.6095700000001</v>
          </cell>
          <cell r="R43">
            <v>2500</v>
          </cell>
          <cell r="S43">
            <v>6.8306010928961755E-2</v>
          </cell>
          <cell r="T43">
            <v>1723.609537</v>
          </cell>
          <cell r="U43">
            <v>5.223059203030303E-2</v>
          </cell>
          <cell r="V43">
            <v>7500</v>
          </cell>
          <cell r="W43">
            <v>3447.9999669999997</v>
          </cell>
          <cell r="X43">
            <v>-4052.0000330000003</v>
          </cell>
          <cell r="Y43">
            <v>2500</v>
          </cell>
          <cell r="Z43">
            <v>6.8306010928961755E-2</v>
          </cell>
          <cell r="AA43">
            <v>0</v>
          </cell>
          <cell r="AB43" t="e">
            <v>#DIV/0!</v>
          </cell>
          <cell r="AC43">
            <v>10000</v>
          </cell>
          <cell r="AD43">
            <v>3447.9999669999997</v>
          </cell>
          <cell r="AE43">
            <v>-6552.0000330000003</v>
          </cell>
          <cell r="AF43">
            <v>2500</v>
          </cell>
          <cell r="AG43">
            <v>6.8306010928961755E-2</v>
          </cell>
          <cell r="AH43">
            <v>0</v>
          </cell>
          <cell r="AI43" t="e">
            <v>#DIV/0!</v>
          </cell>
          <cell r="AJ43">
            <v>12500</v>
          </cell>
          <cell r="AK43">
            <v>3447.9999669999997</v>
          </cell>
          <cell r="AL43">
            <v>-9052.0000330000003</v>
          </cell>
          <cell r="AM43">
            <v>2500</v>
          </cell>
          <cell r="AN43">
            <v>6.8306010928961755E-2</v>
          </cell>
          <cell r="AO43">
            <v>0</v>
          </cell>
          <cell r="AP43" t="e">
            <v>#DIV/0!</v>
          </cell>
          <cell r="AQ43">
            <v>15000</v>
          </cell>
          <cell r="AR43">
            <v>3447.9999669999997</v>
          </cell>
          <cell r="AS43">
            <v>-11552.000033</v>
          </cell>
          <cell r="AT43">
            <v>2500</v>
          </cell>
          <cell r="AU43">
            <v>6.8306010928961755E-2</v>
          </cell>
          <cell r="AV43">
            <v>0</v>
          </cell>
          <cell r="AW43" t="e">
            <v>#DIV/0!</v>
          </cell>
          <cell r="AX43">
            <v>17500</v>
          </cell>
          <cell r="AY43">
            <v>3447.9999669999997</v>
          </cell>
          <cell r="AZ43">
            <v>-14052.000033</v>
          </cell>
          <cell r="BA43">
            <v>2500</v>
          </cell>
          <cell r="BB43">
            <v>6.8306010928961755E-2</v>
          </cell>
          <cell r="BC43">
            <v>0</v>
          </cell>
          <cell r="BD43" t="e">
            <v>#DIV/0!</v>
          </cell>
          <cell r="BE43">
            <v>20000</v>
          </cell>
          <cell r="BF43">
            <v>3447.9999669999997</v>
          </cell>
          <cell r="BG43">
            <v>-16552.000033</v>
          </cell>
          <cell r="BH43">
            <v>2500</v>
          </cell>
          <cell r="BI43">
            <v>6.8306010928961755E-2</v>
          </cell>
          <cell r="BJ43">
            <v>0</v>
          </cell>
          <cell r="BK43" t="e">
            <v>#DIV/0!</v>
          </cell>
          <cell r="BL43">
            <v>22500</v>
          </cell>
          <cell r="BM43">
            <v>3447.9999669999997</v>
          </cell>
          <cell r="BN43">
            <v>-19052.000033</v>
          </cell>
          <cell r="BO43">
            <v>2500</v>
          </cell>
          <cell r="BP43">
            <v>6.8306010928961755E-2</v>
          </cell>
          <cell r="BQ43">
            <v>0</v>
          </cell>
          <cell r="BR43" t="e">
            <v>#DIV/0!</v>
          </cell>
          <cell r="BS43">
            <v>25000</v>
          </cell>
          <cell r="BT43">
            <v>3447.9999669999997</v>
          </cell>
          <cell r="BU43">
            <v>-21552.000033</v>
          </cell>
          <cell r="BV43">
            <v>2500</v>
          </cell>
          <cell r="BW43">
            <v>6.8306010928961755E-2</v>
          </cell>
          <cell r="BX43">
            <v>0</v>
          </cell>
          <cell r="BY43" t="e">
            <v>#DIV/0!</v>
          </cell>
          <cell r="BZ43">
            <v>27500</v>
          </cell>
          <cell r="CA43">
            <v>3447.9999669999997</v>
          </cell>
          <cell r="CB43">
            <v>-24052.000033</v>
          </cell>
          <cell r="CC43">
            <v>2500</v>
          </cell>
          <cell r="CD43">
            <v>6.8306010928961755E-2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100</v>
          </cell>
          <cell r="E44">
            <v>3.3333333333333335E-3</v>
          </cell>
          <cell r="F44">
            <v>29.319983000000001</v>
          </cell>
          <cell r="G44">
            <v>1.3207199549549549E-3</v>
          </cell>
          <cell r="H44">
            <v>100</v>
          </cell>
          <cell r="I44">
            <v>29.319983000000001</v>
          </cell>
          <cell r="J44">
            <v>-70.680016999999992</v>
          </cell>
          <cell r="K44">
            <v>100</v>
          </cell>
          <cell r="L44">
            <v>2.4390243902439024E-3</v>
          </cell>
          <cell r="M44">
            <v>29.320024</v>
          </cell>
          <cell r="N44" t="e">
            <v>#DIV/0!</v>
          </cell>
          <cell r="O44">
            <v>200</v>
          </cell>
          <cell r="P44">
            <v>58.640006999999997</v>
          </cell>
          <cell r="Q44">
            <v>-141.359993</v>
          </cell>
          <cell r="R44">
            <v>100</v>
          </cell>
          <cell r="S44">
            <v>2.7322404371584699E-3</v>
          </cell>
          <cell r="T44">
            <v>29.32</v>
          </cell>
          <cell r="U44">
            <v>8.884848484848485E-4</v>
          </cell>
          <cell r="V44">
            <v>300</v>
          </cell>
          <cell r="W44">
            <v>87.96000699999999</v>
          </cell>
          <cell r="X44">
            <v>-212.03999300000001</v>
          </cell>
          <cell r="Y44">
            <v>100</v>
          </cell>
          <cell r="Z44">
            <v>2.7322404371584699E-3</v>
          </cell>
          <cell r="AA44">
            <v>0</v>
          </cell>
          <cell r="AB44" t="e">
            <v>#DIV/0!</v>
          </cell>
          <cell r="AC44">
            <v>400</v>
          </cell>
          <cell r="AD44">
            <v>87.96000699999999</v>
          </cell>
          <cell r="AE44">
            <v>-312.03999299999998</v>
          </cell>
          <cell r="AF44">
            <v>100</v>
          </cell>
          <cell r="AG44">
            <v>2.7322404371584699E-3</v>
          </cell>
          <cell r="AH44">
            <v>0</v>
          </cell>
          <cell r="AI44" t="e">
            <v>#DIV/0!</v>
          </cell>
          <cell r="AJ44">
            <v>500</v>
          </cell>
          <cell r="AK44">
            <v>87.96000699999999</v>
          </cell>
          <cell r="AL44">
            <v>-412.03999299999998</v>
          </cell>
          <cell r="AM44">
            <v>100</v>
          </cell>
          <cell r="AN44">
            <v>2.7322404371584699E-3</v>
          </cell>
          <cell r="AO44">
            <v>0</v>
          </cell>
          <cell r="AP44" t="e">
            <v>#DIV/0!</v>
          </cell>
          <cell r="AQ44">
            <v>600</v>
          </cell>
          <cell r="AR44">
            <v>87.96000699999999</v>
          </cell>
          <cell r="AS44">
            <v>-512.03999299999998</v>
          </cell>
          <cell r="AT44">
            <v>100</v>
          </cell>
          <cell r="AU44">
            <v>2.7322404371584699E-3</v>
          </cell>
          <cell r="AV44">
            <v>0</v>
          </cell>
          <cell r="AW44" t="e">
            <v>#DIV/0!</v>
          </cell>
          <cell r="AX44">
            <v>700</v>
          </cell>
          <cell r="AY44">
            <v>87.96000699999999</v>
          </cell>
          <cell r="AZ44">
            <v>-612.03999299999998</v>
          </cell>
          <cell r="BA44">
            <v>100</v>
          </cell>
          <cell r="BB44">
            <v>2.7322404371584699E-3</v>
          </cell>
          <cell r="BC44">
            <v>0</v>
          </cell>
          <cell r="BD44" t="e">
            <v>#DIV/0!</v>
          </cell>
          <cell r="BE44">
            <v>800</v>
          </cell>
          <cell r="BF44">
            <v>87.96000699999999</v>
          </cell>
          <cell r="BG44">
            <v>-712.03999299999998</v>
          </cell>
          <cell r="BH44">
            <v>100</v>
          </cell>
          <cell r="BI44">
            <v>2.7322404371584699E-3</v>
          </cell>
          <cell r="BJ44">
            <v>0</v>
          </cell>
          <cell r="BK44" t="e">
            <v>#DIV/0!</v>
          </cell>
          <cell r="BL44">
            <v>900</v>
          </cell>
          <cell r="BM44">
            <v>87.96000699999999</v>
          </cell>
          <cell r="BN44">
            <v>-812.03999299999998</v>
          </cell>
          <cell r="BO44">
            <v>100</v>
          </cell>
          <cell r="BP44">
            <v>2.7322404371584699E-3</v>
          </cell>
          <cell r="BQ44">
            <v>0</v>
          </cell>
          <cell r="BR44" t="e">
            <v>#DIV/0!</v>
          </cell>
          <cell r="BS44">
            <v>1000</v>
          </cell>
          <cell r="BT44">
            <v>87.96000699999999</v>
          </cell>
          <cell r="BU44">
            <v>-912.03999299999998</v>
          </cell>
          <cell r="BV44">
            <v>100</v>
          </cell>
          <cell r="BW44">
            <v>2.7322404371584699E-3</v>
          </cell>
          <cell r="BX44">
            <v>0</v>
          </cell>
          <cell r="BY44" t="e">
            <v>#DIV/0!</v>
          </cell>
          <cell r="BZ44">
            <v>1100</v>
          </cell>
          <cell r="CA44">
            <v>87.96000699999999</v>
          </cell>
          <cell r="CB44">
            <v>-1012.039993</v>
          </cell>
          <cell r="CC44">
            <v>100</v>
          </cell>
          <cell r="CD44">
            <v>2.7322404371584699E-3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 t="e">
            <v>#DIV/0!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17929.080000000002</v>
          </cell>
          <cell r="E46">
            <v>0.59763600000000006</v>
          </cell>
          <cell r="F46">
            <v>10673.391169212699</v>
          </cell>
          <cell r="G46">
            <v>0.48078338600057202</v>
          </cell>
          <cell r="H46">
            <v>17929.080000000002</v>
          </cell>
          <cell r="I46">
            <v>10673.391169212699</v>
          </cell>
          <cell r="J46">
            <v>-7255.6888307873032</v>
          </cell>
          <cell r="K46">
            <v>17929.080000000002</v>
          </cell>
          <cell r="L46">
            <v>0.43729463414634151</v>
          </cell>
          <cell r="M46">
            <v>13056.7561692127</v>
          </cell>
          <cell r="N46" t="e">
            <v>#DIV/0!</v>
          </cell>
          <cell r="O46">
            <v>35858.160000000003</v>
          </cell>
          <cell r="P46">
            <v>23730.147338425399</v>
          </cell>
          <cell r="Q46">
            <v>-12128.012661574605</v>
          </cell>
          <cell r="R46">
            <v>17929.080000000002</v>
          </cell>
          <cell r="S46">
            <v>0.48986557377049184</v>
          </cell>
          <cell r="T46">
            <v>16140.368669212699</v>
          </cell>
          <cell r="U46">
            <v>0.48910208088523333</v>
          </cell>
          <cell r="V46">
            <v>53787.240000000005</v>
          </cell>
          <cell r="W46">
            <v>39870.5160076381</v>
          </cell>
          <cell r="X46">
            <v>-13916.723992361905</v>
          </cell>
          <cell r="Y46">
            <v>17929.080000000002</v>
          </cell>
          <cell r="Z46">
            <v>0.48986557377049184</v>
          </cell>
          <cell r="AA46">
            <v>0</v>
          </cell>
          <cell r="AB46" t="e">
            <v>#DIV/0!</v>
          </cell>
          <cell r="AC46">
            <v>71716.320000000007</v>
          </cell>
          <cell r="AD46">
            <v>39870.5160076381</v>
          </cell>
          <cell r="AE46">
            <v>-31845.803992361907</v>
          </cell>
          <cell r="AF46">
            <v>17929.080000000002</v>
          </cell>
          <cell r="AG46">
            <v>0.48986557377049184</v>
          </cell>
          <cell r="AH46">
            <v>0</v>
          </cell>
          <cell r="AI46" t="e">
            <v>#DIV/0!</v>
          </cell>
          <cell r="AJ46">
            <v>89645.400000000009</v>
          </cell>
          <cell r="AK46">
            <v>39870.5160076381</v>
          </cell>
          <cell r="AL46">
            <v>-49774.883992361909</v>
          </cell>
          <cell r="AM46">
            <v>17929.080000000002</v>
          </cell>
          <cell r="AN46">
            <v>0.48986557377049184</v>
          </cell>
          <cell r="AO46">
            <v>0</v>
          </cell>
          <cell r="AP46" t="e">
            <v>#DIV/0!</v>
          </cell>
          <cell r="AQ46">
            <v>107574.48000000001</v>
          </cell>
          <cell r="AR46">
            <v>39870.5160076381</v>
          </cell>
          <cell r="AS46">
            <v>-67703.963992361911</v>
          </cell>
          <cell r="AT46">
            <v>17929.080000000002</v>
          </cell>
          <cell r="AU46">
            <v>0.48986557377049184</v>
          </cell>
          <cell r="AV46">
            <v>0</v>
          </cell>
          <cell r="AW46" t="e">
            <v>#DIV/0!</v>
          </cell>
          <cell r="AX46">
            <v>125503.56000000001</v>
          </cell>
          <cell r="AY46">
            <v>39870.5160076381</v>
          </cell>
          <cell r="AZ46">
            <v>-85633.043992361912</v>
          </cell>
          <cell r="BA46">
            <v>17929.080000000002</v>
          </cell>
          <cell r="BB46">
            <v>0.48986557377049184</v>
          </cell>
          <cell r="BC46">
            <v>0</v>
          </cell>
          <cell r="BD46" t="e">
            <v>#DIV/0!</v>
          </cell>
          <cell r="BE46">
            <v>143432.64000000001</v>
          </cell>
          <cell r="BF46">
            <v>39870.5160076381</v>
          </cell>
          <cell r="BG46">
            <v>-103562.12399236191</v>
          </cell>
          <cell r="BH46">
            <v>17929.080000000002</v>
          </cell>
          <cell r="BI46">
            <v>0.48986557377049184</v>
          </cell>
          <cell r="BJ46">
            <v>0</v>
          </cell>
          <cell r="BK46" t="e">
            <v>#DIV/0!</v>
          </cell>
          <cell r="BL46">
            <v>161361.72000000003</v>
          </cell>
          <cell r="BM46">
            <v>39870.5160076381</v>
          </cell>
          <cell r="BN46">
            <v>-121491.20399236193</v>
          </cell>
          <cell r="BO46">
            <v>17929.080000000002</v>
          </cell>
          <cell r="BP46">
            <v>0.48986557377049184</v>
          </cell>
          <cell r="BQ46">
            <v>0</v>
          </cell>
          <cell r="BR46" t="e">
            <v>#DIV/0!</v>
          </cell>
          <cell r="BS46">
            <v>179290.80000000005</v>
          </cell>
          <cell r="BT46">
            <v>39870.5160076381</v>
          </cell>
          <cell r="BU46">
            <v>-139420.28399236195</v>
          </cell>
          <cell r="BV46">
            <v>17929.080000000002</v>
          </cell>
          <cell r="BW46">
            <v>0.48986557377049184</v>
          </cell>
          <cell r="BX46">
            <v>0</v>
          </cell>
          <cell r="BY46" t="e">
            <v>#DIV/0!</v>
          </cell>
          <cell r="BZ46">
            <v>197219.88000000006</v>
          </cell>
          <cell r="CA46">
            <v>39870.5160076381</v>
          </cell>
          <cell r="CB46">
            <v>-157349.36399236196</v>
          </cell>
          <cell r="CC46">
            <v>17929.080000000002</v>
          </cell>
          <cell r="CD46">
            <v>0.48986557377049184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 t="e">
            <v>#DIV/0!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50</v>
          </cell>
          <cell r="E48">
            <v>1.6666666666666668E-3</v>
          </cell>
          <cell r="F48">
            <v>46.040021000000003</v>
          </cell>
          <cell r="G48">
            <v>2.07387481981982E-3</v>
          </cell>
          <cell r="H48">
            <v>50</v>
          </cell>
          <cell r="I48">
            <v>46.040021000000003</v>
          </cell>
          <cell r="J48">
            <v>-3.959978999999997</v>
          </cell>
          <cell r="K48">
            <v>50</v>
          </cell>
          <cell r="L48">
            <v>1.2195121951219512E-3</v>
          </cell>
          <cell r="M48">
            <v>34.530006999999998</v>
          </cell>
          <cell r="N48" t="e">
            <v>#DIV/0!</v>
          </cell>
          <cell r="O48">
            <v>100</v>
          </cell>
          <cell r="P48">
            <v>80.570028000000008</v>
          </cell>
          <cell r="Q48">
            <v>-19.429971999999992</v>
          </cell>
          <cell r="R48">
            <v>50</v>
          </cell>
          <cell r="S48">
            <v>1.366120218579235E-3</v>
          </cell>
          <cell r="T48">
            <v>46.039991999999998</v>
          </cell>
          <cell r="U48">
            <v>1.3951512727272727E-3</v>
          </cell>
          <cell r="V48">
            <v>150</v>
          </cell>
          <cell r="W48">
            <v>126.61002000000001</v>
          </cell>
          <cell r="X48">
            <v>-23.389979999999994</v>
          </cell>
          <cell r="Y48">
            <v>50</v>
          </cell>
          <cell r="Z48">
            <v>1.366120218579235E-3</v>
          </cell>
          <cell r="AA48">
            <v>0</v>
          </cell>
          <cell r="AB48" t="e">
            <v>#DIV/0!</v>
          </cell>
          <cell r="AC48">
            <v>200</v>
          </cell>
          <cell r="AD48">
            <v>126.61002000000001</v>
          </cell>
          <cell r="AE48">
            <v>-73.389979999999994</v>
          </cell>
          <cell r="AF48">
            <v>50</v>
          </cell>
          <cell r="AG48">
            <v>1.366120218579235E-3</v>
          </cell>
          <cell r="AH48">
            <v>0</v>
          </cell>
          <cell r="AI48" t="e">
            <v>#DIV/0!</v>
          </cell>
          <cell r="AJ48">
            <v>250</v>
          </cell>
          <cell r="AK48">
            <v>126.61002000000001</v>
          </cell>
          <cell r="AL48">
            <v>-123.38997999999999</v>
          </cell>
          <cell r="AM48">
            <v>50</v>
          </cell>
          <cell r="AN48">
            <v>1.366120218579235E-3</v>
          </cell>
          <cell r="AO48">
            <v>0</v>
          </cell>
          <cell r="AP48" t="e">
            <v>#DIV/0!</v>
          </cell>
          <cell r="AQ48">
            <v>300</v>
          </cell>
          <cell r="AR48">
            <v>126.61002000000001</v>
          </cell>
          <cell r="AS48">
            <v>-173.38997999999998</v>
          </cell>
          <cell r="AT48">
            <v>50</v>
          </cell>
          <cell r="AU48">
            <v>1.366120218579235E-3</v>
          </cell>
          <cell r="AV48">
            <v>0</v>
          </cell>
          <cell r="AW48" t="e">
            <v>#DIV/0!</v>
          </cell>
          <cell r="AX48">
            <v>350</v>
          </cell>
          <cell r="AY48">
            <v>126.61002000000001</v>
          </cell>
          <cell r="AZ48">
            <v>-223.38997999999998</v>
          </cell>
          <cell r="BA48">
            <v>50</v>
          </cell>
          <cell r="BB48">
            <v>1.366120218579235E-3</v>
          </cell>
          <cell r="BC48">
            <v>0</v>
          </cell>
          <cell r="BD48" t="e">
            <v>#DIV/0!</v>
          </cell>
          <cell r="BE48">
            <v>400</v>
          </cell>
          <cell r="BF48">
            <v>126.61002000000001</v>
          </cell>
          <cell r="BG48">
            <v>-273.38997999999998</v>
          </cell>
          <cell r="BH48">
            <v>50</v>
          </cell>
          <cell r="BI48">
            <v>1.366120218579235E-3</v>
          </cell>
          <cell r="BJ48">
            <v>0</v>
          </cell>
          <cell r="BK48" t="e">
            <v>#DIV/0!</v>
          </cell>
          <cell r="BL48">
            <v>450</v>
          </cell>
          <cell r="BM48">
            <v>126.61002000000001</v>
          </cell>
          <cell r="BN48">
            <v>-323.38997999999998</v>
          </cell>
          <cell r="BO48">
            <v>50</v>
          </cell>
          <cell r="BP48">
            <v>1.366120218579235E-3</v>
          </cell>
          <cell r="BQ48">
            <v>0</v>
          </cell>
          <cell r="BR48" t="e">
            <v>#DIV/0!</v>
          </cell>
          <cell r="BS48">
            <v>500</v>
          </cell>
          <cell r="BT48">
            <v>126.61002000000001</v>
          </cell>
          <cell r="BU48">
            <v>-373.38997999999998</v>
          </cell>
          <cell r="BV48">
            <v>50</v>
          </cell>
          <cell r="BW48">
            <v>1.366120218579235E-3</v>
          </cell>
          <cell r="BX48">
            <v>0</v>
          </cell>
          <cell r="BY48" t="e">
            <v>#DIV/0!</v>
          </cell>
          <cell r="BZ48">
            <v>550</v>
          </cell>
          <cell r="CA48">
            <v>126.61002000000001</v>
          </cell>
          <cell r="CB48">
            <v>-423.38997999999998</v>
          </cell>
          <cell r="CC48">
            <v>50</v>
          </cell>
          <cell r="CD48">
            <v>1.366120218579235E-3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e">
            <v>#DIV/0!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 t="e">
            <v>#DIV/0!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 t="e">
            <v>#DIV/0!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 t="e">
            <v>#DIV/0!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 t="e">
            <v>#DIV/0!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4"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0</v>
          </cell>
          <cell r="D15">
            <v>101</v>
          </cell>
          <cell r="E15">
            <v>7.7692307692307696E-3</v>
          </cell>
          <cell r="F15">
            <v>0</v>
          </cell>
          <cell r="G15">
            <v>0</v>
          </cell>
          <cell r="H15">
            <v>101</v>
          </cell>
          <cell r="I15">
            <v>0</v>
          </cell>
          <cell r="J15">
            <v>-101</v>
          </cell>
          <cell r="K15">
            <v>101</v>
          </cell>
          <cell r="L15">
            <v>7.7692307692307696E-3</v>
          </cell>
          <cell r="M15">
            <v>32.366999999999997</v>
          </cell>
          <cell r="N15">
            <v>6.6393846153846147E-3</v>
          </cell>
          <cell r="O15">
            <v>202</v>
          </cell>
          <cell r="P15">
            <v>32.366999999999997</v>
          </cell>
          <cell r="Q15">
            <v>-169.63300000000001</v>
          </cell>
          <cell r="R15">
            <v>101</v>
          </cell>
          <cell r="S15">
            <v>7.7692307692307696E-3</v>
          </cell>
          <cell r="T15">
            <v>107.89</v>
          </cell>
          <cell r="U15">
            <v>8.2205950860514739E-3</v>
          </cell>
          <cell r="V15">
            <v>303</v>
          </cell>
          <cell r="W15">
            <v>140.25700000000001</v>
          </cell>
          <cell r="X15">
            <v>-162.74299999999999</v>
          </cell>
          <cell r="Y15">
            <v>101</v>
          </cell>
          <cell r="Z15">
            <v>1.01E-2</v>
          </cell>
          <cell r="AA15">
            <v>0</v>
          </cell>
          <cell r="AB15" t="e">
            <v>#DIV/0!</v>
          </cell>
          <cell r="AC15">
            <v>404</v>
          </cell>
          <cell r="AD15">
            <v>140.25700000000001</v>
          </cell>
          <cell r="AE15">
            <v>-263.74299999999999</v>
          </cell>
          <cell r="AF15">
            <v>101</v>
          </cell>
          <cell r="AG15">
            <v>1.01E-2</v>
          </cell>
          <cell r="AH15">
            <v>0</v>
          </cell>
          <cell r="AI15" t="e">
            <v>#DIV/0!</v>
          </cell>
          <cell r="AJ15">
            <v>505</v>
          </cell>
          <cell r="AK15">
            <v>140.25700000000001</v>
          </cell>
          <cell r="AL15">
            <v>-364.74299999999999</v>
          </cell>
          <cell r="AM15">
            <v>101</v>
          </cell>
          <cell r="AN15">
            <v>1.01E-2</v>
          </cell>
          <cell r="AO15">
            <v>0</v>
          </cell>
          <cell r="AP15" t="e">
            <v>#DIV/0!</v>
          </cell>
          <cell r="AQ15">
            <v>606</v>
          </cell>
          <cell r="AR15">
            <v>140.25700000000001</v>
          </cell>
          <cell r="AS15">
            <v>-465.74299999999999</v>
          </cell>
          <cell r="AT15">
            <v>101</v>
          </cell>
          <cell r="AU15">
            <v>5.0499999999999998E-3</v>
          </cell>
          <cell r="AV15">
            <v>0</v>
          </cell>
          <cell r="AW15" t="e">
            <v>#DIV/0!</v>
          </cell>
          <cell r="AX15">
            <v>707</v>
          </cell>
          <cell r="AY15">
            <v>140.25700000000001</v>
          </cell>
          <cell r="AZ15">
            <v>-566.74299999999994</v>
          </cell>
          <cell r="BA15">
            <v>101</v>
          </cell>
          <cell r="BB15">
            <v>5.0499999999999998E-3</v>
          </cell>
          <cell r="BC15">
            <v>0</v>
          </cell>
          <cell r="BD15" t="e">
            <v>#DIV/0!</v>
          </cell>
          <cell r="BE15">
            <v>808</v>
          </cell>
          <cell r="BF15">
            <v>140.25700000000001</v>
          </cell>
          <cell r="BG15">
            <v>-667.74299999999994</v>
          </cell>
          <cell r="BH15">
            <v>101</v>
          </cell>
          <cell r="BI15">
            <v>5.0499999999999998E-3</v>
          </cell>
          <cell r="BJ15">
            <v>0</v>
          </cell>
          <cell r="BK15" t="e">
            <v>#DIV/0!</v>
          </cell>
          <cell r="BL15">
            <v>909</v>
          </cell>
          <cell r="BM15">
            <v>140.25700000000001</v>
          </cell>
          <cell r="BN15">
            <v>-768.74299999999994</v>
          </cell>
          <cell r="BO15">
            <v>101</v>
          </cell>
          <cell r="BP15">
            <v>5.0499999999999998E-3</v>
          </cell>
          <cell r="BQ15">
            <v>0</v>
          </cell>
          <cell r="BR15" t="e">
            <v>#DIV/0!</v>
          </cell>
          <cell r="BS15">
            <v>1010</v>
          </cell>
          <cell r="BT15">
            <v>140.25700000000001</v>
          </cell>
          <cell r="BU15">
            <v>-869.74299999999994</v>
          </cell>
          <cell r="BV15">
            <v>101</v>
          </cell>
          <cell r="BW15">
            <v>5.0499999999999998E-3</v>
          </cell>
          <cell r="BX15">
            <v>0</v>
          </cell>
          <cell r="BY15" t="e">
            <v>#DIV/0!</v>
          </cell>
          <cell r="BZ15">
            <v>1111</v>
          </cell>
          <cell r="CA15">
            <v>140.25700000000001</v>
          </cell>
          <cell r="CB15">
            <v>-970.74299999999994</v>
          </cell>
          <cell r="CC15">
            <v>101</v>
          </cell>
          <cell r="CD15">
            <v>5.0499999999999998E-3</v>
          </cell>
          <cell r="CE15">
            <v>0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</row>
        <row r="18">
          <cell r="A18" t="str">
            <v>Cadastro</v>
          </cell>
          <cell r="B18" t="e">
            <v>#DIV/0!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0</v>
          </cell>
          <cell r="D25">
            <v>4900</v>
          </cell>
          <cell r="E25">
            <v>0.37692307692307692</v>
          </cell>
          <cell r="F25">
            <v>2400</v>
          </cell>
          <cell r="G25">
            <v>0.67368420882437674</v>
          </cell>
          <cell r="H25">
            <v>4900</v>
          </cell>
          <cell r="I25">
            <v>2400</v>
          </cell>
          <cell r="J25">
            <v>-2500</v>
          </cell>
          <cell r="K25">
            <v>4900</v>
          </cell>
          <cell r="L25">
            <v>0.37692307692307692</v>
          </cell>
          <cell r="M25">
            <v>0</v>
          </cell>
          <cell r="N25">
            <v>0</v>
          </cell>
          <cell r="O25">
            <v>9800</v>
          </cell>
          <cell r="P25">
            <v>2400</v>
          </cell>
          <cell r="Q25">
            <v>-7400</v>
          </cell>
          <cell r="R25">
            <v>4900</v>
          </cell>
          <cell r="S25">
            <v>0.37692307692307692</v>
          </cell>
          <cell r="T25">
            <v>2400</v>
          </cell>
          <cell r="U25">
            <v>0.18286614335456056</v>
          </cell>
          <cell r="V25">
            <v>14700</v>
          </cell>
          <cell r="W25">
            <v>4800</v>
          </cell>
          <cell r="X25">
            <v>-9900</v>
          </cell>
          <cell r="Y25">
            <v>4900</v>
          </cell>
          <cell r="Z25">
            <v>0.49</v>
          </cell>
          <cell r="AA25">
            <v>0</v>
          </cell>
          <cell r="AB25" t="e">
            <v>#DIV/0!</v>
          </cell>
          <cell r="AC25">
            <v>19600</v>
          </cell>
          <cell r="AD25">
            <v>4800</v>
          </cell>
          <cell r="AE25">
            <v>-14800</v>
          </cell>
          <cell r="AF25">
            <v>2500</v>
          </cell>
          <cell r="AG25">
            <v>0.25</v>
          </cell>
          <cell r="AH25">
            <v>0</v>
          </cell>
          <cell r="AI25" t="e">
            <v>#DIV/0!</v>
          </cell>
          <cell r="AJ25">
            <v>22100</v>
          </cell>
          <cell r="AK25">
            <v>4800</v>
          </cell>
          <cell r="AL25">
            <v>-17300</v>
          </cell>
          <cell r="AM25">
            <v>2500</v>
          </cell>
          <cell r="AN25">
            <v>0.25</v>
          </cell>
          <cell r="AO25">
            <v>0</v>
          </cell>
          <cell r="AP25" t="e">
            <v>#DIV/0!</v>
          </cell>
          <cell r="AQ25">
            <v>24600</v>
          </cell>
          <cell r="AR25">
            <v>4800</v>
          </cell>
          <cell r="AS25">
            <v>-19800</v>
          </cell>
          <cell r="AT25">
            <v>5000</v>
          </cell>
          <cell r="AU25">
            <v>0.25</v>
          </cell>
          <cell r="AV25">
            <v>0</v>
          </cell>
          <cell r="AW25" t="e">
            <v>#DIV/0!</v>
          </cell>
          <cell r="AX25">
            <v>29600</v>
          </cell>
          <cell r="AY25">
            <v>4800</v>
          </cell>
          <cell r="AZ25">
            <v>-24800</v>
          </cell>
          <cell r="BA25">
            <v>5000</v>
          </cell>
          <cell r="BB25">
            <v>0.25</v>
          </cell>
          <cell r="BC25">
            <v>0</v>
          </cell>
          <cell r="BD25" t="e">
            <v>#DIV/0!</v>
          </cell>
          <cell r="BE25">
            <v>34600</v>
          </cell>
          <cell r="BF25">
            <v>4800</v>
          </cell>
          <cell r="BG25">
            <v>-29800</v>
          </cell>
          <cell r="BH25">
            <v>5000</v>
          </cell>
          <cell r="BI25">
            <v>0.25</v>
          </cell>
          <cell r="BJ25">
            <v>0</v>
          </cell>
          <cell r="BK25" t="e">
            <v>#DIV/0!</v>
          </cell>
          <cell r="BL25">
            <v>39600</v>
          </cell>
          <cell r="BM25">
            <v>4800</v>
          </cell>
          <cell r="BN25">
            <v>-34800</v>
          </cell>
          <cell r="BO25">
            <v>5000</v>
          </cell>
          <cell r="BP25">
            <v>0.25</v>
          </cell>
          <cell r="BQ25">
            <v>0</v>
          </cell>
          <cell r="BR25" t="e">
            <v>#DIV/0!</v>
          </cell>
          <cell r="BS25">
            <v>44600</v>
          </cell>
          <cell r="BT25">
            <v>4800</v>
          </cell>
          <cell r="BU25">
            <v>-39800</v>
          </cell>
          <cell r="BV25">
            <v>5000</v>
          </cell>
          <cell r="BW25">
            <v>0.25</v>
          </cell>
          <cell r="BX25">
            <v>0</v>
          </cell>
          <cell r="BY25" t="e">
            <v>#DIV/0!</v>
          </cell>
          <cell r="BZ25">
            <v>49600</v>
          </cell>
          <cell r="CA25">
            <v>4800</v>
          </cell>
          <cell r="CB25">
            <v>-44800</v>
          </cell>
          <cell r="CC25">
            <v>5000</v>
          </cell>
          <cell r="CD25">
            <v>0.25</v>
          </cell>
          <cell r="CE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 t="e">
            <v>#DIV/0!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</row>
        <row r="28">
          <cell r="A28" t="str">
            <v>Deslocamento</v>
          </cell>
          <cell r="B28" t="e">
            <v>#DIV/0!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</row>
        <row r="36">
          <cell r="A36" t="str">
            <v>Fotocópia/Xerox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</row>
        <row r="37">
          <cell r="A37" t="str">
            <v>GNA</v>
          </cell>
          <cell r="B37" t="e">
            <v>#DIV/0!</v>
          </cell>
          <cell r="C37">
            <v>0</v>
          </cell>
          <cell r="D37">
            <v>0</v>
          </cell>
          <cell r="E37">
            <v>0</v>
          </cell>
          <cell r="F37">
            <v>45.99613437187292</v>
          </cell>
          <cell r="G37">
            <v>1.2911195580539554E-2</v>
          </cell>
          <cell r="H37">
            <v>0</v>
          </cell>
          <cell r="I37">
            <v>45.99613437187292</v>
          </cell>
          <cell r="J37">
            <v>45.99613437187292</v>
          </cell>
          <cell r="K37">
            <v>0</v>
          </cell>
          <cell r="L37">
            <v>0</v>
          </cell>
          <cell r="M37">
            <v>64.19772458774915</v>
          </cell>
          <cell r="N37">
            <v>1.3168764017999825E-2</v>
          </cell>
          <cell r="O37">
            <v>0</v>
          </cell>
          <cell r="P37">
            <v>110.19385895962208</v>
          </cell>
          <cell r="Q37">
            <v>110.19385895962208</v>
          </cell>
          <cell r="R37">
            <v>0</v>
          </cell>
          <cell r="S37">
            <v>0</v>
          </cell>
          <cell r="T37">
            <v>135.00783780520254</v>
          </cell>
          <cell r="U37">
            <v>1.0286817759198095E-2</v>
          </cell>
          <cell r="V37">
            <v>0</v>
          </cell>
          <cell r="W37">
            <v>245.20169676482462</v>
          </cell>
          <cell r="X37">
            <v>245.20169676482462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245.20169676482462</v>
          </cell>
          <cell r="AE37">
            <v>245.20169676482462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245.20169676482462</v>
          </cell>
          <cell r="AL37">
            <v>245.20169676482462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245.20169676482462</v>
          </cell>
          <cell r="AS37">
            <v>245.20169676482462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245.20169676482462</v>
          </cell>
          <cell r="AZ37">
            <v>245.20169676482462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245.20169676482462</v>
          </cell>
          <cell r="BG37">
            <v>245.20169676482462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245.20169676482462</v>
          </cell>
          <cell r="BN37">
            <v>245.20169676482462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245.20169676482462</v>
          </cell>
          <cell r="BU37">
            <v>245.20169676482462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245.20169676482462</v>
          </cell>
          <cell r="CB37">
            <v>245.20169676482462</v>
          </cell>
          <cell r="CC37">
            <v>0</v>
          </cell>
          <cell r="CD37">
            <v>0</v>
          </cell>
          <cell r="CE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e">
            <v>#DIV/0!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e">
            <v>#DIV/0!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87.879964000000001</v>
          </cell>
          <cell r="G44">
            <v>2.4668060007856131E-2</v>
          </cell>
          <cell r="H44">
            <v>0</v>
          </cell>
          <cell r="I44">
            <v>87.879964000000001</v>
          </cell>
          <cell r="J44">
            <v>87.879964000000001</v>
          </cell>
          <cell r="K44">
            <v>0</v>
          </cell>
          <cell r="L44">
            <v>0</v>
          </cell>
          <cell r="M44">
            <v>87.879931999999997</v>
          </cell>
          <cell r="N44">
            <v>1.8026652717948718E-2</v>
          </cell>
          <cell r="O44">
            <v>0</v>
          </cell>
          <cell r="P44">
            <v>175.759896</v>
          </cell>
          <cell r="Q44">
            <v>175.759896</v>
          </cell>
          <cell r="R44">
            <v>0</v>
          </cell>
          <cell r="S44">
            <v>0</v>
          </cell>
          <cell r="T44">
            <v>87.880041000000006</v>
          </cell>
          <cell r="U44">
            <v>6.6959517397961084E-3</v>
          </cell>
          <cell r="V44">
            <v>0</v>
          </cell>
          <cell r="W44">
            <v>263.63993700000003</v>
          </cell>
          <cell r="X44">
            <v>263.63993700000003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263.63993700000003</v>
          </cell>
          <cell r="AE44">
            <v>263.63993700000003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263.63993700000003</v>
          </cell>
          <cell r="AL44">
            <v>263.63993700000003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263.63993700000003</v>
          </cell>
          <cell r="AS44">
            <v>263.63993700000003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263.63993700000003</v>
          </cell>
          <cell r="AZ44">
            <v>263.63993700000003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263.63993700000003</v>
          </cell>
          <cell r="BG44">
            <v>263.63993700000003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263.63993700000003</v>
          </cell>
          <cell r="BN44">
            <v>263.63993700000003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263.63993700000003</v>
          </cell>
          <cell r="BU44">
            <v>263.63993700000003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263.63993700000003</v>
          </cell>
          <cell r="CB44">
            <v>263.63993700000003</v>
          </cell>
          <cell r="CC44">
            <v>0</v>
          </cell>
          <cell r="CD44">
            <v>0</v>
          </cell>
          <cell r="CE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0</v>
          </cell>
          <cell r="D46">
            <v>3140</v>
          </cell>
          <cell r="E46">
            <v>0.24153846153846154</v>
          </cell>
          <cell r="F46">
            <v>0</v>
          </cell>
          <cell r="G46">
            <v>0</v>
          </cell>
          <cell r="H46">
            <v>3140</v>
          </cell>
          <cell r="I46">
            <v>0</v>
          </cell>
          <cell r="J46">
            <v>-3140</v>
          </cell>
          <cell r="K46">
            <v>3140</v>
          </cell>
          <cell r="L46">
            <v>0.24153846153846154</v>
          </cell>
          <cell r="M46">
            <v>915.63750000000005</v>
          </cell>
          <cell r="N46">
            <v>0.18782307692307693</v>
          </cell>
          <cell r="O46">
            <v>6280</v>
          </cell>
          <cell r="P46">
            <v>915.63750000000005</v>
          </cell>
          <cell r="Q46">
            <v>-5364.3625000000002</v>
          </cell>
          <cell r="R46">
            <v>3140</v>
          </cell>
          <cell r="S46">
            <v>0.24153846153846154</v>
          </cell>
          <cell r="T46">
            <v>3052.12</v>
          </cell>
          <cell r="U46">
            <v>0.23255392227305055</v>
          </cell>
          <cell r="V46">
            <v>9420</v>
          </cell>
          <cell r="W46">
            <v>3967.7574999999997</v>
          </cell>
          <cell r="X46">
            <v>-5452.2425000000003</v>
          </cell>
          <cell r="Y46">
            <v>3140</v>
          </cell>
          <cell r="Z46">
            <v>0.314</v>
          </cell>
          <cell r="AA46">
            <v>0</v>
          </cell>
          <cell r="AB46" t="e">
            <v>#DIV/0!</v>
          </cell>
          <cell r="AC46">
            <v>12560</v>
          </cell>
          <cell r="AD46">
            <v>3967.7574999999997</v>
          </cell>
          <cell r="AE46">
            <v>-8592.2425000000003</v>
          </cell>
          <cell r="AF46">
            <v>3140</v>
          </cell>
          <cell r="AG46">
            <v>0.314</v>
          </cell>
          <cell r="AH46">
            <v>0</v>
          </cell>
          <cell r="AI46" t="e">
            <v>#DIV/0!</v>
          </cell>
          <cell r="AJ46">
            <v>15700</v>
          </cell>
          <cell r="AK46">
            <v>3967.7574999999997</v>
          </cell>
          <cell r="AL46">
            <v>-11732.2425</v>
          </cell>
          <cell r="AM46">
            <v>3140</v>
          </cell>
          <cell r="AN46">
            <v>0.314</v>
          </cell>
          <cell r="AO46">
            <v>0</v>
          </cell>
          <cell r="AP46" t="e">
            <v>#DIV/0!</v>
          </cell>
          <cell r="AQ46">
            <v>18840</v>
          </cell>
          <cell r="AR46">
            <v>3967.7574999999997</v>
          </cell>
          <cell r="AS46">
            <v>-14872.2425</v>
          </cell>
          <cell r="AT46">
            <v>3140</v>
          </cell>
          <cell r="AU46">
            <v>0.157</v>
          </cell>
          <cell r="AV46">
            <v>0</v>
          </cell>
          <cell r="AW46" t="e">
            <v>#DIV/0!</v>
          </cell>
          <cell r="AX46">
            <v>21980</v>
          </cell>
          <cell r="AY46">
            <v>3967.7574999999997</v>
          </cell>
          <cell r="AZ46">
            <v>-18012.2425</v>
          </cell>
          <cell r="BA46">
            <v>3140</v>
          </cell>
          <cell r="BB46">
            <v>0.157</v>
          </cell>
          <cell r="BC46">
            <v>0</v>
          </cell>
          <cell r="BD46" t="e">
            <v>#DIV/0!</v>
          </cell>
          <cell r="BE46">
            <v>25120</v>
          </cell>
          <cell r="BF46">
            <v>3967.7574999999997</v>
          </cell>
          <cell r="BG46">
            <v>-21152.2425</v>
          </cell>
          <cell r="BH46">
            <v>3140</v>
          </cell>
          <cell r="BI46">
            <v>0.157</v>
          </cell>
          <cell r="BJ46">
            <v>0</v>
          </cell>
          <cell r="BK46" t="e">
            <v>#DIV/0!</v>
          </cell>
          <cell r="BL46">
            <v>28260</v>
          </cell>
          <cell r="BM46">
            <v>3967.7574999999997</v>
          </cell>
          <cell r="BN46">
            <v>-24292.2425</v>
          </cell>
          <cell r="BO46">
            <v>3140</v>
          </cell>
          <cell r="BP46">
            <v>0.157</v>
          </cell>
          <cell r="BQ46">
            <v>0</v>
          </cell>
          <cell r="BR46" t="e">
            <v>#DIV/0!</v>
          </cell>
          <cell r="BS46">
            <v>31400</v>
          </cell>
          <cell r="BT46">
            <v>3967.7574999999997</v>
          </cell>
          <cell r="BU46">
            <v>-27432.2425</v>
          </cell>
          <cell r="BV46">
            <v>3140</v>
          </cell>
          <cell r="BW46">
            <v>0.157</v>
          </cell>
          <cell r="BX46">
            <v>0</v>
          </cell>
          <cell r="BY46" t="e">
            <v>#DIV/0!</v>
          </cell>
          <cell r="BZ46">
            <v>34540</v>
          </cell>
          <cell r="CA46">
            <v>3967.7574999999997</v>
          </cell>
          <cell r="CB46">
            <v>-30572.2425</v>
          </cell>
          <cell r="CC46">
            <v>3140</v>
          </cell>
          <cell r="CD46">
            <v>0.157</v>
          </cell>
          <cell r="CE46">
            <v>0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</row>
        <row r="48">
          <cell r="A48" t="str">
            <v>Seguro de Vida</v>
          </cell>
          <cell r="B48" t="e">
            <v>#DIV/0!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11.510021</v>
          </cell>
          <cell r="N48">
            <v>2.3610299487179486E-3</v>
          </cell>
          <cell r="O48">
            <v>0</v>
          </cell>
          <cell r="P48">
            <v>11.510021</v>
          </cell>
          <cell r="Q48">
            <v>11.510021</v>
          </cell>
          <cell r="R48">
            <v>0</v>
          </cell>
          <cell r="S48">
            <v>0</v>
          </cell>
          <cell r="T48">
            <v>11.509985</v>
          </cell>
          <cell r="U48">
            <v>8.7699440292451729E-4</v>
          </cell>
          <cell r="V48">
            <v>0</v>
          </cell>
          <cell r="W48">
            <v>23.020006000000002</v>
          </cell>
          <cell r="X48">
            <v>23.020006000000002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  <cell r="AC48">
            <v>0</v>
          </cell>
          <cell r="AD48">
            <v>23.020006000000002</v>
          </cell>
          <cell r="AE48">
            <v>23.020006000000002</v>
          </cell>
          <cell r="AF48">
            <v>0</v>
          </cell>
          <cell r="AG48">
            <v>0</v>
          </cell>
          <cell r="AH48">
            <v>0</v>
          </cell>
          <cell r="AI48" t="e">
            <v>#DIV/0!</v>
          </cell>
          <cell r="AJ48">
            <v>0</v>
          </cell>
          <cell r="AK48">
            <v>23.020006000000002</v>
          </cell>
          <cell r="AL48">
            <v>23.020006000000002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23.020006000000002</v>
          </cell>
          <cell r="AS48">
            <v>23.020006000000002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23.020006000000002</v>
          </cell>
          <cell r="AZ48">
            <v>23.020006000000002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23.020006000000002</v>
          </cell>
          <cell r="BG48">
            <v>23.020006000000002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23.020006000000002</v>
          </cell>
          <cell r="BN48">
            <v>23.020006000000002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23.020006000000002</v>
          </cell>
          <cell r="BU48">
            <v>23.020006000000002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23.020006000000002</v>
          </cell>
          <cell r="CB48">
            <v>23.020006000000002</v>
          </cell>
          <cell r="CC48">
            <v>0</v>
          </cell>
          <cell r="CD48">
            <v>0</v>
          </cell>
          <cell r="CE48">
            <v>0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</row>
      </sheetData>
      <sheetData sheetId="35">
        <row r="8">
          <cell r="D8">
            <v>150000</v>
          </cell>
          <cell r="K8">
            <v>150000</v>
          </cell>
          <cell r="R8">
            <v>150000</v>
          </cell>
          <cell r="Y8">
            <v>150000</v>
          </cell>
          <cell r="AF8">
            <v>150000</v>
          </cell>
          <cell r="AM8">
            <v>150000</v>
          </cell>
          <cell r="AT8">
            <v>150000</v>
          </cell>
          <cell r="BA8">
            <v>150000</v>
          </cell>
          <cell r="BH8">
            <v>150000</v>
          </cell>
          <cell r="BO8">
            <v>150000</v>
          </cell>
          <cell r="BV8">
            <v>150000</v>
          </cell>
          <cell r="CC8">
            <v>150000</v>
          </cell>
        </row>
        <row r="11">
          <cell r="A11" t="str">
            <v>13º (+ Encargos)</v>
          </cell>
          <cell r="B11" t="e">
            <v>#DIV/0!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  <cell r="CI11">
            <v>0</v>
          </cell>
        </row>
        <row r="12">
          <cell r="A12" t="str">
            <v>Acordo</v>
          </cell>
          <cell r="B12" t="e">
            <v>#DIV/0!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  <cell r="CI12">
            <v>0</v>
          </cell>
        </row>
        <row r="13">
          <cell r="A13" t="str">
            <v>Aluguel + IPTU + Condomínio + Energia Elétrica</v>
          </cell>
          <cell r="B13" t="e">
            <v>#DIV/0!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  <cell r="CI13">
            <v>0</v>
          </cell>
        </row>
        <row r="14">
          <cell r="A14" t="str">
            <v>Aperfeiçoamento - Treinamentos / Livros / Revistas</v>
          </cell>
          <cell r="B14" t="e">
            <v>#DIV/0!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  <cell r="CI14">
            <v>0</v>
          </cell>
        </row>
        <row r="15">
          <cell r="A15" t="str">
            <v>OAB / Associações</v>
          </cell>
          <cell r="B15" t="e">
            <v>#DIV/0!</v>
          </cell>
          <cell r="C15">
            <v>88.380833333333328</v>
          </cell>
          <cell r="D15">
            <v>404</v>
          </cell>
          <cell r="E15">
            <v>2.6933333333333332E-3</v>
          </cell>
          <cell r="F15">
            <v>107.89</v>
          </cell>
          <cell r="G15">
            <v>3.2780705949167943E-4</v>
          </cell>
          <cell r="H15">
            <v>404</v>
          </cell>
          <cell r="I15">
            <v>107.89</v>
          </cell>
          <cell r="J15">
            <v>-296.11</v>
          </cell>
          <cell r="K15">
            <v>404</v>
          </cell>
          <cell r="L15">
            <v>2.6933333333333332E-3</v>
          </cell>
          <cell r="M15">
            <v>107.89</v>
          </cell>
          <cell r="N15">
            <v>3.0435697346455163E-4</v>
          </cell>
          <cell r="O15">
            <v>808</v>
          </cell>
          <cell r="P15">
            <v>215.78</v>
          </cell>
          <cell r="Q15">
            <v>-592.22</v>
          </cell>
          <cell r="R15">
            <v>404</v>
          </cell>
          <cell r="S15">
            <v>2.6933333333333332E-3</v>
          </cell>
          <cell r="T15">
            <v>107.89</v>
          </cell>
          <cell r="U15">
            <v>2.1973097832667232E-4</v>
          </cell>
          <cell r="V15">
            <v>1212</v>
          </cell>
          <cell r="W15">
            <v>323.67</v>
          </cell>
          <cell r="X15">
            <v>-888.32999999999993</v>
          </cell>
          <cell r="Y15">
            <v>404</v>
          </cell>
          <cell r="Z15">
            <v>2.6933333333333332E-3</v>
          </cell>
          <cell r="AA15">
            <v>0</v>
          </cell>
          <cell r="AB15" t="e">
            <v>#DIV/0!</v>
          </cell>
          <cell r="AC15">
            <v>1616</v>
          </cell>
          <cell r="AD15">
            <v>323.67</v>
          </cell>
          <cell r="AE15">
            <v>-1292.33</v>
          </cell>
          <cell r="AF15">
            <v>404</v>
          </cell>
          <cell r="AG15">
            <v>2.6933333333333332E-3</v>
          </cell>
          <cell r="AH15">
            <v>0</v>
          </cell>
          <cell r="AI15" t="e">
            <v>#DIV/0!</v>
          </cell>
          <cell r="AJ15">
            <v>2020</v>
          </cell>
          <cell r="AK15">
            <v>323.67</v>
          </cell>
          <cell r="AL15">
            <v>-1696.33</v>
          </cell>
          <cell r="AM15">
            <v>404</v>
          </cell>
          <cell r="AN15">
            <v>2.6933333333333332E-3</v>
          </cell>
          <cell r="AO15">
            <v>0</v>
          </cell>
          <cell r="AP15" t="e">
            <v>#DIV/0!</v>
          </cell>
          <cell r="AQ15">
            <v>2424</v>
          </cell>
          <cell r="AR15">
            <v>323.67</v>
          </cell>
          <cell r="AS15">
            <v>-2100.33</v>
          </cell>
          <cell r="AT15">
            <v>404</v>
          </cell>
          <cell r="AU15">
            <v>2.6933333333333332E-3</v>
          </cell>
          <cell r="AV15">
            <v>0</v>
          </cell>
          <cell r="AW15" t="e">
            <v>#DIV/0!</v>
          </cell>
          <cell r="AX15">
            <v>2828</v>
          </cell>
          <cell r="AY15">
            <v>323.67</v>
          </cell>
          <cell r="AZ15">
            <v>-2504.33</v>
          </cell>
          <cell r="BA15">
            <v>404</v>
          </cell>
          <cell r="BB15">
            <v>2.6933333333333332E-3</v>
          </cell>
          <cell r="BC15">
            <v>0</v>
          </cell>
          <cell r="BD15" t="e">
            <v>#DIV/0!</v>
          </cell>
          <cell r="BE15">
            <v>3232</v>
          </cell>
          <cell r="BF15">
            <v>323.67</v>
          </cell>
          <cell r="BG15">
            <v>-2908.33</v>
          </cell>
          <cell r="BH15">
            <v>404</v>
          </cell>
          <cell r="BI15">
            <v>2.6933333333333332E-3</v>
          </cell>
          <cell r="BJ15">
            <v>0</v>
          </cell>
          <cell r="BK15" t="e">
            <v>#DIV/0!</v>
          </cell>
          <cell r="BL15">
            <v>3636</v>
          </cell>
          <cell r="BM15">
            <v>323.67</v>
          </cell>
          <cell r="BN15">
            <v>-3312.33</v>
          </cell>
          <cell r="BO15">
            <v>404</v>
          </cell>
          <cell r="BP15">
            <v>2.6933333333333332E-3</v>
          </cell>
          <cell r="BQ15">
            <v>0</v>
          </cell>
          <cell r="BR15" t="e">
            <v>#DIV/0!</v>
          </cell>
          <cell r="BS15">
            <v>4040</v>
          </cell>
          <cell r="BT15">
            <v>323.67</v>
          </cell>
          <cell r="BU15">
            <v>-3716.33</v>
          </cell>
          <cell r="BV15">
            <v>404</v>
          </cell>
          <cell r="BW15">
            <v>2.6933333333333332E-3</v>
          </cell>
          <cell r="BX15">
            <v>0</v>
          </cell>
          <cell r="BY15" t="e">
            <v>#DIV/0!</v>
          </cell>
          <cell r="BZ15">
            <v>4444</v>
          </cell>
          <cell r="CA15">
            <v>323.67</v>
          </cell>
          <cell r="CB15">
            <v>-4120.33</v>
          </cell>
          <cell r="CC15">
            <v>404</v>
          </cell>
          <cell r="CD15">
            <v>2.6933333333333332E-3</v>
          </cell>
          <cell r="CE15">
            <v>0</v>
          </cell>
          <cell r="CF15" t="e">
            <v>#DIV/0!</v>
          </cell>
          <cell r="CG15">
            <v>4848</v>
          </cell>
          <cell r="CH15">
            <v>323.67</v>
          </cell>
          <cell r="CI15">
            <v>-4524.33</v>
          </cell>
        </row>
        <row r="16">
          <cell r="A16" t="str">
            <v>Back Office / Encerramento</v>
          </cell>
          <cell r="B16" t="e">
            <v>#DIV/0!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e">
            <v>#DIV/0!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  <cell r="CI16">
            <v>0</v>
          </cell>
        </row>
        <row r="17">
          <cell r="A17" t="str">
            <v>Bonificações/Premiações</v>
          </cell>
          <cell r="B17" t="e">
            <v>#DIV/0!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 t="e">
            <v>#DIV/0!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  <cell r="CI17">
            <v>0</v>
          </cell>
        </row>
        <row r="18">
          <cell r="A18" t="str">
            <v>Cadastro</v>
          </cell>
          <cell r="B18" t="e">
            <v>#DIV/0!</v>
          </cell>
          <cell r="C18">
            <v>14.236171110885572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 t="e">
            <v>#DIV/0!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  <cell r="CI18">
            <v>0</v>
          </cell>
        </row>
        <row r="19">
          <cell r="A19" t="str">
            <v>Cartório</v>
          </cell>
          <cell r="B19" t="e">
            <v>#DIV/0!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 t="e">
            <v>#DIV/0!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  <cell r="CI19">
            <v>0</v>
          </cell>
        </row>
        <row r="20">
          <cell r="A20" t="str">
            <v>Ajuste de NFs</v>
          </cell>
          <cell r="B20" t="e">
            <v>#DIV/0!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 t="e">
            <v>#DIV/0!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  <cell r="CI20">
            <v>0</v>
          </cell>
        </row>
        <row r="21">
          <cell r="A21" t="str">
            <v>Condenação</v>
          </cell>
          <cell r="B21" t="e">
            <v>#DIV/0!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25057.58</v>
          </cell>
          <cell r="U21">
            <v>5.1032779385474632E-2</v>
          </cell>
          <cell r="V21">
            <v>0</v>
          </cell>
          <cell r="W21">
            <v>25057.58</v>
          </cell>
          <cell r="X21">
            <v>25057.58</v>
          </cell>
          <cell r="Y21">
            <v>0</v>
          </cell>
          <cell r="Z21">
            <v>0</v>
          </cell>
          <cell r="AA21">
            <v>0</v>
          </cell>
          <cell r="AB21" t="e">
            <v>#DIV/0!</v>
          </cell>
          <cell r="AC21">
            <v>0</v>
          </cell>
          <cell r="AD21">
            <v>25057.58</v>
          </cell>
          <cell r="AE21">
            <v>25057.58</v>
          </cell>
          <cell r="AF21">
            <v>0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  <cell r="AK21">
            <v>25057.58</v>
          </cell>
          <cell r="AL21">
            <v>25057.58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25057.58</v>
          </cell>
          <cell r="AS21">
            <v>25057.58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25057.58</v>
          </cell>
          <cell r="AZ21">
            <v>25057.58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25057.58</v>
          </cell>
          <cell r="BG21">
            <v>25057.58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25057.58</v>
          </cell>
          <cell r="BN21">
            <v>25057.58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25057.58</v>
          </cell>
          <cell r="BU21">
            <v>25057.58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25057.58</v>
          </cell>
          <cell r="CB21">
            <v>25057.58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25057.58</v>
          </cell>
          <cell r="CI21">
            <v>25057.58</v>
          </cell>
        </row>
        <row r="22">
          <cell r="A22" t="str">
            <v>Penalidades/Irregularidades</v>
          </cell>
          <cell r="B22" t="e">
            <v>#DIV/0!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6250.58</v>
          </cell>
          <cell r="U22">
            <v>1.2730058935111054E-2</v>
          </cell>
          <cell r="V22">
            <v>0</v>
          </cell>
          <cell r="W22">
            <v>6250.58</v>
          </cell>
          <cell r="X22">
            <v>6250.58</v>
          </cell>
          <cell r="Y22">
            <v>0</v>
          </cell>
          <cell r="Z22">
            <v>0</v>
          </cell>
          <cell r="AA22">
            <v>0</v>
          </cell>
          <cell r="AB22" t="e">
            <v>#DIV/0!</v>
          </cell>
          <cell r="AC22">
            <v>0</v>
          </cell>
          <cell r="AD22">
            <v>6250.58</v>
          </cell>
          <cell r="AE22">
            <v>6250.58</v>
          </cell>
          <cell r="AF22">
            <v>0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  <cell r="AK22">
            <v>6250.58</v>
          </cell>
          <cell r="AL22">
            <v>6250.58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6250.58</v>
          </cell>
          <cell r="AS22">
            <v>6250.58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6250.58</v>
          </cell>
          <cell r="AZ22">
            <v>6250.58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6250.58</v>
          </cell>
          <cell r="BG22">
            <v>6250.58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6250.58</v>
          </cell>
          <cell r="BN22">
            <v>6250.58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6250.58</v>
          </cell>
          <cell r="BU22">
            <v>6250.58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6250.58</v>
          </cell>
          <cell r="CB22">
            <v>6250.58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6250.58</v>
          </cell>
          <cell r="CI22">
            <v>6250.58</v>
          </cell>
        </row>
        <row r="23">
          <cell r="A23" t="str">
            <v>Controladoria Jurídica - Custas</v>
          </cell>
          <cell r="B23" t="e">
            <v>#DIV/0!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 t="e">
            <v>#DIV/0!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  <cell r="CI23">
            <v>0</v>
          </cell>
        </row>
        <row r="24">
          <cell r="A24" t="str">
            <v>Correios</v>
          </cell>
          <cell r="B24" t="e">
            <v>#DIV/0!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 t="e">
            <v>#DIV/0!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  <cell r="CI24">
            <v>0</v>
          </cell>
        </row>
        <row r="25">
          <cell r="A25" t="str">
            <v xml:space="preserve">Correspondentes </v>
          </cell>
          <cell r="B25" t="e">
            <v>#DIV/0!</v>
          </cell>
          <cell r="C25">
            <v>3.3749420000000003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 t="e">
            <v>#DIV/0!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  <cell r="CI25">
            <v>0</v>
          </cell>
        </row>
        <row r="26">
          <cell r="A26" t="str">
            <v>Custas/Guias/Despesas</v>
          </cell>
          <cell r="B26" t="e">
            <v>#DIV/0!</v>
          </cell>
          <cell r="C26">
            <v>4483.915</v>
          </cell>
          <cell r="D26">
            <v>3000</v>
          </cell>
          <cell r="E26">
            <v>0.02</v>
          </cell>
          <cell r="F26">
            <v>2012.24</v>
          </cell>
          <cell r="G26">
            <v>6.1138796681021136E-3</v>
          </cell>
          <cell r="H26">
            <v>3000</v>
          </cell>
          <cell r="I26">
            <v>2012.24</v>
          </cell>
          <cell r="J26">
            <v>-987.76</v>
          </cell>
          <cell r="K26">
            <v>3000</v>
          </cell>
          <cell r="L26">
            <v>0.02</v>
          </cell>
          <cell r="M26">
            <v>864.01</v>
          </cell>
          <cell r="N26">
            <v>2.43736647180561E-3</v>
          </cell>
          <cell r="O26">
            <v>6000</v>
          </cell>
          <cell r="P26">
            <v>2876.25</v>
          </cell>
          <cell r="Q26">
            <v>-3123.75</v>
          </cell>
          <cell r="R26">
            <v>3000</v>
          </cell>
          <cell r="S26">
            <v>0.02</v>
          </cell>
          <cell r="T26">
            <v>2990.33</v>
          </cell>
          <cell r="U26">
            <v>6.0901671741551396E-3</v>
          </cell>
          <cell r="V26">
            <v>9000</v>
          </cell>
          <cell r="W26">
            <v>5866.58</v>
          </cell>
          <cell r="X26">
            <v>-3133.42</v>
          </cell>
          <cell r="Y26">
            <v>3000</v>
          </cell>
          <cell r="Z26">
            <v>0.02</v>
          </cell>
          <cell r="AA26">
            <v>0</v>
          </cell>
          <cell r="AB26" t="e">
            <v>#DIV/0!</v>
          </cell>
          <cell r="AC26">
            <v>12000</v>
          </cell>
          <cell r="AD26">
            <v>5866.58</v>
          </cell>
          <cell r="AE26">
            <v>-6133.42</v>
          </cell>
          <cell r="AF26">
            <v>3000</v>
          </cell>
          <cell r="AG26">
            <v>0.02</v>
          </cell>
          <cell r="AH26">
            <v>0</v>
          </cell>
          <cell r="AI26" t="e">
            <v>#DIV/0!</v>
          </cell>
          <cell r="AJ26">
            <v>15000</v>
          </cell>
          <cell r="AK26">
            <v>5866.58</v>
          </cell>
          <cell r="AL26">
            <v>-9133.42</v>
          </cell>
          <cell r="AM26">
            <v>3000</v>
          </cell>
          <cell r="AN26">
            <v>0.02</v>
          </cell>
          <cell r="AO26">
            <v>0</v>
          </cell>
          <cell r="AP26" t="e">
            <v>#DIV/0!</v>
          </cell>
          <cell r="AQ26">
            <v>18000</v>
          </cell>
          <cell r="AR26">
            <v>5866.58</v>
          </cell>
          <cell r="AS26">
            <v>-12133.42</v>
          </cell>
          <cell r="AT26">
            <v>3000</v>
          </cell>
          <cell r="AU26">
            <v>0.02</v>
          </cell>
          <cell r="AV26">
            <v>0</v>
          </cell>
          <cell r="AW26" t="e">
            <v>#DIV/0!</v>
          </cell>
          <cell r="AX26">
            <v>21000</v>
          </cell>
          <cell r="AY26">
            <v>5866.58</v>
          </cell>
          <cell r="AZ26">
            <v>-15133.42</v>
          </cell>
          <cell r="BA26">
            <v>3000</v>
          </cell>
          <cell r="BB26">
            <v>0.02</v>
          </cell>
          <cell r="BC26">
            <v>0</v>
          </cell>
          <cell r="BD26" t="e">
            <v>#DIV/0!</v>
          </cell>
          <cell r="BE26">
            <v>24000</v>
          </cell>
          <cell r="BF26">
            <v>5866.58</v>
          </cell>
          <cell r="BG26">
            <v>-18133.419999999998</v>
          </cell>
          <cell r="BH26">
            <v>3000</v>
          </cell>
          <cell r="BI26">
            <v>0.02</v>
          </cell>
          <cell r="BJ26">
            <v>0</v>
          </cell>
          <cell r="BK26" t="e">
            <v>#DIV/0!</v>
          </cell>
          <cell r="BL26">
            <v>27000</v>
          </cell>
          <cell r="BM26">
            <v>5866.58</v>
          </cell>
          <cell r="BN26">
            <v>-21133.42</v>
          </cell>
          <cell r="BO26">
            <v>3000</v>
          </cell>
          <cell r="BP26">
            <v>0.02</v>
          </cell>
          <cell r="BQ26">
            <v>0</v>
          </cell>
          <cell r="BR26" t="e">
            <v>#DIV/0!</v>
          </cell>
          <cell r="BS26">
            <v>30000</v>
          </cell>
          <cell r="BT26">
            <v>5866.58</v>
          </cell>
          <cell r="BU26">
            <v>-24133.42</v>
          </cell>
          <cell r="BV26">
            <v>3000</v>
          </cell>
          <cell r="BW26">
            <v>0.02</v>
          </cell>
          <cell r="BX26">
            <v>0</v>
          </cell>
          <cell r="BY26" t="e">
            <v>#DIV/0!</v>
          </cell>
          <cell r="BZ26">
            <v>33000</v>
          </cell>
          <cell r="CA26">
            <v>5866.58</v>
          </cell>
          <cell r="CB26">
            <v>-27133.42</v>
          </cell>
          <cell r="CC26">
            <v>3000</v>
          </cell>
          <cell r="CD26">
            <v>0.02</v>
          </cell>
          <cell r="CE26">
            <v>0</v>
          </cell>
          <cell r="CF26" t="e">
            <v>#DIV/0!</v>
          </cell>
          <cell r="CG26">
            <v>36000</v>
          </cell>
          <cell r="CH26">
            <v>5866.58</v>
          </cell>
          <cell r="CI26">
            <v>-30133.42</v>
          </cell>
        </row>
        <row r="27">
          <cell r="A27" t="str">
            <v>Consultoria</v>
          </cell>
          <cell r="B27" t="e">
            <v>#DIV/0!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 t="e">
            <v>#DIV/0!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e">
            <v>#DIV/0!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  <cell r="CI27">
            <v>0</v>
          </cell>
        </row>
        <row r="28">
          <cell r="A28" t="str">
            <v>Deslocamento</v>
          </cell>
          <cell r="B28" t="e">
            <v>#DIV/0!</v>
          </cell>
          <cell r="C28">
            <v>8.8441666666666663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 t="e">
            <v>#DIV/0!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e">
            <v>#DIV/0!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  <cell r="CI28">
            <v>0</v>
          </cell>
        </row>
        <row r="29">
          <cell r="A29" t="str">
            <v>Digitação / Atual. Sistemas / Lanç. Planilhas</v>
          </cell>
          <cell r="B29" t="e">
            <v>#DIV/0!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 t="e">
            <v>#DIV/0!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e">
            <v>#DIV/0!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  <cell r="CI29">
            <v>0</v>
          </cell>
        </row>
        <row r="30">
          <cell r="A30" t="str">
            <v>Diligências</v>
          </cell>
          <cell r="B30" t="e">
            <v>#DIV/0!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 t="e">
            <v>#DIV/0!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e">
            <v>#DIV/0!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  <cell r="CI30">
            <v>0</v>
          </cell>
        </row>
        <row r="31">
          <cell r="A31" t="str">
            <v>Encargos</v>
          </cell>
          <cell r="B31" t="e">
            <v>#DIV/0!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 t="e">
            <v>#DIV/0!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e">
            <v>#DIV/0!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  <cell r="CI31">
            <v>0</v>
          </cell>
        </row>
        <row r="32">
          <cell r="A32" t="str">
            <v>Encargos Rescisórios</v>
          </cell>
          <cell r="B32" t="e">
            <v>#DIV/0!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 t="e">
            <v>#DIV/0!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e">
            <v>#DIV/0!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  <cell r="CI32">
            <v>0</v>
          </cell>
        </row>
        <row r="33">
          <cell r="A33" t="str">
            <v>Encerramento</v>
          </cell>
          <cell r="B33" t="e">
            <v>#DIV/0!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e">
            <v>#DIV/0!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e">
            <v>#DIV/0!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  <cell r="CI33">
            <v>0</v>
          </cell>
        </row>
        <row r="34">
          <cell r="A34" t="str">
            <v>Eventos / Representações</v>
          </cell>
          <cell r="B34" t="e">
            <v>#DIV/0!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e">
            <v>#DIV/0!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  <cell r="CI34">
            <v>0</v>
          </cell>
        </row>
        <row r="35">
          <cell r="A35" t="str">
            <v>Férias</v>
          </cell>
          <cell r="B35" t="e">
            <v>#DIV/0!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e">
            <v>#DIV/0!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  <cell r="CI35">
            <v>0</v>
          </cell>
        </row>
        <row r="36">
          <cell r="A36" t="str">
            <v>Serviços de IA</v>
          </cell>
          <cell r="B36" t="e">
            <v>#DIV/0!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1587.47</v>
          </cell>
          <cell r="N36">
            <v>4.478242327053219E-3</v>
          </cell>
          <cell r="O36">
            <v>0</v>
          </cell>
          <cell r="P36">
            <v>1587.47</v>
          </cell>
          <cell r="Q36">
            <v>1587.47</v>
          </cell>
          <cell r="R36">
            <v>0</v>
          </cell>
          <cell r="S36">
            <v>0</v>
          </cell>
          <cell r="T36">
            <v>3029.59</v>
          </cell>
          <cell r="U36">
            <v>6.1701248922856914E-3</v>
          </cell>
          <cell r="V36">
            <v>0</v>
          </cell>
          <cell r="W36">
            <v>4617.0600000000004</v>
          </cell>
          <cell r="X36">
            <v>4617.0600000000004</v>
          </cell>
          <cell r="Y36">
            <v>0</v>
          </cell>
          <cell r="Z36">
            <v>0</v>
          </cell>
          <cell r="AA36">
            <v>0</v>
          </cell>
          <cell r="AB36" t="e">
            <v>#DIV/0!</v>
          </cell>
          <cell r="AC36">
            <v>0</v>
          </cell>
          <cell r="AD36">
            <v>4617.0600000000004</v>
          </cell>
          <cell r="AE36">
            <v>4617.0600000000004</v>
          </cell>
          <cell r="AF36">
            <v>0</v>
          </cell>
          <cell r="AG36">
            <v>0</v>
          </cell>
          <cell r="AH36">
            <v>0</v>
          </cell>
          <cell r="AI36" t="e">
            <v>#DIV/0!</v>
          </cell>
          <cell r="AJ36">
            <v>0</v>
          </cell>
          <cell r="AK36">
            <v>4617.0600000000004</v>
          </cell>
          <cell r="AL36">
            <v>4617.0600000000004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4617.0600000000004</v>
          </cell>
          <cell r="AS36">
            <v>4617.0600000000004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4617.0600000000004</v>
          </cell>
          <cell r="AZ36">
            <v>4617.0600000000004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4617.0600000000004</v>
          </cell>
          <cell r="BG36">
            <v>4617.0600000000004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4617.0600000000004</v>
          </cell>
          <cell r="BN36">
            <v>4617.0600000000004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4617.0600000000004</v>
          </cell>
          <cell r="BU36">
            <v>4617.0600000000004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4617.0600000000004</v>
          </cell>
          <cell r="CB36">
            <v>4617.0600000000004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4617.0600000000004</v>
          </cell>
          <cell r="CI36">
            <v>4617.0600000000004</v>
          </cell>
        </row>
        <row r="37">
          <cell r="A37" t="str">
            <v>GNA</v>
          </cell>
          <cell r="B37" t="e">
            <v>#DIV/0!</v>
          </cell>
          <cell r="C37">
            <v>2.9367902446177361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e">
            <v>#DIV/0!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  <cell r="CI37">
            <v>0</v>
          </cell>
        </row>
        <row r="38">
          <cell r="A38" t="str">
            <v>Parcerias - Unidade Vitória / Unidade Pará</v>
          </cell>
          <cell r="B38" t="e">
            <v>#DIV/0!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 t="e">
            <v>#DIV/0!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e">
            <v>#DIV/0!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  <cell r="CI38">
            <v>0</v>
          </cell>
        </row>
        <row r="39">
          <cell r="A39" t="str">
            <v>IR s/ Salário</v>
          </cell>
          <cell r="B39" t="e">
            <v>#DIV/0!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e">
            <v>#DIV/0!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  <cell r="CI39">
            <v>0</v>
          </cell>
        </row>
        <row r="40">
          <cell r="A40" t="str">
            <v>Pauta</v>
          </cell>
          <cell r="B40" t="e">
            <v>#DIV/0!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e">
            <v>#DIV/0!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  <cell r="CI40">
            <v>0</v>
          </cell>
        </row>
        <row r="41">
          <cell r="A41" t="str">
            <v>Pauta - Gestão de Pauta</v>
          </cell>
          <cell r="B41" t="e">
            <v>#DIV/0!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e">
            <v>#DIV/0!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  <cell r="CI41">
            <v>0</v>
          </cell>
        </row>
        <row r="42">
          <cell r="A42" t="str">
            <v>Exames Médicos</v>
          </cell>
          <cell r="B42" t="e">
            <v>#DIV/0!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e">
            <v>#DIV/0!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  <cell r="CI42">
            <v>0</v>
          </cell>
        </row>
        <row r="43">
          <cell r="A43" t="str">
            <v>Plano de Saúde</v>
          </cell>
          <cell r="B43" t="e">
            <v>#DIV/0!</v>
          </cell>
          <cell r="C43">
            <v>1602.1734384166666</v>
          </cell>
          <cell r="D43">
            <v>3400</v>
          </cell>
          <cell r="E43">
            <v>2.2666666666666668E-2</v>
          </cell>
          <cell r="F43">
            <v>3358.1001419999998</v>
          </cell>
          <cell r="G43">
            <v>1.0203067318821124E-2</v>
          </cell>
          <cell r="H43">
            <v>3400</v>
          </cell>
          <cell r="I43">
            <v>3358.1001419999998</v>
          </cell>
          <cell r="J43">
            <v>-41.899858000000222</v>
          </cell>
          <cell r="K43">
            <v>3400</v>
          </cell>
          <cell r="L43">
            <v>2.2666666666666668E-2</v>
          </cell>
          <cell r="M43">
            <v>3352.2089129999999</v>
          </cell>
          <cell r="N43">
            <v>9.4565590803742192E-3</v>
          </cell>
          <cell r="O43">
            <v>6800</v>
          </cell>
          <cell r="P43">
            <v>6710.3090549999997</v>
          </cell>
          <cell r="Q43">
            <v>-89.690945000000283</v>
          </cell>
          <cell r="R43">
            <v>3400</v>
          </cell>
          <cell r="S43">
            <v>2.2666666666666668E-2</v>
          </cell>
          <cell r="T43">
            <v>3351.4309069999999</v>
          </cell>
          <cell r="U43">
            <v>6.8255926590912669E-3</v>
          </cell>
          <cell r="V43">
            <v>10200</v>
          </cell>
          <cell r="W43">
            <v>10061.739962</v>
          </cell>
          <cell r="X43">
            <v>-138.26003800000035</v>
          </cell>
          <cell r="Y43">
            <v>3400</v>
          </cell>
          <cell r="Z43">
            <v>2.2666666666666668E-2</v>
          </cell>
          <cell r="AA43">
            <v>0</v>
          </cell>
          <cell r="AB43" t="e">
            <v>#DIV/0!</v>
          </cell>
          <cell r="AC43">
            <v>13600</v>
          </cell>
          <cell r="AD43">
            <v>10061.739962</v>
          </cell>
          <cell r="AE43">
            <v>-3538.2600380000003</v>
          </cell>
          <cell r="AF43">
            <v>3400</v>
          </cell>
          <cell r="AG43">
            <v>2.2666666666666668E-2</v>
          </cell>
          <cell r="AH43">
            <v>0</v>
          </cell>
          <cell r="AI43" t="e">
            <v>#DIV/0!</v>
          </cell>
          <cell r="AJ43">
            <v>17000</v>
          </cell>
          <cell r="AK43">
            <v>10061.739962</v>
          </cell>
          <cell r="AL43">
            <v>-6938.2600380000003</v>
          </cell>
          <cell r="AM43">
            <v>3400</v>
          </cell>
          <cell r="AN43">
            <v>2.2666666666666668E-2</v>
          </cell>
          <cell r="AO43">
            <v>0</v>
          </cell>
          <cell r="AP43" t="e">
            <v>#DIV/0!</v>
          </cell>
          <cell r="AQ43">
            <v>20400</v>
          </cell>
          <cell r="AR43">
            <v>10061.739962</v>
          </cell>
          <cell r="AS43">
            <v>-10338.260038</v>
          </cell>
          <cell r="AT43">
            <v>3400</v>
          </cell>
          <cell r="AU43">
            <v>2.2666666666666668E-2</v>
          </cell>
          <cell r="AV43">
            <v>0</v>
          </cell>
          <cell r="AW43" t="e">
            <v>#DIV/0!</v>
          </cell>
          <cell r="AX43">
            <v>23800</v>
          </cell>
          <cell r="AY43">
            <v>10061.739962</v>
          </cell>
          <cell r="AZ43">
            <v>-13738.260038</v>
          </cell>
          <cell r="BA43">
            <v>3400</v>
          </cell>
          <cell r="BB43">
            <v>2.2666666666666668E-2</v>
          </cell>
          <cell r="BC43">
            <v>0</v>
          </cell>
          <cell r="BD43" t="e">
            <v>#DIV/0!</v>
          </cell>
          <cell r="BE43">
            <v>27200</v>
          </cell>
          <cell r="BF43">
            <v>10061.739962</v>
          </cell>
          <cell r="BG43">
            <v>-17138.260038</v>
          </cell>
          <cell r="BH43">
            <v>3400</v>
          </cell>
          <cell r="BI43">
            <v>2.2666666666666668E-2</v>
          </cell>
          <cell r="BJ43">
            <v>0</v>
          </cell>
          <cell r="BK43" t="e">
            <v>#DIV/0!</v>
          </cell>
          <cell r="BL43">
            <v>30600</v>
          </cell>
          <cell r="BM43">
            <v>10061.739962</v>
          </cell>
          <cell r="BN43">
            <v>-20538.260038</v>
          </cell>
          <cell r="BO43">
            <v>3910</v>
          </cell>
          <cell r="BP43">
            <v>2.6066666666666665E-2</v>
          </cell>
          <cell r="BQ43">
            <v>0</v>
          </cell>
          <cell r="BR43" t="e">
            <v>#DIV/0!</v>
          </cell>
          <cell r="BS43">
            <v>34510</v>
          </cell>
          <cell r="BT43">
            <v>10061.739962</v>
          </cell>
          <cell r="BU43">
            <v>-24448.260038</v>
          </cell>
          <cell r="BV43">
            <v>3910</v>
          </cell>
          <cell r="BW43">
            <v>2.6066666666666665E-2</v>
          </cell>
          <cell r="BX43">
            <v>0</v>
          </cell>
          <cell r="BY43" t="e">
            <v>#DIV/0!</v>
          </cell>
          <cell r="BZ43">
            <v>38420</v>
          </cell>
          <cell r="CA43">
            <v>10061.739962</v>
          </cell>
          <cell r="CB43">
            <v>-28358.260038</v>
          </cell>
          <cell r="CC43">
            <v>3910</v>
          </cell>
          <cell r="CD43">
            <v>2.6066666666666665E-2</v>
          </cell>
          <cell r="CE43">
            <v>0</v>
          </cell>
          <cell r="CF43" t="e">
            <v>#DIV/0!</v>
          </cell>
          <cell r="CG43">
            <v>42330</v>
          </cell>
          <cell r="CH43">
            <v>10061.739962</v>
          </cell>
          <cell r="CI43">
            <v>-32268.260038</v>
          </cell>
        </row>
        <row r="44">
          <cell r="A44" t="str">
            <v>Plano Odontológico</v>
          </cell>
          <cell r="B44" t="e">
            <v>#DIV/0!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e">
            <v>#DIV/0!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  <cell r="CI44">
            <v>0</v>
          </cell>
        </row>
        <row r="45">
          <cell r="A45" t="str">
            <v>Redação</v>
          </cell>
          <cell r="B45" t="e">
            <v>#DIV/0!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e">
            <v>#DIV/0!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  <cell r="CI45">
            <v>0</v>
          </cell>
        </row>
        <row r="46">
          <cell r="A46" t="str">
            <v>Remuneração</v>
          </cell>
          <cell r="B46" t="e">
            <v>#DIV/0!</v>
          </cell>
          <cell r="C46">
            <v>9986.0545499999989</v>
          </cell>
          <cell r="D46">
            <v>16192</v>
          </cell>
          <cell r="E46">
            <v>0.10794666666666666</v>
          </cell>
          <cell r="F46">
            <v>16298.753000000001</v>
          </cell>
          <cell r="G46">
            <v>4.9521237318668906E-2</v>
          </cell>
          <cell r="H46">
            <v>16192</v>
          </cell>
          <cell r="I46">
            <v>16298.753000000001</v>
          </cell>
          <cell r="J46">
            <v>106.75300000000061</v>
          </cell>
          <cell r="K46">
            <v>16192</v>
          </cell>
          <cell r="L46">
            <v>0.10794666666666666</v>
          </cell>
          <cell r="M46">
            <v>15798.756000000001</v>
          </cell>
          <cell r="N46">
            <v>4.4568185750903017E-2</v>
          </cell>
          <cell r="O46">
            <v>32384</v>
          </cell>
          <cell r="P46">
            <v>32097.509000000002</v>
          </cell>
          <cell r="Q46">
            <v>-286.49099999999817</v>
          </cell>
          <cell r="R46">
            <v>16192</v>
          </cell>
          <cell r="S46">
            <v>0.10794666666666666</v>
          </cell>
          <cell r="T46">
            <v>16048.75</v>
          </cell>
          <cell r="U46">
            <v>3.268521214589102E-2</v>
          </cell>
          <cell r="V46">
            <v>48576</v>
          </cell>
          <cell r="W46">
            <v>48146.259000000005</v>
          </cell>
          <cell r="X46">
            <v>-429.74099999999453</v>
          </cell>
          <cell r="Y46">
            <v>16192</v>
          </cell>
          <cell r="Z46">
            <v>0.10794666666666666</v>
          </cell>
          <cell r="AA46">
            <v>0</v>
          </cell>
          <cell r="AB46" t="e">
            <v>#DIV/0!</v>
          </cell>
          <cell r="AC46">
            <v>64768</v>
          </cell>
          <cell r="AD46">
            <v>48146.259000000005</v>
          </cell>
          <cell r="AE46">
            <v>-16621.740999999995</v>
          </cell>
          <cell r="AF46">
            <v>16192</v>
          </cell>
          <cell r="AG46">
            <v>0.10794666666666666</v>
          </cell>
          <cell r="AH46">
            <v>0</v>
          </cell>
          <cell r="AI46" t="e">
            <v>#DIV/0!</v>
          </cell>
          <cell r="AJ46">
            <v>80960</v>
          </cell>
          <cell r="AK46">
            <v>48146.259000000005</v>
          </cell>
          <cell r="AL46">
            <v>-32813.740999999995</v>
          </cell>
          <cell r="AM46">
            <v>16192</v>
          </cell>
          <cell r="AN46">
            <v>0.10794666666666666</v>
          </cell>
          <cell r="AO46">
            <v>0</v>
          </cell>
          <cell r="AP46" t="e">
            <v>#DIV/0!</v>
          </cell>
          <cell r="AQ46">
            <v>97152</v>
          </cell>
          <cell r="AR46">
            <v>48146.259000000005</v>
          </cell>
          <cell r="AS46">
            <v>-49005.740999999995</v>
          </cell>
          <cell r="AT46">
            <v>16192</v>
          </cell>
          <cell r="AU46">
            <v>0.10794666666666666</v>
          </cell>
          <cell r="AV46">
            <v>0</v>
          </cell>
          <cell r="AW46" t="e">
            <v>#DIV/0!</v>
          </cell>
          <cell r="AX46">
            <v>113344</v>
          </cell>
          <cell r="AY46">
            <v>48146.259000000005</v>
          </cell>
          <cell r="AZ46">
            <v>-65197.740999999995</v>
          </cell>
          <cell r="BA46">
            <v>16192</v>
          </cell>
          <cell r="BB46">
            <v>0.10794666666666666</v>
          </cell>
          <cell r="BC46">
            <v>0</v>
          </cell>
          <cell r="BD46" t="e">
            <v>#DIV/0!</v>
          </cell>
          <cell r="BE46">
            <v>129536</v>
          </cell>
          <cell r="BF46">
            <v>48146.259000000005</v>
          </cell>
          <cell r="BG46">
            <v>-81389.740999999995</v>
          </cell>
          <cell r="BH46">
            <v>16192</v>
          </cell>
          <cell r="BI46">
            <v>0.10794666666666666</v>
          </cell>
          <cell r="BJ46">
            <v>0</v>
          </cell>
          <cell r="BK46" t="e">
            <v>#DIV/0!</v>
          </cell>
          <cell r="BL46">
            <v>145728</v>
          </cell>
          <cell r="BM46">
            <v>48146.259000000005</v>
          </cell>
          <cell r="BN46">
            <v>-97581.740999999995</v>
          </cell>
          <cell r="BO46">
            <v>16192</v>
          </cell>
          <cell r="BP46">
            <v>0.10794666666666666</v>
          </cell>
          <cell r="BQ46">
            <v>0</v>
          </cell>
          <cell r="BR46" t="e">
            <v>#DIV/0!</v>
          </cell>
          <cell r="BS46">
            <v>161920</v>
          </cell>
          <cell r="BT46">
            <v>48146.259000000005</v>
          </cell>
          <cell r="BU46">
            <v>-113773.74099999999</v>
          </cell>
          <cell r="BV46">
            <v>16192</v>
          </cell>
          <cell r="BW46">
            <v>0.10794666666666666</v>
          </cell>
          <cell r="BX46">
            <v>0</v>
          </cell>
          <cell r="BY46" t="e">
            <v>#DIV/0!</v>
          </cell>
          <cell r="BZ46">
            <v>178112</v>
          </cell>
          <cell r="CA46">
            <v>48146.259000000005</v>
          </cell>
          <cell r="CB46">
            <v>-129965.74099999999</v>
          </cell>
          <cell r="CC46">
            <v>16192</v>
          </cell>
          <cell r="CD46">
            <v>0.10794666666666666</v>
          </cell>
          <cell r="CE46">
            <v>0</v>
          </cell>
          <cell r="CF46" t="e">
            <v>#DIV/0!</v>
          </cell>
          <cell r="CG46">
            <v>194304</v>
          </cell>
          <cell r="CH46">
            <v>48146.259000000005</v>
          </cell>
          <cell r="CI46">
            <v>-146157.74099999998</v>
          </cell>
        </row>
        <row r="47">
          <cell r="A47" t="str">
            <v>Pesquisas/Consultas</v>
          </cell>
          <cell r="B47" t="e">
            <v>#DIV/0!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58.9</v>
          </cell>
          <cell r="N47">
            <v>1.6615650882437753E-4</v>
          </cell>
          <cell r="O47">
            <v>0</v>
          </cell>
          <cell r="P47">
            <v>58.9</v>
          </cell>
          <cell r="Q47">
            <v>58.9</v>
          </cell>
          <cell r="R47">
            <v>0</v>
          </cell>
          <cell r="S47">
            <v>0</v>
          </cell>
          <cell r="T47">
            <v>40.479999999999997</v>
          </cell>
          <cell r="U47">
            <v>8.2442395056666004E-5</v>
          </cell>
          <cell r="V47">
            <v>0</v>
          </cell>
          <cell r="W47">
            <v>99.38</v>
          </cell>
          <cell r="X47">
            <v>99.38</v>
          </cell>
          <cell r="Y47">
            <v>0</v>
          </cell>
          <cell r="Z47">
            <v>0</v>
          </cell>
          <cell r="AA47">
            <v>0</v>
          </cell>
          <cell r="AB47" t="e">
            <v>#DIV/0!</v>
          </cell>
          <cell r="AC47">
            <v>0</v>
          </cell>
          <cell r="AD47">
            <v>99.38</v>
          </cell>
          <cell r="AE47">
            <v>99.38</v>
          </cell>
          <cell r="AF47">
            <v>0</v>
          </cell>
          <cell r="AG47">
            <v>0</v>
          </cell>
          <cell r="AH47">
            <v>0</v>
          </cell>
          <cell r="AI47" t="e">
            <v>#DIV/0!</v>
          </cell>
          <cell r="AJ47">
            <v>0</v>
          </cell>
          <cell r="AK47">
            <v>99.38</v>
          </cell>
          <cell r="AL47">
            <v>99.38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99.38</v>
          </cell>
          <cell r="AS47">
            <v>99.38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99.38</v>
          </cell>
          <cell r="AZ47">
            <v>99.38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99.38</v>
          </cell>
          <cell r="BG47">
            <v>99.38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99.38</v>
          </cell>
          <cell r="BN47">
            <v>99.38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99.38</v>
          </cell>
          <cell r="BU47">
            <v>99.38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99.38</v>
          </cell>
          <cell r="CB47">
            <v>99.38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99.38</v>
          </cell>
          <cell r="CI47">
            <v>99.38</v>
          </cell>
        </row>
        <row r="48">
          <cell r="A48" t="str">
            <v>Seguro de Vida</v>
          </cell>
          <cell r="B48" t="e">
            <v>#DIV/0!</v>
          </cell>
          <cell r="C48">
            <v>18.209998250000002</v>
          </cell>
          <cell r="D48">
            <v>48.56</v>
          </cell>
          <cell r="E48">
            <v>3.2373333333333336E-4</v>
          </cell>
          <cell r="F48">
            <v>57.550021000000001</v>
          </cell>
          <cell r="G48">
            <v>1.7485682785887849E-4</v>
          </cell>
          <cell r="H48">
            <v>48.56</v>
          </cell>
          <cell r="I48">
            <v>57.550021000000001</v>
          </cell>
          <cell r="J48">
            <v>8.9900209999999987</v>
          </cell>
          <cell r="K48">
            <v>48.56</v>
          </cell>
          <cell r="L48">
            <v>3.2373333333333336E-4</v>
          </cell>
          <cell r="M48">
            <v>57.599972999999999</v>
          </cell>
          <cell r="N48">
            <v>1.6248914129131422E-4</v>
          </cell>
          <cell r="O48">
            <v>97.12</v>
          </cell>
          <cell r="P48">
            <v>115.14999399999999</v>
          </cell>
          <cell r="Q48">
            <v>18.029993999999988</v>
          </cell>
          <cell r="R48">
            <v>48.56</v>
          </cell>
          <cell r="S48">
            <v>3.2373333333333336E-4</v>
          </cell>
          <cell r="T48">
            <v>57.549992000000003</v>
          </cell>
          <cell r="U48">
            <v>1.1720748952499922E-4</v>
          </cell>
          <cell r="V48">
            <v>145.68</v>
          </cell>
          <cell r="W48">
            <v>172.699986</v>
          </cell>
          <cell r="X48">
            <v>27.019985999999989</v>
          </cell>
          <cell r="Y48">
            <v>48.56</v>
          </cell>
          <cell r="Z48">
            <v>3.2373333333333336E-4</v>
          </cell>
          <cell r="AA48">
            <v>0</v>
          </cell>
          <cell r="AB48" t="e">
            <v>#DIV/0!</v>
          </cell>
          <cell r="AC48">
            <v>194.24</v>
          </cell>
          <cell r="AD48">
            <v>172.699986</v>
          </cell>
          <cell r="AE48">
            <v>-21.540014000000014</v>
          </cell>
          <cell r="AF48">
            <v>48.56</v>
          </cell>
          <cell r="AG48">
            <v>3.2373333333333336E-4</v>
          </cell>
          <cell r="AH48">
            <v>0</v>
          </cell>
          <cell r="AI48" t="e">
            <v>#DIV/0!</v>
          </cell>
          <cell r="AJ48">
            <v>242.8</v>
          </cell>
          <cell r="AK48">
            <v>172.699986</v>
          </cell>
          <cell r="AL48">
            <v>-70.100014000000016</v>
          </cell>
          <cell r="AM48">
            <v>48.56</v>
          </cell>
          <cell r="AN48">
            <v>3.2373333333333336E-4</v>
          </cell>
          <cell r="AO48">
            <v>0</v>
          </cell>
          <cell r="AP48" t="e">
            <v>#DIV/0!</v>
          </cell>
          <cell r="AQ48">
            <v>291.36</v>
          </cell>
          <cell r="AR48">
            <v>172.699986</v>
          </cell>
          <cell r="AS48">
            <v>-118.66001400000002</v>
          </cell>
          <cell r="AT48">
            <v>48.56</v>
          </cell>
          <cell r="AU48">
            <v>3.2373333333333336E-4</v>
          </cell>
          <cell r="AV48">
            <v>0</v>
          </cell>
          <cell r="AW48" t="e">
            <v>#DIV/0!</v>
          </cell>
          <cell r="AX48">
            <v>339.92</v>
          </cell>
          <cell r="AY48">
            <v>172.699986</v>
          </cell>
          <cell r="AZ48">
            <v>-167.22001400000002</v>
          </cell>
          <cell r="BA48">
            <v>48.56</v>
          </cell>
          <cell r="BB48">
            <v>3.2373333333333336E-4</v>
          </cell>
          <cell r="BC48">
            <v>0</v>
          </cell>
          <cell r="BD48" t="e">
            <v>#DIV/0!</v>
          </cell>
          <cell r="BE48">
            <v>388.48</v>
          </cell>
          <cell r="BF48">
            <v>172.699986</v>
          </cell>
          <cell r="BG48">
            <v>-215.78001400000002</v>
          </cell>
          <cell r="BH48">
            <v>48.56</v>
          </cell>
          <cell r="BI48">
            <v>3.2373333333333336E-4</v>
          </cell>
          <cell r="BJ48">
            <v>0</v>
          </cell>
          <cell r="BK48" t="e">
            <v>#DIV/0!</v>
          </cell>
          <cell r="BL48">
            <v>437.04</v>
          </cell>
          <cell r="BM48">
            <v>172.699986</v>
          </cell>
          <cell r="BN48">
            <v>-264.340014</v>
          </cell>
          <cell r="BO48">
            <v>48.56</v>
          </cell>
          <cell r="BP48">
            <v>3.2373333333333336E-4</v>
          </cell>
          <cell r="BQ48">
            <v>0</v>
          </cell>
          <cell r="BR48" t="e">
            <v>#DIV/0!</v>
          </cell>
          <cell r="BS48">
            <v>485.6</v>
          </cell>
          <cell r="BT48">
            <v>172.699986</v>
          </cell>
          <cell r="BU48">
            <v>-312.90001400000006</v>
          </cell>
          <cell r="BV48">
            <v>48.56</v>
          </cell>
          <cell r="BW48">
            <v>3.2373333333333336E-4</v>
          </cell>
          <cell r="BX48">
            <v>0</v>
          </cell>
          <cell r="BY48" t="e">
            <v>#DIV/0!</v>
          </cell>
          <cell r="BZ48">
            <v>534.16000000000008</v>
          </cell>
          <cell r="CA48">
            <v>172.699986</v>
          </cell>
          <cell r="CB48">
            <v>-361.46001400000011</v>
          </cell>
          <cell r="CC48">
            <v>48.56</v>
          </cell>
          <cell r="CD48">
            <v>3.2373333333333336E-4</v>
          </cell>
          <cell r="CE48">
            <v>0</v>
          </cell>
          <cell r="CF48" t="e">
            <v>#DIV/0!</v>
          </cell>
          <cell r="CG48">
            <v>582.72</v>
          </cell>
          <cell r="CH48">
            <v>172.699986</v>
          </cell>
          <cell r="CI48">
            <v>-410.02001400000006</v>
          </cell>
        </row>
        <row r="49">
          <cell r="A49" t="str">
            <v>Indenização por Ruptura de Contrato</v>
          </cell>
          <cell r="B49" t="e">
            <v>#DIV/0!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e">
            <v>#DIV/0!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  <cell r="CI49">
            <v>0</v>
          </cell>
        </row>
        <row r="50">
          <cell r="A50" t="str">
            <v>Vale Alimentação / Refeição</v>
          </cell>
          <cell r="B50" t="e">
            <v>#DIV/0!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e">
            <v>#DIV/0!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e">
            <v>#DIV/0!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  <cell r="CI50">
            <v>0</v>
          </cell>
        </row>
        <row r="51">
          <cell r="A51" t="str">
            <v>Vale Transporte</v>
          </cell>
          <cell r="B51" t="e">
            <v>#DIV/0!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e">
            <v>#DIV/0!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  <cell r="CI51">
            <v>0</v>
          </cell>
        </row>
        <row r="52">
          <cell r="A52" t="str">
            <v>Viagens - Alimentação / Hospedagem</v>
          </cell>
          <cell r="B52" t="e">
            <v>#DIV/0!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#DIV/0!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e">
            <v>#DIV/0!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 t="e">
            <v>#DIV/0!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 t="e">
            <v>#DIV/0!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 t="e">
            <v>#DIV/0!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 t="e">
            <v>#DIV/0!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 t="e">
            <v>#DIV/0!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 t="e">
            <v>#DIV/0!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 t="e">
            <v>#DIV/0!</v>
          </cell>
          <cell r="CG52">
            <v>0</v>
          </cell>
          <cell r="CH52">
            <v>0</v>
          </cell>
          <cell r="CI52">
            <v>0</v>
          </cell>
        </row>
        <row r="53">
          <cell r="A53" t="str">
            <v>Viagens - Passagens / Traslados</v>
          </cell>
          <cell r="B53" t="e">
            <v>#DIV/0!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 t="e">
            <v>#DIV/0!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e">
            <v>#DIV/0!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 t="e">
            <v>#DIV/0!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 t="e">
            <v>#DIV/0!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 t="e">
            <v>#DIV/0!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 t="e">
            <v>#DIV/0!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 t="e">
            <v>#DIV/0!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 t="e">
            <v>#DIV/0!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 t="e">
            <v>#DIV/0!</v>
          </cell>
          <cell r="CG53">
            <v>0</v>
          </cell>
          <cell r="CH53">
            <v>0</v>
          </cell>
          <cell r="CI53">
            <v>0</v>
          </cell>
        </row>
        <row r="67">
          <cell r="A67" t="str">
            <v>13º (+ Encargos)</v>
          </cell>
          <cell r="B67" t="e">
            <v>#DIV/0!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 t="e">
            <v>#DIV/0!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e">
            <v>#DIV/0!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e">
            <v>#DIV/0!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 t="e">
            <v>#DIV/0!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 t="e">
            <v>#DIV/0!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 t="e">
            <v>#DIV/0!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 t="e">
            <v>#DIV/0!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 t="e">
            <v>#DIV/0!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 t="e">
            <v>#DIV/0!</v>
          </cell>
          <cell r="CG67">
            <v>0</v>
          </cell>
          <cell r="CH67">
            <v>0</v>
          </cell>
          <cell r="CI67">
            <v>0</v>
          </cell>
        </row>
        <row r="68">
          <cell r="A68" t="str">
            <v>Acordo</v>
          </cell>
          <cell r="B68" t="e">
            <v>#DIV/0!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 t="e">
            <v>#DIV/0!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e">
            <v>#DIV/0!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e">
            <v>#DIV/0!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 t="e">
            <v>#DIV/0!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 t="e">
            <v>#DIV/0!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 t="e">
            <v>#DIV/0!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 t="e">
            <v>#DIV/0!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 t="e">
            <v>#DIV/0!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 t="e">
            <v>#DIV/0!</v>
          </cell>
          <cell r="CG68">
            <v>0</v>
          </cell>
          <cell r="CH68">
            <v>0</v>
          </cell>
          <cell r="CI68">
            <v>0</v>
          </cell>
        </row>
        <row r="69">
          <cell r="A69" t="str">
            <v>Aluguel + IPTU + Condomínio + Energia Elétrica</v>
          </cell>
          <cell r="B69" t="e">
            <v>#DIV/0!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 t="e">
            <v>#DIV/0!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e">
            <v>#DIV/0!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e">
            <v>#DIV/0!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 t="e">
            <v>#DIV/0!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 t="e">
            <v>#DIV/0!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 t="e">
            <v>#DIV/0!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 t="e">
            <v>#DIV/0!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 t="e">
            <v>#DIV/0!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 t="e">
            <v>#DIV/0!</v>
          </cell>
          <cell r="CG69">
            <v>0</v>
          </cell>
          <cell r="CH69">
            <v>0</v>
          </cell>
          <cell r="CI69">
            <v>0</v>
          </cell>
        </row>
        <row r="70">
          <cell r="A70" t="str">
            <v>Aperfeiçoamento - Treinamentos / Livros / Revistas</v>
          </cell>
          <cell r="B70" t="e">
            <v>#DIV/0!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 t="e">
            <v>#DIV/0!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e">
            <v>#DIV/0!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 t="e">
            <v>#DIV/0!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 t="e">
            <v>#DIV/0!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 t="e">
            <v>#DIV/0!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 t="e">
            <v>#DIV/0!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 t="e">
            <v>#DIV/0!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 t="e">
            <v>#DIV/0!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 t="e">
            <v>#DIV/0!</v>
          </cell>
          <cell r="CG70">
            <v>0</v>
          </cell>
          <cell r="CH70">
            <v>0</v>
          </cell>
          <cell r="CI70">
            <v>0</v>
          </cell>
        </row>
        <row r="71">
          <cell r="A71" t="str">
            <v>OAB / Associações</v>
          </cell>
          <cell r="B71" t="e">
            <v>#DIV/0!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 t="e">
            <v>#DIV/0!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e">
            <v>#DIV/0!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 t="e">
            <v>#DIV/0!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 t="e">
            <v>#DIV/0!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 t="e">
            <v>#DIV/0!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 t="e">
            <v>#DIV/0!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 t="e">
            <v>#DIV/0!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 t="e">
            <v>#DIV/0!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 t="e">
            <v>#DIV/0!</v>
          </cell>
          <cell r="CG71">
            <v>0</v>
          </cell>
          <cell r="CH71">
            <v>0</v>
          </cell>
          <cell r="CI71">
            <v>0</v>
          </cell>
        </row>
        <row r="72">
          <cell r="A72" t="str">
            <v>Back Office / Encerramento</v>
          </cell>
          <cell r="B72" t="e">
            <v>#DIV/0!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e">
            <v>#DIV/0!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e">
            <v>#DIV/0!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 t="e">
            <v>#DIV/0!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 t="e">
            <v>#DIV/0!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 t="e">
            <v>#DIV/0!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 t="e">
            <v>#DIV/0!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 t="e">
            <v>#DIV/0!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 t="e">
            <v>#DIV/0!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 t="e">
            <v>#DIV/0!</v>
          </cell>
          <cell r="CG72">
            <v>0</v>
          </cell>
          <cell r="CH72">
            <v>0</v>
          </cell>
          <cell r="CI72">
            <v>0</v>
          </cell>
        </row>
        <row r="73">
          <cell r="A73" t="str">
            <v>Bonificações/Premiações</v>
          </cell>
          <cell r="B73" t="e">
            <v>#DIV/0!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e">
            <v>#DIV/0!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e">
            <v>#DIV/0!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 t="e">
            <v>#DIV/0!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 t="e">
            <v>#DIV/0!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 t="e">
            <v>#DIV/0!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 t="e">
            <v>#DIV/0!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 t="e">
            <v>#DIV/0!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 t="e">
            <v>#DIV/0!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 t="e">
            <v>#DIV/0!</v>
          </cell>
          <cell r="CG73">
            <v>0</v>
          </cell>
          <cell r="CH73">
            <v>0</v>
          </cell>
          <cell r="CI73">
            <v>0</v>
          </cell>
        </row>
        <row r="74">
          <cell r="A74" t="str">
            <v>Cadastro</v>
          </cell>
          <cell r="B74" t="e">
            <v>#DIV/0!</v>
          </cell>
          <cell r="C74">
            <v>0</v>
          </cell>
          <cell r="D74">
            <v>20</v>
          </cell>
          <cell r="E74">
            <v>1.3333333333333334E-4</v>
          </cell>
          <cell r="F74">
            <v>0</v>
          </cell>
          <cell r="G74">
            <v>0</v>
          </cell>
          <cell r="H74">
            <v>20</v>
          </cell>
          <cell r="I74">
            <v>0</v>
          </cell>
          <cell r="J74">
            <v>-20</v>
          </cell>
          <cell r="K74">
            <v>20</v>
          </cell>
          <cell r="L74">
            <v>1.3333333333333334E-4</v>
          </cell>
          <cell r="M74">
            <v>0</v>
          </cell>
          <cell r="N74">
            <v>0</v>
          </cell>
          <cell r="O74">
            <v>40</v>
          </cell>
          <cell r="P74">
            <v>0</v>
          </cell>
          <cell r="Q74">
            <v>-40</v>
          </cell>
          <cell r="R74">
            <v>20</v>
          </cell>
          <cell r="S74">
            <v>1.3333333333333334E-4</v>
          </cell>
          <cell r="T74">
            <v>0</v>
          </cell>
          <cell r="U74">
            <v>0</v>
          </cell>
          <cell r="V74">
            <v>60</v>
          </cell>
          <cell r="W74">
            <v>0</v>
          </cell>
          <cell r="X74">
            <v>-60</v>
          </cell>
          <cell r="Y74">
            <v>20</v>
          </cell>
          <cell r="Z74">
            <v>1.3333333333333334E-4</v>
          </cell>
          <cell r="AA74">
            <v>0</v>
          </cell>
          <cell r="AB74" t="e">
            <v>#DIV/0!</v>
          </cell>
          <cell r="AC74">
            <v>80</v>
          </cell>
          <cell r="AD74">
            <v>0</v>
          </cell>
          <cell r="AE74">
            <v>-80</v>
          </cell>
          <cell r="AF74">
            <v>20</v>
          </cell>
          <cell r="AG74">
            <v>1.3333333333333334E-4</v>
          </cell>
          <cell r="AH74">
            <v>0</v>
          </cell>
          <cell r="AI74" t="e">
            <v>#DIV/0!</v>
          </cell>
          <cell r="AJ74">
            <v>100</v>
          </cell>
          <cell r="AK74">
            <v>0</v>
          </cell>
          <cell r="AL74">
            <v>-100</v>
          </cell>
          <cell r="AM74">
            <v>20</v>
          </cell>
          <cell r="AN74">
            <v>1.3333333333333334E-4</v>
          </cell>
          <cell r="AO74">
            <v>0</v>
          </cell>
          <cell r="AP74" t="e">
            <v>#DIV/0!</v>
          </cell>
          <cell r="AQ74">
            <v>120</v>
          </cell>
          <cell r="AR74">
            <v>0</v>
          </cell>
          <cell r="AS74">
            <v>-120</v>
          </cell>
          <cell r="AT74">
            <v>20</v>
          </cell>
          <cell r="AU74">
            <v>1.3333333333333334E-4</v>
          </cell>
          <cell r="AV74">
            <v>0</v>
          </cell>
          <cell r="AW74" t="e">
            <v>#DIV/0!</v>
          </cell>
          <cell r="AX74">
            <v>140</v>
          </cell>
          <cell r="AY74">
            <v>0</v>
          </cell>
          <cell r="AZ74">
            <v>-140</v>
          </cell>
          <cell r="BA74">
            <v>20</v>
          </cell>
          <cell r="BB74">
            <v>1.3333333333333334E-4</v>
          </cell>
          <cell r="BC74">
            <v>0</v>
          </cell>
          <cell r="BD74" t="e">
            <v>#DIV/0!</v>
          </cell>
          <cell r="BE74">
            <v>160</v>
          </cell>
          <cell r="BF74">
            <v>0</v>
          </cell>
          <cell r="BG74">
            <v>-160</v>
          </cell>
          <cell r="BH74">
            <v>20</v>
          </cell>
          <cell r="BI74">
            <v>1.3333333333333334E-4</v>
          </cell>
          <cell r="BJ74">
            <v>0</v>
          </cell>
          <cell r="BK74" t="e">
            <v>#DIV/0!</v>
          </cell>
          <cell r="BL74">
            <v>180</v>
          </cell>
          <cell r="BM74">
            <v>0</v>
          </cell>
          <cell r="BN74">
            <v>-180</v>
          </cell>
          <cell r="BO74">
            <v>20</v>
          </cell>
          <cell r="BP74">
            <v>1.3333333333333334E-4</v>
          </cell>
          <cell r="BQ74">
            <v>0</v>
          </cell>
          <cell r="BR74" t="e">
            <v>#DIV/0!</v>
          </cell>
          <cell r="BS74">
            <v>200</v>
          </cell>
          <cell r="BT74">
            <v>0</v>
          </cell>
          <cell r="BU74">
            <v>-200</v>
          </cell>
          <cell r="BV74">
            <v>20</v>
          </cell>
          <cell r="BW74">
            <v>1.3333333333333334E-4</v>
          </cell>
          <cell r="BX74">
            <v>0</v>
          </cell>
          <cell r="BY74" t="e">
            <v>#DIV/0!</v>
          </cell>
          <cell r="BZ74">
            <v>220</v>
          </cell>
          <cell r="CA74">
            <v>0</v>
          </cell>
          <cell r="CB74">
            <v>-220</v>
          </cell>
          <cell r="CC74">
            <v>20</v>
          </cell>
          <cell r="CD74">
            <v>1.3333333333333334E-4</v>
          </cell>
          <cell r="CE74">
            <v>0</v>
          </cell>
          <cell r="CF74" t="e">
            <v>#DIV/0!</v>
          </cell>
          <cell r="CG74">
            <v>240</v>
          </cell>
          <cell r="CH74">
            <v>0</v>
          </cell>
          <cell r="CI74">
            <v>-240</v>
          </cell>
        </row>
        <row r="75">
          <cell r="A75" t="str">
            <v>Cartório</v>
          </cell>
          <cell r="B75" t="e">
            <v>#DIV/0!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e">
            <v>#DIV/0!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e">
            <v>#DIV/0!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 t="e">
            <v>#DIV/0!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 t="e">
            <v>#DIV/0!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 t="e">
            <v>#DIV/0!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 t="e">
            <v>#DIV/0!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 t="e">
            <v>#DIV/0!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 t="e">
            <v>#DIV/0!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 t="e">
            <v>#DIV/0!</v>
          </cell>
          <cell r="CG75">
            <v>0</v>
          </cell>
          <cell r="CH75">
            <v>0</v>
          </cell>
          <cell r="CI75">
            <v>0</v>
          </cell>
        </row>
        <row r="76">
          <cell r="A76" t="str">
            <v>Ajuste de NFs</v>
          </cell>
          <cell r="B76" t="e">
            <v>#DIV/0!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 t="e">
            <v>#DIV/0!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e">
            <v>#DIV/0!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 t="e">
            <v>#DIV/0!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 t="e">
            <v>#DIV/0!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 t="e">
            <v>#DIV/0!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 t="e">
            <v>#DIV/0!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 t="e">
            <v>#DIV/0!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 t="e">
            <v>#DIV/0!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 t="e">
            <v>#DIV/0!</v>
          </cell>
          <cell r="CG76">
            <v>0</v>
          </cell>
          <cell r="CH76">
            <v>0</v>
          </cell>
          <cell r="CI76">
            <v>0</v>
          </cell>
        </row>
        <row r="77">
          <cell r="A77" t="str">
            <v>Condenação</v>
          </cell>
          <cell r="B77" t="e">
            <v>#DIV/0!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e">
            <v>#DIV/0!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e">
            <v>#DIV/0!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 t="e">
            <v>#DIV/0!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 t="e">
            <v>#DIV/0!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 t="e">
            <v>#DIV/0!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 t="e">
            <v>#DIV/0!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 t="e">
            <v>#DIV/0!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 t="e">
            <v>#DIV/0!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 t="e">
            <v>#DIV/0!</v>
          </cell>
          <cell r="CG77">
            <v>0</v>
          </cell>
          <cell r="CH77">
            <v>0</v>
          </cell>
          <cell r="CI77">
            <v>0</v>
          </cell>
        </row>
        <row r="78">
          <cell r="A78" t="str">
            <v>Penalidades/Irregularidades</v>
          </cell>
          <cell r="B78" t="e">
            <v>#DIV/0!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#DIV/0!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e">
            <v>#DIV/0!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 t="e">
            <v>#DIV/0!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 t="e">
            <v>#DIV/0!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 t="e">
            <v>#DIV/0!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 t="e">
            <v>#DIV/0!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 t="e">
            <v>#DIV/0!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 t="e">
            <v>#DIV/0!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 t="e">
            <v>#DIV/0!</v>
          </cell>
          <cell r="CG78">
            <v>0</v>
          </cell>
          <cell r="CH78">
            <v>0</v>
          </cell>
          <cell r="CI78">
            <v>0</v>
          </cell>
        </row>
        <row r="79">
          <cell r="A79" t="str">
            <v>Controladoria Jurídica - Custas</v>
          </cell>
          <cell r="B79" t="e">
            <v>#DIV/0!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e">
            <v>#DIV/0!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 t="e">
            <v>#DIV/0!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 t="e">
            <v>#DIV/0!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 t="e">
            <v>#DIV/0!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 t="e">
            <v>#DIV/0!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 t="e">
            <v>#DIV/0!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 t="e">
            <v>#DIV/0!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 t="e">
            <v>#DIV/0!</v>
          </cell>
          <cell r="CG79">
            <v>0</v>
          </cell>
          <cell r="CH79">
            <v>0</v>
          </cell>
          <cell r="CI79">
            <v>0</v>
          </cell>
        </row>
        <row r="80">
          <cell r="A80" t="str">
            <v>Correios</v>
          </cell>
          <cell r="B80" t="e">
            <v>#DIV/0!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e">
            <v>#DIV/0!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e">
            <v>#DIV/0!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 t="e">
            <v>#DIV/0!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 t="e">
            <v>#DIV/0!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 t="e">
            <v>#DIV/0!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 t="e">
            <v>#DIV/0!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 t="e">
            <v>#DIV/0!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 t="e">
            <v>#DIV/0!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 t="e">
            <v>#DIV/0!</v>
          </cell>
          <cell r="CG80">
            <v>0</v>
          </cell>
          <cell r="CH80">
            <v>0</v>
          </cell>
          <cell r="CI80">
            <v>0</v>
          </cell>
        </row>
        <row r="81">
          <cell r="A81" t="str">
            <v xml:space="preserve">Correspondentes </v>
          </cell>
          <cell r="B81" t="e">
            <v>#DIV/0!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e">
            <v>#DIV/0!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e">
            <v>#DIV/0!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 t="e">
            <v>#DIV/0!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 t="e">
            <v>#DIV/0!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 t="e">
            <v>#DIV/0!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 t="e">
            <v>#DIV/0!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 t="e">
            <v>#DIV/0!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 t="e">
            <v>#DIV/0!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 t="e">
            <v>#DIV/0!</v>
          </cell>
          <cell r="CG81">
            <v>0</v>
          </cell>
          <cell r="CH81">
            <v>0</v>
          </cell>
          <cell r="CI81">
            <v>0</v>
          </cell>
        </row>
        <row r="82">
          <cell r="A82" t="str">
            <v>Custas/Guias/Despesas</v>
          </cell>
          <cell r="B82" t="e">
            <v>#DIV/0!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e">
            <v>#DIV/0!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 t="e">
            <v>#DIV/0!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 t="e">
            <v>#DIV/0!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 t="e">
            <v>#DIV/0!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 t="e">
            <v>#DIV/0!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 t="e">
            <v>#DIV/0!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 t="e">
            <v>#DIV/0!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 t="e">
            <v>#DIV/0!</v>
          </cell>
          <cell r="CG82">
            <v>0</v>
          </cell>
          <cell r="CH82">
            <v>0</v>
          </cell>
          <cell r="CI82">
            <v>0</v>
          </cell>
        </row>
        <row r="83">
          <cell r="A83" t="str">
            <v>Consultoria</v>
          </cell>
          <cell r="B83" t="e">
            <v>#DIV/0!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e">
            <v>#DIV/0!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 t="e">
            <v>#DIV/0!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 t="e">
            <v>#DIV/0!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 t="e">
            <v>#DIV/0!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 t="e">
            <v>#DIV/0!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 t="e">
            <v>#DIV/0!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 t="e">
            <v>#DIV/0!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 t="e">
            <v>#DIV/0!</v>
          </cell>
          <cell r="CG83">
            <v>0</v>
          </cell>
          <cell r="CH83">
            <v>0</v>
          </cell>
          <cell r="CI83">
            <v>0</v>
          </cell>
        </row>
        <row r="84">
          <cell r="A84" t="str">
            <v>Deslocamento</v>
          </cell>
          <cell r="B84" t="e">
            <v>#DIV/0!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e">
            <v>#DIV/0!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e">
            <v>#DIV/0!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 t="e">
            <v>#DIV/0!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 t="e">
            <v>#DIV/0!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 t="e">
            <v>#DIV/0!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 t="e">
            <v>#DIV/0!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 t="e">
            <v>#DIV/0!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 t="e">
            <v>#DIV/0!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 t="e">
            <v>#DIV/0!</v>
          </cell>
          <cell r="CG84">
            <v>0</v>
          </cell>
          <cell r="CH84">
            <v>0</v>
          </cell>
          <cell r="CI84">
            <v>0</v>
          </cell>
        </row>
        <row r="85">
          <cell r="A85" t="str">
            <v>Digitação / Atual. Sistemas / Lanç. Planilhas</v>
          </cell>
          <cell r="B85" t="e">
            <v>#DIV/0!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e">
            <v>#DIV/0!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e">
            <v>#DIV/0!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 t="e">
            <v>#DIV/0!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 t="e">
            <v>#DIV/0!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 t="e">
            <v>#DIV/0!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 t="e">
            <v>#DIV/0!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 t="e">
            <v>#DIV/0!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 t="e">
            <v>#DIV/0!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 t="e">
            <v>#DIV/0!</v>
          </cell>
          <cell r="CG85">
            <v>0</v>
          </cell>
          <cell r="CH85">
            <v>0</v>
          </cell>
          <cell r="CI85">
            <v>0</v>
          </cell>
        </row>
        <row r="86">
          <cell r="A86" t="str">
            <v>Diligências</v>
          </cell>
          <cell r="B86" t="e">
            <v>#DIV/0!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#DIV/0!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e">
            <v>#DIV/0!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 t="e">
            <v>#DIV/0!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 t="e">
            <v>#DIV/0!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 t="e">
            <v>#DIV/0!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 t="e">
            <v>#DIV/0!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 t="e">
            <v>#DIV/0!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 t="e">
            <v>#DIV/0!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 t="e">
            <v>#DIV/0!</v>
          </cell>
          <cell r="CG86">
            <v>0</v>
          </cell>
          <cell r="CH86">
            <v>0</v>
          </cell>
          <cell r="CI86">
            <v>0</v>
          </cell>
        </row>
        <row r="87">
          <cell r="A87" t="str">
            <v>Encargos</v>
          </cell>
          <cell r="B87" t="e">
            <v>#DIV/0!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#DIV/0!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e">
            <v>#DIV/0!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 t="e">
            <v>#DIV/0!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 t="e">
            <v>#DIV/0!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 t="e">
            <v>#DIV/0!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 t="e">
            <v>#DIV/0!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 t="e">
            <v>#DIV/0!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 t="e">
            <v>#DIV/0!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 t="e">
            <v>#DIV/0!</v>
          </cell>
          <cell r="CG87">
            <v>0</v>
          </cell>
          <cell r="CH87">
            <v>0</v>
          </cell>
          <cell r="CI87">
            <v>0</v>
          </cell>
        </row>
        <row r="88">
          <cell r="A88" t="str">
            <v>Encargos Rescisórios</v>
          </cell>
          <cell r="B88" t="e">
            <v>#DIV/0!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#DIV/0!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e">
            <v>#DIV/0!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 t="e">
            <v>#DIV/0!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 t="e">
            <v>#DIV/0!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 t="e">
            <v>#DIV/0!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 t="e">
            <v>#DIV/0!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 t="e">
            <v>#DIV/0!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 t="e">
            <v>#DIV/0!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 t="e">
            <v>#DIV/0!</v>
          </cell>
          <cell r="CG88">
            <v>0</v>
          </cell>
          <cell r="CH88">
            <v>0</v>
          </cell>
          <cell r="CI88">
            <v>0</v>
          </cell>
        </row>
        <row r="89">
          <cell r="A89" t="str">
            <v>Encerramento</v>
          </cell>
          <cell r="B89" t="e">
            <v>#DIV/0!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#DIV/0!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e">
            <v>#DIV/0!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 t="e">
            <v>#DIV/0!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 t="e">
            <v>#DIV/0!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 t="e">
            <v>#DIV/0!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 t="e">
            <v>#DIV/0!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 t="e">
            <v>#DIV/0!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 t="e">
            <v>#DIV/0!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 t="e">
            <v>#DIV/0!</v>
          </cell>
          <cell r="CG89">
            <v>0</v>
          </cell>
          <cell r="CH89">
            <v>0</v>
          </cell>
          <cell r="CI89">
            <v>0</v>
          </cell>
        </row>
        <row r="90">
          <cell r="A90" t="str">
            <v>Eventos / Representações</v>
          </cell>
          <cell r="B90" t="e">
            <v>#DIV/0!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 t="e">
            <v>#DIV/0!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e">
            <v>#DIV/0!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 t="e">
            <v>#DIV/0!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 t="e">
            <v>#DIV/0!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 t="e">
            <v>#DIV/0!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 t="e">
            <v>#DIV/0!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 t="e">
            <v>#DIV/0!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 t="e">
            <v>#DIV/0!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 t="e">
            <v>#DIV/0!</v>
          </cell>
          <cell r="CG90">
            <v>0</v>
          </cell>
          <cell r="CH90">
            <v>0</v>
          </cell>
          <cell r="CI90">
            <v>0</v>
          </cell>
        </row>
        <row r="91">
          <cell r="A91" t="str">
            <v>Férias</v>
          </cell>
          <cell r="B91" t="e">
            <v>#DIV/0!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 t="e">
            <v>#DIV/0!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e">
            <v>#DIV/0!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 t="e">
            <v>#DIV/0!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 t="e">
            <v>#DIV/0!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 t="e">
            <v>#DIV/0!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 t="e">
            <v>#DIV/0!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 t="e">
            <v>#DIV/0!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 t="e">
            <v>#DIV/0!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 t="e">
            <v>#DIV/0!</v>
          </cell>
          <cell r="CG91">
            <v>0</v>
          </cell>
          <cell r="CH91">
            <v>0</v>
          </cell>
          <cell r="CI91">
            <v>0</v>
          </cell>
        </row>
        <row r="92">
          <cell r="A92" t="str">
            <v>Serviços de IA</v>
          </cell>
          <cell r="B92" t="e">
            <v>#DIV/0!</v>
          </cell>
          <cell r="C92">
            <v>0</v>
          </cell>
          <cell r="D92">
            <v>0</v>
          </cell>
          <cell r="E92">
            <v>0</v>
          </cell>
          <cell r="F92">
            <v>2790.73</v>
          </cell>
          <cell r="G92">
            <v>8.4792009930041191E-3</v>
          </cell>
          <cell r="H92">
            <v>0</v>
          </cell>
          <cell r="I92">
            <v>2790.73</v>
          </cell>
          <cell r="J92">
            <v>2790.73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2790.73</v>
          </cell>
          <cell r="Q92">
            <v>2790.73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2790.73</v>
          </cell>
          <cell r="X92">
            <v>2790.73</v>
          </cell>
          <cell r="Y92">
            <v>0</v>
          </cell>
          <cell r="Z92">
            <v>0</v>
          </cell>
          <cell r="AA92">
            <v>0</v>
          </cell>
          <cell r="AB92" t="e">
            <v>#DIV/0!</v>
          </cell>
          <cell r="AC92">
            <v>0</v>
          </cell>
          <cell r="AD92">
            <v>2790.73</v>
          </cell>
          <cell r="AE92">
            <v>2790.73</v>
          </cell>
          <cell r="AF92">
            <v>0</v>
          </cell>
          <cell r="AG92">
            <v>0</v>
          </cell>
          <cell r="AH92">
            <v>0</v>
          </cell>
          <cell r="AI92" t="e">
            <v>#DIV/0!</v>
          </cell>
          <cell r="AJ92">
            <v>0</v>
          </cell>
          <cell r="AK92">
            <v>2790.73</v>
          </cell>
          <cell r="AL92">
            <v>2790.73</v>
          </cell>
          <cell r="AM92">
            <v>0</v>
          </cell>
          <cell r="AN92">
            <v>0</v>
          </cell>
          <cell r="AO92">
            <v>0</v>
          </cell>
          <cell r="AP92" t="e">
            <v>#DIV/0!</v>
          </cell>
          <cell r="AQ92">
            <v>0</v>
          </cell>
          <cell r="AR92">
            <v>2790.73</v>
          </cell>
          <cell r="AS92">
            <v>2790.73</v>
          </cell>
          <cell r="AT92">
            <v>0</v>
          </cell>
          <cell r="AU92">
            <v>0</v>
          </cell>
          <cell r="AV92">
            <v>0</v>
          </cell>
          <cell r="AW92" t="e">
            <v>#DIV/0!</v>
          </cell>
          <cell r="AX92">
            <v>0</v>
          </cell>
          <cell r="AY92">
            <v>2790.73</v>
          </cell>
          <cell r="AZ92">
            <v>2790.73</v>
          </cell>
          <cell r="BA92">
            <v>0</v>
          </cell>
          <cell r="BB92">
            <v>0</v>
          </cell>
          <cell r="BC92">
            <v>0</v>
          </cell>
          <cell r="BD92" t="e">
            <v>#DIV/0!</v>
          </cell>
          <cell r="BE92">
            <v>0</v>
          </cell>
          <cell r="BF92">
            <v>2790.73</v>
          </cell>
          <cell r="BG92">
            <v>2790.73</v>
          </cell>
          <cell r="BH92">
            <v>0</v>
          </cell>
          <cell r="BI92">
            <v>0</v>
          </cell>
          <cell r="BJ92">
            <v>0</v>
          </cell>
          <cell r="BK92" t="e">
            <v>#DIV/0!</v>
          </cell>
          <cell r="BL92">
            <v>0</v>
          </cell>
          <cell r="BM92">
            <v>2790.73</v>
          </cell>
          <cell r="BN92">
            <v>2790.73</v>
          </cell>
          <cell r="BO92">
            <v>0</v>
          </cell>
          <cell r="BP92">
            <v>0</v>
          </cell>
          <cell r="BQ92">
            <v>0</v>
          </cell>
          <cell r="BR92" t="e">
            <v>#DIV/0!</v>
          </cell>
          <cell r="BS92">
            <v>0</v>
          </cell>
          <cell r="BT92">
            <v>2790.73</v>
          </cell>
          <cell r="BU92">
            <v>2790.73</v>
          </cell>
          <cell r="BV92">
            <v>0</v>
          </cell>
          <cell r="BW92">
            <v>0</v>
          </cell>
          <cell r="BX92">
            <v>0</v>
          </cell>
          <cell r="BY92" t="e">
            <v>#DIV/0!</v>
          </cell>
          <cell r="BZ92">
            <v>0</v>
          </cell>
          <cell r="CA92">
            <v>2790.73</v>
          </cell>
          <cell r="CB92">
            <v>2790.73</v>
          </cell>
          <cell r="CC92">
            <v>0</v>
          </cell>
          <cell r="CD92">
            <v>0</v>
          </cell>
          <cell r="CE92">
            <v>0</v>
          </cell>
          <cell r="CF92" t="e">
            <v>#DIV/0!</v>
          </cell>
          <cell r="CG92">
            <v>0</v>
          </cell>
          <cell r="CH92">
            <v>2790.73</v>
          </cell>
          <cell r="CI92">
            <v>2790.73</v>
          </cell>
        </row>
        <row r="93">
          <cell r="A93" t="str">
            <v>GNA</v>
          </cell>
          <cell r="B93" t="e">
            <v>#DIV/0!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 t="e">
            <v>#DIV/0!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e">
            <v>#DIV/0!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 t="e">
            <v>#DIV/0!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 t="e">
            <v>#DIV/0!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 t="e">
            <v>#DIV/0!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 t="e">
            <v>#DIV/0!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 t="e">
            <v>#DIV/0!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 t="e">
            <v>#DIV/0!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 t="e">
            <v>#DIV/0!</v>
          </cell>
          <cell r="CG93">
            <v>0</v>
          </cell>
          <cell r="CH93">
            <v>0</v>
          </cell>
          <cell r="CI93">
            <v>0</v>
          </cell>
        </row>
        <row r="94">
          <cell r="A94" t="str">
            <v>Serviços para a Fradema</v>
          </cell>
          <cell r="B94" t="e">
            <v>#DIV/0!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-14077.5</v>
          </cell>
          <cell r="U94">
            <v>-2.8670524120805726E-2</v>
          </cell>
          <cell r="V94">
            <v>0</v>
          </cell>
          <cell r="W94">
            <v>-14077.5</v>
          </cell>
          <cell r="X94">
            <v>-14077.5</v>
          </cell>
          <cell r="Y94">
            <v>0</v>
          </cell>
          <cell r="Z94">
            <v>0</v>
          </cell>
          <cell r="AA94">
            <v>0</v>
          </cell>
          <cell r="AB94" t="e">
            <v>#DIV/0!</v>
          </cell>
          <cell r="AC94">
            <v>0</v>
          </cell>
          <cell r="AD94">
            <v>-14077.5</v>
          </cell>
          <cell r="AE94">
            <v>-14077.5</v>
          </cell>
          <cell r="AF94">
            <v>0</v>
          </cell>
          <cell r="AG94">
            <v>0</v>
          </cell>
          <cell r="AH94">
            <v>0</v>
          </cell>
          <cell r="AI94" t="e">
            <v>#DIV/0!</v>
          </cell>
          <cell r="AJ94">
            <v>0</v>
          </cell>
          <cell r="AK94">
            <v>-14077.5</v>
          </cell>
          <cell r="AL94">
            <v>-14077.5</v>
          </cell>
          <cell r="AM94">
            <v>0</v>
          </cell>
          <cell r="AN94">
            <v>0</v>
          </cell>
          <cell r="AO94">
            <v>0</v>
          </cell>
          <cell r="AP94" t="e">
            <v>#DIV/0!</v>
          </cell>
          <cell r="AQ94">
            <v>0</v>
          </cell>
          <cell r="AR94">
            <v>-14077.5</v>
          </cell>
          <cell r="AS94">
            <v>-14077.5</v>
          </cell>
          <cell r="AT94">
            <v>0</v>
          </cell>
          <cell r="AU94">
            <v>0</v>
          </cell>
          <cell r="AV94">
            <v>0</v>
          </cell>
          <cell r="AW94" t="e">
            <v>#DIV/0!</v>
          </cell>
          <cell r="AX94">
            <v>0</v>
          </cell>
          <cell r="AY94">
            <v>-14077.5</v>
          </cell>
          <cell r="AZ94">
            <v>-14077.5</v>
          </cell>
          <cell r="BA94">
            <v>0</v>
          </cell>
          <cell r="BB94">
            <v>0</v>
          </cell>
          <cell r="BC94">
            <v>0</v>
          </cell>
          <cell r="BD94" t="e">
            <v>#DIV/0!</v>
          </cell>
          <cell r="BE94">
            <v>0</v>
          </cell>
          <cell r="BF94">
            <v>-14077.5</v>
          </cell>
          <cell r="BG94">
            <v>-14077.5</v>
          </cell>
          <cell r="BH94">
            <v>0</v>
          </cell>
          <cell r="BI94">
            <v>0</v>
          </cell>
          <cell r="BJ94">
            <v>0</v>
          </cell>
          <cell r="BK94" t="e">
            <v>#DIV/0!</v>
          </cell>
          <cell r="BL94">
            <v>0</v>
          </cell>
          <cell r="BM94">
            <v>-14077.5</v>
          </cell>
          <cell r="BN94">
            <v>-14077.5</v>
          </cell>
          <cell r="BO94">
            <v>0</v>
          </cell>
          <cell r="BP94">
            <v>0</v>
          </cell>
          <cell r="BQ94">
            <v>0</v>
          </cell>
          <cell r="BR94" t="e">
            <v>#DIV/0!</v>
          </cell>
          <cell r="BS94">
            <v>0</v>
          </cell>
          <cell r="BT94">
            <v>-14077.5</v>
          </cell>
          <cell r="BU94">
            <v>-14077.5</v>
          </cell>
          <cell r="BV94">
            <v>0</v>
          </cell>
          <cell r="BW94">
            <v>0</v>
          </cell>
          <cell r="BX94">
            <v>0</v>
          </cell>
          <cell r="BY94" t="e">
            <v>#DIV/0!</v>
          </cell>
          <cell r="BZ94">
            <v>0</v>
          </cell>
          <cell r="CA94">
            <v>-14077.5</v>
          </cell>
          <cell r="CB94">
            <v>-14077.5</v>
          </cell>
          <cell r="CC94">
            <v>0</v>
          </cell>
          <cell r="CD94">
            <v>0</v>
          </cell>
          <cell r="CE94">
            <v>0</v>
          </cell>
          <cell r="CF94" t="e">
            <v>#DIV/0!</v>
          </cell>
          <cell r="CG94">
            <v>0</v>
          </cell>
          <cell r="CH94">
            <v>-14077.5</v>
          </cell>
          <cell r="CI94">
            <v>-14077.5</v>
          </cell>
        </row>
        <row r="95">
          <cell r="A95" t="str">
            <v>IR s/ Salário</v>
          </cell>
          <cell r="B95" t="e">
            <v>#DIV/0!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e">
            <v>#DIV/0!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e">
            <v>#DIV/0!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 t="e">
            <v>#DIV/0!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 t="e">
            <v>#DIV/0!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 t="e">
            <v>#DIV/0!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 t="e">
            <v>#DIV/0!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 t="e">
            <v>#DIV/0!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 t="e">
            <v>#DIV/0!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 t="e">
            <v>#DIV/0!</v>
          </cell>
          <cell r="CG95">
            <v>0</v>
          </cell>
          <cell r="CH95">
            <v>0</v>
          </cell>
          <cell r="CI95">
            <v>0</v>
          </cell>
        </row>
        <row r="96">
          <cell r="A96" t="str">
            <v>Pauta</v>
          </cell>
          <cell r="B96" t="e">
            <v>#DIV/0!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 t="e">
            <v>#DIV/0!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#DIV/0!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 t="e">
            <v>#DIV/0!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 t="e">
            <v>#DIV/0!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 t="e">
            <v>#DIV/0!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 t="e">
            <v>#DIV/0!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 t="e">
            <v>#DIV/0!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 t="e">
            <v>#DIV/0!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 t="e">
            <v>#DIV/0!</v>
          </cell>
          <cell r="CG96">
            <v>0</v>
          </cell>
          <cell r="CH96">
            <v>0</v>
          </cell>
          <cell r="CI96">
            <v>0</v>
          </cell>
        </row>
        <row r="97">
          <cell r="A97" t="str">
            <v>Pauta - Gestão de Pauta</v>
          </cell>
          <cell r="B97" t="e">
            <v>#DIV/0!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e">
            <v>#DIV/0!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 t="e">
            <v>#DIV/0!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 t="e">
            <v>#DIV/0!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 t="e">
            <v>#DIV/0!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 t="e">
            <v>#DIV/0!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 t="e">
            <v>#DIV/0!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 t="e">
            <v>#DIV/0!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 t="e">
            <v>#DIV/0!</v>
          </cell>
          <cell r="CG97">
            <v>0</v>
          </cell>
          <cell r="CH97">
            <v>0</v>
          </cell>
          <cell r="CI97">
            <v>0</v>
          </cell>
        </row>
        <row r="98">
          <cell r="A98" t="str">
            <v>Exames Médicos</v>
          </cell>
          <cell r="B98" t="e">
            <v>#DIV/0!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#DIV/0!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e">
            <v>#DIV/0!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 t="e">
            <v>#DIV/0!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 t="e">
            <v>#DIV/0!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 t="e">
            <v>#DIV/0!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 t="e">
            <v>#DIV/0!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 t="e">
            <v>#DIV/0!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 t="e">
            <v>#DIV/0!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 t="e">
            <v>#DIV/0!</v>
          </cell>
          <cell r="CG98">
            <v>0</v>
          </cell>
          <cell r="CH98">
            <v>0</v>
          </cell>
          <cell r="CI98">
            <v>0</v>
          </cell>
        </row>
        <row r="99">
          <cell r="A99" t="str">
            <v>Plano de Saúde</v>
          </cell>
          <cell r="B99" t="e">
            <v>#DIV/0!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 t="e">
            <v>#DIV/0!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e">
            <v>#DIV/0!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 t="e">
            <v>#DIV/0!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 t="e">
            <v>#DIV/0!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 t="e">
            <v>#DIV/0!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 t="e">
            <v>#DIV/0!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 t="e">
            <v>#DIV/0!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 t="e">
            <v>#DIV/0!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 t="e">
            <v>#DIV/0!</v>
          </cell>
          <cell r="CG99">
            <v>0</v>
          </cell>
          <cell r="CH99">
            <v>0</v>
          </cell>
          <cell r="CI99">
            <v>0</v>
          </cell>
        </row>
        <row r="100">
          <cell r="A100" t="str">
            <v>Plano Odontológico</v>
          </cell>
          <cell r="B100" t="e">
            <v>#DIV/0!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#DIV/0!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 t="e">
            <v>#DIV/0!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 t="e">
            <v>#DIV/0!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 t="e">
            <v>#DIV/0!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 t="e">
            <v>#DIV/0!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 t="e">
            <v>#DIV/0!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 t="e">
            <v>#DIV/0!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 t="e">
            <v>#DIV/0!</v>
          </cell>
          <cell r="CG100">
            <v>0</v>
          </cell>
          <cell r="CH100">
            <v>0</v>
          </cell>
          <cell r="CI100">
            <v>0</v>
          </cell>
        </row>
        <row r="101">
          <cell r="A101" t="str">
            <v>Redação</v>
          </cell>
          <cell r="B101" t="e">
            <v>#DIV/0!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 t="e">
            <v>#DIV/0!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e">
            <v>#DIV/0!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 t="e">
            <v>#DIV/0!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 t="e">
            <v>#DIV/0!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 t="e">
            <v>#DIV/0!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 t="e">
            <v>#DIV/0!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 t="e">
            <v>#DIV/0!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 t="e">
            <v>#DIV/0!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 t="e">
            <v>#DIV/0!</v>
          </cell>
          <cell r="CG101">
            <v>0</v>
          </cell>
          <cell r="CH101">
            <v>0</v>
          </cell>
          <cell r="CI101">
            <v>0</v>
          </cell>
        </row>
        <row r="102">
          <cell r="A102" t="str">
            <v>Remuneração</v>
          </cell>
          <cell r="B102" t="e">
            <v>#DIV/0!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 t="e">
            <v>#DIV/0!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e">
            <v>#DIV/0!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 t="e">
            <v>#DIV/0!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 t="e">
            <v>#DIV/0!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 t="e">
            <v>#DIV/0!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 t="e">
            <v>#DIV/0!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 t="e">
            <v>#DIV/0!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 t="e">
            <v>#DIV/0!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 t="e">
            <v>#DIV/0!</v>
          </cell>
          <cell r="CG102">
            <v>0</v>
          </cell>
          <cell r="CH102">
            <v>0</v>
          </cell>
          <cell r="CI102">
            <v>0</v>
          </cell>
        </row>
        <row r="103">
          <cell r="A103" t="str">
            <v>Pesquisas/Consultas/Sistemas</v>
          </cell>
          <cell r="B103" t="e">
            <v>#DIV/0!</v>
          </cell>
          <cell r="C103">
            <v>0</v>
          </cell>
          <cell r="D103">
            <v>1615</v>
          </cell>
          <cell r="E103">
            <v>1.0766666666666667E-2</v>
          </cell>
          <cell r="F103">
            <v>0</v>
          </cell>
          <cell r="G103">
            <v>0</v>
          </cell>
          <cell r="H103">
            <v>1615</v>
          </cell>
          <cell r="I103">
            <v>0</v>
          </cell>
          <cell r="J103">
            <v>-1615</v>
          </cell>
          <cell r="K103">
            <v>1615</v>
          </cell>
          <cell r="L103">
            <v>1.0766666666666667E-2</v>
          </cell>
          <cell r="M103">
            <v>0</v>
          </cell>
          <cell r="N103">
            <v>0</v>
          </cell>
          <cell r="O103">
            <v>3230</v>
          </cell>
          <cell r="P103">
            <v>0</v>
          </cell>
          <cell r="Q103">
            <v>-3230</v>
          </cell>
          <cell r="R103">
            <v>1615</v>
          </cell>
          <cell r="S103">
            <v>1.0766666666666667E-2</v>
          </cell>
          <cell r="T103">
            <v>0</v>
          </cell>
          <cell r="U103">
            <v>0</v>
          </cell>
          <cell r="V103">
            <v>4845</v>
          </cell>
          <cell r="W103">
            <v>0</v>
          </cell>
          <cell r="X103">
            <v>-4845</v>
          </cell>
          <cell r="Y103">
            <v>1615</v>
          </cell>
          <cell r="Z103">
            <v>1.0766666666666667E-2</v>
          </cell>
          <cell r="AA103">
            <v>0</v>
          </cell>
          <cell r="AB103" t="e">
            <v>#DIV/0!</v>
          </cell>
          <cell r="AC103">
            <v>6460</v>
          </cell>
          <cell r="AD103">
            <v>0</v>
          </cell>
          <cell r="AE103">
            <v>-6460</v>
          </cell>
          <cell r="AF103">
            <v>1615</v>
          </cell>
          <cell r="AG103">
            <v>1.0766666666666667E-2</v>
          </cell>
          <cell r="AH103">
            <v>0</v>
          </cell>
          <cell r="AI103" t="e">
            <v>#DIV/0!</v>
          </cell>
          <cell r="AJ103">
            <v>8075</v>
          </cell>
          <cell r="AK103">
            <v>0</v>
          </cell>
          <cell r="AL103">
            <v>-8075</v>
          </cell>
          <cell r="AM103">
            <v>1615</v>
          </cell>
          <cell r="AN103">
            <v>1.0766666666666667E-2</v>
          </cell>
          <cell r="AO103">
            <v>0</v>
          </cell>
          <cell r="AP103" t="e">
            <v>#DIV/0!</v>
          </cell>
          <cell r="AQ103">
            <v>9690</v>
          </cell>
          <cell r="AR103">
            <v>0</v>
          </cell>
          <cell r="AS103">
            <v>-9690</v>
          </cell>
          <cell r="AT103">
            <v>1615</v>
          </cell>
          <cell r="AU103">
            <v>1.0766666666666667E-2</v>
          </cell>
          <cell r="AV103">
            <v>0</v>
          </cell>
          <cell r="AW103" t="e">
            <v>#DIV/0!</v>
          </cell>
          <cell r="AX103">
            <v>11305</v>
          </cell>
          <cell r="AY103">
            <v>0</v>
          </cell>
          <cell r="AZ103">
            <v>-11305</v>
          </cell>
          <cell r="BA103">
            <v>1615</v>
          </cell>
          <cell r="BB103">
            <v>1.0766666666666667E-2</v>
          </cell>
          <cell r="BC103">
            <v>0</v>
          </cell>
          <cell r="BD103" t="e">
            <v>#DIV/0!</v>
          </cell>
          <cell r="BE103">
            <v>12920</v>
          </cell>
          <cell r="BF103">
            <v>0</v>
          </cell>
          <cell r="BG103">
            <v>-12920</v>
          </cell>
          <cell r="BH103">
            <v>1615</v>
          </cell>
          <cell r="BI103">
            <v>1.0766666666666667E-2</v>
          </cell>
          <cell r="BJ103">
            <v>0</v>
          </cell>
          <cell r="BK103" t="e">
            <v>#DIV/0!</v>
          </cell>
          <cell r="BL103">
            <v>14535</v>
          </cell>
          <cell r="BM103">
            <v>0</v>
          </cell>
          <cell r="BN103">
            <v>-14535</v>
          </cell>
          <cell r="BO103">
            <v>1615</v>
          </cell>
          <cell r="BP103">
            <v>1.0766666666666667E-2</v>
          </cell>
          <cell r="BQ103">
            <v>0</v>
          </cell>
          <cell r="BR103" t="e">
            <v>#DIV/0!</v>
          </cell>
          <cell r="BS103">
            <v>16150</v>
          </cell>
          <cell r="BT103">
            <v>0</v>
          </cell>
          <cell r="BU103">
            <v>-16150</v>
          </cell>
          <cell r="BV103">
            <v>1615</v>
          </cell>
          <cell r="BW103">
            <v>1.0766666666666667E-2</v>
          </cell>
          <cell r="BX103">
            <v>0</v>
          </cell>
          <cell r="BY103" t="e">
            <v>#DIV/0!</v>
          </cell>
          <cell r="BZ103">
            <v>17765</v>
          </cell>
          <cell r="CA103">
            <v>0</v>
          </cell>
          <cell r="CB103">
            <v>-17765</v>
          </cell>
          <cell r="CC103">
            <v>1615</v>
          </cell>
          <cell r="CD103">
            <v>1.0766666666666667E-2</v>
          </cell>
          <cell r="CE103">
            <v>0</v>
          </cell>
          <cell r="CF103" t="e">
            <v>#DIV/0!</v>
          </cell>
          <cell r="CG103">
            <v>19380</v>
          </cell>
          <cell r="CH103">
            <v>0</v>
          </cell>
          <cell r="CI103">
            <v>-19380</v>
          </cell>
        </row>
        <row r="104">
          <cell r="A104" t="str">
            <v>Seguro de Vida</v>
          </cell>
          <cell r="B104" t="e">
            <v>#DIV/0!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e">
            <v>#DIV/0!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 t="e">
            <v>#DIV/0!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 t="e">
            <v>#DIV/0!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 t="e">
            <v>#DIV/0!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 t="e">
            <v>#DIV/0!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 t="e">
            <v>#DIV/0!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 t="e">
            <v>#DIV/0!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 t="e">
            <v>#DIV/0!</v>
          </cell>
          <cell r="CG104">
            <v>0</v>
          </cell>
          <cell r="CH104">
            <v>0</v>
          </cell>
          <cell r="CI104">
            <v>0</v>
          </cell>
        </row>
        <row r="105">
          <cell r="A105" t="str">
            <v>Indenização por Ruptura de Contrato</v>
          </cell>
          <cell r="B105" t="e">
            <v>#DIV/0!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#DIV/0!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 t="e">
            <v>#DIV/0!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 t="e">
            <v>#DIV/0!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 t="e">
            <v>#DIV/0!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 t="e">
            <v>#DIV/0!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 t="e">
            <v>#DIV/0!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 t="e">
            <v>#DIV/0!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 t="e">
            <v>#DIV/0!</v>
          </cell>
          <cell r="CG105">
            <v>0</v>
          </cell>
          <cell r="CH105">
            <v>0</v>
          </cell>
          <cell r="CI105">
            <v>0</v>
          </cell>
        </row>
        <row r="106">
          <cell r="A106" t="str">
            <v>Vale Alimentação / Refeição</v>
          </cell>
          <cell r="B106" t="e">
            <v>#DIV/0!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e">
            <v>#DIV/0!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 t="e">
            <v>#DIV/0!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 t="e">
            <v>#DIV/0!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 t="e">
            <v>#DIV/0!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 t="e">
            <v>#DIV/0!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 t="e">
            <v>#DIV/0!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 t="e">
            <v>#DIV/0!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 t="e">
            <v>#DIV/0!</v>
          </cell>
          <cell r="CG106">
            <v>0</v>
          </cell>
          <cell r="CH106">
            <v>0</v>
          </cell>
          <cell r="CI106">
            <v>0</v>
          </cell>
        </row>
        <row r="107">
          <cell r="A107" t="str">
            <v>Vale Transporte</v>
          </cell>
          <cell r="B107" t="e">
            <v>#DIV/0!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 t="e">
            <v>#DIV/0!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e">
            <v>#DIV/0!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 t="e">
            <v>#DIV/0!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 t="e">
            <v>#DIV/0!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 t="e">
            <v>#DIV/0!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 t="e">
            <v>#DIV/0!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 t="e">
            <v>#DIV/0!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 t="e">
            <v>#DIV/0!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 t="e">
            <v>#DIV/0!</v>
          </cell>
          <cell r="CG107">
            <v>0</v>
          </cell>
          <cell r="CH107">
            <v>0</v>
          </cell>
          <cell r="CI107">
            <v>0</v>
          </cell>
        </row>
        <row r="108">
          <cell r="A108" t="str">
            <v>Viagens - Alimentação / Hospedagem</v>
          </cell>
          <cell r="B108" t="e">
            <v>#DIV/0!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#DIV/0!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 t="e">
            <v>#DIV/0!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 t="e">
            <v>#DIV/0!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 t="e">
            <v>#DIV/0!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 t="e">
            <v>#DIV/0!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 t="e">
            <v>#DIV/0!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 t="e">
            <v>#DIV/0!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 t="e">
            <v>#DIV/0!</v>
          </cell>
          <cell r="CG108">
            <v>0</v>
          </cell>
          <cell r="CH108">
            <v>0</v>
          </cell>
          <cell r="CI108">
            <v>0</v>
          </cell>
        </row>
        <row r="109">
          <cell r="A109" t="str">
            <v>Viagens - Passagens / Traslados</v>
          </cell>
          <cell r="B109" t="e">
            <v>#DIV/0!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 t="e">
            <v>#DIV/0!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e">
            <v>#DIV/0!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 t="e">
            <v>#DIV/0!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 t="e">
            <v>#DIV/0!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 t="e">
            <v>#DIV/0!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 t="e">
            <v>#DIV/0!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 t="e">
            <v>#DIV/0!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 t="e">
            <v>#DIV/0!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 t="e">
            <v>#DIV/0!</v>
          </cell>
          <cell r="CG109">
            <v>0</v>
          </cell>
          <cell r="CH109">
            <v>0</v>
          </cell>
          <cell r="CI109">
            <v>0</v>
          </cell>
        </row>
        <row r="123">
          <cell r="A123" t="str">
            <v>13º (+ Encargos)</v>
          </cell>
          <cell r="B123" t="e">
            <v>#DIV/0!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e">
            <v>#DIV/0!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 t="e">
            <v>#DIV/0!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 t="e">
            <v>#DIV/0!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 t="e">
            <v>#DIV/0!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 t="e">
            <v>#DIV/0!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 t="e">
            <v>#DIV/0!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 t="e">
            <v>#DIV/0!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 t="e">
            <v>#DIV/0!</v>
          </cell>
          <cell r="CG123">
            <v>0</v>
          </cell>
          <cell r="CH123">
            <v>0</v>
          </cell>
          <cell r="CI123">
            <v>0</v>
          </cell>
        </row>
        <row r="124">
          <cell r="A124" t="str">
            <v>Acordo</v>
          </cell>
          <cell r="B124" t="e">
            <v>#DIV/0!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e">
            <v>#DIV/0!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 t="e">
            <v>#DIV/0!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 t="e">
            <v>#DIV/0!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 t="e">
            <v>#DIV/0!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 t="e">
            <v>#DIV/0!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 t="e">
            <v>#DIV/0!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 t="e">
            <v>#DIV/0!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 t="e">
            <v>#DIV/0!</v>
          </cell>
          <cell r="CG124">
            <v>0</v>
          </cell>
          <cell r="CH124">
            <v>0</v>
          </cell>
          <cell r="CI124">
            <v>0</v>
          </cell>
        </row>
        <row r="125">
          <cell r="A125" t="str">
            <v>Aluguel + IPTU + Condomínio + Energia Elétrica</v>
          </cell>
          <cell r="B125" t="e">
            <v>#DIV/0!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e">
            <v>#DIV/0!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 t="e">
            <v>#DIV/0!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 t="e">
            <v>#DIV/0!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 t="e">
            <v>#DIV/0!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 t="e">
            <v>#DIV/0!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 t="e">
            <v>#DIV/0!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 t="e">
            <v>#DIV/0!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 t="e">
            <v>#DIV/0!</v>
          </cell>
          <cell r="CG125">
            <v>0</v>
          </cell>
          <cell r="CH125">
            <v>0</v>
          </cell>
          <cell r="CI125">
            <v>0</v>
          </cell>
        </row>
        <row r="126">
          <cell r="A126" t="str">
            <v>Aperfeiçoamento - Treinamentos / Livros / Revistas</v>
          </cell>
          <cell r="B126" t="e">
            <v>#DIV/0!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e">
            <v>#DIV/0!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 t="e">
            <v>#DIV/0!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 t="e">
            <v>#DIV/0!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 t="e">
            <v>#DIV/0!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 t="e">
            <v>#DIV/0!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 t="e">
            <v>#DIV/0!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 t="e">
            <v>#DIV/0!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 t="e">
            <v>#DIV/0!</v>
          </cell>
          <cell r="CG126">
            <v>0</v>
          </cell>
          <cell r="CH126">
            <v>0</v>
          </cell>
          <cell r="CI126">
            <v>0</v>
          </cell>
        </row>
        <row r="127">
          <cell r="A127" t="str">
            <v>OAB / Associações</v>
          </cell>
          <cell r="B127" t="e">
            <v>#DIV/0!</v>
          </cell>
          <cell r="C127">
            <v>0</v>
          </cell>
          <cell r="D127">
            <v>101</v>
          </cell>
          <cell r="E127">
            <v>6.7333333333333329E-4</v>
          </cell>
          <cell r="F127">
            <v>0</v>
          </cell>
          <cell r="G127">
            <v>0</v>
          </cell>
          <cell r="H127">
            <v>101</v>
          </cell>
          <cell r="I127">
            <v>0</v>
          </cell>
          <cell r="J127">
            <v>-101</v>
          </cell>
          <cell r="K127">
            <v>101</v>
          </cell>
          <cell r="L127">
            <v>6.7333333333333329E-4</v>
          </cell>
          <cell r="M127">
            <v>0</v>
          </cell>
          <cell r="N127">
            <v>0</v>
          </cell>
          <cell r="O127">
            <v>202</v>
          </cell>
          <cell r="P127">
            <v>0</v>
          </cell>
          <cell r="Q127">
            <v>-202</v>
          </cell>
          <cell r="R127">
            <v>101</v>
          </cell>
          <cell r="S127">
            <v>6.7333333333333329E-4</v>
          </cell>
          <cell r="T127">
            <v>0</v>
          </cell>
          <cell r="U127">
            <v>0</v>
          </cell>
          <cell r="V127">
            <v>303</v>
          </cell>
          <cell r="W127">
            <v>0</v>
          </cell>
          <cell r="X127">
            <v>-303</v>
          </cell>
          <cell r="Y127">
            <v>101</v>
          </cell>
          <cell r="Z127">
            <v>6.7333333333333329E-4</v>
          </cell>
          <cell r="AA127">
            <v>0</v>
          </cell>
          <cell r="AB127" t="e">
            <v>#DIV/0!</v>
          </cell>
          <cell r="AC127">
            <v>404</v>
          </cell>
          <cell r="AD127">
            <v>0</v>
          </cell>
          <cell r="AE127">
            <v>-404</v>
          </cell>
          <cell r="AF127">
            <v>101</v>
          </cell>
          <cell r="AG127">
            <v>6.7333333333333329E-4</v>
          </cell>
          <cell r="AH127">
            <v>0</v>
          </cell>
          <cell r="AI127" t="e">
            <v>#DIV/0!</v>
          </cell>
          <cell r="AJ127">
            <v>505</v>
          </cell>
          <cell r="AK127">
            <v>0</v>
          </cell>
          <cell r="AL127">
            <v>-505</v>
          </cell>
          <cell r="AM127">
            <v>101</v>
          </cell>
          <cell r="AN127">
            <v>6.7333333333333329E-4</v>
          </cell>
          <cell r="AO127">
            <v>0</v>
          </cell>
          <cell r="AP127" t="e">
            <v>#DIV/0!</v>
          </cell>
          <cell r="AQ127">
            <v>606</v>
          </cell>
          <cell r="AR127">
            <v>0</v>
          </cell>
          <cell r="AS127">
            <v>-606</v>
          </cell>
          <cell r="AT127">
            <v>101</v>
          </cell>
          <cell r="AU127">
            <v>6.7333333333333329E-4</v>
          </cell>
          <cell r="AV127">
            <v>0</v>
          </cell>
          <cell r="AW127" t="e">
            <v>#DIV/0!</v>
          </cell>
          <cell r="AX127">
            <v>707</v>
          </cell>
          <cell r="AY127">
            <v>0</v>
          </cell>
          <cell r="AZ127">
            <v>-707</v>
          </cell>
          <cell r="BA127">
            <v>101</v>
          </cell>
          <cell r="BB127">
            <v>6.7333333333333329E-4</v>
          </cell>
          <cell r="BC127">
            <v>0</v>
          </cell>
          <cell r="BD127" t="e">
            <v>#DIV/0!</v>
          </cell>
          <cell r="BE127">
            <v>808</v>
          </cell>
          <cell r="BF127">
            <v>0</v>
          </cell>
          <cell r="BG127">
            <v>-808</v>
          </cell>
          <cell r="BH127">
            <v>101</v>
          </cell>
          <cell r="BI127">
            <v>6.7333333333333329E-4</v>
          </cell>
          <cell r="BJ127">
            <v>0</v>
          </cell>
          <cell r="BK127" t="e">
            <v>#DIV/0!</v>
          </cell>
          <cell r="BL127">
            <v>909</v>
          </cell>
          <cell r="BM127">
            <v>0</v>
          </cell>
          <cell r="BN127">
            <v>-909</v>
          </cell>
          <cell r="BO127">
            <v>101</v>
          </cell>
          <cell r="BP127">
            <v>6.7333333333333329E-4</v>
          </cell>
          <cell r="BQ127">
            <v>0</v>
          </cell>
          <cell r="BR127" t="e">
            <v>#DIV/0!</v>
          </cell>
          <cell r="BS127">
            <v>1010</v>
          </cell>
          <cell r="BT127">
            <v>0</v>
          </cell>
          <cell r="BU127">
            <v>-1010</v>
          </cell>
          <cell r="BV127">
            <v>101</v>
          </cell>
          <cell r="BW127">
            <v>6.7333333333333329E-4</v>
          </cell>
          <cell r="BX127">
            <v>0</v>
          </cell>
          <cell r="BY127" t="e">
            <v>#DIV/0!</v>
          </cell>
          <cell r="BZ127">
            <v>1111</v>
          </cell>
          <cell r="CA127">
            <v>0</v>
          </cell>
          <cell r="CB127">
            <v>-1111</v>
          </cell>
          <cell r="CC127">
            <v>101</v>
          </cell>
          <cell r="CD127">
            <v>6.7333333333333329E-4</v>
          </cell>
          <cell r="CE127">
            <v>0</v>
          </cell>
          <cell r="CF127" t="e">
            <v>#DIV/0!</v>
          </cell>
          <cell r="CG127">
            <v>1212</v>
          </cell>
          <cell r="CH127">
            <v>0</v>
          </cell>
          <cell r="CI127">
            <v>-1212</v>
          </cell>
        </row>
        <row r="128">
          <cell r="A128" t="str">
            <v>Back Office / Encerramento</v>
          </cell>
          <cell r="B128" t="e">
            <v>#DIV/0!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e">
            <v>#DIV/0!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 t="e">
            <v>#DIV/0!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 t="e">
            <v>#DIV/0!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 t="e">
            <v>#DIV/0!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 t="e">
            <v>#DIV/0!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 t="e">
            <v>#DIV/0!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 t="e">
            <v>#DIV/0!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 t="e">
            <v>#DIV/0!</v>
          </cell>
          <cell r="CG128">
            <v>0</v>
          </cell>
          <cell r="CH128">
            <v>0</v>
          </cell>
          <cell r="CI128">
            <v>0</v>
          </cell>
        </row>
        <row r="129">
          <cell r="A129" t="str">
            <v>Bonificações/Premiações</v>
          </cell>
          <cell r="B129" t="e">
            <v>#DIV/0!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 t="e">
            <v>#DIV/0!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e">
            <v>#DIV/0!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 t="e">
            <v>#DIV/0!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 t="e">
            <v>#DIV/0!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 t="e">
            <v>#DIV/0!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 t="e">
            <v>#DIV/0!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 t="e">
            <v>#DIV/0!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 t="e">
            <v>#DIV/0!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 t="e">
            <v>#DIV/0!</v>
          </cell>
          <cell r="CG129">
            <v>0</v>
          </cell>
          <cell r="CH129">
            <v>0</v>
          </cell>
          <cell r="CI129">
            <v>0</v>
          </cell>
        </row>
        <row r="130">
          <cell r="A130" t="str">
            <v>Cadastro</v>
          </cell>
          <cell r="B130" t="e">
            <v>#DIV/0!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3.0694781660886941</v>
          </cell>
          <cell r="U130">
            <v>6.2513619463066892E-6</v>
          </cell>
          <cell r="V130">
            <v>0</v>
          </cell>
          <cell r="W130">
            <v>3.0694781660886941</v>
          </cell>
          <cell r="X130">
            <v>3.0694781660886941</v>
          </cell>
          <cell r="Y130">
            <v>0</v>
          </cell>
          <cell r="Z130">
            <v>0</v>
          </cell>
          <cell r="AA130">
            <v>0</v>
          </cell>
          <cell r="AB130" t="e">
            <v>#DIV/0!</v>
          </cell>
          <cell r="AC130">
            <v>0</v>
          </cell>
          <cell r="AD130">
            <v>3.0694781660886941</v>
          </cell>
          <cell r="AE130">
            <v>3.0694781660886941</v>
          </cell>
          <cell r="AF130">
            <v>0</v>
          </cell>
          <cell r="AG130">
            <v>0</v>
          </cell>
          <cell r="AH130">
            <v>0</v>
          </cell>
          <cell r="AI130" t="e">
            <v>#DIV/0!</v>
          </cell>
          <cell r="AJ130">
            <v>0</v>
          </cell>
          <cell r="AK130">
            <v>3.0694781660886941</v>
          </cell>
          <cell r="AL130">
            <v>3.0694781660886941</v>
          </cell>
          <cell r="AM130">
            <v>0</v>
          </cell>
          <cell r="AN130">
            <v>0</v>
          </cell>
          <cell r="AO130">
            <v>0</v>
          </cell>
          <cell r="AP130" t="e">
            <v>#DIV/0!</v>
          </cell>
          <cell r="AQ130">
            <v>0</v>
          </cell>
          <cell r="AR130">
            <v>3.0694781660886941</v>
          </cell>
          <cell r="AS130">
            <v>3.0694781660886941</v>
          </cell>
          <cell r="AT130">
            <v>0</v>
          </cell>
          <cell r="AU130">
            <v>0</v>
          </cell>
          <cell r="AV130">
            <v>0</v>
          </cell>
          <cell r="AW130" t="e">
            <v>#DIV/0!</v>
          </cell>
          <cell r="AX130">
            <v>0</v>
          </cell>
          <cell r="AY130">
            <v>3.0694781660886941</v>
          </cell>
          <cell r="AZ130">
            <v>3.0694781660886941</v>
          </cell>
          <cell r="BA130">
            <v>0</v>
          </cell>
          <cell r="BB130">
            <v>0</v>
          </cell>
          <cell r="BC130">
            <v>0</v>
          </cell>
          <cell r="BD130" t="e">
            <v>#DIV/0!</v>
          </cell>
          <cell r="BE130">
            <v>0</v>
          </cell>
          <cell r="BF130">
            <v>3.0694781660886941</v>
          </cell>
          <cell r="BG130">
            <v>3.0694781660886941</v>
          </cell>
          <cell r="BH130">
            <v>0</v>
          </cell>
          <cell r="BI130">
            <v>0</v>
          </cell>
          <cell r="BJ130">
            <v>0</v>
          </cell>
          <cell r="BK130" t="e">
            <v>#DIV/0!</v>
          </cell>
          <cell r="BL130">
            <v>0</v>
          </cell>
          <cell r="BM130">
            <v>3.0694781660886941</v>
          </cell>
          <cell r="BN130">
            <v>3.0694781660886941</v>
          </cell>
          <cell r="BO130">
            <v>0</v>
          </cell>
          <cell r="BP130">
            <v>0</v>
          </cell>
          <cell r="BQ130">
            <v>0</v>
          </cell>
          <cell r="BR130" t="e">
            <v>#DIV/0!</v>
          </cell>
          <cell r="BS130">
            <v>0</v>
          </cell>
          <cell r="BT130">
            <v>3.0694781660886941</v>
          </cell>
          <cell r="BU130">
            <v>3.0694781660886941</v>
          </cell>
          <cell r="BV130">
            <v>0</v>
          </cell>
          <cell r="BW130">
            <v>0</v>
          </cell>
          <cell r="BX130">
            <v>0</v>
          </cell>
          <cell r="BY130" t="e">
            <v>#DIV/0!</v>
          </cell>
          <cell r="BZ130">
            <v>0</v>
          </cell>
          <cell r="CA130">
            <v>3.0694781660886941</v>
          </cell>
          <cell r="CB130">
            <v>3.0694781660886941</v>
          </cell>
          <cell r="CC130">
            <v>0</v>
          </cell>
          <cell r="CD130">
            <v>0</v>
          </cell>
          <cell r="CE130">
            <v>0</v>
          </cell>
          <cell r="CF130" t="e">
            <v>#DIV/0!</v>
          </cell>
          <cell r="CG130">
            <v>0</v>
          </cell>
          <cell r="CH130">
            <v>3.0694781660886941</v>
          </cell>
          <cell r="CI130">
            <v>3.0694781660886941</v>
          </cell>
        </row>
        <row r="131">
          <cell r="A131" t="str">
            <v>Cartório</v>
          </cell>
          <cell r="B131" t="e">
            <v>#DIV/0!</v>
          </cell>
          <cell r="C131">
            <v>0</v>
          </cell>
          <cell r="D131">
            <v>100</v>
          </cell>
          <cell r="E131">
            <v>6.6666666666666664E-4</v>
          </cell>
          <cell r="F131">
            <v>48.58</v>
          </cell>
          <cell r="G131">
            <v>1.4760280795352476E-4</v>
          </cell>
          <cell r="H131">
            <v>100</v>
          </cell>
          <cell r="I131">
            <v>48.58</v>
          </cell>
          <cell r="J131">
            <v>-51.42</v>
          </cell>
          <cell r="K131">
            <v>100</v>
          </cell>
          <cell r="L131">
            <v>6.6666666666666664E-4</v>
          </cell>
          <cell r="M131">
            <v>48.58</v>
          </cell>
          <cell r="N131">
            <v>1.3704385736312835E-4</v>
          </cell>
          <cell r="O131">
            <v>200</v>
          </cell>
          <cell r="P131">
            <v>97.16</v>
          </cell>
          <cell r="Q131">
            <v>-102.84</v>
          </cell>
          <cell r="R131">
            <v>100</v>
          </cell>
          <cell r="S131">
            <v>6.6666666666666664E-4</v>
          </cell>
          <cell r="T131">
            <v>0</v>
          </cell>
          <cell r="U131">
            <v>0</v>
          </cell>
          <cell r="V131">
            <v>300</v>
          </cell>
          <cell r="W131">
            <v>97.16</v>
          </cell>
          <cell r="X131">
            <v>-202.84</v>
          </cell>
          <cell r="Y131">
            <v>100</v>
          </cell>
          <cell r="Z131">
            <v>6.6666666666666664E-4</v>
          </cell>
          <cell r="AA131">
            <v>0</v>
          </cell>
          <cell r="AB131" t="e">
            <v>#DIV/0!</v>
          </cell>
          <cell r="AC131">
            <v>400</v>
          </cell>
          <cell r="AD131">
            <v>97.16</v>
          </cell>
          <cell r="AE131">
            <v>-302.84000000000003</v>
          </cell>
          <cell r="AF131">
            <v>100</v>
          </cell>
          <cell r="AG131">
            <v>6.6666666666666664E-4</v>
          </cell>
          <cell r="AH131">
            <v>0</v>
          </cell>
          <cell r="AI131" t="e">
            <v>#DIV/0!</v>
          </cell>
          <cell r="AJ131">
            <v>500</v>
          </cell>
          <cell r="AK131">
            <v>97.16</v>
          </cell>
          <cell r="AL131">
            <v>-402.84000000000003</v>
          </cell>
          <cell r="AM131">
            <v>100</v>
          </cell>
          <cell r="AN131">
            <v>6.6666666666666664E-4</v>
          </cell>
          <cell r="AO131">
            <v>0</v>
          </cell>
          <cell r="AP131" t="e">
            <v>#DIV/0!</v>
          </cell>
          <cell r="AQ131">
            <v>600</v>
          </cell>
          <cell r="AR131">
            <v>97.16</v>
          </cell>
          <cell r="AS131">
            <v>-502.84000000000003</v>
          </cell>
          <cell r="AT131">
            <v>100</v>
          </cell>
          <cell r="AU131">
            <v>6.6666666666666664E-4</v>
          </cell>
          <cell r="AV131">
            <v>0</v>
          </cell>
          <cell r="AW131" t="e">
            <v>#DIV/0!</v>
          </cell>
          <cell r="AX131">
            <v>700</v>
          </cell>
          <cell r="AY131">
            <v>97.16</v>
          </cell>
          <cell r="AZ131">
            <v>-602.84</v>
          </cell>
          <cell r="BA131">
            <v>100</v>
          </cell>
          <cell r="BB131">
            <v>6.6666666666666664E-4</v>
          </cell>
          <cell r="BC131">
            <v>0</v>
          </cell>
          <cell r="BD131" t="e">
            <v>#DIV/0!</v>
          </cell>
          <cell r="BE131">
            <v>800</v>
          </cell>
          <cell r="BF131">
            <v>97.16</v>
          </cell>
          <cell r="BG131">
            <v>-702.84</v>
          </cell>
          <cell r="BH131">
            <v>100</v>
          </cell>
          <cell r="BI131">
            <v>6.6666666666666664E-4</v>
          </cell>
          <cell r="BJ131">
            <v>0</v>
          </cell>
          <cell r="BK131" t="e">
            <v>#DIV/0!</v>
          </cell>
          <cell r="BL131">
            <v>900</v>
          </cell>
          <cell r="BM131">
            <v>97.16</v>
          </cell>
          <cell r="BN131">
            <v>-802.84</v>
          </cell>
          <cell r="BO131">
            <v>100</v>
          </cell>
          <cell r="BP131">
            <v>6.6666666666666664E-4</v>
          </cell>
          <cell r="BQ131">
            <v>0</v>
          </cell>
          <cell r="BR131" t="e">
            <v>#DIV/0!</v>
          </cell>
          <cell r="BS131">
            <v>1000</v>
          </cell>
          <cell r="BT131">
            <v>97.16</v>
          </cell>
          <cell r="BU131">
            <v>-902.84</v>
          </cell>
          <cell r="BV131">
            <v>100</v>
          </cell>
          <cell r="BW131">
            <v>6.6666666666666664E-4</v>
          </cell>
          <cell r="BX131">
            <v>0</v>
          </cell>
          <cell r="BY131" t="e">
            <v>#DIV/0!</v>
          </cell>
          <cell r="BZ131">
            <v>1100</v>
          </cell>
          <cell r="CA131">
            <v>97.16</v>
          </cell>
          <cell r="CB131">
            <v>-1002.84</v>
          </cell>
          <cell r="CC131">
            <v>100</v>
          </cell>
          <cell r="CD131">
            <v>6.6666666666666664E-4</v>
          </cell>
          <cell r="CE131">
            <v>0</v>
          </cell>
          <cell r="CF131" t="e">
            <v>#DIV/0!</v>
          </cell>
          <cell r="CG131">
            <v>1200</v>
          </cell>
          <cell r="CH131">
            <v>97.16</v>
          </cell>
          <cell r="CI131">
            <v>-1102.8399999999999</v>
          </cell>
        </row>
        <row r="132">
          <cell r="A132" t="str">
            <v>Ajuste de NFs</v>
          </cell>
          <cell r="B132" t="e">
            <v>#DIV/0!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e">
            <v>#DIV/0!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 t="e">
            <v>#DIV/0!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 t="e">
            <v>#DIV/0!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 t="e">
            <v>#DIV/0!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 t="e">
            <v>#DIV/0!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 t="e">
            <v>#DIV/0!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 t="e">
            <v>#DIV/0!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 t="e">
            <v>#DIV/0!</v>
          </cell>
          <cell r="CG132">
            <v>0</v>
          </cell>
          <cell r="CH132">
            <v>0</v>
          </cell>
          <cell r="CI132">
            <v>0</v>
          </cell>
        </row>
        <row r="133">
          <cell r="A133" t="str">
            <v>Condenação</v>
          </cell>
          <cell r="B133" t="e">
            <v>#DIV/0!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e">
            <v>#DIV/0!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 t="e">
            <v>#DIV/0!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 t="e">
            <v>#DIV/0!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 t="e">
            <v>#DIV/0!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 t="e">
            <v>#DIV/0!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 t="e">
            <v>#DIV/0!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 t="e">
            <v>#DIV/0!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 t="e">
            <v>#DIV/0!</v>
          </cell>
          <cell r="CG133">
            <v>0</v>
          </cell>
          <cell r="CH133">
            <v>0</v>
          </cell>
          <cell r="CI133">
            <v>0</v>
          </cell>
        </row>
        <row r="134">
          <cell r="A134" t="str">
            <v>Penalidades/Irregularidades</v>
          </cell>
          <cell r="B134" t="e">
            <v>#DIV/0!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 t="e">
            <v>#DIV/0!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e">
            <v>#DIV/0!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 t="e">
            <v>#DIV/0!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 t="e">
            <v>#DIV/0!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 t="e">
            <v>#DIV/0!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 t="e">
            <v>#DIV/0!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 t="e">
            <v>#DIV/0!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 t="e">
            <v>#DIV/0!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 t="e">
            <v>#DIV/0!</v>
          </cell>
          <cell r="CG134">
            <v>0</v>
          </cell>
          <cell r="CH134">
            <v>0</v>
          </cell>
          <cell r="CI134">
            <v>0</v>
          </cell>
        </row>
        <row r="135">
          <cell r="A135" t="str">
            <v>Controladoria Jurídica - Custas</v>
          </cell>
          <cell r="B135" t="e">
            <v>#DIV/0!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 t="e">
            <v>#DIV/0!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e">
            <v>#DIV/0!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 t="e">
            <v>#DIV/0!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 t="e">
            <v>#DIV/0!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 t="e">
            <v>#DIV/0!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 t="e">
            <v>#DIV/0!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 t="e">
            <v>#DIV/0!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 t="e">
            <v>#DIV/0!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 t="e">
            <v>#DIV/0!</v>
          </cell>
          <cell r="CG135">
            <v>0</v>
          </cell>
          <cell r="CH135">
            <v>0</v>
          </cell>
          <cell r="CI135">
            <v>0</v>
          </cell>
        </row>
        <row r="136">
          <cell r="A136" t="str">
            <v>Correios</v>
          </cell>
          <cell r="B136" t="e">
            <v>#DIV/0!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e">
            <v>#DIV/0!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e">
            <v>#DIV/0!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 t="e">
            <v>#DIV/0!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 t="e">
            <v>#DIV/0!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 t="e">
            <v>#DIV/0!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 t="e">
            <v>#DIV/0!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 t="e">
            <v>#DIV/0!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 t="e">
            <v>#DIV/0!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 t="e">
            <v>#DIV/0!</v>
          </cell>
          <cell r="CG136">
            <v>0</v>
          </cell>
          <cell r="CH136">
            <v>0</v>
          </cell>
          <cell r="CI136">
            <v>0</v>
          </cell>
        </row>
        <row r="137">
          <cell r="A137" t="str">
            <v xml:space="preserve">Correspondentes </v>
          </cell>
          <cell r="B137" t="e">
            <v>#DIV/0!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 t="e">
            <v>#DIV/0!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e">
            <v>#DIV/0!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 t="e">
            <v>#DIV/0!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 t="e">
            <v>#DIV/0!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 t="e">
            <v>#DIV/0!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 t="e">
            <v>#DIV/0!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 t="e">
            <v>#DIV/0!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 t="e">
            <v>#DIV/0!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 t="e">
            <v>#DIV/0!</v>
          </cell>
          <cell r="CG137">
            <v>0</v>
          </cell>
          <cell r="CH137">
            <v>0</v>
          </cell>
          <cell r="CI137">
            <v>0</v>
          </cell>
        </row>
        <row r="138">
          <cell r="A138" t="str">
            <v>Custas/Guias/Despesas</v>
          </cell>
          <cell r="B138" t="e">
            <v>#DIV/0!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100.47</v>
          </cell>
          <cell r="U138">
            <v>2.0461925472685854E-4</v>
          </cell>
          <cell r="V138">
            <v>0</v>
          </cell>
          <cell r="W138">
            <v>100.47</v>
          </cell>
          <cell r="X138">
            <v>100.47</v>
          </cell>
          <cell r="Y138">
            <v>0</v>
          </cell>
          <cell r="Z138">
            <v>0</v>
          </cell>
          <cell r="AA138">
            <v>0</v>
          </cell>
          <cell r="AB138" t="e">
            <v>#DIV/0!</v>
          </cell>
          <cell r="AC138">
            <v>0</v>
          </cell>
          <cell r="AD138">
            <v>100.47</v>
          </cell>
          <cell r="AE138">
            <v>100.47</v>
          </cell>
          <cell r="AF138">
            <v>0</v>
          </cell>
          <cell r="AG138">
            <v>0</v>
          </cell>
          <cell r="AH138">
            <v>0</v>
          </cell>
          <cell r="AI138" t="e">
            <v>#DIV/0!</v>
          </cell>
          <cell r="AJ138">
            <v>0</v>
          </cell>
          <cell r="AK138">
            <v>100.47</v>
          </cell>
          <cell r="AL138">
            <v>100.47</v>
          </cell>
          <cell r="AM138">
            <v>0</v>
          </cell>
          <cell r="AN138">
            <v>0</v>
          </cell>
          <cell r="AO138">
            <v>0</v>
          </cell>
          <cell r="AP138" t="e">
            <v>#DIV/0!</v>
          </cell>
          <cell r="AQ138">
            <v>0</v>
          </cell>
          <cell r="AR138">
            <v>100.47</v>
          </cell>
          <cell r="AS138">
            <v>100.47</v>
          </cell>
          <cell r="AT138">
            <v>0</v>
          </cell>
          <cell r="AU138">
            <v>0</v>
          </cell>
          <cell r="AV138">
            <v>0</v>
          </cell>
          <cell r="AW138" t="e">
            <v>#DIV/0!</v>
          </cell>
          <cell r="AX138">
            <v>0</v>
          </cell>
          <cell r="AY138">
            <v>100.47</v>
          </cell>
          <cell r="AZ138">
            <v>100.47</v>
          </cell>
          <cell r="BA138">
            <v>0</v>
          </cell>
          <cell r="BB138">
            <v>0</v>
          </cell>
          <cell r="BC138">
            <v>0</v>
          </cell>
          <cell r="BD138" t="e">
            <v>#DIV/0!</v>
          </cell>
          <cell r="BE138">
            <v>0</v>
          </cell>
          <cell r="BF138">
            <v>100.47</v>
          </cell>
          <cell r="BG138">
            <v>100.47</v>
          </cell>
          <cell r="BH138">
            <v>0</v>
          </cell>
          <cell r="BI138">
            <v>0</v>
          </cell>
          <cell r="BJ138">
            <v>0</v>
          </cell>
          <cell r="BK138" t="e">
            <v>#DIV/0!</v>
          </cell>
          <cell r="BL138">
            <v>0</v>
          </cell>
          <cell r="BM138">
            <v>100.47</v>
          </cell>
          <cell r="BN138">
            <v>100.47</v>
          </cell>
          <cell r="BO138">
            <v>0</v>
          </cell>
          <cell r="BP138">
            <v>0</v>
          </cell>
          <cell r="BQ138">
            <v>0</v>
          </cell>
          <cell r="BR138" t="e">
            <v>#DIV/0!</v>
          </cell>
          <cell r="BS138">
            <v>0</v>
          </cell>
          <cell r="BT138">
            <v>100.47</v>
          </cell>
          <cell r="BU138">
            <v>100.47</v>
          </cell>
          <cell r="BV138">
            <v>0</v>
          </cell>
          <cell r="BW138">
            <v>0</v>
          </cell>
          <cell r="BX138">
            <v>0</v>
          </cell>
          <cell r="BY138" t="e">
            <v>#DIV/0!</v>
          </cell>
          <cell r="BZ138">
            <v>0</v>
          </cell>
          <cell r="CA138">
            <v>100.47</v>
          </cell>
          <cell r="CB138">
            <v>100.47</v>
          </cell>
          <cell r="CC138">
            <v>0</v>
          </cell>
          <cell r="CD138">
            <v>0</v>
          </cell>
          <cell r="CE138">
            <v>0</v>
          </cell>
          <cell r="CF138" t="e">
            <v>#DIV/0!</v>
          </cell>
          <cell r="CG138">
            <v>0</v>
          </cell>
          <cell r="CH138">
            <v>100.47</v>
          </cell>
          <cell r="CI138">
            <v>100.47</v>
          </cell>
        </row>
        <row r="139">
          <cell r="A139" t="str">
            <v>Consultoria</v>
          </cell>
          <cell r="B139" t="e">
            <v>#DIV/0!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 t="e">
            <v>#DIV/0!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e">
            <v>#DIV/0!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 t="e">
            <v>#DIV/0!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 t="e">
            <v>#DIV/0!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 t="e">
            <v>#DIV/0!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 t="e">
            <v>#DIV/0!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 t="e">
            <v>#DIV/0!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 t="e">
            <v>#DIV/0!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 t="e">
            <v>#DIV/0!</v>
          </cell>
          <cell r="CG139">
            <v>0</v>
          </cell>
          <cell r="CH139">
            <v>0</v>
          </cell>
          <cell r="CI139">
            <v>0</v>
          </cell>
        </row>
        <row r="140">
          <cell r="A140" t="str">
            <v>Deslocamento</v>
          </cell>
          <cell r="B140" t="e">
            <v>#DIV/0!</v>
          </cell>
          <cell r="C140">
            <v>0</v>
          </cell>
          <cell r="D140">
            <v>0</v>
          </cell>
          <cell r="E140">
            <v>0</v>
          </cell>
          <cell r="F140">
            <v>76.789728999999994</v>
          </cell>
          <cell r="G140">
            <v>2.3331370157246212E-4</v>
          </cell>
          <cell r="H140">
            <v>0</v>
          </cell>
          <cell r="I140">
            <v>76.789728999999994</v>
          </cell>
          <cell r="J140">
            <v>76.789728999999994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76.789728999999994</v>
          </cell>
          <cell r="Q140">
            <v>76.789728999999994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76.789728999999994</v>
          </cell>
          <cell r="X140">
            <v>76.789728999999994</v>
          </cell>
          <cell r="Y140">
            <v>0</v>
          </cell>
          <cell r="Z140">
            <v>0</v>
          </cell>
          <cell r="AA140">
            <v>0</v>
          </cell>
          <cell r="AB140" t="e">
            <v>#DIV/0!</v>
          </cell>
          <cell r="AC140">
            <v>0</v>
          </cell>
          <cell r="AD140">
            <v>76.789728999999994</v>
          </cell>
          <cell r="AE140">
            <v>76.789728999999994</v>
          </cell>
          <cell r="AF140">
            <v>0</v>
          </cell>
          <cell r="AG140">
            <v>0</v>
          </cell>
          <cell r="AH140">
            <v>0</v>
          </cell>
          <cell r="AI140" t="e">
            <v>#DIV/0!</v>
          </cell>
          <cell r="AJ140">
            <v>0</v>
          </cell>
          <cell r="AK140">
            <v>76.789728999999994</v>
          </cell>
          <cell r="AL140">
            <v>76.789728999999994</v>
          </cell>
          <cell r="AM140">
            <v>0</v>
          </cell>
          <cell r="AN140">
            <v>0</v>
          </cell>
          <cell r="AO140">
            <v>0</v>
          </cell>
          <cell r="AP140" t="e">
            <v>#DIV/0!</v>
          </cell>
          <cell r="AQ140">
            <v>0</v>
          </cell>
          <cell r="AR140">
            <v>76.789728999999994</v>
          </cell>
          <cell r="AS140">
            <v>76.789728999999994</v>
          </cell>
          <cell r="AT140">
            <v>0</v>
          </cell>
          <cell r="AU140">
            <v>0</v>
          </cell>
          <cell r="AV140">
            <v>0</v>
          </cell>
          <cell r="AW140" t="e">
            <v>#DIV/0!</v>
          </cell>
          <cell r="AX140">
            <v>0</v>
          </cell>
          <cell r="AY140">
            <v>76.789728999999994</v>
          </cell>
          <cell r="AZ140">
            <v>76.789728999999994</v>
          </cell>
          <cell r="BA140">
            <v>0</v>
          </cell>
          <cell r="BB140">
            <v>0</v>
          </cell>
          <cell r="BC140">
            <v>0</v>
          </cell>
          <cell r="BD140" t="e">
            <v>#DIV/0!</v>
          </cell>
          <cell r="BE140">
            <v>0</v>
          </cell>
          <cell r="BF140">
            <v>76.789728999999994</v>
          </cell>
          <cell r="BG140">
            <v>76.789728999999994</v>
          </cell>
          <cell r="BH140">
            <v>0</v>
          </cell>
          <cell r="BI140">
            <v>0</v>
          </cell>
          <cell r="BJ140">
            <v>0</v>
          </cell>
          <cell r="BK140" t="e">
            <v>#DIV/0!</v>
          </cell>
          <cell r="BL140">
            <v>0</v>
          </cell>
          <cell r="BM140">
            <v>76.789728999999994</v>
          </cell>
          <cell r="BN140">
            <v>76.789728999999994</v>
          </cell>
          <cell r="BO140">
            <v>0</v>
          </cell>
          <cell r="BP140">
            <v>0</v>
          </cell>
          <cell r="BQ140">
            <v>0</v>
          </cell>
          <cell r="BR140" t="e">
            <v>#DIV/0!</v>
          </cell>
          <cell r="BS140">
            <v>0</v>
          </cell>
          <cell r="BT140">
            <v>76.789728999999994</v>
          </cell>
          <cell r="BU140">
            <v>76.789728999999994</v>
          </cell>
          <cell r="BV140">
            <v>0</v>
          </cell>
          <cell r="BW140">
            <v>0</v>
          </cell>
          <cell r="BX140">
            <v>0</v>
          </cell>
          <cell r="BY140" t="e">
            <v>#DIV/0!</v>
          </cell>
          <cell r="BZ140">
            <v>0</v>
          </cell>
          <cell r="CA140">
            <v>76.789728999999994</v>
          </cell>
          <cell r="CB140">
            <v>76.789728999999994</v>
          </cell>
          <cell r="CC140">
            <v>0</v>
          </cell>
          <cell r="CD140">
            <v>0</v>
          </cell>
          <cell r="CE140">
            <v>0</v>
          </cell>
          <cell r="CF140" t="e">
            <v>#DIV/0!</v>
          </cell>
          <cell r="CG140">
            <v>0</v>
          </cell>
          <cell r="CH140">
            <v>76.789728999999994</v>
          </cell>
          <cell r="CI140">
            <v>76.789728999999994</v>
          </cell>
        </row>
        <row r="141">
          <cell r="A141" t="str">
            <v>Digitação / Atual. Sistemas / Lanç. Planilhas</v>
          </cell>
          <cell r="B141" t="e">
            <v>#DIV/0!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 t="e">
            <v>#DIV/0!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e">
            <v>#DIV/0!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 t="e">
            <v>#DIV/0!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 t="e">
            <v>#DIV/0!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 t="e">
            <v>#DIV/0!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 t="e">
            <v>#DIV/0!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 t="e">
            <v>#DIV/0!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 t="e">
            <v>#DIV/0!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 t="e">
            <v>#DIV/0!</v>
          </cell>
          <cell r="CG141">
            <v>0</v>
          </cell>
          <cell r="CH141">
            <v>0</v>
          </cell>
          <cell r="CI141">
            <v>0</v>
          </cell>
        </row>
        <row r="142">
          <cell r="A142" t="str">
            <v>Diligências</v>
          </cell>
          <cell r="B142" t="e">
            <v>#DIV/0!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e">
            <v>#DIV/0!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e">
            <v>#DIV/0!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 t="e">
            <v>#DIV/0!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 t="e">
            <v>#DIV/0!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 t="e">
            <v>#DIV/0!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 t="e">
            <v>#DIV/0!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 t="e">
            <v>#DIV/0!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 t="e">
            <v>#DIV/0!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 t="e">
            <v>#DIV/0!</v>
          </cell>
          <cell r="CG142">
            <v>0</v>
          </cell>
          <cell r="CH142">
            <v>0</v>
          </cell>
          <cell r="CI142">
            <v>0</v>
          </cell>
        </row>
        <row r="143">
          <cell r="A143" t="str">
            <v>Encargos</v>
          </cell>
          <cell r="B143" t="e">
            <v>#DIV/0!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 t="e">
            <v>#DIV/0!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e">
            <v>#DIV/0!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 t="e">
            <v>#DIV/0!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 t="e">
            <v>#DIV/0!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 t="e">
            <v>#DIV/0!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 t="e">
            <v>#DIV/0!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 t="e">
            <v>#DIV/0!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 t="e">
            <v>#DIV/0!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 t="e">
            <v>#DIV/0!</v>
          </cell>
          <cell r="CG143">
            <v>0</v>
          </cell>
          <cell r="CH143">
            <v>0</v>
          </cell>
          <cell r="CI143">
            <v>0</v>
          </cell>
        </row>
        <row r="144">
          <cell r="A144" t="str">
            <v>Encargos Rescisórios</v>
          </cell>
          <cell r="B144" t="e">
            <v>#DIV/0!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e">
            <v>#DIV/0!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 t="e">
            <v>#DIV/0!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 t="e">
            <v>#DIV/0!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 t="e">
            <v>#DIV/0!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 t="e">
            <v>#DIV/0!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 t="e">
            <v>#DIV/0!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 t="e">
            <v>#DIV/0!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 t="e">
            <v>#DIV/0!</v>
          </cell>
          <cell r="CG144">
            <v>0</v>
          </cell>
          <cell r="CH144">
            <v>0</v>
          </cell>
          <cell r="CI144">
            <v>0</v>
          </cell>
        </row>
        <row r="145">
          <cell r="A145" t="str">
            <v>Encerramento</v>
          </cell>
          <cell r="B145" t="e">
            <v>#DIV/0!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e">
            <v>#DIV/0!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 t="e">
            <v>#DIV/0!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 t="e">
            <v>#DIV/0!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 t="e">
            <v>#DIV/0!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 t="e">
            <v>#DIV/0!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 t="e">
            <v>#DIV/0!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 t="e">
            <v>#DIV/0!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 t="e">
            <v>#DIV/0!</v>
          </cell>
          <cell r="CG145">
            <v>0</v>
          </cell>
          <cell r="CH145">
            <v>0</v>
          </cell>
          <cell r="CI145">
            <v>0</v>
          </cell>
        </row>
        <row r="146">
          <cell r="A146" t="str">
            <v>Eventos / Representações</v>
          </cell>
          <cell r="B146" t="e">
            <v>#DIV/0!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 t="e">
            <v>#DIV/0!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e">
            <v>#DIV/0!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 t="e">
            <v>#DIV/0!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 t="e">
            <v>#DIV/0!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 t="e">
            <v>#DIV/0!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 t="e">
            <v>#DIV/0!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 t="e">
            <v>#DIV/0!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 t="e">
            <v>#DIV/0!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 t="e">
            <v>#DIV/0!</v>
          </cell>
          <cell r="CG146">
            <v>0</v>
          </cell>
          <cell r="CH146">
            <v>0</v>
          </cell>
          <cell r="CI146">
            <v>0</v>
          </cell>
        </row>
        <row r="147">
          <cell r="A147" t="str">
            <v>Férias</v>
          </cell>
          <cell r="B147" t="e">
            <v>#DIV/0!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e">
            <v>#DIV/0!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 t="e">
            <v>#DIV/0!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 t="e">
            <v>#DIV/0!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 t="e">
            <v>#DIV/0!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 t="e">
            <v>#DIV/0!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 t="e">
            <v>#DIV/0!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 t="e">
            <v>#DIV/0!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 t="e">
            <v>#DIV/0!</v>
          </cell>
          <cell r="CG147">
            <v>0</v>
          </cell>
          <cell r="CH147">
            <v>0</v>
          </cell>
          <cell r="CI147">
            <v>0</v>
          </cell>
        </row>
        <row r="148">
          <cell r="A148" t="str">
            <v>Fotocópia/Xerox</v>
          </cell>
          <cell r="B148" t="e">
            <v>#DIV/0!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 t="e">
            <v>#DIV/0!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e">
            <v>#DIV/0!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 t="e">
            <v>#DIV/0!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 t="e">
            <v>#DIV/0!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 t="e">
            <v>#DIV/0!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 t="e">
            <v>#DIV/0!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 t="e">
            <v>#DIV/0!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 t="e">
            <v>#DIV/0!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 t="e">
            <v>#DIV/0!</v>
          </cell>
          <cell r="CG148">
            <v>0</v>
          </cell>
          <cell r="CH148">
            <v>0</v>
          </cell>
          <cell r="CI148">
            <v>0</v>
          </cell>
        </row>
        <row r="149">
          <cell r="A149" t="str">
            <v>GNA</v>
          </cell>
          <cell r="B149" t="e">
            <v>#DIV/0!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 t="e">
            <v>#DIV/0!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e">
            <v>#DIV/0!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 t="e">
            <v>#DIV/0!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 t="e">
            <v>#DIV/0!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 t="e">
            <v>#DIV/0!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 t="e">
            <v>#DIV/0!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 t="e">
            <v>#DIV/0!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 t="e">
            <v>#DIV/0!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 t="e">
            <v>#DIV/0!</v>
          </cell>
          <cell r="CG149">
            <v>0</v>
          </cell>
          <cell r="CH149">
            <v>0</v>
          </cell>
          <cell r="CI149">
            <v>0</v>
          </cell>
        </row>
        <row r="150">
          <cell r="A150" t="str">
            <v>Parcerias - Unidade Vitória / Unidade Pará</v>
          </cell>
          <cell r="B150" t="e">
            <v>#DIV/0!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e">
            <v>#DIV/0!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 t="e">
            <v>#DIV/0!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 t="e">
            <v>#DIV/0!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 t="e">
            <v>#DIV/0!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 t="e">
            <v>#DIV/0!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 t="e">
            <v>#DIV/0!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 t="e">
            <v>#DIV/0!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 t="e">
            <v>#DIV/0!</v>
          </cell>
          <cell r="CG150">
            <v>0</v>
          </cell>
          <cell r="CH150">
            <v>0</v>
          </cell>
          <cell r="CI150">
            <v>0</v>
          </cell>
        </row>
        <row r="151">
          <cell r="A151" t="str">
            <v>IR s/ Salário</v>
          </cell>
          <cell r="B151" t="e">
            <v>#DIV/0!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 t="e">
            <v>#DIV/0!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e">
            <v>#DIV/0!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 t="e">
            <v>#DIV/0!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 t="e">
            <v>#DIV/0!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 t="e">
            <v>#DIV/0!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 t="e">
            <v>#DIV/0!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 t="e">
            <v>#DIV/0!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 t="e">
            <v>#DIV/0!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 t="e">
            <v>#DIV/0!</v>
          </cell>
          <cell r="CG151">
            <v>0</v>
          </cell>
          <cell r="CH151">
            <v>0</v>
          </cell>
          <cell r="CI151">
            <v>0</v>
          </cell>
        </row>
        <row r="152">
          <cell r="A152" t="str">
            <v>Pauta</v>
          </cell>
          <cell r="B152" t="e">
            <v>#DIV/0!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e">
            <v>#DIV/0!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 t="e">
            <v>#DIV/0!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 t="e">
            <v>#DIV/0!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 t="e">
            <v>#DIV/0!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 t="e">
            <v>#DIV/0!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 t="e">
            <v>#DIV/0!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 t="e">
            <v>#DIV/0!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 t="e">
            <v>#DIV/0!</v>
          </cell>
          <cell r="CG152">
            <v>0</v>
          </cell>
          <cell r="CH152">
            <v>0</v>
          </cell>
          <cell r="CI152">
            <v>0</v>
          </cell>
        </row>
        <row r="153">
          <cell r="A153" t="str">
            <v>Pauta - Gestão de Pauta</v>
          </cell>
          <cell r="B153" t="e">
            <v>#DIV/0!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 t="e">
            <v>#DIV/0!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e">
            <v>#DIV/0!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 t="e">
            <v>#DIV/0!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 t="e">
            <v>#DIV/0!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 t="e">
            <v>#DIV/0!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 t="e">
            <v>#DIV/0!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 t="e">
            <v>#DIV/0!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 t="e">
            <v>#DIV/0!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 t="e">
            <v>#DIV/0!</v>
          </cell>
          <cell r="CG153">
            <v>0</v>
          </cell>
          <cell r="CH153">
            <v>0</v>
          </cell>
          <cell r="CI153">
            <v>0</v>
          </cell>
        </row>
        <row r="154">
          <cell r="A154" t="str">
            <v>Exames Médicos</v>
          </cell>
          <cell r="B154" t="e">
            <v>#DIV/0!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 t="e">
            <v>#DIV/0!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e">
            <v>#DIV/0!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 t="e">
            <v>#DIV/0!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 t="e">
            <v>#DIV/0!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 t="e">
            <v>#DIV/0!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 t="e">
            <v>#DIV/0!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 t="e">
            <v>#DIV/0!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 t="e">
            <v>#DIV/0!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 t="e">
            <v>#DIV/0!</v>
          </cell>
          <cell r="CG154">
            <v>0</v>
          </cell>
          <cell r="CH154">
            <v>0</v>
          </cell>
          <cell r="CI154">
            <v>0</v>
          </cell>
        </row>
        <row r="155">
          <cell r="A155" t="str">
            <v>Plano de Saúde</v>
          </cell>
          <cell r="B155" t="e">
            <v>#DIV/0!</v>
          </cell>
          <cell r="C155">
            <v>0</v>
          </cell>
          <cell r="D155">
            <v>2850</v>
          </cell>
          <cell r="E155">
            <v>1.9E-2</v>
          </cell>
          <cell r="F155">
            <v>0</v>
          </cell>
          <cell r="G155">
            <v>0</v>
          </cell>
          <cell r="H155">
            <v>2850</v>
          </cell>
          <cell r="I155">
            <v>0</v>
          </cell>
          <cell r="J155">
            <v>-2850</v>
          </cell>
          <cell r="K155">
            <v>2850</v>
          </cell>
          <cell r="L155">
            <v>1.9E-2</v>
          </cell>
          <cell r="M155">
            <v>0</v>
          </cell>
          <cell r="N155">
            <v>0</v>
          </cell>
          <cell r="O155">
            <v>5700</v>
          </cell>
          <cell r="P155">
            <v>0</v>
          </cell>
          <cell r="Q155">
            <v>-5700</v>
          </cell>
          <cell r="R155">
            <v>2850</v>
          </cell>
          <cell r="S155">
            <v>1.9E-2</v>
          </cell>
          <cell r="T155">
            <v>0</v>
          </cell>
          <cell r="U155">
            <v>0</v>
          </cell>
          <cell r="V155">
            <v>8550</v>
          </cell>
          <cell r="W155">
            <v>0</v>
          </cell>
          <cell r="X155">
            <v>-8550</v>
          </cell>
          <cell r="Y155">
            <v>2850</v>
          </cell>
          <cell r="Z155">
            <v>1.9E-2</v>
          </cell>
          <cell r="AA155">
            <v>0</v>
          </cell>
          <cell r="AB155" t="e">
            <v>#DIV/0!</v>
          </cell>
          <cell r="AC155">
            <v>11400</v>
          </cell>
          <cell r="AD155">
            <v>0</v>
          </cell>
          <cell r="AE155">
            <v>-11400</v>
          </cell>
          <cell r="AF155">
            <v>2850</v>
          </cell>
          <cell r="AG155">
            <v>1.9E-2</v>
          </cell>
          <cell r="AH155">
            <v>0</v>
          </cell>
          <cell r="AI155" t="e">
            <v>#DIV/0!</v>
          </cell>
          <cell r="AJ155">
            <v>14250</v>
          </cell>
          <cell r="AK155">
            <v>0</v>
          </cell>
          <cell r="AL155">
            <v>-14250</v>
          </cell>
          <cell r="AM155">
            <v>2850</v>
          </cell>
          <cell r="AN155">
            <v>1.9E-2</v>
          </cell>
          <cell r="AO155">
            <v>0</v>
          </cell>
          <cell r="AP155" t="e">
            <v>#DIV/0!</v>
          </cell>
          <cell r="AQ155">
            <v>17100</v>
          </cell>
          <cell r="AR155">
            <v>0</v>
          </cell>
          <cell r="AS155">
            <v>-17100</v>
          </cell>
          <cell r="AT155">
            <v>2850</v>
          </cell>
          <cell r="AU155">
            <v>1.9E-2</v>
          </cell>
          <cell r="AV155">
            <v>0</v>
          </cell>
          <cell r="AW155" t="e">
            <v>#DIV/0!</v>
          </cell>
          <cell r="AX155">
            <v>19950</v>
          </cell>
          <cell r="AY155">
            <v>0</v>
          </cell>
          <cell r="AZ155">
            <v>-19950</v>
          </cell>
          <cell r="BA155">
            <v>2850</v>
          </cell>
          <cell r="BB155">
            <v>1.9E-2</v>
          </cell>
          <cell r="BC155">
            <v>0</v>
          </cell>
          <cell r="BD155" t="e">
            <v>#DIV/0!</v>
          </cell>
          <cell r="BE155">
            <v>22800</v>
          </cell>
          <cell r="BF155">
            <v>0</v>
          </cell>
          <cell r="BG155">
            <v>-22800</v>
          </cell>
          <cell r="BH155">
            <v>2850</v>
          </cell>
          <cell r="BI155">
            <v>1.9E-2</v>
          </cell>
          <cell r="BJ155">
            <v>0</v>
          </cell>
          <cell r="BK155" t="e">
            <v>#DIV/0!</v>
          </cell>
          <cell r="BL155">
            <v>25650</v>
          </cell>
          <cell r="BM155">
            <v>0</v>
          </cell>
          <cell r="BN155">
            <v>-25650</v>
          </cell>
          <cell r="BO155">
            <v>3277.5</v>
          </cell>
          <cell r="BP155">
            <v>2.1850000000000001E-2</v>
          </cell>
          <cell r="BQ155">
            <v>0</v>
          </cell>
          <cell r="BR155" t="e">
            <v>#DIV/0!</v>
          </cell>
          <cell r="BS155">
            <v>28927.5</v>
          </cell>
          <cell r="BT155">
            <v>0</v>
          </cell>
          <cell r="BU155">
            <v>-28927.5</v>
          </cell>
          <cell r="BV155">
            <v>3277.5</v>
          </cell>
          <cell r="BW155">
            <v>2.1850000000000001E-2</v>
          </cell>
          <cell r="BX155">
            <v>0</v>
          </cell>
          <cell r="BY155" t="e">
            <v>#DIV/0!</v>
          </cell>
          <cell r="BZ155">
            <v>32205</v>
          </cell>
          <cell r="CA155">
            <v>0</v>
          </cell>
          <cell r="CB155">
            <v>-32205</v>
          </cell>
          <cell r="CC155">
            <v>3277.5</v>
          </cell>
          <cell r="CD155">
            <v>2.1850000000000001E-2</v>
          </cell>
          <cell r="CE155">
            <v>0</v>
          </cell>
          <cell r="CF155" t="e">
            <v>#DIV/0!</v>
          </cell>
          <cell r="CG155">
            <v>35482.5</v>
          </cell>
          <cell r="CH155">
            <v>0</v>
          </cell>
          <cell r="CI155">
            <v>-35482.5</v>
          </cell>
        </row>
        <row r="156">
          <cell r="A156" t="str">
            <v>Plano Odontológico</v>
          </cell>
          <cell r="B156" t="e">
            <v>#DIV/0!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e">
            <v>#DIV/0!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 t="e">
            <v>#DIV/0!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 t="e">
            <v>#DIV/0!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 t="e">
            <v>#DIV/0!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 t="e">
            <v>#DIV/0!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 t="e">
            <v>#DIV/0!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 t="e">
            <v>#DIV/0!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 t="e">
            <v>#DIV/0!</v>
          </cell>
          <cell r="CG156">
            <v>0</v>
          </cell>
          <cell r="CH156">
            <v>0</v>
          </cell>
          <cell r="CI156">
            <v>0</v>
          </cell>
        </row>
        <row r="157">
          <cell r="A157" t="str">
            <v>Redação</v>
          </cell>
          <cell r="B157" t="e">
            <v>#DIV/0!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 t="e">
            <v>#DIV/0!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e">
            <v>#DIV/0!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 t="e">
            <v>#DIV/0!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 t="e">
            <v>#DIV/0!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 t="e">
            <v>#DIV/0!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 t="e">
            <v>#DIV/0!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 t="e">
            <v>#DIV/0!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 t="e">
            <v>#DIV/0!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 t="e">
            <v>#DIV/0!</v>
          </cell>
          <cell r="CG157">
            <v>0</v>
          </cell>
          <cell r="CH157">
            <v>0</v>
          </cell>
          <cell r="CI157">
            <v>0</v>
          </cell>
        </row>
        <row r="158">
          <cell r="A158" t="str">
            <v>Remuneração</v>
          </cell>
          <cell r="B158" t="e">
            <v>#DIV/0!</v>
          </cell>
          <cell r="C158">
            <v>0</v>
          </cell>
          <cell r="D158">
            <v>2900</v>
          </cell>
          <cell r="E158">
            <v>1.9333333333333334E-2</v>
          </cell>
          <cell r="F158">
            <v>0</v>
          </cell>
          <cell r="G158">
            <v>0</v>
          </cell>
          <cell r="H158">
            <v>2900</v>
          </cell>
          <cell r="I158">
            <v>0</v>
          </cell>
          <cell r="J158">
            <v>-2900</v>
          </cell>
          <cell r="K158">
            <v>2900</v>
          </cell>
          <cell r="L158">
            <v>1.9333333333333334E-2</v>
          </cell>
          <cell r="M158">
            <v>0</v>
          </cell>
          <cell r="N158">
            <v>0</v>
          </cell>
          <cell r="O158">
            <v>5800</v>
          </cell>
          <cell r="P158">
            <v>0</v>
          </cell>
          <cell r="Q158">
            <v>-5800</v>
          </cell>
          <cell r="R158">
            <v>2900</v>
          </cell>
          <cell r="S158">
            <v>1.9333333333333334E-2</v>
          </cell>
          <cell r="T158">
            <v>0</v>
          </cell>
          <cell r="U158">
            <v>0</v>
          </cell>
          <cell r="V158">
            <v>8700</v>
          </cell>
          <cell r="W158">
            <v>0</v>
          </cell>
          <cell r="X158">
            <v>-8700</v>
          </cell>
          <cell r="Y158">
            <v>2900</v>
          </cell>
          <cell r="Z158">
            <v>1.9333333333333334E-2</v>
          </cell>
          <cell r="AA158">
            <v>0</v>
          </cell>
          <cell r="AB158" t="e">
            <v>#DIV/0!</v>
          </cell>
          <cell r="AC158">
            <v>11600</v>
          </cell>
          <cell r="AD158">
            <v>0</v>
          </cell>
          <cell r="AE158">
            <v>-11600</v>
          </cell>
          <cell r="AF158">
            <v>2900</v>
          </cell>
          <cell r="AG158">
            <v>1.9333333333333334E-2</v>
          </cell>
          <cell r="AH158">
            <v>0</v>
          </cell>
          <cell r="AI158" t="e">
            <v>#DIV/0!</v>
          </cell>
          <cell r="AJ158">
            <v>14500</v>
          </cell>
          <cell r="AK158">
            <v>0</v>
          </cell>
          <cell r="AL158">
            <v>-14500</v>
          </cell>
          <cell r="AM158">
            <v>2900</v>
          </cell>
          <cell r="AN158">
            <v>1.9333333333333334E-2</v>
          </cell>
          <cell r="AO158">
            <v>0</v>
          </cell>
          <cell r="AP158" t="e">
            <v>#DIV/0!</v>
          </cell>
          <cell r="AQ158">
            <v>17400</v>
          </cell>
          <cell r="AR158">
            <v>0</v>
          </cell>
          <cell r="AS158">
            <v>-17400</v>
          </cell>
          <cell r="AT158">
            <v>2900</v>
          </cell>
          <cell r="AU158">
            <v>1.9333333333333334E-2</v>
          </cell>
          <cell r="AV158">
            <v>0</v>
          </cell>
          <cell r="AW158" t="e">
            <v>#DIV/0!</v>
          </cell>
          <cell r="AX158">
            <v>20300</v>
          </cell>
          <cell r="AY158">
            <v>0</v>
          </cell>
          <cell r="AZ158">
            <v>-20300</v>
          </cell>
          <cell r="BA158">
            <v>2900</v>
          </cell>
          <cell r="BB158">
            <v>1.9333333333333334E-2</v>
          </cell>
          <cell r="BC158">
            <v>0</v>
          </cell>
          <cell r="BD158" t="e">
            <v>#DIV/0!</v>
          </cell>
          <cell r="BE158">
            <v>23200</v>
          </cell>
          <cell r="BF158">
            <v>0</v>
          </cell>
          <cell r="BG158">
            <v>-23200</v>
          </cell>
          <cell r="BH158">
            <v>2900</v>
          </cell>
          <cell r="BI158">
            <v>1.9333333333333334E-2</v>
          </cell>
          <cell r="BJ158">
            <v>0</v>
          </cell>
          <cell r="BK158" t="e">
            <v>#DIV/0!</v>
          </cell>
          <cell r="BL158">
            <v>26100</v>
          </cell>
          <cell r="BM158">
            <v>0</v>
          </cell>
          <cell r="BN158">
            <v>-26100</v>
          </cell>
          <cell r="BO158">
            <v>2900</v>
          </cell>
          <cell r="BP158">
            <v>1.9333333333333334E-2</v>
          </cell>
          <cell r="BQ158">
            <v>0</v>
          </cell>
          <cell r="BR158" t="e">
            <v>#DIV/0!</v>
          </cell>
          <cell r="BS158">
            <v>29000</v>
          </cell>
          <cell r="BT158">
            <v>0</v>
          </cell>
          <cell r="BU158">
            <v>-29000</v>
          </cell>
          <cell r="BV158">
            <v>2900</v>
          </cell>
          <cell r="BW158">
            <v>1.9333333333333334E-2</v>
          </cell>
          <cell r="BX158">
            <v>0</v>
          </cell>
          <cell r="BY158" t="e">
            <v>#DIV/0!</v>
          </cell>
          <cell r="BZ158">
            <v>31900</v>
          </cell>
          <cell r="CA158">
            <v>0</v>
          </cell>
          <cell r="CB158">
            <v>-31900</v>
          </cell>
          <cell r="CC158">
            <v>2900</v>
          </cell>
          <cell r="CD158">
            <v>1.9333333333333334E-2</v>
          </cell>
          <cell r="CE158">
            <v>0</v>
          </cell>
          <cell r="CF158" t="e">
            <v>#DIV/0!</v>
          </cell>
          <cell r="CG158">
            <v>34800</v>
          </cell>
          <cell r="CH158">
            <v>0</v>
          </cell>
          <cell r="CI158">
            <v>-34800</v>
          </cell>
        </row>
        <row r="159">
          <cell r="A159" t="str">
            <v>Pesquisas/Consultas</v>
          </cell>
          <cell r="B159" t="e">
            <v>#DIV/0!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e">
            <v>#DIV/0!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 t="e">
            <v>#DIV/0!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 t="e">
            <v>#DIV/0!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 t="e">
            <v>#DIV/0!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 t="e">
            <v>#DIV/0!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 t="e">
            <v>#DIV/0!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 t="e">
            <v>#DIV/0!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 t="e">
            <v>#DIV/0!</v>
          </cell>
          <cell r="CG159">
            <v>0</v>
          </cell>
          <cell r="CH159">
            <v>0</v>
          </cell>
          <cell r="CI159">
            <v>0</v>
          </cell>
        </row>
        <row r="160">
          <cell r="A160" t="str">
            <v>Seguro de Vida</v>
          </cell>
          <cell r="B160" t="e">
            <v>#DIV/0!</v>
          </cell>
          <cell r="C160">
            <v>0</v>
          </cell>
          <cell r="D160">
            <v>12.14</v>
          </cell>
          <cell r="E160">
            <v>8.093333333333334E-5</v>
          </cell>
          <cell r="F160">
            <v>0</v>
          </cell>
          <cell r="G160">
            <v>0</v>
          </cell>
          <cell r="H160">
            <v>12.14</v>
          </cell>
          <cell r="I160">
            <v>0</v>
          </cell>
          <cell r="J160">
            <v>-12.14</v>
          </cell>
          <cell r="K160">
            <v>12.14</v>
          </cell>
          <cell r="L160">
            <v>8.093333333333334E-5</v>
          </cell>
          <cell r="M160">
            <v>0</v>
          </cell>
          <cell r="N160">
            <v>0</v>
          </cell>
          <cell r="O160">
            <v>24.28</v>
          </cell>
          <cell r="P160">
            <v>0</v>
          </cell>
          <cell r="Q160">
            <v>-24.28</v>
          </cell>
          <cell r="R160">
            <v>12.14</v>
          </cell>
          <cell r="S160">
            <v>8.093333333333334E-5</v>
          </cell>
          <cell r="T160">
            <v>0</v>
          </cell>
          <cell r="U160">
            <v>0</v>
          </cell>
          <cell r="V160">
            <v>36.42</v>
          </cell>
          <cell r="W160">
            <v>0</v>
          </cell>
          <cell r="X160">
            <v>-36.42</v>
          </cell>
          <cell r="Y160">
            <v>12.14</v>
          </cell>
          <cell r="Z160">
            <v>8.093333333333334E-5</v>
          </cell>
          <cell r="AA160">
            <v>0</v>
          </cell>
          <cell r="AB160" t="e">
            <v>#DIV/0!</v>
          </cell>
          <cell r="AC160">
            <v>48.56</v>
          </cell>
          <cell r="AD160">
            <v>0</v>
          </cell>
          <cell r="AE160">
            <v>-48.56</v>
          </cell>
          <cell r="AF160">
            <v>12.14</v>
          </cell>
          <cell r="AG160">
            <v>8.093333333333334E-5</v>
          </cell>
          <cell r="AH160">
            <v>0</v>
          </cell>
          <cell r="AI160" t="e">
            <v>#DIV/0!</v>
          </cell>
          <cell r="AJ160">
            <v>60.7</v>
          </cell>
          <cell r="AK160">
            <v>0</v>
          </cell>
          <cell r="AL160">
            <v>-60.7</v>
          </cell>
          <cell r="AM160">
            <v>12.14</v>
          </cell>
          <cell r="AN160">
            <v>8.093333333333334E-5</v>
          </cell>
          <cell r="AO160">
            <v>0</v>
          </cell>
          <cell r="AP160" t="e">
            <v>#DIV/0!</v>
          </cell>
          <cell r="AQ160">
            <v>72.84</v>
          </cell>
          <cell r="AR160">
            <v>0</v>
          </cell>
          <cell r="AS160">
            <v>-72.84</v>
          </cell>
          <cell r="AT160">
            <v>12.14</v>
          </cell>
          <cell r="AU160">
            <v>8.093333333333334E-5</v>
          </cell>
          <cell r="AV160">
            <v>0</v>
          </cell>
          <cell r="AW160" t="e">
            <v>#DIV/0!</v>
          </cell>
          <cell r="AX160">
            <v>84.98</v>
          </cell>
          <cell r="AY160">
            <v>0</v>
          </cell>
          <cell r="AZ160">
            <v>-84.98</v>
          </cell>
          <cell r="BA160">
            <v>12.14</v>
          </cell>
          <cell r="BB160">
            <v>8.093333333333334E-5</v>
          </cell>
          <cell r="BC160">
            <v>0</v>
          </cell>
          <cell r="BD160" t="e">
            <v>#DIV/0!</v>
          </cell>
          <cell r="BE160">
            <v>97.12</v>
          </cell>
          <cell r="BF160">
            <v>0</v>
          </cell>
          <cell r="BG160">
            <v>-97.12</v>
          </cell>
          <cell r="BH160">
            <v>12.14</v>
          </cell>
          <cell r="BI160">
            <v>8.093333333333334E-5</v>
          </cell>
          <cell r="BJ160">
            <v>0</v>
          </cell>
          <cell r="BK160" t="e">
            <v>#DIV/0!</v>
          </cell>
          <cell r="BL160">
            <v>109.26</v>
          </cell>
          <cell r="BM160">
            <v>0</v>
          </cell>
          <cell r="BN160">
            <v>-109.26</v>
          </cell>
          <cell r="BO160">
            <v>12.14</v>
          </cell>
          <cell r="BP160">
            <v>8.093333333333334E-5</v>
          </cell>
          <cell r="BQ160">
            <v>0</v>
          </cell>
          <cell r="BR160" t="e">
            <v>#DIV/0!</v>
          </cell>
          <cell r="BS160">
            <v>121.4</v>
          </cell>
          <cell r="BT160">
            <v>0</v>
          </cell>
          <cell r="BU160">
            <v>-121.4</v>
          </cell>
          <cell r="BV160">
            <v>12.14</v>
          </cell>
          <cell r="BW160">
            <v>8.093333333333334E-5</v>
          </cell>
          <cell r="BX160">
            <v>0</v>
          </cell>
          <cell r="BY160" t="e">
            <v>#DIV/0!</v>
          </cell>
          <cell r="BZ160">
            <v>133.54000000000002</v>
          </cell>
          <cell r="CA160">
            <v>0</v>
          </cell>
          <cell r="CB160">
            <v>-133.54000000000002</v>
          </cell>
          <cell r="CC160">
            <v>12.14</v>
          </cell>
          <cell r="CD160">
            <v>8.093333333333334E-5</v>
          </cell>
          <cell r="CE160">
            <v>0</v>
          </cell>
          <cell r="CF160" t="e">
            <v>#DIV/0!</v>
          </cell>
          <cell r="CG160">
            <v>145.68</v>
          </cell>
          <cell r="CH160">
            <v>0</v>
          </cell>
          <cell r="CI160">
            <v>-145.68</v>
          </cell>
        </row>
        <row r="161">
          <cell r="A161" t="str">
            <v>Indenização por Ruptura de Contrato</v>
          </cell>
          <cell r="B161" t="e">
            <v>#DIV/0!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 t="e">
            <v>#DIV/0!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e">
            <v>#DIV/0!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 t="e">
            <v>#DIV/0!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 t="e">
            <v>#DIV/0!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 t="e">
            <v>#DIV/0!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 t="e">
            <v>#DIV/0!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 t="e">
            <v>#DIV/0!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 t="e">
            <v>#DIV/0!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 t="e">
            <v>#DIV/0!</v>
          </cell>
          <cell r="CG161">
            <v>0</v>
          </cell>
          <cell r="CH161">
            <v>0</v>
          </cell>
          <cell r="CI161">
            <v>0</v>
          </cell>
        </row>
        <row r="162">
          <cell r="A162" t="str">
            <v>Vale Alimentação / Refeição</v>
          </cell>
          <cell r="B162" t="e">
            <v>#DIV/0!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e">
            <v>#DIV/0!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 t="e">
            <v>#DIV/0!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 t="e">
            <v>#DIV/0!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 t="e">
            <v>#DIV/0!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 t="e">
            <v>#DIV/0!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 t="e">
            <v>#DIV/0!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 t="e">
            <v>#DIV/0!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 t="e">
            <v>#DIV/0!</v>
          </cell>
          <cell r="CG162">
            <v>0</v>
          </cell>
          <cell r="CH162">
            <v>0</v>
          </cell>
          <cell r="CI162">
            <v>0</v>
          </cell>
        </row>
        <row r="163">
          <cell r="A163" t="str">
            <v>Vale Transporte</v>
          </cell>
          <cell r="B163" t="e">
            <v>#DIV/0!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e">
            <v>#DIV/0!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e">
            <v>#DIV/0!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 t="e">
            <v>#DIV/0!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 t="e">
            <v>#DIV/0!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 t="e">
            <v>#DIV/0!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 t="e">
            <v>#DIV/0!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 t="e">
            <v>#DIV/0!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 t="e">
            <v>#DIV/0!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 t="e">
            <v>#DIV/0!</v>
          </cell>
          <cell r="CG163">
            <v>0</v>
          </cell>
          <cell r="CH163">
            <v>0</v>
          </cell>
          <cell r="CI163">
            <v>0</v>
          </cell>
        </row>
        <row r="164">
          <cell r="A164" t="str">
            <v>Viagens - Alimentação / Hospedagem</v>
          </cell>
          <cell r="B164" t="e">
            <v>#DIV/0!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 t="e">
            <v>#DIV/0!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e">
            <v>#DIV/0!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 t="e">
            <v>#DIV/0!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 t="e">
            <v>#DIV/0!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 t="e">
            <v>#DIV/0!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 t="e">
            <v>#DIV/0!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 t="e">
            <v>#DIV/0!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 t="e">
            <v>#DIV/0!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 t="e">
            <v>#DIV/0!</v>
          </cell>
          <cell r="CG164">
            <v>0</v>
          </cell>
          <cell r="CH164">
            <v>0</v>
          </cell>
          <cell r="CI164">
            <v>0</v>
          </cell>
        </row>
        <row r="165">
          <cell r="A165" t="str">
            <v>Viagens - Passagens / Traslados</v>
          </cell>
          <cell r="B165" t="e">
            <v>#DIV/0!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e">
            <v>#DIV/0!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 t="e">
            <v>#DIV/0!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 t="e">
            <v>#DIV/0!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 t="e">
            <v>#DIV/0!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 t="e">
            <v>#DIV/0!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e">
            <v>#DIV/0!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 t="e">
            <v>#DIV/0!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 t="e">
            <v>#DIV/0!</v>
          </cell>
          <cell r="CG165">
            <v>0</v>
          </cell>
          <cell r="CH165">
            <v>0</v>
          </cell>
          <cell r="CI165">
            <v>0</v>
          </cell>
        </row>
        <row r="176">
          <cell r="F176">
            <v>24750.632891999998</v>
          </cell>
          <cell r="M176">
            <v>21875.414886000002</v>
          </cell>
          <cell r="T176">
            <v>42960.220377166093</v>
          </cell>
          <cell r="AA176">
            <v>0</v>
          </cell>
          <cell r="AH176">
            <v>0</v>
          </cell>
          <cell r="AO176">
            <v>0</v>
          </cell>
          <cell r="AV176">
            <v>0</v>
          </cell>
          <cell r="BC176">
            <v>0</v>
          </cell>
          <cell r="BJ176">
            <v>0</v>
          </cell>
          <cell r="BQ176">
            <v>0</v>
          </cell>
          <cell r="BX176">
            <v>0</v>
          </cell>
          <cell r="CE176">
            <v>0</v>
          </cell>
        </row>
        <row r="184">
          <cell r="F184">
            <v>71840.780761726797</v>
          </cell>
          <cell r="M184">
            <v>77976.35388212082</v>
          </cell>
          <cell r="T184">
            <v>115900.54075565367</v>
          </cell>
          <cell r="AA184">
            <v>0</v>
          </cell>
          <cell r="AH184">
            <v>0</v>
          </cell>
          <cell r="AO184">
            <v>0</v>
          </cell>
          <cell r="AV184">
            <v>0</v>
          </cell>
          <cell r="BC184">
            <v>0</v>
          </cell>
          <cell r="BJ184">
            <v>0</v>
          </cell>
          <cell r="BQ184">
            <v>0</v>
          </cell>
          <cell r="BX184">
            <v>0</v>
          </cell>
          <cell r="CE184">
            <v>0</v>
          </cell>
        </row>
      </sheetData>
      <sheetData sheetId="36"/>
      <sheetData sheetId="37"/>
      <sheetData sheetId="38"/>
      <sheetData sheetId="39">
        <row r="11">
          <cell r="A11" t="str">
            <v>13º (+ Encargos)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 t="e">
            <v>#DIV/0!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 t="e">
            <v>#DIV/0!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 t="e">
            <v>#DIV/0!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 t="e">
            <v>#DIV/0!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 t="e">
            <v>#DIV/0!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 t="e">
            <v>#DIV/0!</v>
          </cell>
          <cell r="CG11">
            <v>0</v>
          </cell>
          <cell r="CH11">
            <v>0</v>
          </cell>
        </row>
        <row r="12">
          <cell r="A12" t="str">
            <v>Acordo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 t="e">
            <v>#DIV/0!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 t="e">
            <v>#DIV/0!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 t="e">
            <v>#DIV/0!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 t="e">
            <v>#DIV/0!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 t="e">
            <v>#DIV/0!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 t="e">
            <v>#DIV/0!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 t="e">
            <v>#DIV/0!</v>
          </cell>
          <cell r="CG12">
            <v>0</v>
          </cell>
          <cell r="CH12">
            <v>0</v>
          </cell>
        </row>
        <row r="13">
          <cell r="A13" t="str">
            <v>Aluguel + IPTU + Condomínio + Energia Elétrica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 t="e">
            <v>#DIV/0!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 t="e">
            <v>#DIV/0!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 t="e">
            <v>#DIV/0!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 t="e">
            <v>#DIV/0!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 t="e">
            <v>#DIV/0!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 t="e">
            <v>#DIV/0!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e">
            <v>#DIV/0!</v>
          </cell>
          <cell r="CG13">
            <v>0</v>
          </cell>
          <cell r="CH13">
            <v>0</v>
          </cell>
        </row>
        <row r="14">
          <cell r="A14" t="str">
            <v>Aperfeiçoamento - Treinamentos / Livros / Revistas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 t="e">
            <v>#DIV/0!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 t="e">
            <v>#DIV/0!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 t="e">
            <v>#DIV/0!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e">
            <v>#DIV/0!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 t="e">
            <v>#DIV/0!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 t="e">
            <v>#DIV/0!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 t="e">
            <v>#DIV/0!</v>
          </cell>
          <cell r="CG14">
            <v>0</v>
          </cell>
          <cell r="CH14">
            <v>0</v>
          </cell>
        </row>
        <row r="15">
          <cell r="A15" t="str">
            <v>OAB / Associações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 t="e">
            <v>#DIV/0!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 t="e">
            <v>#DIV/0!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 t="e">
            <v>#DIV/0!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 t="e">
            <v>#DIV/0!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 t="e">
            <v>#DIV/0!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 t="e">
            <v>#DIV/0!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 t="e">
            <v>#DIV/0!</v>
          </cell>
          <cell r="CG15">
            <v>0</v>
          </cell>
          <cell r="CH15">
            <v>0</v>
          </cell>
        </row>
        <row r="16">
          <cell r="A16" t="str">
            <v>Back Office / Encerramento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 t="e">
            <v>#DIV/0!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 t="e">
            <v>#DIV/0!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 t="e">
            <v>#DIV/0!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e">
            <v>#DIV/0!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 t="e">
            <v>#DIV/0!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 t="e">
            <v>#DIV/0!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 t="e">
            <v>#DIV/0!</v>
          </cell>
          <cell r="CG16">
            <v>0</v>
          </cell>
          <cell r="CH16">
            <v>0</v>
          </cell>
        </row>
        <row r="17">
          <cell r="A17" t="str">
            <v>Bonificações/Premiações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 t="e">
            <v>#DIV/0!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 t="e">
            <v>#DIV/0!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 t="e">
            <v>#DIV/0!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e">
            <v>#DIV/0!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 t="e">
            <v>#DIV/0!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 t="e">
            <v>#DIV/0!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 t="e">
            <v>#DIV/0!</v>
          </cell>
          <cell r="CG17">
            <v>0</v>
          </cell>
          <cell r="CH17">
            <v>0</v>
          </cell>
        </row>
        <row r="18">
          <cell r="A18" t="str">
            <v>Cadastro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 t="e">
            <v>#DIV/0!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 t="e">
            <v>#DIV/0!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 t="e">
            <v>#DIV/0!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e">
            <v>#DIV/0!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 t="e">
            <v>#DIV/0!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 t="e">
            <v>#DIV/0!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 t="e">
            <v>#DIV/0!</v>
          </cell>
          <cell r="CG18">
            <v>0</v>
          </cell>
          <cell r="CH18">
            <v>0</v>
          </cell>
        </row>
        <row r="19">
          <cell r="A19" t="str">
            <v>Cartório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 t="e">
            <v>#DIV/0!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 t="e">
            <v>#DIV/0!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 t="e">
            <v>#DIV/0!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 t="e">
            <v>#DIV/0!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 t="e">
            <v>#DIV/0!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 t="e">
            <v>#DIV/0!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 t="e">
            <v>#DIV/0!</v>
          </cell>
          <cell r="CG19">
            <v>0</v>
          </cell>
          <cell r="CH19">
            <v>0</v>
          </cell>
        </row>
        <row r="20">
          <cell r="A20" t="str">
            <v>Condenação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e">
            <v>#DIV/0!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 t="e">
            <v>#DIV/0!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 t="e">
            <v>#DIV/0!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e">
            <v>#DIV/0!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 t="e">
            <v>#DIV/0!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 t="e">
            <v>#DIV/0!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 t="e">
            <v>#DIV/0!</v>
          </cell>
          <cell r="CG20">
            <v>0</v>
          </cell>
          <cell r="CH20">
            <v>0</v>
          </cell>
        </row>
        <row r="21">
          <cell r="A21" t="str">
            <v>Penalidades/Irregularidades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 t="e">
            <v>#DIV/0!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 t="e">
            <v>#DIV/0!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 t="e">
            <v>#DIV/0!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 t="e">
            <v>#DIV/0!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 t="e">
            <v>#DIV/0!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 t="e">
            <v>#DIV/0!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 t="e">
            <v>#DIV/0!</v>
          </cell>
          <cell r="CG21">
            <v>0</v>
          </cell>
          <cell r="CH21">
            <v>0</v>
          </cell>
        </row>
        <row r="22">
          <cell r="A22" t="str">
            <v>Contribuição Sindical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 t="e">
            <v>#DIV/0!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 t="e">
            <v>#DIV/0!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e">
            <v>#DIV/0!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 t="e">
            <v>#DIV/0!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 t="e">
            <v>#DIV/0!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 t="e">
            <v>#DIV/0!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 t="e">
            <v>#DIV/0!</v>
          </cell>
          <cell r="CG22">
            <v>0</v>
          </cell>
          <cell r="CH22">
            <v>0</v>
          </cell>
        </row>
        <row r="23">
          <cell r="A23" t="str">
            <v>GNA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e">
            <v>#DIV/0!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 t="e">
            <v>#DIV/0!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 t="e">
            <v>#DIV/0!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 t="e">
            <v>#DIV/0!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 t="e">
            <v>#DIV/0!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 t="e">
            <v>#DIV/0!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 t="e">
            <v>#DIV/0!</v>
          </cell>
          <cell r="CG23">
            <v>0</v>
          </cell>
          <cell r="CH23">
            <v>0</v>
          </cell>
        </row>
        <row r="24">
          <cell r="A24" t="str">
            <v>Correios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 t="e">
            <v>#DIV/0!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 t="e">
            <v>#DIV/0!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 t="e">
            <v>#DIV/0!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 t="e">
            <v>#DIV/0!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 t="e">
            <v>#DIV/0!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 t="e">
            <v>#DIV/0!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 t="e">
            <v>#DIV/0!</v>
          </cell>
          <cell r="CG24">
            <v>0</v>
          </cell>
          <cell r="CH24">
            <v>0</v>
          </cell>
        </row>
        <row r="25">
          <cell r="A25" t="str">
            <v xml:space="preserve">Correspondentes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 t="e">
            <v>#DIV/0!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 t="e">
            <v>#DIV/0!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 t="e">
            <v>#DIV/0!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 t="e">
            <v>#DIV/0!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 t="e">
            <v>#DIV/0!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 t="e">
            <v>#DIV/0!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 t="e">
            <v>#DIV/0!</v>
          </cell>
          <cell r="CG25">
            <v>0</v>
          </cell>
          <cell r="CH25">
            <v>0</v>
          </cell>
        </row>
        <row r="26">
          <cell r="A26" t="str">
            <v>Custas/Guias/Despesas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e">
            <v>#DIV/0!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 t="e">
            <v>#DIV/0!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 t="e">
            <v>#DIV/0!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e">
            <v>#DIV/0!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 t="e">
            <v>#DIV/0!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 t="e">
            <v>#DIV/0!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 t="e">
            <v>#DIV/0!</v>
          </cell>
          <cell r="CG26">
            <v>0</v>
          </cell>
          <cell r="CH26">
            <v>0</v>
          </cell>
        </row>
        <row r="27">
          <cell r="A27" t="str">
            <v>Deslocamento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 t="e">
            <v>#DIV/0!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 t="e">
            <v>#DIV/0!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 t="e">
            <v>#DIV/0!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 t="e">
            <v>#DIV/0!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 t="e">
            <v>#DIV/0!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 t="e">
            <v>#DIV/0!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 t="e">
            <v>#DIV/0!</v>
          </cell>
          <cell r="CG27">
            <v>0</v>
          </cell>
          <cell r="CH27">
            <v>0</v>
          </cell>
        </row>
        <row r="28">
          <cell r="A28" t="str">
            <v>Digitação / Atual. Sistemas / Lanç. Planilhas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 t="e">
            <v>#DIV/0!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 t="e">
            <v>#DIV/0!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 t="e">
            <v>#DIV/0!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e">
            <v>#DIV/0!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 t="e">
            <v>#DIV/0!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 t="e">
            <v>#DIV/0!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 t="e">
            <v>#DIV/0!</v>
          </cell>
          <cell r="CG28">
            <v>0</v>
          </cell>
          <cell r="CH28">
            <v>0</v>
          </cell>
        </row>
        <row r="29">
          <cell r="A29" t="str">
            <v>Diligências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e">
            <v>#DIV/0!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 t="e">
            <v>#DIV/0!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 t="e">
            <v>#DIV/0!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 t="e">
            <v>#DIV/0!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 t="e">
            <v>#DIV/0!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 t="e">
            <v>#DIV/0!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 t="e">
            <v>#DIV/0!</v>
          </cell>
          <cell r="CG29">
            <v>0</v>
          </cell>
          <cell r="CH29">
            <v>0</v>
          </cell>
        </row>
        <row r="30">
          <cell r="A30" t="str">
            <v>Encargos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e">
            <v>#DIV/0!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 t="e">
            <v>#DIV/0!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 t="e">
            <v>#DIV/0!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 t="e">
            <v>#DIV/0!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 t="e">
            <v>#DIV/0!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 t="e">
            <v>#DIV/0!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 t="e">
            <v>#DIV/0!</v>
          </cell>
          <cell r="CG30">
            <v>0</v>
          </cell>
          <cell r="CH30">
            <v>0</v>
          </cell>
        </row>
        <row r="31">
          <cell r="A31" t="str">
            <v>Encargos Rescisórios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e">
            <v>#DIV/0!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 t="e">
            <v>#DIV/0!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 t="e">
            <v>#DIV/0!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 t="e">
            <v>#DIV/0!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 t="e">
            <v>#DIV/0!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 t="e">
            <v>#DIV/0!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 t="e">
            <v>#DIV/0!</v>
          </cell>
          <cell r="CG31">
            <v>0</v>
          </cell>
          <cell r="CH31">
            <v>0</v>
          </cell>
        </row>
        <row r="32">
          <cell r="A32" t="str">
            <v>Encerramento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e">
            <v>#DIV/0!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 t="e">
            <v>#DIV/0!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 t="e">
            <v>#DIV/0!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 t="e">
            <v>#DIV/0!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 t="e">
            <v>#DIV/0!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 t="e">
            <v>#DIV/0!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e">
            <v>#DIV/0!</v>
          </cell>
          <cell r="CG32">
            <v>0</v>
          </cell>
          <cell r="CH32">
            <v>0</v>
          </cell>
        </row>
        <row r="33">
          <cell r="A33" t="str">
            <v>Eventos / Representações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e">
            <v>#DIV/0!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 t="e">
            <v>#DIV/0!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 t="e">
            <v>#DIV/0!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 t="e">
            <v>#DIV/0!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 t="e">
            <v>#DIV/0!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 t="e">
            <v>#DIV/0!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 t="e">
            <v>#DIV/0!</v>
          </cell>
          <cell r="CG33">
            <v>0</v>
          </cell>
          <cell r="CH33">
            <v>0</v>
          </cell>
        </row>
        <row r="34">
          <cell r="A34" t="str">
            <v>Férias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e">
            <v>#DIV/0!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 t="e">
            <v>#DIV/0!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 t="e">
            <v>#DIV/0!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 t="e">
            <v>#DIV/0!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 t="e">
            <v>#DIV/0!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 t="e">
            <v>#DIV/0!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 t="e">
            <v>#DIV/0!</v>
          </cell>
          <cell r="CG34">
            <v>0</v>
          </cell>
          <cell r="CH34">
            <v>0</v>
          </cell>
        </row>
        <row r="35">
          <cell r="A35" t="str">
            <v>Parcerias - Unidade Vitória / Unidade Pará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e">
            <v>#DIV/0!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 t="e">
            <v>#DIV/0!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 t="e">
            <v>#DIV/0!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 t="e">
            <v>#DIV/0!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 t="e">
            <v>#DIV/0!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 t="e">
            <v>#DIV/0!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 t="e">
            <v>#DIV/0!</v>
          </cell>
          <cell r="CG35">
            <v>0</v>
          </cell>
          <cell r="CH35">
            <v>0</v>
          </cell>
        </row>
        <row r="36">
          <cell r="A36" t="str">
            <v>Fotocópia/Xerox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e">
            <v>#DIV/0!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 t="e">
            <v>#DIV/0!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 t="e">
            <v>#DIV/0!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 t="e">
            <v>#DIV/0!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 t="e">
            <v>#DIV/0!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 t="e">
            <v>#DIV/0!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 t="e">
            <v>#DIV/0!</v>
          </cell>
          <cell r="CG36">
            <v>0</v>
          </cell>
          <cell r="CH36">
            <v>0</v>
          </cell>
        </row>
        <row r="37">
          <cell r="A37" t="str">
            <v>IR s/ Salário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e">
            <v>#DIV/0!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 t="e">
            <v>#DIV/0!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 t="e">
            <v>#DIV/0!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 t="e">
            <v>#DIV/0!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 t="e">
            <v>#DIV/0!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 t="e">
            <v>#DIV/0!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 t="e">
            <v>#DIV/0!</v>
          </cell>
          <cell r="CG37">
            <v>0</v>
          </cell>
          <cell r="CH37">
            <v>0</v>
          </cell>
        </row>
        <row r="38">
          <cell r="A38" t="str">
            <v>Consultoria de Projetos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 t="e">
            <v>#DIV/0!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 t="e">
            <v>#DIV/0!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 t="e">
            <v>#DIV/0!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 t="e">
            <v>#DIV/0!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 t="e">
            <v>#DIV/0!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 t="e">
            <v>#DIV/0!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 t="e">
            <v>#DIV/0!</v>
          </cell>
          <cell r="CG38">
            <v>0</v>
          </cell>
          <cell r="CH38">
            <v>0</v>
          </cell>
        </row>
        <row r="39">
          <cell r="A39" t="str">
            <v>Pauta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 t="e">
            <v>#DIV/0!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 t="e">
            <v>#DIV/0!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 t="e">
            <v>#DIV/0!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 t="e">
            <v>#DIV/0!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 t="e">
            <v>#DIV/0!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 t="e">
            <v>#DIV/0!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 t="e">
            <v>#DIV/0!</v>
          </cell>
          <cell r="CG39">
            <v>0</v>
          </cell>
          <cell r="CH39">
            <v>0</v>
          </cell>
        </row>
        <row r="40">
          <cell r="A40" t="str">
            <v>Pauta - Gestão de Pauta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e">
            <v>#DIV/0!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 t="e">
            <v>#DIV/0!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 t="e">
            <v>#DIV/0!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 t="e">
            <v>#DIV/0!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 t="e">
            <v>#DIV/0!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 t="e">
            <v>#DIV/0!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 t="e">
            <v>#DIV/0!</v>
          </cell>
          <cell r="CG40">
            <v>0</v>
          </cell>
          <cell r="CH40">
            <v>0</v>
          </cell>
        </row>
        <row r="41">
          <cell r="A41" t="str">
            <v>Seguro de Vida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 t="e">
            <v>#DIV/0!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 t="e">
            <v>#DIV/0!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 t="e">
            <v>#DIV/0!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 t="e">
            <v>#DIV/0!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 t="e">
            <v>#DIV/0!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 t="e">
            <v>#DIV/0!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 t="e">
            <v>#DIV/0!</v>
          </cell>
          <cell r="CG41">
            <v>0</v>
          </cell>
          <cell r="CH41">
            <v>0</v>
          </cell>
        </row>
        <row r="42">
          <cell r="A42" t="str">
            <v>Plano de Saúde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 t="e">
            <v>#DIV/0!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 t="e">
            <v>#DIV/0!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 t="e">
            <v>#DIV/0!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 t="e">
            <v>#DIV/0!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 t="e">
            <v>#DIV/0!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 t="e">
            <v>#DIV/0!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 t="e">
            <v>#DIV/0!</v>
          </cell>
          <cell r="CG42">
            <v>0</v>
          </cell>
          <cell r="CH42">
            <v>0</v>
          </cell>
        </row>
        <row r="43">
          <cell r="A43" t="str">
            <v>Redação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 t="e">
            <v>#DIV/0!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 t="e">
            <v>#DIV/0!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 t="e">
            <v>#DIV/0!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 t="e">
            <v>#DIV/0!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 t="e">
            <v>#DIV/0!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 t="e">
            <v>#DIV/0!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 t="e">
            <v>#DIV/0!</v>
          </cell>
          <cell r="CG43">
            <v>0</v>
          </cell>
          <cell r="CH43">
            <v>0</v>
          </cell>
        </row>
        <row r="44">
          <cell r="A44" t="str">
            <v>Remuneração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 t="e">
            <v>#DIV/0!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 t="e">
            <v>#DIV/0!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 t="e">
            <v>#DIV/0!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 t="e">
            <v>#DIV/0!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 t="e">
            <v>#DIV/0!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 t="e">
            <v>#DIV/0!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 t="e">
            <v>#DIV/0!</v>
          </cell>
          <cell r="CG44">
            <v>0</v>
          </cell>
          <cell r="CH44">
            <v>0</v>
          </cell>
        </row>
        <row r="45">
          <cell r="A45" t="str">
            <v>Pesquisas/Consultas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 t="e">
            <v>#DIV/0!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 t="e">
            <v>#DIV/0!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 t="e">
            <v>#DIV/0!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 t="e">
            <v>#DIV/0!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 t="e">
            <v>#DIV/0!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 t="e">
            <v>#DIV/0!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 t="e">
            <v>#DIV/0!</v>
          </cell>
          <cell r="CG45">
            <v>0</v>
          </cell>
          <cell r="CH45">
            <v>0</v>
          </cell>
        </row>
        <row r="46">
          <cell r="A46" t="str">
            <v>Sistemas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 t="e">
            <v>#DIV/0!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 t="e">
            <v>#DIV/0!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 t="e">
            <v>#DIV/0!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 t="e">
            <v>#DIV/0!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 t="e">
            <v>#DIV/0!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 t="e">
            <v>#DIV/0!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 t="e">
            <v>#DIV/0!</v>
          </cell>
          <cell r="CG46">
            <v>0</v>
          </cell>
          <cell r="CH46">
            <v>0</v>
          </cell>
        </row>
        <row r="47">
          <cell r="A47" t="str">
            <v>Telefonia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 t="e">
            <v>#DIV/0!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 t="e">
            <v>#DIV/0!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 t="e">
            <v>#DIV/0!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 t="e">
            <v>#DIV/0!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 t="e">
            <v>#DIV/0!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 t="e">
            <v>#DIV/0!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 t="e">
            <v>#DIV/0!</v>
          </cell>
          <cell r="CG47">
            <v>0</v>
          </cell>
          <cell r="CH47">
            <v>0</v>
          </cell>
        </row>
        <row r="48">
          <cell r="A48" t="str">
            <v>Vale Alimentação / Refeição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 t="e">
            <v>#DIV/0!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 t="e">
            <v>#DIV/0!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 t="e">
            <v>#DIV/0!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 t="e">
            <v>#DIV/0!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 t="e">
            <v>#DIV/0!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 t="e">
            <v>#DIV/0!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 t="e">
            <v>#DIV/0!</v>
          </cell>
          <cell r="CG48">
            <v>0</v>
          </cell>
          <cell r="CH48">
            <v>0</v>
          </cell>
        </row>
        <row r="49">
          <cell r="A49" t="str">
            <v>Vale Transporte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e">
            <v>#DIV/0!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 t="e">
            <v>#DIV/0!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 t="e">
            <v>#DIV/0!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 t="e">
            <v>#DIV/0!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 t="e">
            <v>#DIV/0!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 t="e">
            <v>#DIV/0!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e">
            <v>#DIV/0!</v>
          </cell>
          <cell r="CG49">
            <v>0</v>
          </cell>
          <cell r="CH49">
            <v>0</v>
          </cell>
        </row>
        <row r="50">
          <cell r="A50" t="str">
            <v>Viagens - Alimentação / Hospedagem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 t="e">
            <v>#DIV/0!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 t="e">
            <v>#DIV/0!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 t="e">
            <v>#DIV/0!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 t="e">
            <v>#DIV/0!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 t="e">
            <v>#DIV/0!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 t="e">
            <v>#DIV/0!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 t="e">
            <v>#DIV/0!</v>
          </cell>
          <cell r="CG50">
            <v>0</v>
          </cell>
          <cell r="CH50">
            <v>0</v>
          </cell>
        </row>
        <row r="51">
          <cell r="A51" t="str">
            <v>Viagens - Passagens / Traslados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 t="e">
            <v>#DIV/0!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 t="e">
            <v>#DIV/0!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 t="e">
            <v>#DIV/0!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 t="e">
            <v>#DIV/0!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 t="e">
            <v>#DIV/0!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 t="e">
            <v>#DIV/0!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 t="e">
            <v>#DIV/0!</v>
          </cell>
          <cell r="CG51">
            <v>0</v>
          </cell>
          <cell r="CH51">
            <v>0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Remuneração"/>
      <sheetName val="Impostos"/>
      <sheetName val="Despesas SIG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B4">
            <v>1114140.0930521374</v>
          </cell>
        </row>
        <row r="6">
          <cell r="B6">
            <v>411197.22588011285</v>
          </cell>
        </row>
        <row r="10">
          <cell r="B10">
            <v>423761.89000000013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 NXT"/>
      <sheetName val="Olé"/>
      <sheetName val="BS2"/>
      <sheetName val="Naturgy"/>
      <sheetName val="UOL"/>
      <sheetName val="Casa &amp;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Outros Clientes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Comparativo Total"/>
      <sheetName val="Comparativo Receita"/>
      <sheetName val="Suporte - Adequação"/>
      <sheetName val="Ocupação"/>
      <sheetName val="gNA"/>
      <sheetName val="Distribuição SIG"/>
      <sheetName val="Despesas %"/>
      <sheetName val="GT-Diretoria"/>
      <sheetName val="Parcelamentos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etas e Resultado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>
        <row r="4">
          <cell r="F4">
            <v>1153290.7769620034</v>
          </cell>
        </row>
        <row r="6">
          <cell r="F6">
            <v>410612.91061179456</v>
          </cell>
          <cell r="G6">
            <v>438065.65939748019</v>
          </cell>
        </row>
        <row r="10">
          <cell r="F10">
            <v>478195.25000000087</v>
          </cell>
          <cell r="G10">
            <v>423247.79000000027</v>
          </cell>
        </row>
      </sheetData>
      <sheetData sheetId="4">
        <row r="315">
          <cell r="G315">
            <v>102180.51000000001</v>
          </cell>
        </row>
        <row r="318">
          <cell r="G318">
            <v>8825.9599999999991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cumbências"/>
      <sheetName val="Carteiras Final"/>
    </sheetNames>
    <sheetDataSet>
      <sheetData sheetId="0">
        <row r="2">
          <cell r="BP2">
            <v>2024</v>
          </cell>
          <cell r="BQ2">
            <v>45658</v>
          </cell>
          <cell r="BR2">
            <v>45689</v>
          </cell>
          <cell r="BS2">
            <v>45717</v>
          </cell>
          <cell r="BT2">
            <v>45748</v>
          </cell>
          <cell r="BU2">
            <v>45778</v>
          </cell>
          <cell r="BV2">
            <v>45809</v>
          </cell>
          <cell r="BW2">
            <v>45839</v>
          </cell>
          <cell r="BX2">
            <v>45870</v>
          </cell>
          <cell r="BY2">
            <v>45901</v>
          </cell>
          <cell r="BZ2">
            <v>45931</v>
          </cell>
          <cell r="CA2">
            <v>45962</v>
          </cell>
        </row>
        <row r="3">
          <cell r="BP3">
            <v>92683.22</v>
          </cell>
          <cell r="BQ3">
            <v>0</v>
          </cell>
          <cell r="BR3">
            <v>4883.41</v>
          </cell>
          <cell r="BS3">
            <v>2342.14</v>
          </cell>
          <cell r="BT3">
            <v>7930.84</v>
          </cell>
          <cell r="BU3">
            <v>4591.29</v>
          </cell>
          <cell r="BV3">
            <v>25422.050000000003</v>
          </cell>
          <cell r="BW3">
            <v>0</v>
          </cell>
          <cell r="BX3">
            <v>18725.22</v>
          </cell>
          <cell r="BY3">
            <v>15150.550000000001</v>
          </cell>
          <cell r="BZ3">
            <v>0</v>
          </cell>
          <cell r="CA3">
            <v>10821.99</v>
          </cell>
        </row>
        <row r="4">
          <cell r="BP4">
            <v>6935.32</v>
          </cell>
          <cell r="BQ4">
            <v>0</v>
          </cell>
          <cell r="BR4">
            <v>3131.69</v>
          </cell>
          <cell r="BS4">
            <v>0</v>
          </cell>
          <cell r="BT4">
            <v>427.95</v>
          </cell>
          <cell r="BU4">
            <v>0</v>
          </cell>
          <cell r="BV4">
            <v>735.8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</row>
        <row r="5">
          <cell r="BP5">
            <v>208040.53999999998</v>
          </cell>
          <cell r="BQ5">
            <v>3738.7799999999997</v>
          </cell>
          <cell r="BR5">
            <v>10486.810000000001</v>
          </cell>
          <cell r="BS5">
            <v>8067.5300000000007</v>
          </cell>
          <cell r="BT5">
            <v>35003.659999999996</v>
          </cell>
          <cell r="BU5">
            <v>6154.28</v>
          </cell>
          <cell r="BV5">
            <v>16040.71</v>
          </cell>
          <cell r="BW5">
            <v>10793.41</v>
          </cell>
          <cell r="BX5">
            <v>4885.8899999999994</v>
          </cell>
          <cell r="BY5">
            <v>17067.84</v>
          </cell>
          <cell r="BZ5">
            <v>14840.68</v>
          </cell>
          <cell r="CA5">
            <v>10886.36</v>
          </cell>
        </row>
        <row r="6"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</row>
        <row r="7">
          <cell r="BP7">
            <v>13738.14</v>
          </cell>
          <cell r="BQ7">
            <v>2008.38</v>
          </cell>
          <cell r="BR7">
            <v>2162.15</v>
          </cell>
          <cell r="BS7">
            <v>4067.37</v>
          </cell>
          <cell r="BT7">
            <v>1727.6000000000001</v>
          </cell>
          <cell r="BU7">
            <v>0</v>
          </cell>
          <cell r="BV7">
            <v>5402.68</v>
          </cell>
          <cell r="BW7">
            <v>4395.04</v>
          </cell>
          <cell r="BX7">
            <v>9324.9700000000012</v>
          </cell>
          <cell r="BY7">
            <v>6374.16</v>
          </cell>
          <cell r="BZ7">
            <v>5794.22</v>
          </cell>
          <cell r="CA7">
            <v>4777.34</v>
          </cell>
        </row>
        <row r="8"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</row>
        <row r="9">
          <cell r="BP9">
            <v>157483.07999999999</v>
          </cell>
          <cell r="BQ9">
            <v>4481.18</v>
          </cell>
          <cell r="BR9">
            <v>3501.53</v>
          </cell>
          <cell r="BS9">
            <v>2700.93</v>
          </cell>
          <cell r="BT9">
            <v>267.26</v>
          </cell>
          <cell r="BU9">
            <v>16919.940000000002</v>
          </cell>
          <cell r="BV9">
            <v>4036.63</v>
          </cell>
          <cell r="BW9">
            <v>20103.25</v>
          </cell>
          <cell r="BX9">
            <v>6563.03</v>
          </cell>
          <cell r="BY9">
            <v>8596.83</v>
          </cell>
          <cell r="BZ9">
            <v>8768.4599999999991</v>
          </cell>
          <cell r="CA9">
            <v>5332.12</v>
          </cell>
        </row>
        <row r="10">
          <cell r="BP10">
            <v>55171.31</v>
          </cell>
          <cell r="BQ10">
            <v>11510.699999999999</v>
          </cell>
          <cell r="BR10">
            <v>2950.94</v>
          </cell>
          <cell r="BS10">
            <v>12193.79</v>
          </cell>
          <cell r="BT10">
            <v>0</v>
          </cell>
          <cell r="BU10">
            <v>0</v>
          </cell>
          <cell r="BV10">
            <v>2877.14</v>
          </cell>
          <cell r="BW10">
            <v>4562.67</v>
          </cell>
          <cell r="BX10">
            <v>3628.98</v>
          </cell>
          <cell r="BY10">
            <v>18179.82</v>
          </cell>
          <cell r="BZ10">
            <v>0</v>
          </cell>
          <cell r="CA10">
            <v>973.27</v>
          </cell>
        </row>
        <row r="11"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</row>
        <row r="12"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</row>
        <row r="13">
          <cell r="BP13">
            <v>74552.63</v>
          </cell>
          <cell r="BQ13">
            <v>11256.48</v>
          </cell>
          <cell r="BR13">
            <v>9714.69</v>
          </cell>
          <cell r="BS13">
            <v>4814.8700000000008</v>
          </cell>
          <cell r="BT13">
            <v>5098.87</v>
          </cell>
          <cell r="BU13">
            <v>15147.56</v>
          </cell>
          <cell r="BV13">
            <v>16390.47</v>
          </cell>
          <cell r="BW13">
            <v>24140.25</v>
          </cell>
          <cell r="BX13">
            <v>9688.1200000000008</v>
          </cell>
          <cell r="BY13">
            <v>2892.6400000000003</v>
          </cell>
          <cell r="BZ13">
            <v>15981.510000000002</v>
          </cell>
          <cell r="CA13">
            <v>7999.35</v>
          </cell>
        </row>
        <row r="14">
          <cell r="BP14">
            <v>1908.9899999999998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1631.06</v>
          </cell>
          <cell r="BX14">
            <v>0</v>
          </cell>
          <cell r="BY14">
            <v>530.91</v>
          </cell>
          <cell r="BZ14">
            <v>14493.08</v>
          </cell>
          <cell r="CA14">
            <v>0</v>
          </cell>
        </row>
        <row r="15">
          <cell r="BP15">
            <v>4207.2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</row>
        <row r="16">
          <cell r="BQ16">
            <v>0</v>
          </cell>
          <cell r="BR16">
            <v>31470.75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850</v>
          </cell>
          <cell r="BY16">
            <v>2867.85</v>
          </cell>
          <cell r="BZ16">
            <v>0</v>
          </cell>
          <cell r="CA16">
            <v>0</v>
          </cell>
        </row>
        <row r="17"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1020.12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</row>
        <row r="18"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2090.98</v>
          </cell>
          <cell r="CA18">
            <v>0</v>
          </cell>
        </row>
        <row r="19"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</row>
        <row r="20"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358.75</v>
          </cell>
          <cell r="BV20">
            <v>0</v>
          </cell>
          <cell r="BW20">
            <v>0</v>
          </cell>
          <cell r="BX20">
            <v>18188.939999999999</v>
          </cell>
          <cell r="BY20">
            <v>0</v>
          </cell>
          <cell r="BZ20">
            <v>3620.98</v>
          </cell>
          <cell r="CA20">
            <v>0</v>
          </cell>
        </row>
        <row r="21">
          <cell r="BQ21">
            <v>886.79</v>
          </cell>
          <cell r="BR21">
            <v>0</v>
          </cell>
          <cell r="BS21">
            <v>201.68</v>
          </cell>
          <cell r="BT21">
            <v>2251.06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</row>
        <row r="22"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</row>
        <row r="23"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</row>
        <row r="24"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</row>
        <row r="25"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</row>
        <row r="26"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</row>
        <row r="27">
          <cell r="BP27">
            <v>2410820.2600000007</v>
          </cell>
          <cell r="BQ27">
            <v>88512.55</v>
          </cell>
          <cell r="BR27">
            <v>117474.6</v>
          </cell>
          <cell r="BS27">
            <v>94846.15</v>
          </cell>
          <cell r="BT27">
            <v>145255.96</v>
          </cell>
          <cell r="BU27">
            <v>100131.81</v>
          </cell>
          <cell r="BV27">
            <v>100413.98</v>
          </cell>
          <cell r="BW27">
            <v>18346.150000000001</v>
          </cell>
          <cell r="BX27">
            <v>257597.97</v>
          </cell>
          <cell r="BY27">
            <v>77487.39</v>
          </cell>
          <cell r="BZ27">
            <v>81289.66</v>
          </cell>
          <cell r="CA27">
            <v>32325.3</v>
          </cell>
        </row>
        <row r="28"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</row>
        <row r="29"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</row>
        <row r="30">
          <cell r="BP30">
            <v>209900.81</v>
          </cell>
          <cell r="BQ30">
            <v>0</v>
          </cell>
          <cell r="BR30">
            <v>0</v>
          </cell>
          <cell r="BS30">
            <v>68430.710000000006</v>
          </cell>
          <cell r="BT30">
            <v>1195.67</v>
          </cell>
          <cell r="BU30">
            <v>22363.91</v>
          </cell>
          <cell r="BV30">
            <v>2626.39</v>
          </cell>
          <cell r="BW30">
            <v>16006.88</v>
          </cell>
          <cell r="BX30">
            <v>28409.399999999998</v>
          </cell>
          <cell r="BY30">
            <v>21048.95</v>
          </cell>
          <cell r="BZ30">
            <v>25397.11</v>
          </cell>
          <cell r="CA30">
            <v>8792.01</v>
          </cell>
        </row>
        <row r="31"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</row>
        <row r="32">
          <cell r="BP32">
            <v>143023.72</v>
          </cell>
          <cell r="BQ32">
            <v>97397.95</v>
          </cell>
          <cell r="BR32">
            <v>15000</v>
          </cell>
          <cell r="BS32">
            <v>32546.6</v>
          </cell>
          <cell r="BT32">
            <v>17554.89</v>
          </cell>
          <cell r="BU32">
            <v>90638.53</v>
          </cell>
          <cell r="BV32">
            <v>20569.560000000001</v>
          </cell>
          <cell r="BW32">
            <v>0</v>
          </cell>
          <cell r="BX32">
            <v>38066.9</v>
          </cell>
          <cell r="BY32">
            <v>54576.57</v>
          </cell>
          <cell r="BZ32">
            <v>3984.59</v>
          </cell>
          <cell r="CA32">
            <v>0</v>
          </cell>
        </row>
        <row r="33"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</row>
        <row r="34"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</row>
        <row r="37">
          <cell r="BP37">
            <v>15719.21</v>
          </cell>
          <cell r="BQ37">
            <v>0</v>
          </cell>
          <cell r="BR37">
            <v>263.25</v>
          </cell>
          <cell r="BS37">
            <v>1679.4299999999998</v>
          </cell>
          <cell r="BT37">
            <v>837.43</v>
          </cell>
          <cell r="BU37">
            <v>5138.37</v>
          </cell>
          <cell r="BV37">
            <v>887.7</v>
          </cell>
          <cell r="BW37">
            <v>8765.35</v>
          </cell>
          <cell r="BX37">
            <v>1983.18</v>
          </cell>
          <cell r="BY37">
            <v>0</v>
          </cell>
          <cell r="BZ37">
            <v>0</v>
          </cell>
          <cell r="CA37">
            <v>0</v>
          </cell>
        </row>
        <row r="38"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</row>
        <row r="39"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</row>
        <row r="40">
          <cell r="BP40">
            <v>350777.71</v>
          </cell>
          <cell r="BQ40">
            <v>147245.48000000001</v>
          </cell>
          <cell r="BR40">
            <v>188332.11</v>
          </cell>
          <cell r="BS40">
            <v>165404.5</v>
          </cell>
          <cell r="BT40">
            <v>104078.85999999999</v>
          </cell>
          <cell r="BU40">
            <v>251468.76</v>
          </cell>
          <cell r="BV40">
            <v>37798.86</v>
          </cell>
          <cell r="BW40">
            <v>4035.2</v>
          </cell>
          <cell r="BX40">
            <v>181497.81</v>
          </cell>
          <cell r="BY40">
            <v>163118.85</v>
          </cell>
          <cell r="BZ40">
            <v>250417.36000000002</v>
          </cell>
          <cell r="CA40">
            <v>165601.45000000001</v>
          </cell>
        </row>
        <row r="41"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</row>
        <row r="42"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</row>
        <row r="44">
          <cell r="BD44">
            <v>45577.950000000004</v>
          </cell>
          <cell r="BE44">
            <v>257734.03999999998</v>
          </cell>
          <cell r="BF44">
            <v>133547.93</v>
          </cell>
          <cell r="BG44">
            <v>39191.42</v>
          </cell>
          <cell r="BH44">
            <v>112128.08</v>
          </cell>
          <cell r="BI44">
            <v>187391.46</v>
          </cell>
          <cell r="BJ44">
            <v>410618.00999999995</v>
          </cell>
          <cell r="BK44">
            <v>303810.37</v>
          </cell>
          <cell r="BL44">
            <v>300715.48</v>
          </cell>
          <cell r="BM44">
            <v>774705.700000001</v>
          </cell>
          <cell r="BN44">
            <v>290176.03999999998</v>
          </cell>
          <cell r="BO44">
            <v>889365.65999999992</v>
          </cell>
          <cell r="CD44">
            <v>430573.42</v>
          </cell>
          <cell r="CE44">
            <v>410980.78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Receita"/>
      <sheetName val="Fat Cálc Impostos"/>
      <sheetName val="Impostos"/>
      <sheetName val="Remuneração"/>
      <sheetName val="Despesas SIG"/>
      <sheetName val="Itaú"/>
      <sheetName val="Bradesco"/>
      <sheetName val="Santander"/>
      <sheetName val="Mercado Livre"/>
      <sheetName val="MadeiraMadeira"/>
      <sheetName val="Claro"/>
      <sheetName val="Vivo"/>
      <sheetName val="BS2"/>
      <sheetName val="Naturgy"/>
      <sheetName val="UOL"/>
      <sheetName val="Daycoval"/>
      <sheetName val="Saneamento"/>
      <sheetName val="Leader"/>
      <sheetName val="Enel"/>
      <sheetName val="MRS"/>
      <sheetName val="XS4"/>
      <sheetName val="Imobiliário"/>
      <sheetName val="Casos Estratégicos"/>
      <sheetName val="Valor Legal"/>
      <sheetName val="Back Office"/>
      <sheetName val="Pauta"/>
      <sheetName val="Adm - Rateio"/>
      <sheetName val="Outros Clientes"/>
      <sheetName val="Aux. Telefonia"/>
      <sheetName val="Aux. Encargos"/>
      <sheetName val="Aux. Acordo"/>
      <sheetName val="Aux. GNA"/>
      <sheetName val="Aux. Back Office"/>
      <sheetName val="Aux. Cadastro"/>
      <sheetName val="Aux. Gestão de Pauta"/>
      <sheetName val="Aux. Pauta"/>
      <sheetName val="Aux. Diligências"/>
      <sheetName val="Comparativo Total"/>
      <sheetName val="Comparativo Receita"/>
      <sheetName val="Comparativo 1"/>
      <sheetName val="Comparativo 2"/>
      <sheetName val="Rodrigo Simão"/>
      <sheetName val="Ocupação"/>
      <sheetName val="gNA"/>
      <sheetName val="Deprec - Planilha"/>
      <sheetName val="Suporte - Adequação"/>
      <sheetName val="Total (2)"/>
      <sheetName val="Distribuição SIG"/>
      <sheetName val="Despesas %"/>
      <sheetName val="GT-Diretoria"/>
      <sheetName val="Parcelamentos"/>
      <sheetName val="Cálculo gNA e Cons Projetos"/>
      <sheetName val="Análise CC Teste"/>
      <sheetName val="Plan1"/>
      <sheetName val="Trabalhista (migrou p ADM)"/>
      <sheetName val="Nova Carteira"/>
      <sheetName val="Cliente Modelo 4"/>
      <sheetName val="Cliente Modelo 6"/>
      <sheetName val="Cliente Modelo 7"/>
      <sheetName val="Unidade Vitória"/>
      <sheetName val="Unidade Belém"/>
      <sheetName val="Despesas Plan. Auxiliares"/>
      <sheetName val="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4">
          <cell r="BQ54">
            <v>45894.978636898057</v>
          </cell>
          <cell r="BX54">
            <v>6215.8881714684394</v>
          </cell>
          <cell r="CE54">
            <v>5292.2576710385429</v>
          </cell>
        </row>
        <row r="61">
          <cell r="BQ61">
            <v>0</v>
          </cell>
          <cell r="BX61">
            <v>0</v>
          </cell>
          <cell r="CE61">
            <v>86505.020816354663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um Orç 2021 x Real 2020"/>
      <sheetName val="Total"/>
      <sheetName val="KPI AN"/>
      <sheetName val="Resumo"/>
      <sheetName val="Itaú"/>
      <sheetName val="Bradesco"/>
      <sheetName val="Santander"/>
      <sheetName val="Mercado Livre"/>
      <sheetName val="BV"/>
      <sheetName val="MadeiraMadeira"/>
      <sheetName val="Claro NXT"/>
      <sheetName val="Olé"/>
      <sheetName val="BS2"/>
      <sheetName val="Naturgy"/>
      <sheetName val="UOL"/>
      <sheetName val="Casa e Video"/>
      <sheetName val="Daycoval"/>
      <sheetName val="BRK"/>
      <sheetName val="Leader"/>
      <sheetName val="ENEL"/>
      <sheetName val="Célula Especial"/>
      <sheetName val="Casos Estratégicos"/>
      <sheetName val="Back Office"/>
      <sheetName val="Pauta"/>
      <sheetName val="Adm - Rateio"/>
      <sheetName val="Despesas SIG"/>
      <sheetName val="Fat Cálc Impostos"/>
      <sheetName val="Impostos"/>
      <sheetName val="Remuneração"/>
      <sheetName val="13º Salário"/>
      <sheetName val="Receita"/>
      <sheetName val="Aux. Telefonia"/>
      <sheetName val="Aux. Encargos"/>
      <sheetName val="Aux. Back Office"/>
      <sheetName val="Aux. Cadastro"/>
      <sheetName val="Aux. Gestão de Pauta"/>
      <sheetName val="Aux. Pauta"/>
      <sheetName val="Aux. Diligências RJ"/>
      <sheetName val="Americanas"/>
      <sheetName val="Metas e Resultados"/>
      <sheetName val="Distribuição SIG"/>
      <sheetName val="Despesas %"/>
      <sheetName val="Suporte - Adequação"/>
      <sheetName val="GT-Diretoria"/>
      <sheetName val="Parcelamentos"/>
      <sheetName val="Ocupação"/>
      <sheetName val="Deprec - Cálculo"/>
      <sheetName val="Deprec - Planilha"/>
      <sheetName val="Deprec p Mês"/>
      <sheetName val="Cálculo gNA e Cons Projetos"/>
      <sheetName val="Análise CC Teste"/>
      <sheetName val="Plan1"/>
      <sheetName val="Trabalhista (migrou p ADM)"/>
      <sheetName val="Cliente Modelo 3"/>
      <sheetName val="Cliente Modelo 4"/>
      <sheetName val="Cliente Modelo 5"/>
      <sheetName val="Cliente Modelo 6"/>
      <sheetName val="Cliente Modelo 7"/>
      <sheetName val="Unidade Vitória"/>
      <sheetName val="Unidade Belém"/>
      <sheetName val="Despesas Plan. Auxiliares"/>
      <sheetName val="Miguel 1 (NOVA)"/>
      <sheetName val="PowerPoint 1"/>
      <sheetName val="PowerPoint 2"/>
      <sheetName val="Miguel 1"/>
      <sheetName val="Miguel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70">
          <cell r="I270">
            <v>319539.54545615235</v>
          </cell>
        </row>
      </sheetData>
      <sheetData sheetId="25"/>
      <sheetData sheetId="26"/>
      <sheetData sheetId="27"/>
      <sheetData sheetId="28"/>
      <sheetData sheetId="29"/>
      <sheetData sheetId="30">
        <row r="23">
          <cell r="L23">
            <v>0</v>
          </cell>
        </row>
        <row r="315">
          <cell r="J315">
            <v>39196.989999999991</v>
          </cell>
          <cell r="K315">
            <v>33020.94</v>
          </cell>
        </row>
        <row r="318">
          <cell r="J318">
            <v>5978.42</v>
          </cell>
          <cell r="K318">
            <v>6829.64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O CAIXA"/>
      <sheetName val="OBS ENTRADA"/>
      <sheetName val="OBS"/>
      <sheetName val="OBS Saldo BB"/>
      <sheetName val="OBS Saldo Haver Custas"/>
      <sheetName val="Linha Perigo"/>
      <sheetName val="Fluxo de Caixa 2025"/>
    </sheetNames>
    <sheetDataSet>
      <sheetData sheetId="0">
        <row r="6">
          <cell r="TC6">
            <v>2950365.4299999988</v>
          </cell>
          <cell r="TU6">
            <v>2229619.5699999994</v>
          </cell>
          <cell r="UR6">
            <v>1388648.28</v>
          </cell>
          <cell r="VJ6">
            <v>2275974.4100000006</v>
          </cell>
          <cell r="WF6">
            <v>2686195.6500000008</v>
          </cell>
          <cell r="XA6">
            <v>2200371.2799999989</v>
          </cell>
          <cell r="XV6">
            <v>2219483.4099999992</v>
          </cell>
          <cell r="YS6">
            <v>2969217.99</v>
          </cell>
          <cell r="ZM6">
            <v>2643189.7600000016</v>
          </cell>
          <cell r="AAH6">
            <v>4159359.5899999989</v>
          </cell>
          <cell r="ABA6">
            <v>4224591.8899999987</v>
          </cell>
          <cell r="ABU6">
            <v>4377668.6399999987</v>
          </cell>
          <cell r="ACQ6">
            <v>5082042.0500000017</v>
          </cell>
          <cell r="ADJ6">
            <v>2468403.7200000007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so a Passo"/>
      <sheetName val="Evolução Anos"/>
      <sheetName val="Evolução Anos Contratuais"/>
      <sheetName val="Sucumbências"/>
      <sheetName val="Evolução Margens"/>
      <sheetName val="Discrepância"/>
      <sheetName val="Top 5"/>
      <sheetName val="Top 5 ML"/>
      <sheetName val="Discrepância sem sucumbências"/>
      <sheetName val="Histórico Gondim"/>
      <sheetName val="Discrepância Estimativa Sucumb"/>
      <sheetName val="Discrepância Estimativa"/>
      <sheetName val="Discrepância Análise"/>
      <sheetName val="AUX OMIE"/>
      <sheetName val="Gráficos 24 x 25"/>
      <sheetName val="Gráficos 24x25 OBS 1"/>
      <sheetName val="Discrepância 2025 backup formul"/>
      <sheetName val="Gráficos 24x25 OBS 2"/>
      <sheetName val="Top 5 ML (2)"/>
      <sheetName val="Discrepância Painel Custos"/>
      <sheetName val="Receita Separada"/>
      <sheetName val="3 maiores"/>
      <sheetName val="3 maiores old"/>
      <sheetName val="Histórico Sucumbências"/>
      <sheetName val="Histórico Gondim Simul"/>
      <sheetName val="Faturamento Itaú Enel"/>
      <sheetName val="Discrepância Estimativ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io X Gráficos"/>
      <sheetName val="Honorários"/>
      <sheetName val="Raio X Gráficos Resumo"/>
      <sheetName val="DAL"/>
      <sheetName val="Raio X Pessoas"/>
      <sheetName val="Evolução Funções"/>
      <sheetName val="Projeção Premissas"/>
      <sheetName val="Projeção Premissas 2"/>
      <sheetName val="Raio X Evolução"/>
      <sheetName val="2023 Premissas"/>
      <sheetName val="2023 Premissas dez orç"/>
      <sheetName val="Premissas Apoio"/>
      <sheetName val="Análise"/>
      <sheetName val="IPCA"/>
      <sheetName val="Variação Anos"/>
      <sheetName val="Proj Premissas Custos"/>
      <sheetName val="Proj Premissas Resultado"/>
      <sheetName val="Proj Premissas 5%"/>
      <sheetName val="Orçado x realizado"/>
      <sheetName val="Orç x real apoio"/>
      <sheetName val="Cenários"/>
      <sheetName val="Raio X GAN GAA GAT"/>
      <sheetName val="Orçamento 2022"/>
      <sheetName val="Orçamento 2022 novo"/>
      <sheetName val="Orç x real apoio (2)"/>
      <sheetName val="Resultado 2021"/>
      <sheetName val="Resultado 2022"/>
      <sheetName val="Resultado 2023"/>
      <sheetName val="Orçamento 2022 antes EAT"/>
      <sheetName val="Raio X DAL"/>
      <sheetName val="Raio X PPR"/>
      <sheetName val="Raio X DAL (2)"/>
      <sheetName val="Raio X Gráficos (2)"/>
      <sheetName val="OBS"/>
      <sheetName val="Orçamento 202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D2">
            <v>43830796.599904001</v>
          </cell>
          <cell r="E2">
            <v>52060791.124377199</v>
          </cell>
          <cell r="F2">
            <v>54427190.720939793</v>
          </cell>
          <cell r="G2">
            <v>56793590.317502394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M INTERCOMPANY" connectionId="1" xr16:uid="{0A566DCA-0875-4D92-8096-E1F0AA99D3B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C617-33B0-4860-B68C-F480147CA5D6}">
  <sheetPr>
    <tabColor rgb="FF0070C0"/>
  </sheetPr>
  <dimension ref="A1:G42"/>
  <sheetViews>
    <sheetView workbookViewId="0">
      <selection activeCell="A6" sqref="A6"/>
    </sheetView>
  </sheetViews>
  <sheetFormatPr defaultRowHeight="12.75" x14ac:dyDescent="0.2"/>
  <cols>
    <col min="1" max="1" width="82.7109375" bestFit="1" customWidth="1"/>
    <col min="3" max="3" width="26.42578125" bestFit="1" customWidth="1"/>
    <col min="5" max="5" width="60" bestFit="1" customWidth="1"/>
    <col min="7" max="7" width="22.28515625" bestFit="1" customWidth="1"/>
  </cols>
  <sheetData>
    <row r="1" spans="1:7" ht="15" x14ac:dyDescent="0.25">
      <c r="A1" s="454" t="s">
        <v>605</v>
      </c>
      <c r="C1" s="455" t="s">
        <v>579</v>
      </c>
      <c r="E1" s="457" t="s">
        <v>583</v>
      </c>
      <c r="G1" s="456" t="s">
        <v>586</v>
      </c>
    </row>
    <row r="2" spans="1:7" x14ac:dyDescent="0.2">
      <c r="A2" s="2" t="s">
        <v>581</v>
      </c>
      <c r="C2" t="s">
        <v>577</v>
      </c>
      <c r="E2" s="2" t="s">
        <v>594</v>
      </c>
      <c r="G2" t="s">
        <v>578</v>
      </c>
    </row>
    <row r="5" spans="1:7" ht="15" x14ac:dyDescent="0.25">
      <c r="A5" s="454" t="s">
        <v>580</v>
      </c>
      <c r="C5" s="455" t="s">
        <v>440</v>
      </c>
      <c r="E5" s="457" t="s">
        <v>593</v>
      </c>
      <c r="G5" s="456" t="s">
        <v>587</v>
      </c>
    </row>
    <row r="6" spans="1:7" x14ac:dyDescent="0.2">
      <c r="A6" s="2" t="s">
        <v>581</v>
      </c>
      <c r="C6" t="s">
        <v>577</v>
      </c>
      <c r="E6" s="2" t="s">
        <v>594</v>
      </c>
      <c r="G6" t="s">
        <v>578</v>
      </c>
    </row>
    <row r="9" spans="1:7" ht="15" x14ac:dyDescent="0.25">
      <c r="A9" s="454" t="s">
        <v>582</v>
      </c>
      <c r="C9" s="455" t="s">
        <v>21</v>
      </c>
      <c r="E9" s="457" t="s">
        <v>17</v>
      </c>
    </row>
    <row r="10" spans="1:7" ht="15" x14ac:dyDescent="0.25">
      <c r="A10" s="458" t="s">
        <v>596</v>
      </c>
      <c r="C10" t="s">
        <v>577</v>
      </c>
      <c r="E10" s="2" t="s">
        <v>594</v>
      </c>
    </row>
    <row r="11" spans="1:7" ht="15" x14ac:dyDescent="0.25">
      <c r="A11" s="458" t="s">
        <v>597</v>
      </c>
    </row>
    <row r="12" spans="1:7" ht="15" x14ac:dyDescent="0.25">
      <c r="A12" s="458" t="s">
        <v>598</v>
      </c>
    </row>
    <row r="13" spans="1:7" ht="15" x14ac:dyDescent="0.25">
      <c r="C13" s="455" t="s">
        <v>453</v>
      </c>
      <c r="E13" s="457" t="s">
        <v>595</v>
      </c>
    </row>
    <row r="14" spans="1:7" ht="15" x14ac:dyDescent="0.25">
      <c r="A14" s="458" t="s">
        <v>599</v>
      </c>
      <c r="C14" t="s">
        <v>577</v>
      </c>
      <c r="E14" s="2" t="s">
        <v>594</v>
      </c>
    </row>
    <row r="15" spans="1:7" ht="15" x14ac:dyDescent="0.25">
      <c r="A15" s="458" t="s">
        <v>600</v>
      </c>
    </row>
    <row r="17" spans="1:5" ht="15" x14ac:dyDescent="0.25">
      <c r="A17" s="458" t="s">
        <v>601</v>
      </c>
      <c r="C17" s="455" t="s">
        <v>606</v>
      </c>
      <c r="E17" s="457" t="s">
        <v>584</v>
      </c>
    </row>
    <row r="18" spans="1:5" ht="15" x14ac:dyDescent="0.25">
      <c r="A18" s="458" t="s">
        <v>602</v>
      </c>
      <c r="C18" s="2" t="s">
        <v>607</v>
      </c>
      <c r="E18" t="s">
        <v>604</v>
      </c>
    </row>
    <row r="21" spans="1:5" ht="15" x14ac:dyDescent="0.25">
      <c r="C21" s="455" t="s">
        <v>588</v>
      </c>
      <c r="E21" s="457" t="s">
        <v>585</v>
      </c>
    </row>
    <row r="22" spans="1:5" x14ac:dyDescent="0.2">
      <c r="A22" s="2"/>
      <c r="C22" s="2" t="s">
        <v>577</v>
      </c>
      <c r="E22" t="s">
        <v>604</v>
      </c>
    </row>
    <row r="25" spans="1:5" ht="15" x14ac:dyDescent="0.25">
      <c r="A25" s="2"/>
      <c r="C25" s="455" t="s">
        <v>589</v>
      </c>
    </row>
    <row r="26" spans="1:5" x14ac:dyDescent="0.2">
      <c r="C26" s="2" t="s">
        <v>577</v>
      </c>
    </row>
    <row r="29" spans="1:5" ht="15" x14ac:dyDescent="0.25">
      <c r="C29" s="455" t="s">
        <v>590</v>
      </c>
    </row>
    <row r="30" spans="1:5" x14ac:dyDescent="0.2">
      <c r="C30" s="2" t="s">
        <v>577</v>
      </c>
    </row>
    <row r="33" spans="3:3" ht="15" x14ac:dyDescent="0.25">
      <c r="C33" s="455" t="s">
        <v>591</v>
      </c>
    </row>
    <row r="34" spans="3:3" x14ac:dyDescent="0.2">
      <c r="C34" s="2" t="s">
        <v>577</v>
      </c>
    </row>
    <row r="37" spans="3:3" ht="15" x14ac:dyDescent="0.25">
      <c r="C37" s="455" t="s">
        <v>592</v>
      </c>
    </row>
    <row r="38" spans="3:3" x14ac:dyDescent="0.2">
      <c r="C38" s="2" t="s">
        <v>577</v>
      </c>
    </row>
    <row r="41" spans="3:3" ht="15" x14ac:dyDescent="0.25">
      <c r="C41" s="455" t="s">
        <v>592</v>
      </c>
    </row>
    <row r="42" spans="3:3" x14ac:dyDescent="0.2">
      <c r="C42" s="2" t="s">
        <v>577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">
    <tabColor rgb="FF00B050"/>
  </sheetPr>
  <dimension ref="A1:DE30"/>
  <sheetViews>
    <sheetView showGridLines="0" tabSelected="1" workbookViewId="0">
      <pane xSplit="1" ySplit="1" topLeftCell="CT2" activePane="bottomRight" state="frozen"/>
      <selection pane="topRight" activeCell="B1" sqref="B1"/>
      <selection pane="bottomLeft" activeCell="A2" sqref="A2"/>
      <selection pane="bottomRight" activeCell="CX10" sqref="CX10"/>
    </sheetView>
  </sheetViews>
  <sheetFormatPr defaultColWidth="9.140625" defaultRowHeight="12.75" x14ac:dyDescent="0.2"/>
  <cols>
    <col min="1" max="1" width="40.42578125" style="1" bestFit="1" customWidth="1"/>
    <col min="2" max="13" width="12.85546875" style="1" bestFit="1" customWidth="1"/>
    <col min="14" max="25" width="13" style="1" customWidth="1"/>
    <col min="26" max="26" width="14" style="1" bestFit="1" customWidth="1"/>
    <col min="27" max="27" width="12.7109375" style="1" bestFit="1" customWidth="1"/>
    <col min="28" max="29" width="14" style="1" bestFit="1" customWidth="1"/>
    <col min="30" max="33" width="12.7109375" style="1" bestFit="1" customWidth="1"/>
    <col min="34" max="49" width="12.85546875" style="1" bestFit="1" customWidth="1"/>
    <col min="50" max="50" width="14" style="1" bestFit="1" customWidth="1"/>
    <col min="51" max="54" width="12.85546875" style="1" bestFit="1" customWidth="1"/>
    <col min="55" max="55" width="14.7109375" style="1" bestFit="1" customWidth="1"/>
    <col min="56" max="58" width="12.85546875" style="1" bestFit="1" customWidth="1"/>
    <col min="59" max="59" width="13.7109375" style="1" bestFit="1" customWidth="1"/>
    <col min="60" max="60" width="14" style="1" bestFit="1" customWidth="1"/>
    <col min="61" max="61" width="13.28515625" style="1" bestFit="1" customWidth="1"/>
    <col min="62" max="73" width="12.85546875" style="1" bestFit="1" customWidth="1"/>
    <col min="74" max="74" width="14" style="1" bestFit="1" customWidth="1"/>
    <col min="75" max="77" width="12.85546875" style="1" bestFit="1" customWidth="1"/>
    <col min="78" max="84" width="13.5703125" style="1" bestFit="1" customWidth="1"/>
    <col min="85" max="85" width="12.85546875" style="1" bestFit="1" customWidth="1"/>
    <col min="86" max="86" width="14" style="1" bestFit="1" customWidth="1"/>
    <col min="87" max="88" width="12.85546875" style="1" bestFit="1" customWidth="1"/>
    <col min="89" max="89" width="14" style="1" bestFit="1" customWidth="1"/>
    <col min="90" max="90" width="51.140625" style="1" customWidth="1"/>
    <col min="91" max="97" width="12.85546875" style="1" bestFit="1" customWidth="1"/>
    <col min="98" max="98" width="14" style="1" bestFit="1" customWidth="1"/>
    <col min="99" max="100" width="13.5703125" style="1" bestFit="1" customWidth="1"/>
    <col min="101" max="16384" width="9.140625" style="1"/>
  </cols>
  <sheetData>
    <row r="1" spans="1:109" x14ac:dyDescent="0.2">
      <c r="A1" s="3" t="s">
        <v>9</v>
      </c>
      <c r="B1" s="4">
        <v>43101</v>
      </c>
      <c r="C1" s="4">
        <v>43132</v>
      </c>
      <c r="D1" s="4">
        <v>43160</v>
      </c>
      <c r="E1" s="4">
        <v>43191</v>
      </c>
      <c r="F1" s="4">
        <v>43221</v>
      </c>
      <c r="G1" s="4">
        <v>43252</v>
      </c>
      <c r="H1" s="4">
        <v>43282</v>
      </c>
      <c r="I1" s="4">
        <v>43313</v>
      </c>
      <c r="J1" s="4">
        <v>43344</v>
      </c>
      <c r="K1" s="4">
        <v>43374</v>
      </c>
      <c r="L1" s="4">
        <v>43405</v>
      </c>
      <c r="M1" s="4">
        <v>43435</v>
      </c>
      <c r="N1" s="4">
        <v>43466</v>
      </c>
      <c r="O1" s="4">
        <v>43497</v>
      </c>
      <c r="P1" s="4">
        <v>43525</v>
      </c>
      <c r="Q1" s="4">
        <v>43556</v>
      </c>
      <c r="R1" s="4">
        <v>43586</v>
      </c>
      <c r="S1" s="4">
        <v>43617</v>
      </c>
      <c r="T1" s="4">
        <v>43647</v>
      </c>
      <c r="U1" s="4">
        <v>43678</v>
      </c>
      <c r="V1" s="4">
        <v>43709</v>
      </c>
      <c r="W1" s="4">
        <v>43739</v>
      </c>
      <c r="X1" s="4">
        <v>43770</v>
      </c>
      <c r="Y1" s="4">
        <v>43800</v>
      </c>
      <c r="Z1" s="16">
        <v>43831</v>
      </c>
      <c r="AA1" s="16">
        <v>43862</v>
      </c>
      <c r="AB1" s="16">
        <v>43891</v>
      </c>
      <c r="AC1" s="16">
        <v>43922</v>
      </c>
      <c r="AD1" s="16">
        <v>43952</v>
      </c>
      <c r="AE1" s="16">
        <v>43983</v>
      </c>
      <c r="AF1" s="16">
        <v>44013</v>
      </c>
      <c r="AG1" s="16">
        <v>44044</v>
      </c>
      <c r="AH1" s="16">
        <v>44075</v>
      </c>
      <c r="AI1" s="16">
        <v>44105</v>
      </c>
      <c r="AJ1" s="16">
        <v>44136</v>
      </c>
      <c r="AK1" s="16">
        <v>44166</v>
      </c>
      <c r="AL1" s="5">
        <v>44197</v>
      </c>
      <c r="AM1" s="5">
        <v>44228</v>
      </c>
      <c r="AN1" s="5">
        <v>44256</v>
      </c>
      <c r="AO1" s="5">
        <v>44287</v>
      </c>
      <c r="AP1" s="5">
        <v>44317</v>
      </c>
      <c r="AQ1" s="5">
        <v>44348</v>
      </c>
      <c r="AR1" s="5">
        <v>44378</v>
      </c>
      <c r="AS1" s="5">
        <v>44409</v>
      </c>
      <c r="AT1" s="5">
        <v>44440</v>
      </c>
      <c r="AU1" s="5">
        <v>44470</v>
      </c>
      <c r="AV1" s="4">
        <v>44501</v>
      </c>
      <c r="AW1" s="4">
        <v>44531</v>
      </c>
      <c r="AX1" s="4">
        <v>44562</v>
      </c>
      <c r="AY1" s="4">
        <v>44593</v>
      </c>
      <c r="AZ1" s="4">
        <v>44621</v>
      </c>
      <c r="BA1" s="4">
        <v>44652</v>
      </c>
      <c r="BB1" s="4">
        <v>44682</v>
      </c>
      <c r="BC1" s="4">
        <v>44713</v>
      </c>
      <c r="BD1" s="4">
        <v>44743</v>
      </c>
      <c r="BE1" s="4">
        <v>44774</v>
      </c>
      <c r="BF1" s="5">
        <v>44805</v>
      </c>
      <c r="BG1" s="5">
        <v>44835</v>
      </c>
      <c r="BH1" s="5">
        <v>44866</v>
      </c>
      <c r="BI1" s="5">
        <v>44896</v>
      </c>
      <c r="BJ1" s="4">
        <v>44927</v>
      </c>
      <c r="BK1" s="4">
        <v>44958</v>
      </c>
      <c r="BL1" s="4">
        <v>44986</v>
      </c>
      <c r="BM1" s="4">
        <v>45017</v>
      </c>
      <c r="BN1" s="4">
        <v>45047</v>
      </c>
      <c r="BO1" s="4">
        <v>45078</v>
      </c>
      <c r="BP1" s="4">
        <v>45108</v>
      </c>
      <c r="BQ1" s="4">
        <v>45139</v>
      </c>
      <c r="BR1" s="4">
        <v>45170</v>
      </c>
      <c r="BS1" s="4">
        <v>45200</v>
      </c>
      <c r="BT1" s="4">
        <v>45231</v>
      </c>
      <c r="BU1" s="4">
        <v>45261</v>
      </c>
      <c r="BV1" s="5">
        <v>45292</v>
      </c>
      <c r="BW1" s="5">
        <v>45323</v>
      </c>
      <c r="BX1" s="5">
        <v>45352</v>
      </c>
      <c r="BY1" s="5">
        <v>45383</v>
      </c>
      <c r="BZ1" s="5">
        <v>45413</v>
      </c>
      <c r="CA1" s="5">
        <v>45444</v>
      </c>
      <c r="CB1" s="5">
        <v>45474</v>
      </c>
      <c r="CC1" s="5">
        <v>45505</v>
      </c>
      <c r="CD1" s="5">
        <v>45536</v>
      </c>
      <c r="CE1" s="5">
        <v>45566</v>
      </c>
      <c r="CF1" s="5">
        <v>45597</v>
      </c>
      <c r="CG1" s="5">
        <v>45627</v>
      </c>
      <c r="CH1" s="5">
        <v>45658</v>
      </c>
      <c r="CI1" s="5">
        <v>45689</v>
      </c>
      <c r="CJ1" s="5">
        <v>45717</v>
      </c>
      <c r="CK1" s="5">
        <v>45748</v>
      </c>
      <c r="CL1" s="5">
        <v>45778</v>
      </c>
      <c r="CM1" s="5">
        <v>45809</v>
      </c>
      <c r="CN1" s="5">
        <v>45839</v>
      </c>
      <c r="CO1" s="5">
        <v>45870</v>
      </c>
      <c r="CP1" s="5">
        <v>45901</v>
      </c>
      <c r="CQ1" s="5">
        <v>45931</v>
      </c>
      <c r="CR1" s="5">
        <v>45962</v>
      </c>
      <c r="CS1" s="5">
        <v>45992</v>
      </c>
      <c r="CT1" s="5">
        <v>46023</v>
      </c>
      <c r="CU1" s="5">
        <v>46054</v>
      </c>
      <c r="CV1" s="5">
        <v>46082</v>
      </c>
      <c r="CW1" s="5">
        <v>46113</v>
      </c>
      <c r="CX1" s="5">
        <v>46143</v>
      </c>
      <c r="CY1" s="5">
        <v>46174</v>
      </c>
      <c r="CZ1" s="5">
        <v>46204</v>
      </c>
      <c r="DA1" s="5">
        <v>46235</v>
      </c>
      <c r="DB1" s="5">
        <v>46266</v>
      </c>
      <c r="DC1" s="5">
        <v>46296</v>
      </c>
      <c r="DD1" s="5">
        <v>46327</v>
      </c>
      <c r="DE1" s="5">
        <v>46357</v>
      </c>
    </row>
    <row r="2" spans="1:109" x14ac:dyDescent="0.2">
      <c r="A2" s="6" t="s">
        <v>8</v>
      </c>
      <c r="B2" s="62">
        <v>1307223.7999999991</v>
      </c>
      <c r="C2" s="62">
        <v>1533151.6239999996</v>
      </c>
      <c r="D2" s="62">
        <v>990409.83100000001</v>
      </c>
      <c r="E2" s="62">
        <v>1675538.8130999992</v>
      </c>
      <c r="F2" s="62">
        <v>1390304.1299999992</v>
      </c>
      <c r="G2" s="62">
        <v>1429726.8799999992</v>
      </c>
      <c r="H2" s="62">
        <v>1617844.8599999999</v>
      </c>
      <c r="I2" s="62">
        <v>1754379.7909999609</v>
      </c>
      <c r="J2" s="62">
        <v>1464234.7479999592</v>
      </c>
      <c r="K2" s="62">
        <v>2097191.6049999632</v>
      </c>
      <c r="L2" s="62">
        <v>1576315.2519999505</v>
      </c>
      <c r="M2" s="62">
        <v>1978552.7079999633</v>
      </c>
      <c r="N2" s="7">
        <v>1467400.1099999887</v>
      </c>
      <c r="O2" s="7">
        <v>1032717.8069999877</v>
      </c>
      <c r="P2" s="7">
        <v>1313738.0199999877</v>
      </c>
      <c r="Q2" s="7">
        <v>1330213.885999993</v>
      </c>
      <c r="R2" s="7">
        <v>1973924.0239999788</v>
      </c>
      <c r="S2" s="7">
        <v>2136174.1899999799</v>
      </c>
      <c r="T2" s="7">
        <v>1983098.5799999996</v>
      </c>
      <c r="U2" s="7">
        <v>2276787.9096264662</v>
      </c>
      <c r="V2" s="7">
        <v>1849436.0400000003</v>
      </c>
      <c r="W2" s="7">
        <v>1853373.6699999557</v>
      </c>
      <c r="X2" s="7">
        <v>2489722.6293332889</v>
      </c>
      <c r="Y2" s="7">
        <v>1833456.7339999606</v>
      </c>
      <c r="Z2" s="8">
        <v>2128952.7909999569</v>
      </c>
      <c r="AA2" s="8">
        <v>1573272.0889999997</v>
      </c>
      <c r="AB2" s="8">
        <v>2476961.441999896</v>
      </c>
      <c r="AC2" s="8">
        <v>2086485.9379999482</v>
      </c>
      <c r="AD2" s="8">
        <v>2038109.0599999507</v>
      </c>
      <c r="AE2" s="8">
        <v>1960087.7539999653</v>
      </c>
      <c r="AF2" s="8">
        <v>2449578.3899999997</v>
      </c>
      <c r="AG2" s="8">
        <v>1751404.72</v>
      </c>
      <c r="AH2" s="8">
        <v>2636104.91</v>
      </c>
      <c r="AI2" s="9">
        <v>1991057.37</v>
      </c>
      <c r="AJ2" s="9">
        <v>2890477.23</v>
      </c>
      <c r="AK2" s="9">
        <v>2672542.3600000003</v>
      </c>
      <c r="AL2" s="22">
        <v>2160275.17</v>
      </c>
      <c r="AM2" s="22">
        <v>1729170.56</v>
      </c>
      <c r="AN2" s="22">
        <v>1408118.1800000002</v>
      </c>
      <c r="AO2" s="22">
        <v>2194304.09</v>
      </c>
      <c r="AP2" s="22">
        <v>2650378.8100000005</v>
      </c>
      <c r="AQ2" s="22">
        <v>2209415.4800000004</v>
      </c>
      <c r="AR2" s="22">
        <v>2332555.91</v>
      </c>
      <c r="AS2" s="22">
        <v>2180870.0699999998</v>
      </c>
      <c r="AT2" s="22">
        <v>2274247.44</v>
      </c>
      <c r="AU2" s="56">
        <v>2588760.7199999997</v>
      </c>
      <c r="AV2" s="22">
        <v>2581281.1</v>
      </c>
      <c r="AW2" s="59">
        <v>3002777.1399999997</v>
      </c>
      <c r="AX2" s="19">
        <v>2236775.35</v>
      </c>
      <c r="AY2" s="19">
        <v>1432655.23</v>
      </c>
      <c r="AZ2" s="1">
        <v>2011358.93</v>
      </c>
      <c r="BA2" s="1">
        <v>2659030.98</v>
      </c>
      <c r="BB2" s="29">
        <v>3006579.75</v>
      </c>
      <c r="BC2" s="29">
        <v>2464901.36</v>
      </c>
      <c r="BD2" s="29">
        <v>2501382.0599999996</v>
      </c>
      <c r="BE2" s="29">
        <v>2204860.0499999998</v>
      </c>
      <c r="BF2" s="29">
        <v>2556896.0299999998</v>
      </c>
      <c r="BG2" s="29">
        <v>2707697.4400000004</v>
      </c>
      <c r="BH2" s="29">
        <v>2415882.54</v>
      </c>
      <c r="BI2" s="29">
        <v>2692784.6400000006</v>
      </c>
      <c r="BJ2" s="22">
        <v>2859585.31</v>
      </c>
      <c r="BK2" s="22">
        <v>2290503.62</v>
      </c>
      <c r="BL2" s="22">
        <v>2258763.79</v>
      </c>
      <c r="BM2" s="22">
        <v>3226365.23</v>
      </c>
      <c r="BN2" s="22">
        <v>2759630.72</v>
      </c>
      <c r="BO2" s="22">
        <v>2764496.3499999996</v>
      </c>
      <c r="BP2" s="22">
        <v>2839189.01</v>
      </c>
      <c r="BQ2" s="22">
        <v>3801574.8499999996</v>
      </c>
      <c r="BR2" s="22">
        <v>3346794.8000000003</v>
      </c>
      <c r="BS2" s="22">
        <v>3245706.1199999996</v>
      </c>
      <c r="BT2" s="22">
        <v>3479448.69</v>
      </c>
      <c r="BU2" s="22">
        <v>4923248.92</v>
      </c>
      <c r="BV2" s="22">
        <v>3209755.2600000002</v>
      </c>
      <c r="BW2" s="22">
        <v>3256937.67</v>
      </c>
      <c r="BX2" s="22">
        <v>2605192.48</v>
      </c>
      <c r="BY2" s="22">
        <v>3293581.6300000004</v>
      </c>
      <c r="BZ2" s="22">
        <v>3629988.73</v>
      </c>
      <c r="CA2" s="22">
        <v>4068124.1200259998</v>
      </c>
      <c r="CB2" s="22">
        <v>4640246.4200030006</v>
      </c>
      <c r="CC2" s="22">
        <v>3454209.97</v>
      </c>
      <c r="CD2" s="22">
        <v>4253136.8799960008</v>
      </c>
      <c r="CE2" s="22">
        <v>4658140.6700220024</v>
      </c>
      <c r="CF2" s="22">
        <v>6144338.9999359995</v>
      </c>
      <c r="CG2" s="22">
        <v>5312105.9099210007</v>
      </c>
      <c r="CH2" s="22">
        <v>4402653.9400060009</v>
      </c>
      <c r="CI2" s="22">
        <v>4086254.28</v>
      </c>
      <c r="CJ2" s="22">
        <v>4048194.34</v>
      </c>
      <c r="CK2" s="22">
        <v>3939627.5</v>
      </c>
      <c r="CL2" s="22">
        <v>3548210.8800000008</v>
      </c>
      <c r="CM2" s="22">
        <v>4304516.2699640002</v>
      </c>
      <c r="CN2" s="22">
        <v>4526009.38</v>
      </c>
      <c r="CO2" s="22">
        <v>4828600.7084499998</v>
      </c>
      <c r="CP2" s="22">
        <v>4420476.6128320005</v>
      </c>
      <c r="CQ2" s="22">
        <v>4300330.28</v>
      </c>
      <c r="CR2" s="22">
        <v>4681796.72</v>
      </c>
      <c r="CS2" s="22">
        <v>7347433.0200000014</v>
      </c>
      <c r="CT2" s="22">
        <f>[2]Resumo!B15</f>
        <v>3839057.96</v>
      </c>
      <c r="CU2" s="22">
        <f>[2]Resumo!C15</f>
        <v>3623744.09</v>
      </c>
      <c r="CV2" s="22">
        <f>[2]Resumo!D15</f>
        <v>4695972.1340000005</v>
      </c>
      <c r="CW2" s="22">
        <f>[2]Resumo!E15</f>
        <v>0</v>
      </c>
      <c r="CX2" s="22">
        <f>[2]Resumo!F15</f>
        <v>0</v>
      </c>
      <c r="CY2" s="22">
        <f>[2]Resumo!G15</f>
        <v>0</v>
      </c>
      <c r="CZ2" s="22">
        <f>[2]Resumo!H15</f>
        <v>0</v>
      </c>
      <c r="DA2" s="22">
        <f>[2]Resumo!I15</f>
        <v>0</v>
      </c>
      <c r="DB2" s="22">
        <f>[2]Resumo!J15</f>
        <v>0</v>
      </c>
      <c r="DC2" s="22">
        <f>[2]Resumo!K15</f>
        <v>0</v>
      </c>
      <c r="DD2" s="22">
        <f>[2]Resumo!L15</f>
        <v>0</v>
      </c>
      <c r="DE2" s="22">
        <f>[2]Resumo!M15</f>
        <v>0</v>
      </c>
    </row>
    <row r="3" spans="1:109" x14ac:dyDescent="0.2">
      <c r="A3" s="6" t="s">
        <v>26</v>
      </c>
      <c r="B3" s="62">
        <v>708765.42088862031</v>
      </c>
      <c r="C3" s="62">
        <v>634595.95162673946</v>
      </c>
      <c r="D3" s="62">
        <v>662041.81052855239</v>
      </c>
      <c r="E3" s="62">
        <v>742911.36763415264</v>
      </c>
      <c r="F3" s="62">
        <v>759469.17857773625</v>
      </c>
      <c r="G3" s="62">
        <v>777423.251506506</v>
      </c>
      <c r="H3" s="62">
        <v>883382.09324150649</v>
      </c>
      <c r="I3" s="62">
        <v>891520.16923037381</v>
      </c>
      <c r="J3" s="62">
        <v>900333.46345405513</v>
      </c>
      <c r="K3" s="62">
        <v>920790.35903762677</v>
      </c>
      <c r="L3" s="62">
        <v>920494.07016175508</v>
      </c>
      <c r="M3" s="62">
        <v>930857.6525881564</v>
      </c>
      <c r="N3" s="7">
        <v>890181.41956874472</v>
      </c>
      <c r="O3" s="7">
        <v>829951.35518343467</v>
      </c>
      <c r="P3" s="7">
        <v>820806.09593728383</v>
      </c>
      <c r="Q3" s="7">
        <v>902503.24264747009</v>
      </c>
      <c r="R3" s="7">
        <v>982451.84868836496</v>
      </c>
      <c r="S3" s="7">
        <v>1040351.8049531009</v>
      </c>
      <c r="T3" s="7">
        <v>1001203.358464664</v>
      </c>
      <c r="U3" s="7">
        <v>946275.40747304435</v>
      </c>
      <c r="V3" s="7">
        <v>968576.61780440761</v>
      </c>
      <c r="W3" s="7">
        <v>969050.69481427944</v>
      </c>
      <c r="X3" s="7">
        <v>1056477.1730048095</v>
      </c>
      <c r="Y3" s="7">
        <v>1041487.4139366247</v>
      </c>
      <c r="Z3" s="8">
        <v>1039086.4752037335</v>
      </c>
      <c r="AA3" s="8">
        <v>938429.4122767885</v>
      </c>
      <c r="AB3" s="8">
        <v>899844.27169744147</v>
      </c>
      <c r="AC3" s="8">
        <v>963963.86282996344</v>
      </c>
      <c r="AD3" s="8">
        <v>900554.89865823335</v>
      </c>
      <c r="AE3" s="8">
        <v>793490.16750305507</v>
      </c>
      <c r="AF3" s="8">
        <v>808317.45153310243</v>
      </c>
      <c r="AG3" s="8">
        <v>809656.85390531586</v>
      </c>
      <c r="AH3" s="8">
        <v>772069.0716606637</v>
      </c>
      <c r="AI3" s="9">
        <v>892189.82644536369</v>
      </c>
      <c r="AJ3" s="9">
        <v>924546.8147427045</v>
      </c>
      <c r="AK3" s="9">
        <v>1393054.9065984248</v>
      </c>
      <c r="AL3" s="9">
        <v>415285.19144384767</v>
      </c>
      <c r="AM3" s="9">
        <v>821040.81214657438</v>
      </c>
      <c r="AN3" s="22">
        <v>840932.51982400904</v>
      </c>
      <c r="AO3" s="22">
        <v>860631.29056430922</v>
      </c>
      <c r="AP3" s="19">
        <v>898437.04048033454</v>
      </c>
      <c r="AQ3" s="19">
        <v>925258.57538419275</v>
      </c>
      <c r="AR3" s="22">
        <v>1001705.0267443126</v>
      </c>
      <c r="AS3" s="22">
        <v>1096711.378809426</v>
      </c>
      <c r="AT3" s="22">
        <v>1082372.026439935</v>
      </c>
      <c r="AU3" s="56">
        <v>1112579.7520663745</v>
      </c>
      <c r="AV3" s="22">
        <v>1184774.8155766954</v>
      </c>
      <c r="AW3" s="59">
        <v>1219497.1168041786</v>
      </c>
      <c r="AX3" s="19">
        <v>1114140.0930521374</v>
      </c>
      <c r="AY3" s="19">
        <v>1090075.2642413925</v>
      </c>
      <c r="AZ3" s="1">
        <v>1101136.5424221898</v>
      </c>
      <c r="BA3" s="1">
        <v>1153879.6379618854</v>
      </c>
      <c r="BB3" s="1">
        <v>1153290.7769620034</v>
      </c>
      <c r="BC3" s="29">
        <v>1120894.342925627</v>
      </c>
      <c r="BD3" s="1">
        <v>1175595.8281764954</v>
      </c>
      <c r="BE3" s="29">
        <v>1147607.8713583711</v>
      </c>
      <c r="BF3" s="29">
        <v>1118378.4483896599</v>
      </c>
      <c r="BG3" s="29">
        <v>1219122.6055132239</v>
      </c>
      <c r="BH3" s="29">
        <v>1265784.8300604643</v>
      </c>
      <c r="BI3" s="1">
        <v>1486797.5357038607</v>
      </c>
      <c r="BJ3" s="19">
        <v>1307199.6334822446</v>
      </c>
      <c r="BK3" s="19">
        <v>1215843.6804627352</v>
      </c>
      <c r="BL3" s="19">
        <v>1332484.3686793051</v>
      </c>
      <c r="BM3" s="19">
        <v>1366011.0319407897</v>
      </c>
      <c r="BN3" s="19">
        <v>1464995.8523105939</v>
      </c>
      <c r="BO3" s="19">
        <v>1497743.0245502656</v>
      </c>
      <c r="BP3" s="19">
        <v>1504470.8045163192</v>
      </c>
      <c r="BQ3" s="19">
        <v>1468213.8895247995</v>
      </c>
      <c r="BR3" s="19">
        <v>1440400.7022140655</v>
      </c>
      <c r="BS3" s="19">
        <v>1575549.2923122102</v>
      </c>
      <c r="BT3" s="19">
        <v>1585489.8394181291</v>
      </c>
      <c r="BU3" s="19">
        <v>1644131.0591176113</v>
      </c>
      <c r="BV3" s="19">
        <v>1553728.7012290761</v>
      </c>
      <c r="BW3" s="19">
        <v>1501689.9850849584</v>
      </c>
      <c r="BX3" s="19">
        <v>1464061.7396820558</v>
      </c>
      <c r="BY3" s="19">
        <v>1614515.779684531</v>
      </c>
      <c r="BZ3" s="19">
        <v>1686791.669552051</v>
      </c>
      <c r="CA3" s="19">
        <v>1669217.4635840773</v>
      </c>
      <c r="CB3" s="19">
        <v>1801187.0411885732</v>
      </c>
      <c r="CC3" s="19">
        <v>1746801.2055610332</v>
      </c>
      <c r="CD3" s="19">
        <v>1790384.2883419283</v>
      </c>
      <c r="CE3" s="19">
        <v>1949759.5478875672</v>
      </c>
      <c r="CF3" s="19">
        <v>1962547.7116641337</v>
      </c>
      <c r="CG3" s="19">
        <v>1933941.3723616006</v>
      </c>
      <c r="CH3" s="19">
        <v>1870683.3724771049</v>
      </c>
      <c r="CI3" s="19">
        <v>1806440.3734670223</v>
      </c>
      <c r="CJ3" s="19">
        <v>1790545.510152895</v>
      </c>
      <c r="CK3" s="19">
        <v>1972373.7899685961</v>
      </c>
      <c r="CL3" s="19">
        <v>1946905.6769041028</v>
      </c>
      <c r="CM3" s="19">
        <v>2090154.4665540224</v>
      </c>
      <c r="CN3" s="19">
        <v>2029865.2304045174</v>
      </c>
      <c r="CO3" s="19">
        <v>1992411.4511561249</v>
      </c>
      <c r="CP3" s="19">
        <v>2322824.2615562361</v>
      </c>
      <c r="CQ3" s="19">
        <v>2015292.8199288375</v>
      </c>
      <c r="CR3" s="19">
        <v>2207852.5869449601</v>
      </c>
      <c r="CS3" s="19">
        <v>2336604.5652372232</v>
      </c>
      <c r="CT3" s="19">
        <f>[2]Resumo!B4</f>
        <v>2155945.6976389992</v>
      </c>
      <c r="CU3" s="19">
        <f>[2]Resumo!C4</f>
        <v>2075571.2699824069</v>
      </c>
      <c r="CV3" s="19">
        <f>[2]Resumo!D4</f>
        <v>2061591.4390833841</v>
      </c>
      <c r="CW3" s="19">
        <f>[2]Resumo!E4</f>
        <v>0</v>
      </c>
      <c r="CX3" s="19">
        <f>[2]Resumo!F4</f>
        <v>0</v>
      </c>
      <c r="CY3" s="19">
        <f>[2]Resumo!G4</f>
        <v>0</v>
      </c>
      <c r="CZ3" s="19">
        <f>[2]Resumo!H4</f>
        <v>0</v>
      </c>
      <c r="DA3" s="19">
        <f>[2]Resumo!I4</f>
        <v>0</v>
      </c>
      <c r="DB3" s="19">
        <f>[2]Resumo!J4</f>
        <v>0</v>
      </c>
      <c r="DC3" s="19">
        <f>[2]Resumo!K4</f>
        <v>0</v>
      </c>
      <c r="DD3" s="19">
        <f>[2]Resumo!L4</f>
        <v>0</v>
      </c>
      <c r="DE3" s="19">
        <f>[2]Resumo!M4</f>
        <v>0</v>
      </c>
    </row>
    <row r="4" spans="1:109" x14ac:dyDescent="0.2">
      <c r="A4" s="6" t="s">
        <v>24</v>
      </c>
      <c r="B4" s="62">
        <v>332194.72383606399</v>
      </c>
      <c r="C4" s="62">
        <v>293454.53755961568</v>
      </c>
      <c r="D4" s="62">
        <v>325566.30361699301</v>
      </c>
      <c r="E4" s="62">
        <v>330675.77625971043</v>
      </c>
      <c r="F4" s="62">
        <v>330206.32228108472</v>
      </c>
      <c r="G4" s="62">
        <v>332778.3397335831</v>
      </c>
      <c r="H4" s="62">
        <v>366709.98773731029</v>
      </c>
      <c r="I4" s="62">
        <v>356096.92441248317</v>
      </c>
      <c r="J4" s="62">
        <v>350277.46455235529</v>
      </c>
      <c r="K4" s="62">
        <v>419661.83251668094</v>
      </c>
      <c r="L4" s="62">
        <v>419150.6864365784</v>
      </c>
      <c r="M4" s="62">
        <v>387617.04611184337</v>
      </c>
      <c r="N4" s="7">
        <v>335686.65159792191</v>
      </c>
      <c r="O4" s="7">
        <v>389728.83631656523</v>
      </c>
      <c r="P4" s="7">
        <v>361294.85886827158</v>
      </c>
      <c r="Q4" s="7">
        <v>340054.08143586328</v>
      </c>
      <c r="R4" s="7">
        <v>395127.23531163501</v>
      </c>
      <c r="S4" s="7">
        <v>369936.61675202695</v>
      </c>
      <c r="T4" s="7">
        <v>391682.35445200285</v>
      </c>
      <c r="U4" s="7">
        <v>352480.18802695582</v>
      </c>
      <c r="V4" s="7">
        <v>373168.77861225914</v>
      </c>
      <c r="W4" s="7">
        <v>389476.32416603231</v>
      </c>
      <c r="X4" s="7">
        <v>421483.82561671059</v>
      </c>
      <c r="Y4" s="7">
        <v>362754.20749012654</v>
      </c>
      <c r="Z4" s="7">
        <v>361623.24477920873</v>
      </c>
      <c r="AA4" s="7">
        <v>376692.68860579655</v>
      </c>
      <c r="AB4" s="7">
        <v>367446.8448138836</v>
      </c>
      <c r="AC4" s="7">
        <v>339909.6354996119</v>
      </c>
      <c r="AD4" s="7">
        <v>306880.81133014197</v>
      </c>
      <c r="AE4" s="7">
        <v>354038.99787746719</v>
      </c>
      <c r="AF4" s="7">
        <v>346357.49072855525</v>
      </c>
      <c r="AG4" s="7">
        <v>365009.9082211951</v>
      </c>
      <c r="AH4" s="7">
        <v>298807.20903064043</v>
      </c>
      <c r="AI4" s="7">
        <v>365121.19692929543</v>
      </c>
      <c r="AJ4" s="7">
        <v>430185.27827442769</v>
      </c>
      <c r="AK4" s="7">
        <v>398005.09703161003</v>
      </c>
      <c r="AL4" s="9">
        <v>319539.54545615235</v>
      </c>
      <c r="AM4" s="9">
        <v>348986.26681579137</v>
      </c>
      <c r="AN4" s="22">
        <v>435814.08456147491</v>
      </c>
      <c r="AO4" s="19">
        <v>468530.36059045285</v>
      </c>
      <c r="AP4" s="19">
        <v>405485.02763579442</v>
      </c>
      <c r="AQ4" s="19">
        <v>382632.07336580724</v>
      </c>
      <c r="AR4" s="19">
        <v>388403.93879816041</v>
      </c>
      <c r="AS4" s="22">
        <v>433471.58995724097</v>
      </c>
      <c r="AT4" s="19">
        <v>380178.72841920453</v>
      </c>
      <c r="AU4" s="56">
        <v>394002.69634919876</v>
      </c>
      <c r="AV4" s="19">
        <v>461423.24696482829</v>
      </c>
      <c r="AW4" s="59">
        <v>520471.70018506888</v>
      </c>
      <c r="AX4" s="19">
        <f>[3]Resumo!$B$6</f>
        <v>411197.22588011285</v>
      </c>
      <c r="AY4" s="19">
        <v>370795.08914505126</v>
      </c>
      <c r="AZ4" s="1">
        <v>482868.53746773733</v>
      </c>
      <c r="BA4" s="1">
        <v>431323.35536153265</v>
      </c>
      <c r="BB4" s="1">
        <f>[4]Resumo!F6</f>
        <v>410612.91061179456</v>
      </c>
      <c r="BC4" s="29">
        <f>[4]Resumo!G6</f>
        <v>438065.65939748019</v>
      </c>
      <c r="BD4" s="1">
        <v>495251.25630375452</v>
      </c>
      <c r="BE4" s="29">
        <v>457057.15172187897</v>
      </c>
      <c r="BF4" s="1">
        <v>482871.90435833205</v>
      </c>
      <c r="BG4" s="29">
        <v>488973.14028677571</v>
      </c>
      <c r="BH4" s="1">
        <v>520395.2741395355</v>
      </c>
      <c r="BI4" s="1">
        <v>535746.52849613933</v>
      </c>
      <c r="BJ4" s="19">
        <v>525614.4901956775</v>
      </c>
      <c r="BK4" s="19">
        <v>728482.31843726465</v>
      </c>
      <c r="BL4" s="19">
        <v>664470.46692069469</v>
      </c>
      <c r="BM4" s="19">
        <v>572589.56925921014</v>
      </c>
      <c r="BN4" s="19">
        <v>606099.9176894062</v>
      </c>
      <c r="BO4" s="19">
        <v>582232.93514973449</v>
      </c>
      <c r="BP4" s="19">
        <v>516776.06565034762</v>
      </c>
      <c r="BQ4" s="19">
        <v>580786.49094186712</v>
      </c>
      <c r="BR4" s="19">
        <v>681582.65000744024</v>
      </c>
      <c r="BS4" s="19">
        <v>782798.52035445662</v>
      </c>
      <c r="BT4" s="19">
        <v>626646.59724853735</v>
      </c>
      <c r="BU4" s="19">
        <v>985291.68494905543</v>
      </c>
      <c r="BV4" s="19">
        <v>627328.58779132366</v>
      </c>
      <c r="BW4" s="19">
        <v>518616.75673544174</v>
      </c>
      <c r="BX4" s="19">
        <v>571591.1206383442</v>
      </c>
      <c r="BY4" s="19">
        <v>623411.4149358694</v>
      </c>
      <c r="BZ4" s="19">
        <v>560543.90680634941</v>
      </c>
      <c r="CA4" s="19">
        <v>596168.44321432267</v>
      </c>
      <c r="CB4" s="19">
        <v>608089.79398582666</v>
      </c>
      <c r="CC4" s="19">
        <v>591644.87221536669</v>
      </c>
      <c r="CD4" s="19">
        <v>597510.21310547169</v>
      </c>
      <c r="CE4" s="19">
        <v>666795.73974483297</v>
      </c>
      <c r="CF4" s="19">
        <v>993644.12836826581</v>
      </c>
      <c r="CG4" s="19">
        <v>1187654.3730923547</v>
      </c>
      <c r="CH4" s="19">
        <v>522627.38111263129</v>
      </c>
      <c r="CI4" s="19">
        <v>730178.32806297694</v>
      </c>
      <c r="CJ4" s="19">
        <v>750656.43064684095</v>
      </c>
      <c r="CK4" s="19">
        <v>675211.26482889464</v>
      </c>
      <c r="CL4" s="19">
        <v>780059.85514489713</v>
      </c>
      <c r="CM4" s="19">
        <v>802238.90046597726</v>
      </c>
      <c r="CN4" s="19">
        <v>788622.45966948278</v>
      </c>
      <c r="CO4" s="19">
        <v>738958.34121387475</v>
      </c>
      <c r="CP4" s="19">
        <v>752322.23103472835</v>
      </c>
      <c r="CQ4" s="19">
        <v>793137.37802689767</v>
      </c>
      <c r="CR4" s="19">
        <v>839169.33137504035</v>
      </c>
      <c r="CS4" s="19">
        <v>909814.02893177688</v>
      </c>
      <c r="CT4" s="19">
        <f>[2]Resumo!B6</f>
        <v>837978.3946189998</v>
      </c>
      <c r="CU4" s="19">
        <f>[2]Resumo!C6</f>
        <v>797117.80107202206</v>
      </c>
      <c r="CV4" s="19">
        <f>[2]Resumo!D6</f>
        <v>1008083.3256126305</v>
      </c>
      <c r="CW4" s="19">
        <f>[2]Resumo!E6</f>
        <v>0</v>
      </c>
      <c r="CX4" s="19">
        <f>[2]Resumo!F6</f>
        <v>0</v>
      </c>
      <c r="CY4" s="19">
        <f>[2]Resumo!G6</f>
        <v>0</v>
      </c>
      <c r="CZ4" s="19">
        <f>[2]Resumo!H6</f>
        <v>0</v>
      </c>
      <c r="DA4" s="19">
        <f>[2]Resumo!I6</f>
        <v>0</v>
      </c>
      <c r="DB4" s="19">
        <f>[2]Resumo!J6</f>
        <v>0</v>
      </c>
      <c r="DC4" s="19">
        <f>[2]Resumo!K6</f>
        <v>0</v>
      </c>
      <c r="DD4" s="19">
        <f>[2]Resumo!L6</f>
        <v>0</v>
      </c>
      <c r="DE4" s="19">
        <f>[2]Resumo!M6</f>
        <v>0</v>
      </c>
    </row>
    <row r="5" spans="1:109" x14ac:dyDescent="0.2">
      <c r="A5" s="6" t="s">
        <v>25</v>
      </c>
      <c r="B5" s="62">
        <v>210944.92351997213</v>
      </c>
      <c r="C5" s="62">
        <v>226407.30187496735</v>
      </c>
      <c r="D5" s="62">
        <v>195634.79863499966</v>
      </c>
      <c r="E5" s="62">
        <v>218328.19518497231</v>
      </c>
      <c r="F5" s="62">
        <v>203735.54580497934</v>
      </c>
      <c r="G5" s="62">
        <v>196595.38348496665</v>
      </c>
      <c r="H5" s="62">
        <v>235885.75193998218</v>
      </c>
      <c r="I5" s="62">
        <v>261422.16169995957</v>
      </c>
      <c r="J5" s="62">
        <v>239946.41423695907</v>
      </c>
      <c r="K5" s="62">
        <v>276209.16134946304</v>
      </c>
      <c r="L5" s="62">
        <v>256866.8090699508</v>
      </c>
      <c r="M5" s="62">
        <v>314449.0099199629</v>
      </c>
      <c r="N5" s="7">
        <v>271211.48034498852</v>
      </c>
      <c r="O5" s="7">
        <v>231422.08623998743</v>
      </c>
      <c r="P5" s="7">
        <v>260109.57000000007</v>
      </c>
      <c r="Q5" s="7">
        <v>239030.84671500078</v>
      </c>
      <c r="R5" s="7">
        <v>232490.53191497788</v>
      </c>
      <c r="S5" s="7">
        <v>292201.04373197904</v>
      </c>
      <c r="T5" s="7">
        <v>314124.08135496668</v>
      </c>
      <c r="U5" s="7">
        <v>314923.33193496638</v>
      </c>
      <c r="V5" s="7">
        <v>310952.75377497426</v>
      </c>
      <c r="W5" s="7">
        <v>267928.55557995645</v>
      </c>
      <c r="X5" s="7">
        <v>343552.53847178927</v>
      </c>
      <c r="Y5" s="7">
        <v>297743.47741315904</v>
      </c>
      <c r="Z5" s="7">
        <v>362815.49913245701</v>
      </c>
      <c r="AA5" s="7">
        <v>302477.736429999</v>
      </c>
      <c r="AB5" s="7">
        <v>220426.78399489445</v>
      </c>
      <c r="AC5" s="7">
        <v>124999.88231195</v>
      </c>
      <c r="AD5" s="7">
        <v>119216.88292694997</v>
      </c>
      <c r="AE5" s="7">
        <v>125261.23420196451</v>
      </c>
      <c r="AF5" s="7">
        <v>380329.81000000006</v>
      </c>
      <c r="AG5" s="7">
        <v>345364.76</v>
      </c>
      <c r="AH5" s="7">
        <v>394835.44000000018</v>
      </c>
      <c r="AI5" s="7">
        <v>415158.68999999994</v>
      </c>
      <c r="AJ5" s="7">
        <v>488420.68999999983</v>
      </c>
      <c r="AK5" s="7">
        <v>461838.31999999995</v>
      </c>
      <c r="AL5" s="9">
        <v>405804.91000000009</v>
      </c>
      <c r="AM5" s="9">
        <v>383117.73999999929</v>
      </c>
      <c r="AN5" s="19">
        <v>367696.37999999896</v>
      </c>
      <c r="AO5" s="19">
        <v>321574.66000000003</v>
      </c>
      <c r="AP5" s="19">
        <v>347745.43</v>
      </c>
      <c r="AQ5" s="19">
        <v>311827.90999999992</v>
      </c>
      <c r="AR5" s="19">
        <v>420139.04000000207</v>
      </c>
      <c r="AS5" s="22">
        <v>417868.74000000092</v>
      </c>
      <c r="AT5" s="19">
        <v>447683.54000000097</v>
      </c>
      <c r="AU5" s="56">
        <v>479411.87000000011</v>
      </c>
      <c r="AV5" s="19">
        <v>476625.53999999992</v>
      </c>
      <c r="AW5" s="59">
        <v>496429.22000000003</v>
      </c>
      <c r="AX5" s="19">
        <f>[3]Resumo!$B$10</f>
        <v>423761.89000000013</v>
      </c>
      <c r="AY5" s="19">
        <v>396357.7099999999</v>
      </c>
      <c r="AZ5" s="1">
        <v>418368.57999999903</v>
      </c>
      <c r="BA5" s="1">
        <v>425611.61</v>
      </c>
      <c r="BB5" s="1">
        <f>[4]Resumo!F10</f>
        <v>478195.25000000087</v>
      </c>
      <c r="BC5" s="1">
        <f>[4]Resumo!G10</f>
        <v>423247.79000000027</v>
      </c>
      <c r="BD5" s="1">
        <v>464440.58999999991</v>
      </c>
      <c r="BE5" s="29">
        <v>445200.58000000007</v>
      </c>
      <c r="BF5" s="1">
        <v>475341.88000000006</v>
      </c>
      <c r="BG5" s="29">
        <v>463963.05999999947</v>
      </c>
      <c r="BH5" s="1">
        <v>467278.49000000034</v>
      </c>
      <c r="BI5" s="1">
        <v>482432.6000000019</v>
      </c>
      <c r="BJ5" s="19">
        <v>324082.69</v>
      </c>
      <c r="BK5" s="19">
        <v>257112.65999999989</v>
      </c>
      <c r="BL5" s="19">
        <v>304168.45999999967</v>
      </c>
      <c r="BM5" s="19">
        <v>509520.34</v>
      </c>
      <c r="BN5" s="19">
        <v>497284.81000000035</v>
      </c>
      <c r="BO5" s="19">
        <v>471048.17999999947</v>
      </c>
      <c r="BP5" s="19">
        <v>581694.53999999911</v>
      </c>
      <c r="BQ5" s="19">
        <v>598087.77000000014</v>
      </c>
      <c r="BR5" s="19">
        <v>544122.89999999991</v>
      </c>
      <c r="BS5" s="19">
        <v>631456.75999999803</v>
      </c>
      <c r="BT5" s="19">
        <v>643026.27999999991</v>
      </c>
      <c r="BU5" s="19">
        <v>718241.35000000207</v>
      </c>
      <c r="BV5" s="19">
        <v>680191.50000000047</v>
      </c>
      <c r="BW5" s="19">
        <v>630667.98999999976</v>
      </c>
      <c r="BX5" s="19">
        <v>650151.33000000077</v>
      </c>
      <c r="BY5" s="19">
        <v>552891.72999999986</v>
      </c>
      <c r="BZ5" s="19">
        <v>576432.91</v>
      </c>
      <c r="CA5" s="19">
        <v>653479.23</v>
      </c>
      <c r="CB5" s="19">
        <v>770054.08000000007</v>
      </c>
      <c r="CC5" s="19">
        <v>694145.02</v>
      </c>
      <c r="CD5" s="19">
        <v>715390.38999999955</v>
      </c>
      <c r="CE5" s="19">
        <v>786401.31</v>
      </c>
      <c r="CF5" s="19">
        <v>854779.57000000007</v>
      </c>
      <c r="CG5" s="19">
        <v>853342.65999999992</v>
      </c>
      <c r="CH5" s="19">
        <v>1040647.4100000003</v>
      </c>
      <c r="CI5" s="19">
        <v>839361.00999999989</v>
      </c>
      <c r="CJ5" s="19">
        <v>908903.32</v>
      </c>
      <c r="CK5" s="19">
        <v>774000.14000000036</v>
      </c>
      <c r="CL5" s="19">
        <v>712671.4</v>
      </c>
      <c r="CM5" s="19">
        <v>770881.20000000007</v>
      </c>
      <c r="CN5" s="19">
        <v>877117.35999999987</v>
      </c>
      <c r="CO5" s="19">
        <v>848538.76001300011</v>
      </c>
      <c r="CP5" s="19">
        <v>933960.87000199966</v>
      </c>
      <c r="CQ5" s="19">
        <v>841937.24000099977</v>
      </c>
      <c r="CR5" s="19">
        <v>1000419.2300000002</v>
      </c>
      <c r="CS5" s="19">
        <v>1221280.6099999999</v>
      </c>
      <c r="CT5" s="19">
        <f>[2]Resumo!B10</f>
        <v>882839.52</v>
      </c>
      <c r="CU5" s="19">
        <f>[2]Resumo!C10</f>
        <v>795514.7599089999</v>
      </c>
      <c r="CV5" s="19">
        <f>[2]Resumo!D10</f>
        <v>834112.59438499971</v>
      </c>
      <c r="CW5" s="19">
        <f>[2]Resumo!E10</f>
        <v>0</v>
      </c>
      <c r="CX5" s="19">
        <f>[2]Resumo!F10</f>
        <v>0</v>
      </c>
      <c r="CY5" s="19">
        <f>[2]Resumo!G10</f>
        <v>0</v>
      </c>
      <c r="CZ5" s="19">
        <f>[2]Resumo!H10</f>
        <v>0</v>
      </c>
      <c r="DA5" s="19">
        <f>[2]Resumo!I10</f>
        <v>0</v>
      </c>
      <c r="DB5" s="19">
        <f>[2]Resumo!J10</f>
        <v>0</v>
      </c>
      <c r="DC5" s="19">
        <f>[2]Resumo!K10</f>
        <v>0</v>
      </c>
      <c r="DD5" s="19">
        <f>[2]Resumo!L10</f>
        <v>0</v>
      </c>
      <c r="DE5" s="19">
        <f>[2]Resumo!M10</f>
        <v>0</v>
      </c>
    </row>
    <row r="6" spans="1:109" x14ac:dyDescent="0.2">
      <c r="A6" s="53" t="s">
        <v>265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">
        <v>195555.99000000034</v>
      </c>
      <c r="O6" s="1">
        <v>-163955.75</v>
      </c>
      <c r="P6" s="1">
        <v>108080.71999998752</v>
      </c>
      <c r="Q6" s="1">
        <v>52222.845999989833</v>
      </c>
      <c r="R6" s="1">
        <v>596502.30314849783</v>
      </c>
      <c r="S6" s="1">
        <v>688988.90999997989</v>
      </c>
      <c r="T6" s="1">
        <v>557484.9800000001</v>
      </c>
      <c r="U6" s="1">
        <v>941952.44962646975</v>
      </c>
      <c r="V6" s="1">
        <v>539912.20000000007</v>
      </c>
      <c r="W6" s="1">
        <v>527099.01999996009</v>
      </c>
      <c r="X6" s="1">
        <v>1043822.2993332886</v>
      </c>
      <c r="Y6" s="1">
        <v>460837.31399995997</v>
      </c>
      <c r="Z6" s="1">
        <v>752279.52488876018</v>
      </c>
      <c r="AA6" s="1">
        <v>288094.68</v>
      </c>
      <c r="AB6" s="1">
        <v>1231684.3819999001</v>
      </c>
      <c r="AC6" s="1">
        <v>809596.06299995026</v>
      </c>
      <c r="AD6" s="1">
        <v>843158.5299999509</v>
      </c>
      <c r="AE6" s="1">
        <v>824281.15844996483</v>
      </c>
      <c r="AF6" s="1">
        <v>1307004.02</v>
      </c>
      <c r="AG6" s="1">
        <v>588323.80999999994</v>
      </c>
      <c r="AH6" s="1">
        <v>1568343.8499999996</v>
      </c>
      <c r="AI6" s="1">
        <v>749082.04999999958</v>
      </c>
      <c r="AJ6" s="1">
        <v>1548171.49</v>
      </c>
      <c r="AK6" s="1">
        <v>884123.15999999992</v>
      </c>
      <c r="AL6" s="1">
        <v>1427584.3299999998</v>
      </c>
      <c r="AM6" s="1">
        <v>564742.87000000011</v>
      </c>
      <c r="AN6" s="1">
        <v>168689.33999999979</v>
      </c>
      <c r="AO6" s="1">
        <v>904350.76</v>
      </c>
      <c r="AP6" s="1">
        <v>1383868.9000000001</v>
      </c>
      <c r="AQ6" s="1">
        <v>922214.51000000013</v>
      </c>
      <c r="AR6" s="1">
        <v>955331.41000000038</v>
      </c>
      <c r="AS6" s="1">
        <v>672459.22409999964</v>
      </c>
      <c r="AT6" s="1">
        <v>830475.83000000054</v>
      </c>
      <c r="AU6" s="55">
        <v>1088586.01</v>
      </c>
      <c r="AV6" s="55">
        <v>959424.30079999985</v>
      </c>
      <c r="AW6" s="55">
        <v>1273180.0900000001</v>
      </c>
      <c r="AX6" s="60">
        <v>720354.63000000024</v>
      </c>
      <c r="AY6" s="19">
        <v>-20420.790000000066</v>
      </c>
      <c r="AZ6" s="1">
        <v>457895.24719032249</v>
      </c>
      <c r="BA6" s="1">
        <v>1088552.49</v>
      </c>
      <c r="BB6" s="1">
        <v>1450341.9300000004</v>
      </c>
      <c r="BC6" s="29">
        <v>907886.57960000006</v>
      </c>
      <c r="BD6" s="29">
        <v>836100.10020000045</v>
      </c>
      <c r="BE6" s="29">
        <v>608298.96839999966</v>
      </c>
      <c r="BF6" s="29">
        <v>967265.52503225778</v>
      </c>
      <c r="BG6" s="29">
        <v>1036299.6964111</v>
      </c>
      <c r="BH6" s="29">
        <v>677927.70559999999</v>
      </c>
      <c r="BI6" s="29">
        <v>724723.27460000012</v>
      </c>
      <c r="BJ6" s="74">
        <v>2192974.64</v>
      </c>
      <c r="BK6" s="74">
        <v>1490673.9900000002</v>
      </c>
      <c r="BL6" s="74">
        <v>1460217.49</v>
      </c>
      <c r="BM6" s="74">
        <v>2480554.91</v>
      </c>
      <c r="BN6" s="74">
        <v>1911789.8000000003</v>
      </c>
      <c r="BO6" s="74">
        <v>1874919.71</v>
      </c>
      <c r="BP6" s="74">
        <v>2056242.9499999997</v>
      </c>
      <c r="BQ6" s="74">
        <v>3003304.4200000004</v>
      </c>
      <c r="BR6" s="74">
        <v>2460871.4300000002</v>
      </c>
      <c r="BS6" s="74">
        <v>2181433.92</v>
      </c>
      <c r="BT6" s="74">
        <v>2538064.11</v>
      </c>
      <c r="BU6" s="74">
        <v>3591757.8099999996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</row>
    <row r="7" spans="1:109" x14ac:dyDescent="0.2">
      <c r="A7" s="53" t="s">
        <v>266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AU7" s="55"/>
      <c r="AV7" s="55"/>
      <c r="AW7" s="55"/>
      <c r="AX7" s="60"/>
      <c r="AY7" s="19"/>
      <c r="BC7" s="29"/>
      <c r="BD7" s="29"/>
      <c r="BE7" s="29"/>
      <c r="BF7" s="29"/>
      <c r="BG7" s="29"/>
      <c r="BH7" s="29"/>
      <c r="BI7" s="29"/>
      <c r="BJ7" s="74">
        <v>1116308.58</v>
      </c>
      <c r="BK7" s="74">
        <v>443156.21450000012</v>
      </c>
      <c r="BL7" s="74">
        <v>361151.55439999985</v>
      </c>
      <c r="BM7" s="74">
        <v>1391814.31</v>
      </c>
      <c r="BN7" s="74">
        <v>782545.29000000027</v>
      </c>
      <c r="BO7" s="74">
        <v>718360.31779999984</v>
      </c>
      <c r="BP7" s="74">
        <v>868397.64299999969</v>
      </c>
      <c r="BQ7" s="74">
        <v>1799056.9816000003</v>
      </c>
      <c r="BR7" s="74">
        <v>1271487.7386000003</v>
      </c>
      <c r="BS7" s="74">
        <v>929643.28960000002</v>
      </c>
      <c r="BT7" s="74">
        <v>1303758.4432000001</v>
      </c>
      <c r="BU7" s="74">
        <v>2339803.8594999998</v>
      </c>
      <c r="BV7" s="74" t="s">
        <v>395</v>
      </c>
      <c r="BW7" s="74" t="s">
        <v>395</v>
      </c>
      <c r="BX7" s="74" t="s">
        <v>395</v>
      </c>
      <c r="BY7" s="74" t="s">
        <v>395</v>
      </c>
      <c r="BZ7" s="74">
        <v>1263545.8499999996</v>
      </c>
      <c r="CA7" s="74">
        <v>1696832.7696000002</v>
      </c>
      <c r="CB7" s="74">
        <v>2062866.9512030005</v>
      </c>
      <c r="CC7" s="74">
        <v>1002841.2585999998</v>
      </c>
      <c r="CD7" s="74">
        <v>1696216.1949960007</v>
      </c>
      <c r="CE7" s="74">
        <v>1843459.0687999993</v>
      </c>
      <c r="CF7" s="74">
        <v>3303573.8964000004</v>
      </c>
      <c r="CG7" s="74">
        <v>2515839.4304999993</v>
      </c>
      <c r="CH7" s="74">
        <v>1786081.0863999994</v>
      </c>
      <c r="CI7" s="74">
        <v>1801912.2448000005</v>
      </c>
      <c r="CJ7" s="74">
        <v>1734464.9144000001</v>
      </c>
      <c r="CK7" s="74">
        <v>1402504.9260000004</v>
      </c>
      <c r="CL7" s="74">
        <v>914588.28899999964</v>
      </c>
      <c r="CM7" s="74">
        <v>1614307.9500000009</v>
      </c>
      <c r="CN7" s="74" t="s">
        <v>369</v>
      </c>
      <c r="CO7" s="74" t="s">
        <v>369</v>
      </c>
      <c r="CP7" s="74" t="s">
        <v>369</v>
      </c>
      <c r="CQ7" s="74" t="s">
        <v>369</v>
      </c>
      <c r="CR7" s="74" t="s">
        <v>369</v>
      </c>
      <c r="CS7" s="74" t="s">
        <v>369</v>
      </c>
      <c r="CT7" s="74" t="str">
        <f>IF(DRE!AX36="","",DRE!AX36)</f>
        <v/>
      </c>
      <c r="CU7" s="74" t="str">
        <f>IF(DRE!AY36="","",DRE!AY36)</f>
        <v/>
      </c>
      <c r="CV7" s="74" t="str">
        <f>IF(DRE!AZ36="","",DRE!AZ36)</f>
        <v/>
      </c>
      <c r="CW7" s="74" t="str">
        <f>IF(DRE!BA36="","",DRE!BA36)</f>
        <v/>
      </c>
      <c r="CX7" s="74" t="str">
        <f>IF(DRE!BB36="","",DRE!BB36)</f>
        <v/>
      </c>
      <c r="CY7" s="74" t="str">
        <f>IF(DRE!BC36="","",DRE!BC36)</f>
        <v/>
      </c>
      <c r="CZ7" s="74" t="str">
        <f>IF(DRE!BD36="","",DRE!BD36)</f>
        <v/>
      </c>
      <c r="DA7" s="74" t="str">
        <f>IF(DRE!BE36="","",DRE!BE36)</f>
        <v/>
      </c>
      <c r="DB7" s="74" t="str">
        <f>IF(DRE!BF36="","",DRE!BF36)</f>
        <v/>
      </c>
      <c r="DC7" s="74" t="str">
        <f>IF(DRE!BG36="","",DRE!BG36)</f>
        <v/>
      </c>
      <c r="DD7" s="74" t="str">
        <f>IF(DRE!BH36="","",DRE!BH36)</f>
        <v/>
      </c>
      <c r="DE7" s="74" t="str">
        <f>IF(DRE!BI36="","",DRE!BI36)</f>
        <v/>
      </c>
    </row>
    <row r="8" spans="1:109" x14ac:dyDescent="0.2">
      <c r="A8" s="57" t="s">
        <v>97</v>
      </c>
      <c r="B8" s="55">
        <f t="shared" ref="B8:M8" si="0">B3+B4+B5</f>
        <v>1251905.0682446565</v>
      </c>
      <c r="C8" s="55">
        <f t="shared" si="0"/>
        <v>1154457.7910613224</v>
      </c>
      <c r="D8" s="55">
        <f t="shared" si="0"/>
        <v>1183242.9127805452</v>
      </c>
      <c r="E8" s="55">
        <f t="shared" si="0"/>
        <v>1291915.3390788354</v>
      </c>
      <c r="F8" s="55">
        <f t="shared" si="0"/>
        <v>1293411.0466638003</v>
      </c>
      <c r="G8" s="55">
        <f t="shared" si="0"/>
        <v>1306796.9747250557</v>
      </c>
      <c r="H8" s="55">
        <f t="shared" si="0"/>
        <v>1485977.832918799</v>
      </c>
      <c r="I8" s="55">
        <f t="shared" si="0"/>
        <v>1509039.2553428165</v>
      </c>
      <c r="J8" s="55">
        <f t="shared" si="0"/>
        <v>1490557.3422433694</v>
      </c>
      <c r="K8" s="55">
        <f t="shared" si="0"/>
        <v>1616661.3529037707</v>
      </c>
      <c r="L8" s="55">
        <f t="shared" si="0"/>
        <v>1596511.5656682842</v>
      </c>
      <c r="M8" s="55">
        <f t="shared" si="0"/>
        <v>1632923.7086199627</v>
      </c>
      <c r="N8" s="55">
        <f t="shared" ref="N8:AK8" si="1">N3+N4+N5</f>
        <v>1497079.5515116551</v>
      </c>
      <c r="O8" s="55">
        <f t="shared" si="1"/>
        <v>1451102.2777399875</v>
      </c>
      <c r="P8" s="55">
        <f t="shared" si="1"/>
        <v>1442210.5248055554</v>
      </c>
      <c r="Q8" s="55">
        <f t="shared" si="1"/>
        <v>1481588.1707983341</v>
      </c>
      <c r="R8" s="55">
        <f t="shared" si="1"/>
        <v>1610069.6159149779</v>
      </c>
      <c r="S8" s="55">
        <f t="shared" si="1"/>
        <v>1702489.4654371068</v>
      </c>
      <c r="T8" s="55">
        <f t="shared" si="1"/>
        <v>1707009.7942716335</v>
      </c>
      <c r="U8" s="55">
        <f t="shared" si="1"/>
        <v>1613678.9274349667</v>
      </c>
      <c r="V8" s="55">
        <f t="shared" si="1"/>
        <v>1652698.1501916409</v>
      </c>
      <c r="W8" s="55">
        <f t="shared" si="1"/>
        <v>1626455.5745602681</v>
      </c>
      <c r="X8" s="55">
        <f t="shared" si="1"/>
        <v>1821513.5370933095</v>
      </c>
      <c r="Y8" s="55">
        <f t="shared" si="1"/>
        <v>1701985.0988399102</v>
      </c>
      <c r="Z8" s="55">
        <f t="shared" si="1"/>
        <v>1763525.2191153993</v>
      </c>
      <c r="AA8" s="55">
        <f t="shared" si="1"/>
        <v>1617599.8373125843</v>
      </c>
      <c r="AB8" s="55">
        <f t="shared" si="1"/>
        <v>1487717.9005062196</v>
      </c>
      <c r="AC8" s="55">
        <f t="shared" si="1"/>
        <v>1428873.3806415254</v>
      </c>
      <c r="AD8" s="55">
        <f t="shared" si="1"/>
        <v>1326652.5929153252</v>
      </c>
      <c r="AE8" s="55">
        <f t="shared" si="1"/>
        <v>1272790.3995824866</v>
      </c>
      <c r="AF8" s="55">
        <f t="shared" si="1"/>
        <v>1535004.7522616577</v>
      </c>
      <c r="AG8" s="55">
        <f t="shared" si="1"/>
        <v>1520031.522126511</v>
      </c>
      <c r="AH8" s="55">
        <f t="shared" si="1"/>
        <v>1465711.7206913044</v>
      </c>
      <c r="AI8" s="55">
        <f t="shared" si="1"/>
        <v>1672469.713374659</v>
      </c>
      <c r="AJ8" s="55">
        <f t="shared" si="1"/>
        <v>1843152.783017132</v>
      </c>
      <c r="AK8" s="55">
        <f t="shared" si="1"/>
        <v>2252898.3236300349</v>
      </c>
      <c r="AL8" s="55">
        <f>AL3+AL4+AL5</f>
        <v>1140629.6469000001</v>
      </c>
      <c r="AM8" s="55">
        <f t="shared" ref="AM8:BI8" si="2">AM3+AM4+AM5</f>
        <v>1553144.8189623649</v>
      </c>
      <c r="AN8" s="55">
        <f t="shared" si="2"/>
        <v>1644442.984385483</v>
      </c>
      <c r="AO8" s="55">
        <f t="shared" si="2"/>
        <v>1650736.3111547623</v>
      </c>
      <c r="AP8" s="55">
        <f t="shared" si="2"/>
        <v>1651667.4981161288</v>
      </c>
      <c r="AQ8" s="55">
        <f t="shared" si="2"/>
        <v>1619718.5587499999</v>
      </c>
      <c r="AR8" s="55">
        <f t="shared" si="2"/>
        <v>1810248.005542475</v>
      </c>
      <c r="AS8" s="55">
        <f t="shared" si="2"/>
        <v>1948051.7087666679</v>
      </c>
      <c r="AT8" s="55">
        <f t="shared" si="2"/>
        <v>1910234.2948591404</v>
      </c>
      <c r="AU8" s="55">
        <f t="shared" si="2"/>
        <v>1985994.3184155733</v>
      </c>
      <c r="AV8" s="55">
        <f t="shared" si="2"/>
        <v>2122823.6025415235</v>
      </c>
      <c r="AW8" s="55">
        <f t="shared" si="2"/>
        <v>2236398.0369892474</v>
      </c>
      <c r="AX8" s="60">
        <f t="shared" si="2"/>
        <v>1949099.2089322503</v>
      </c>
      <c r="AY8" s="60">
        <f t="shared" si="2"/>
        <v>1857228.0633864438</v>
      </c>
      <c r="AZ8" s="60">
        <f t="shared" si="2"/>
        <v>2002373.6598899262</v>
      </c>
      <c r="BA8" s="60">
        <f t="shared" si="2"/>
        <v>2010814.6033234182</v>
      </c>
      <c r="BB8" s="60">
        <f t="shared" si="2"/>
        <v>2042098.9375737989</v>
      </c>
      <c r="BC8" s="60">
        <f t="shared" si="2"/>
        <v>1982207.7923231076</v>
      </c>
      <c r="BD8" s="60">
        <f t="shared" si="2"/>
        <v>2135287.6744802496</v>
      </c>
      <c r="BE8" s="60">
        <f t="shared" si="2"/>
        <v>2049865.6030802501</v>
      </c>
      <c r="BF8" s="60">
        <f t="shared" si="2"/>
        <v>2076592.232747992</v>
      </c>
      <c r="BG8" s="60">
        <f t="shared" si="2"/>
        <v>2172058.8057999993</v>
      </c>
      <c r="BH8" s="60">
        <f t="shared" si="2"/>
        <v>2253458.5942000002</v>
      </c>
      <c r="BI8" s="121">
        <f t="shared" si="2"/>
        <v>2504976.6642000019</v>
      </c>
      <c r="BJ8" s="60">
        <v>2156896.8136779219</v>
      </c>
      <c r="BK8" s="60">
        <v>2201438.6588999997</v>
      </c>
      <c r="BL8" s="60">
        <v>2301123.2955999994</v>
      </c>
      <c r="BM8" s="60">
        <v>2448120.9411999998</v>
      </c>
      <c r="BN8" s="60">
        <v>2568380.5800000005</v>
      </c>
      <c r="BO8" s="60">
        <v>2551024.1396999992</v>
      </c>
      <c r="BP8" s="60">
        <v>2602941.4101666659</v>
      </c>
      <c r="BQ8" s="60">
        <v>2647088.1504666666</v>
      </c>
      <c r="BR8" s="60">
        <v>2666106.2522215056</v>
      </c>
      <c r="BS8" s="60">
        <v>2989804.5726666646</v>
      </c>
      <c r="BT8" s="60">
        <v>2855162.7166666663</v>
      </c>
      <c r="BU8" s="60">
        <v>3347664.0940666688</v>
      </c>
      <c r="BV8" s="60">
        <v>2861248.7890204</v>
      </c>
      <c r="BW8" s="60">
        <v>2650974.7318203999</v>
      </c>
      <c r="BX8" s="60">
        <v>2685804.1903204005</v>
      </c>
      <c r="BY8" s="60">
        <v>2790818.9246204006</v>
      </c>
      <c r="BZ8" s="60">
        <v>2823768.4863584004</v>
      </c>
      <c r="CA8" s="60">
        <v>2918865.1367984</v>
      </c>
      <c r="CB8" s="60">
        <v>3179330.9151744</v>
      </c>
      <c r="CC8" s="60">
        <v>3032591.0977763999</v>
      </c>
      <c r="CD8" s="60">
        <v>3103284.8914473997</v>
      </c>
      <c r="CE8" s="60">
        <v>3402956.5976324002</v>
      </c>
      <c r="CF8" s="60">
        <v>3810971.4100323999</v>
      </c>
      <c r="CG8" s="60">
        <v>3974938.4054539558</v>
      </c>
      <c r="CH8" s="60">
        <v>3433958.1635897364</v>
      </c>
      <c r="CI8" s="60">
        <v>3375979.711529999</v>
      </c>
      <c r="CJ8" s="60">
        <v>3450105.2607997358</v>
      </c>
      <c r="CK8" s="60">
        <v>3421585.1947974907</v>
      </c>
      <c r="CL8" s="60">
        <v>3439636.9320489997</v>
      </c>
      <c r="CM8" s="60">
        <v>3663274.56702</v>
      </c>
      <c r="CN8" s="60">
        <v>3695605.0500739999</v>
      </c>
      <c r="CO8" s="60">
        <v>3579908.552383</v>
      </c>
      <c r="CP8" s="60">
        <v>4009107.362592964</v>
      </c>
      <c r="CQ8" s="60">
        <v>3650367.4379567346</v>
      </c>
      <c r="CR8" s="60">
        <v>4047441.1483200006</v>
      </c>
      <c r="CS8" s="60">
        <v>4467699.2041689996</v>
      </c>
      <c r="CT8" s="60">
        <f t="shared" ref="CT8:CU8" si="3">IFERROR(CT3+CT4+CT5,"")</f>
        <v>3876763.6122579989</v>
      </c>
      <c r="CU8" s="60">
        <f t="shared" si="3"/>
        <v>3668203.8309634286</v>
      </c>
      <c r="CV8" s="60">
        <f t="shared" ref="CV8:CW8" si="4">IFERROR(CV3+CV4+CV5,"")</f>
        <v>3903787.3590810141</v>
      </c>
      <c r="CW8" s="60">
        <f t="shared" si="4"/>
        <v>0</v>
      </c>
      <c r="CX8" s="60">
        <f t="shared" ref="CX8:DE8" si="5">IFERROR(CX3+CX4+CX5,"")</f>
        <v>0</v>
      </c>
      <c r="CY8" s="60">
        <f t="shared" si="5"/>
        <v>0</v>
      </c>
      <c r="CZ8" s="60">
        <f t="shared" si="5"/>
        <v>0</v>
      </c>
      <c r="DA8" s="60">
        <f t="shared" si="5"/>
        <v>0</v>
      </c>
      <c r="DB8" s="60">
        <f t="shared" si="5"/>
        <v>0</v>
      </c>
      <c r="DC8" s="60">
        <f t="shared" si="5"/>
        <v>0</v>
      </c>
      <c r="DD8" s="60">
        <f t="shared" si="5"/>
        <v>0</v>
      </c>
      <c r="DE8" s="60">
        <f t="shared" si="5"/>
        <v>0</v>
      </c>
    </row>
    <row r="9" spans="1:109" x14ac:dyDescent="0.2">
      <c r="A9" s="53" t="s">
        <v>103</v>
      </c>
      <c r="B9" s="55">
        <f>B2-B8</f>
        <v>55318.731755342567</v>
      </c>
      <c r="C9" s="55">
        <f t="shared" ref="C9:M9" si="6">C2-C8</f>
        <v>378693.83293867717</v>
      </c>
      <c r="D9" s="55">
        <f t="shared" si="6"/>
        <v>-192833.08178054518</v>
      </c>
      <c r="E9" s="55">
        <f t="shared" si="6"/>
        <v>383623.47402116377</v>
      </c>
      <c r="F9" s="55">
        <f t="shared" si="6"/>
        <v>96893.083336198935</v>
      </c>
      <c r="G9" s="55">
        <f t="shared" si="6"/>
        <v>122929.90527494345</v>
      </c>
      <c r="H9" s="55">
        <f t="shared" si="6"/>
        <v>131867.02708120085</v>
      </c>
      <c r="I9" s="55">
        <f t="shared" si="6"/>
        <v>245340.53565714438</v>
      </c>
      <c r="J9" s="55">
        <f t="shared" si="6"/>
        <v>-26322.594243410276</v>
      </c>
      <c r="K9" s="55">
        <f t="shared" si="6"/>
        <v>480530.25209619245</v>
      </c>
      <c r="L9" s="55">
        <f t="shared" si="6"/>
        <v>-20196.313668333692</v>
      </c>
      <c r="M9" s="55">
        <f t="shared" si="6"/>
        <v>345628.99938000063</v>
      </c>
      <c r="N9" s="55">
        <f>N2-N8</f>
        <v>-29679.441511666402</v>
      </c>
      <c r="O9" s="55">
        <f t="shared" ref="O9:BI9" si="7">O2-O8</f>
        <v>-418384.47073999979</v>
      </c>
      <c r="P9" s="55">
        <f t="shared" si="7"/>
        <v>-128472.50480556767</v>
      </c>
      <c r="Q9" s="55">
        <f t="shared" si="7"/>
        <v>-151374.2847983411</v>
      </c>
      <c r="R9" s="55">
        <f t="shared" si="7"/>
        <v>363854.40808500093</v>
      </c>
      <c r="S9" s="55">
        <f t="shared" si="7"/>
        <v>433684.72456287313</v>
      </c>
      <c r="T9" s="55">
        <f t="shared" si="7"/>
        <v>276088.78572836611</v>
      </c>
      <c r="U9" s="55">
        <f t="shared" si="7"/>
        <v>663108.98219149956</v>
      </c>
      <c r="V9" s="55">
        <f t="shared" si="7"/>
        <v>196737.88980835932</v>
      </c>
      <c r="W9" s="55">
        <f t="shared" si="7"/>
        <v>226918.0954396876</v>
      </c>
      <c r="X9" s="55">
        <f t="shared" si="7"/>
        <v>668209.09223997942</v>
      </c>
      <c r="Y9" s="55">
        <f t="shared" si="7"/>
        <v>131471.63516005035</v>
      </c>
      <c r="Z9" s="55">
        <f t="shared" si="7"/>
        <v>365427.5718845576</v>
      </c>
      <c r="AA9" s="55">
        <f t="shared" si="7"/>
        <v>-44327.74831258459</v>
      </c>
      <c r="AB9" s="55">
        <f t="shared" si="7"/>
        <v>989243.54149367637</v>
      </c>
      <c r="AC9" s="55">
        <f t="shared" si="7"/>
        <v>657612.55735842278</v>
      </c>
      <c r="AD9" s="55">
        <f t="shared" si="7"/>
        <v>711456.4670846255</v>
      </c>
      <c r="AE9" s="55">
        <f t="shared" si="7"/>
        <v>687297.35441747867</v>
      </c>
      <c r="AF9" s="55">
        <f t="shared" si="7"/>
        <v>914573.63773834193</v>
      </c>
      <c r="AG9" s="55">
        <f t="shared" si="7"/>
        <v>231373.197873489</v>
      </c>
      <c r="AH9" s="55">
        <f t="shared" si="7"/>
        <v>1170393.1893086957</v>
      </c>
      <c r="AI9" s="55">
        <f t="shared" si="7"/>
        <v>318587.65662534116</v>
      </c>
      <c r="AJ9" s="55">
        <f t="shared" si="7"/>
        <v>1047324.446982868</v>
      </c>
      <c r="AK9" s="55">
        <f t="shared" si="7"/>
        <v>419644.03636996541</v>
      </c>
      <c r="AL9" s="55">
        <f t="shared" si="7"/>
        <v>1019645.5230999999</v>
      </c>
      <c r="AM9" s="55">
        <f t="shared" si="7"/>
        <v>176025.74103763513</v>
      </c>
      <c r="AN9" s="55">
        <f t="shared" si="7"/>
        <v>-236324.8043854828</v>
      </c>
      <c r="AO9" s="55">
        <f t="shared" si="7"/>
        <v>543567.77884523757</v>
      </c>
      <c r="AP9" s="55">
        <f t="shared" si="7"/>
        <v>998711.31188387168</v>
      </c>
      <c r="AQ9" s="55">
        <f t="shared" si="7"/>
        <v>589696.9212500006</v>
      </c>
      <c r="AR9" s="55">
        <f t="shared" si="7"/>
        <v>522307.90445752512</v>
      </c>
      <c r="AS9" s="55">
        <f t="shared" si="7"/>
        <v>232818.36123333196</v>
      </c>
      <c r="AT9" s="55">
        <f t="shared" si="7"/>
        <v>364013.14514085953</v>
      </c>
      <c r="AU9" s="55">
        <f t="shared" si="7"/>
        <v>602766.40158442641</v>
      </c>
      <c r="AV9" s="55">
        <f t="shared" si="7"/>
        <v>458457.49745847657</v>
      </c>
      <c r="AW9" s="55">
        <f t="shared" si="7"/>
        <v>766379.10301075224</v>
      </c>
      <c r="AX9" s="55">
        <f t="shared" si="7"/>
        <v>287676.14106774982</v>
      </c>
      <c r="AY9" s="55">
        <f t="shared" si="7"/>
        <v>-424572.83338644379</v>
      </c>
      <c r="AZ9" s="55">
        <f t="shared" si="7"/>
        <v>8985.2701100737322</v>
      </c>
      <c r="BA9" s="55">
        <f t="shared" si="7"/>
        <v>648216.3766765818</v>
      </c>
      <c r="BB9" s="55">
        <f t="shared" si="7"/>
        <v>964480.81242620107</v>
      </c>
      <c r="BC9" s="55">
        <f t="shared" si="7"/>
        <v>482693.56767689227</v>
      </c>
      <c r="BD9" s="55">
        <f t="shared" si="7"/>
        <v>366094.38551974995</v>
      </c>
      <c r="BE9" s="55">
        <f t="shared" si="7"/>
        <v>154994.44691974972</v>
      </c>
      <c r="BF9" s="55">
        <f t="shared" si="7"/>
        <v>480303.79725200776</v>
      </c>
      <c r="BG9" s="55">
        <f t="shared" si="7"/>
        <v>535638.63420000114</v>
      </c>
      <c r="BH9" s="55">
        <f t="shared" si="7"/>
        <v>162423.94579999987</v>
      </c>
      <c r="BI9" s="55">
        <f t="shared" si="7"/>
        <v>187807.97579999873</v>
      </c>
      <c r="BJ9" s="60">
        <v>702688.49632207816</v>
      </c>
      <c r="BK9" s="60">
        <v>89064.961100000422</v>
      </c>
      <c r="BL9" s="60">
        <v>-42359.505599999335</v>
      </c>
      <c r="BM9" s="60">
        <v>778244.28880000021</v>
      </c>
      <c r="BN9" s="60">
        <v>191250.13999999966</v>
      </c>
      <c r="BO9" s="60">
        <v>213472.21030000038</v>
      </c>
      <c r="BP9" s="60">
        <v>236247.59983333386</v>
      </c>
      <c r="BQ9" s="60">
        <v>1154486.6995333331</v>
      </c>
      <c r="BR9" s="60">
        <v>680688.54777849466</v>
      </c>
      <c r="BS9" s="60">
        <v>255901.54733333504</v>
      </c>
      <c r="BT9" s="60">
        <v>624285.97333333362</v>
      </c>
      <c r="BU9" s="60">
        <v>1575584.8259333312</v>
      </c>
      <c r="BV9" s="60">
        <v>348506.47097960021</v>
      </c>
      <c r="BW9" s="60">
        <v>605962.93817960005</v>
      </c>
      <c r="BX9" s="60">
        <v>-80611.71032040054</v>
      </c>
      <c r="BY9" s="60">
        <v>502762.70537959971</v>
      </c>
      <c r="BZ9" s="60">
        <v>806220.24364159955</v>
      </c>
      <c r="CA9" s="60">
        <v>1149258.9832275999</v>
      </c>
      <c r="CB9" s="60">
        <v>1460915.5048286007</v>
      </c>
      <c r="CC9" s="60">
        <v>421618.87222360028</v>
      </c>
      <c r="CD9" s="60">
        <v>1149851.988548601</v>
      </c>
      <c r="CE9" s="60">
        <v>1255184.0723896022</v>
      </c>
      <c r="CF9" s="60">
        <v>2333367.5899035996</v>
      </c>
      <c r="CG9" s="60">
        <v>1337167.504467045</v>
      </c>
      <c r="CH9" s="60">
        <v>968695.77641626447</v>
      </c>
      <c r="CI9" s="60">
        <v>710274.56847000076</v>
      </c>
      <c r="CJ9" s="60">
        <v>598089.07920026407</v>
      </c>
      <c r="CK9" s="60">
        <v>518042.30520250928</v>
      </c>
      <c r="CL9" s="60">
        <v>108573.94795100112</v>
      </c>
      <c r="CM9" s="60">
        <v>641241.70294400025</v>
      </c>
      <c r="CN9" s="60">
        <v>830404.32992599998</v>
      </c>
      <c r="CO9" s="60">
        <v>1248692.1560669998</v>
      </c>
      <c r="CP9" s="60">
        <v>411369.25023903651</v>
      </c>
      <c r="CQ9" s="60">
        <v>649962.8420432657</v>
      </c>
      <c r="CR9" s="60">
        <v>634355.57167999912</v>
      </c>
      <c r="CS9" s="60">
        <v>2879733.8158310018</v>
      </c>
      <c r="CT9" s="60">
        <f t="shared" ref="CT9:CU9" si="8">IFERROR(CT2-CT8,"")</f>
        <v>-37705.65225799894</v>
      </c>
      <c r="CU9" s="60">
        <f t="shared" si="8"/>
        <v>-44459.740963428747</v>
      </c>
      <c r="CV9" s="60">
        <f t="shared" ref="CV9:CW9" si="9">IFERROR(CV2-CV8,"")</f>
        <v>792184.77491898648</v>
      </c>
      <c r="CW9" s="60">
        <f t="shared" si="9"/>
        <v>0</v>
      </c>
      <c r="CX9" s="60">
        <f t="shared" ref="CX9:DE9" si="10">IFERROR(CX2-CX8,"")</f>
        <v>0</v>
      </c>
      <c r="CY9" s="60">
        <f t="shared" si="10"/>
        <v>0</v>
      </c>
      <c r="CZ9" s="60">
        <f t="shared" si="10"/>
        <v>0</v>
      </c>
      <c r="DA9" s="60">
        <f t="shared" si="10"/>
        <v>0</v>
      </c>
      <c r="DB9" s="60">
        <f t="shared" si="10"/>
        <v>0</v>
      </c>
      <c r="DC9" s="60">
        <f t="shared" si="10"/>
        <v>0</v>
      </c>
      <c r="DD9" s="60">
        <f t="shared" si="10"/>
        <v>0</v>
      </c>
      <c r="DE9" s="60">
        <f t="shared" si="10"/>
        <v>0</v>
      </c>
    </row>
    <row r="10" spans="1:109" ht="238.5" customHeight="1" x14ac:dyDescent="0.2">
      <c r="A10" s="53" t="s">
        <v>249</v>
      </c>
      <c r="BJ10" s="123" t="s">
        <v>250</v>
      </c>
      <c r="BK10" s="123" t="s">
        <v>252</v>
      </c>
      <c r="BL10" s="123" t="s">
        <v>253</v>
      </c>
      <c r="BM10" s="123" t="s">
        <v>254</v>
      </c>
      <c r="BN10" s="123" t="s">
        <v>255</v>
      </c>
      <c r="BO10" s="123" t="s">
        <v>256</v>
      </c>
      <c r="BS10" s="123" t="s">
        <v>278</v>
      </c>
      <c r="BU10" s="130" t="s">
        <v>285</v>
      </c>
      <c r="BW10" s="123" t="s">
        <v>287</v>
      </c>
      <c r="BX10" s="123"/>
      <c r="CA10" s="123" t="s">
        <v>436</v>
      </c>
      <c r="CB10" s="123" t="s">
        <v>437</v>
      </c>
      <c r="CC10" s="123" t="s">
        <v>438</v>
      </c>
      <c r="CD10" s="123" t="s">
        <v>439</v>
      </c>
      <c r="CF10" s="123" t="s">
        <v>449</v>
      </c>
      <c r="CI10" s="123"/>
      <c r="CJ10" s="123"/>
      <c r="CK10" s="376"/>
      <c r="CL10" s="130" t="s">
        <v>573</v>
      </c>
      <c r="CM10" s="123"/>
      <c r="CN10" s="123"/>
      <c r="CO10" s="123"/>
      <c r="CP10" s="123"/>
      <c r="CR10" s="123"/>
    </row>
    <row r="11" spans="1:109" ht="42.75" customHeight="1" x14ac:dyDescent="0.2">
      <c r="A11" s="53" t="s">
        <v>243</v>
      </c>
      <c r="BJ11" s="123" t="s">
        <v>251</v>
      </c>
      <c r="BK11" s="123" t="s">
        <v>257</v>
      </c>
      <c r="BL11" s="123" t="s">
        <v>258</v>
      </c>
      <c r="BM11" s="123" t="s">
        <v>259</v>
      </c>
      <c r="BN11" s="123" t="s">
        <v>260</v>
      </c>
      <c r="BO11" s="123" t="s">
        <v>262</v>
      </c>
      <c r="BP11" s="130" t="s">
        <v>261</v>
      </c>
      <c r="BS11" s="123" t="s">
        <v>277</v>
      </c>
      <c r="BU11" s="130" t="s">
        <v>286</v>
      </c>
      <c r="BW11" s="123" t="s">
        <v>288</v>
      </c>
      <c r="BX11" s="123" t="s">
        <v>321</v>
      </c>
      <c r="CF11" s="123" t="s">
        <v>450</v>
      </c>
      <c r="CI11" s="123"/>
      <c r="CJ11" s="123"/>
      <c r="CR11" s="123"/>
    </row>
    <row r="12" spans="1:109" x14ac:dyDescent="0.2">
      <c r="A12" s="53" t="s">
        <v>313</v>
      </c>
      <c r="Z12" s="1">
        <v>48459.630000000005</v>
      </c>
      <c r="AA12" s="1">
        <v>15393.73</v>
      </c>
      <c r="AB12" s="1">
        <v>9094.42</v>
      </c>
      <c r="AC12" s="1">
        <v>9069.6200000000008</v>
      </c>
      <c r="AD12" s="1">
        <v>14114.65</v>
      </c>
      <c r="AE12" s="1">
        <v>66299.88</v>
      </c>
      <c r="AF12" s="1">
        <v>16874.649999999998</v>
      </c>
      <c r="AG12" s="1">
        <v>22271.859999999997</v>
      </c>
      <c r="AH12" s="1">
        <v>9498.26</v>
      </c>
      <c r="AI12" s="1">
        <v>46340.979999999996</v>
      </c>
      <c r="AJ12" s="1">
        <v>11278.999999999998</v>
      </c>
      <c r="AK12" s="1">
        <v>35578.239999999998</v>
      </c>
      <c r="AL12" s="1">
        <v>11588.989999999998</v>
      </c>
      <c r="AM12" s="1">
        <v>32223.180000000004</v>
      </c>
      <c r="AN12" s="1">
        <v>15309.96</v>
      </c>
      <c r="AO12" s="1">
        <v>45722.61</v>
      </c>
      <c r="AP12" s="1">
        <v>34502.25</v>
      </c>
      <c r="AQ12" s="1">
        <v>37779.75</v>
      </c>
      <c r="AR12" s="1">
        <v>42094.58</v>
      </c>
      <c r="AS12" s="1">
        <v>45636.69</v>
      </c>
      <c r="AT12" s="1">
        <v>45175.409999999989</v>
      </c>
      <c r="AU12" s="1">
        <v>39850.58</v>
      </c>
      <c r="AV12" s="1">
        <v>83465.23</v>
      </c>
      <c r="AW12" s="1">
        <v>86874.45</v>
      </c>
      <c r="AX12" s="1">
        <v>29746.630000000005</v>
      </c>
      <c r="AY12" s="1">
        <v>18941.760000000002</v>
      </c>
      <c r="AZ12" s="1">
        <v>32915.160000000003</v>
      </c>
      <c r="BA12" s="1">
        <v>106067.72</v>
      </c>
      <c r="BB12" s="1">
        <v>64119.41</v>
      </c>
      <c r="BC12" s="1">
        <v>111006.47</v>
      </c>
      <c r="BD12" s="1">
        <v>11551.849999999999</v>
      </c>
      <c r="BE12" s="1">
        <v>130378.63999999998</v>
      </c>
      <c r="BF12" s="1">
        <v>66227.94</v>
      </c>
      <c r="BG12" s="1">
        <v>80018.850000000006</v>
      </c>
      <c r="BH12" s="1">
        <v>182634.19</v>
      </c>
      <c r="BI12" s="1">
        <v>133376.75</v>
      </c>
      <c r="BJ12" s="214">
        <v>17722.400000000001</v>
      </c>
      <c r="BK12" s="214">
        <v>37863.440000000002</v>
      </c>
      <c r="BL12" s="214">
        <v>17778.030000000002</v>
      </c>
      <c r="BM12" s="214">
        <v>37235.689999999995</v>
      </c>
      <c r="BN12" s="214">
        <v>38944.1</v>
      </c>
      <c r="BO12" s="214">
        <v>86275.060000000012</v>
      </c>
      <c r="BP12" s="214">
        <v>171883.22</v>
      </c>
      <c r="BQ12" s="214">
        <v>77700.86</v>
      </c>
      <c r="BR12" s="214">
        <v>240605.86</v>
      </c>
      <c r="BS12" s="214">
        <v>171332.58</v>
      </c>
      <c r="BT12" s="214">
        <v>165965.22</v>
      </c>
      <c r="BU12" s="214">
        <v>339598.12999999995</v>
      </c>
      <c r="BV12" s="214">
        <f>[5]Sucumbências!BD44</f>
        <v>45577.950000000004</v>
      </c>
      <c r="BW12" s="214">
        <f>[5]Sucumbências!BE44</f>
        <v>257734.03999999998</v>
      </c>
      <c r="BX12" s="214">
        <f>[5]Sucumbências!BF44</f>
        <v>133547.93</v>
      </c>
      <c r="BY12" s="214">
        <f>[5]Sucumbências!BG44</f>
        <v>39191.42</v>
      </c>
      <c r="BZ12" s="214">
        <f>[5]Sucumbências!BH44</f>
        <v>112128.08</v>
      </c>
      <c r="CA12" s="214">
        <f>[5]Sucumbências!BI44</f>
        <v>187391.46</v>
      </c>
      <c r="CB12" s="214">
        <f>[5]Sucumbências!BJ44</f>
        <v>410618.00999999995</v>
      </c>
      <c r="CC12" s="214">
        <f>[5]Sucumbências!BK44</f>
        <v>303810.37</v>
      </c>
      <c r="CD12" s="214">
        <f>[5]Sucumbências!BL44</f>
        <v>300715.48</v>
      </c>
      <c r="CE12" s="214">
        <f>[5]Sucumbências!BM44</f>
        <v>774705.700000001</v>
      </c>
      <c r="CF12" s="214">
        <f>[5]Sucumbências!BN44</f>
        <v>290176.03999999998</v>
      </c>
      <c r="CG12" s="214">
        <f>[5]Sucumbências!BO44</f>
        <v>889365.65999999992</v>
      </c>
      <c r="CH12" s="214">
        <v>367038.29000000004</v>
      </c>
      <c r="CI12" s="214">
        <v>389371.93</v>
      </c>
      <c r="CJ12" s="214">
        <v>397295.69999999995</v>
      </c>
      <c r="CK12" s="214">
        <v>321630.05</v>
      </c>
      <c r="CL12" s="214">
        <v>513933.32</v>
      </c>
      <c r="CM12" s="214">
        <v>233201.97000000003</v>
      </c>
      <c r="CN12" s="214">
        <v>112779.26</v>
      </c>
      <c r="CO12" s="214">
        <v>579410.41</v>
      </c>
      <c r="CP12" s="214">
        <v>387892.36000000004</v>
      </c>
      <c r="CQ12" s="214">
        <v>426678.63</v>
      </c>
      <c r="CR12" s="214">
        <v>247509.19</v>
      </c>
      <c r="CS12" s="214">
        <v>501699.87</v>
      </c>
      <c r="CT12" s="214">
        <f>[5]Sucumbências!CD44</f>
        <v>430573.42</v>
      </c>
      <c r="CU12" s="214">
        <f>[5]Sucumbências!CE44</f>
        <v>410980.78</v>
      </c>
      <c r="CV12" s="214">
        <f>[5]Sucumbências!CF44</f>
        <v>0</v>
      </c>
      <c r="CW12" s="214">
        <f>[5]Sucumbências!CG44</f>
        <v>0</v>
      </c>
      <c r="CX12" s="214">
        <f>[5]Sucumbências!CH44</f>
        <v>0</v>
      </c>
      <c r="CY12" s="214">
        <f>[5]Sucumbências!CI44</f>
        <v>0</v>
      </c>
      <c r="CZ12" s="214">
        <f>[5]Sucumbências!CJ44</f>
        <v>0</v>
      </c>
      <c r="DA12" s="214">
        <f>[5]Sucumbências!CK44</f>
        <v>0</v>
      </c>
      <c r="DB12" s="214">
        <f>[5]Sucumbências!CL44</f>
        <v>0</v>
      </c>
      <c r="DC12" s="214">
        <f>[5]Sucumbências!CM44</f>
        <v>0</v>
      </c>
      <c r="DD12" s="214">
        <f>[5]Sucumbências!CN44</f>
        <v>0</v>
      </c>
      <c r="DE12" s="214">
        <f>[5]Sucumbências!CO44</f>
        <v>0</v>
      </c>
    </row>
    <row r="13" spans="1:109" x14ac:dyDescent="0.2">
      <c r="A13" s="53" t="s">
        <v>21</v>
      </c>
      <c r="Z13" s="1">
        <v>15818.67</v>
      </c>
      <c r="AA13" s="1">
        <v>19856.419999999998</v>
      </c>
      <c r="AB13" s="1">
        <v>27171.63</v>
      </c>
      <c r="AC13" s="1">
        <v>300</v>
      </c>
      <c r="AD13" s="1">
        <v>5304.7999999999993</v>
      </c>
      <c r="AE13" s="1">
        <v>1476.66</v>
      </c>
      <c r="AF13" s="1">
        <v>8208.94</v>
      </c>
      <c r="AG13" s="1">
        <v>608.23</v>
      </c>
      <c r="AH13" s="1">
        <v>4276.55</v>
      </c>
      <c r="AI13" s="1">
        <v>7719.49</v>
      </c>
      <c r="AJ13" s="1">
        <v>56314.59</v>
      </c>
      <c r="AK13" s="1">
        <v>11300</v>
      </c>
      <c r="AL13" s="1">
        <v>0</v>
      </c>
      <c r="AM13" s="1">
        <v>0</v>
      </c>
      <c r="AN13" s="1">
        <v>0</v>
      </c>
      <c r="AO13" s="1">
        <v>3331.13</v>
      </c>
      <c r="AP13" s="1">
        <v>5311.54</v>
      </c>
      <c r="AQ13" s="1">
        <v>6512.89</v>
      </c>
      <c r="AR13" s="1">
        <v>3779.88</v>
      </c>
      <c r="AS13" s="1">
        <v>35269.799999999996</v>
      </c>
      <c r="AT13" s="1">
        <v>25874.19</v>
      </c>
      <c r="AU13" s="1">
        <v>21889.69</v>
      </c>
      <c r="AV13" s="1">
        <v>25793.59</v>
      </c>
      <c r="AW13" s="1">
        <v>13816.28</v>
      </c>
      <c r="AX13" s="1">
        <v>11747.12</v>
      </c>
      <c r="AY13" s="1">
        <v>5696.7300000000005</v>
      </c>
      <c r="AZ13" s="1">
        <v>5693.35</v>
      </c>
      <c r="BA13" s="1">
        <v>7446.7</v>
      </c>
      <c r="BB13" s="1">
        <v>14391.150000000001</v>
      </c>
      <c r="BC13" s="1">
        <v>14336.19</v>
      </c>
      <c r="BD13" s="1">
        <v>2040.76</v>
      </c>
      <c r="BE13" s="1">
        <v>5100.3500000000004</v>
      </c>
      <c r="BF13" s="1">
        <v>6902.7800000000007</v>
      </c>
      <c r="BG13" s="1">
        <v>14970.92</v>
      </c>
      <c r="BH13" s="1">
        <v>13723.560000000001</v>
      </c>
      <c r="BI13" s="1">
        <v>176797.66</v>
      </c>
      <c r="BJ13" s="214">
        <v>17170.8</v>
      </c>
      <c r="BK13" s="214">
        <v>22510</v>
      </c>
      <c r="BL13" s="214">
        <v>32443.95</v>
      </c>
      <c r="BM13" s="214">
        <v>17170.8</v>
      </c>
      <c r="BN13" s="214">
        <v>28040.829999999998</v>
      </c>
      <c r="BO13" s="214">
        <v>65037.659999999996</v>
      </c>
      <c r="BP13" s="214">
        <v>21614.62</v>
      </c>
      <c r="BQ13" s="214">
        <v>22194.29</v>
      </c>
      <c r="BR13" s="214">
        <v>23943.87</v>
      </c>
      <c r="BS13" s="214">
        <v>32073.500000000004</v>
      </c>
      <c r="BT13" s="214">
        <v>41254.85</v>
      </c>
      <c r="BU13" s="214">
        <v>32755.25</v>
      </c>
      <c r="BV13" s="214">
        <f>IF(BV2="","",GLOSAS!BD43)</f>
        <v>22436.780000000002</v>
      </c>
      <c r="BW13" s="214">
        <f>IF(BW2="","",GLOSAS!BE43)</f>
        <v>37827.72</v>
      </c>
      <c r="BX13" s="214">
        <f>IF(BX2="","",GLOSAS!BF43)</f>
        <v>13762.51</v>
      </c>
      <c r="BY13" s="214">
        <f>IF(BY2="","",GLOSAS!BG43)</f>
        <v>36048.9</v>
      </c>
      <c r="BZ13" s="214">
        <f>IF(BZ2="","",GLOSAS!BH43)</f>
        <v>69000.39</v>
      </c>
      <c r="CA13" s="214">
        <f>IF(CA2="","",GLOSAS!BI43)</f>
        <v>43713.200000000004</v>
      </c>
      <c r="CB13" s="214">
        <f>IF(CB2="","",GLOSAS!BJ43)</f>
        <v>150696.85</v>
      </c>
      <c r="CC13" s="214">
        <f>IF(CC2="","",GLOSAS!BK43)</f>
        <v>78157.039999999994</v>
      </c>
      <c r="CD13" s="214">
        <f>IF(CD2="","",GLOSAS!BL43)</f>
        <v>45044.93</v>
      </c>
      <c r="CE13" s="214">
        <f>IF(CE2="","",GLOSAS!BM43)</f>
        <v>101567.28</v>
      </c>
      <c r="CF13" s="214">
        <f>IF(CF2="","",GLOSAS!BN43)</f>
        <v>40923.06</v>
      </c>
      <c r="CG13" s="214">
        <f>IF(CG2="","",GLOSAS!BO43)</f>
        <v>48676.609999999993</v>
      </c>
      <c r="CH13" s="214">
        <v>28380.25</v>
      </c>
      <c r="CI13" s="214">
        <v>46323.669999999991</v>
      </c>
      <c r="CJ13" s="214">
        <v>30467.120000000003</v>
      </c>
      <c r="CK13" s="214">
        <v>48258.81</v>
      </c>
      <c r="CL13" s="214">
        <v>-25177.88</v>
      </c>
      <c r="CM13" s="214">
        <v>141289.76999999999</v>
      </c>
      <c r="CN13" s="214">
        <v>36171.729999999996</v>
      </c>
      <c r="CO13" s="214">
        <v>21721.530000000006</v>
      </c>
      <c r="CP13" s="214">
        <v>252293.12</v>
      </c>
      <c r="CQ13" s="214">
        <v>31609.760000000002</v>
      </c>
      <c r="CR13" s="214">
        <v>63494.05</v>
      </c>
      <c r="CS13" s="214">
        <v>21560.920000000002</v>
      </c>
      <c r="CT13" s="214">
        <f>IF(CT2="","",GLOSAS!CD43)</f>
        <v>9114.0400000000009</v>
      </c>
      <c r="CU13" s="214">
        <f>IF(CU2="","",GLOSAS!CE43)</f>
        <v>23550.57</v>
      </c>
      <c r="CV13" s="214">
        <f>IF(CV2="","",GLOSAS!CF43)</f>
        <v>31308.160000000003</v>
      </c>
      <c r="CW13" s="214">
        <f>IF(CW2="","",GLOSAS!CG43)</f>
        <v>0</v>
      </c>
      <c r="CX13" s="214">
        <f>IF(CX2="","",GLOSAS!CH43)</f>
        <v>0</v>
      </c>
      <c r="CY13" s="214">
        <f>IF(CY2="","",GLOSAS!CI43)</f>
        <v>0</v>
      </c>
      <c r="CZ13" s="214">
        <f>IF(CZ2="","",GLOSAS!CJ43)</f>
        <v>0</v>
      </c>
      <c r="DA13" s="214">
        <f>IF(DA2="","",GLOSAS!CK43)</f>
        <v>0</v>
      </c>
      <c r="DB13" s="214">
        <f>IF(DB2="","",GLOSAS!CL43)</f>
        <v>0</v>
      </c>
      <c r="DC13" s="214">
        <f>IF(DC2="","",GLOSAS!CM43)</f>
        <v>0</v>
      </c>
      <c r="DD13" s="214">
        <f>IF(DD2="","",GLOSAS!CN43)</f>
        <v>0</v>
      </c>
      <c r="DE13" s="214">
        <f>IF(DE2="","",GLOSAS!CO43)</f>
        <v>0</v>
      </c>
    </row>
    <row r="14" spans="1:109" x14ac:dyDescent="0.2">
      <c r="A14" s="53" t="s">
        <v>445</v>
      </c>
      <c r="Z14" s="1">
        <f t="shared" ref="Z14:CF14" si="11">IF(Z2="","",Z12*0.1)</f>
        <v>4845.9630000000006</v>
      </c>
      <c r="AA14" s="1">
        <f t="shared" si="11"/>
        <v>1539.373</v>
      </c>
      <c r="AB14" s="1">
        <f t="shared" si="11"/>
        <v>909.44200000000001</v>
      </c>
      <c r="AC14" s="1">
        <f t="shared" si="11"/>
        <v>906.9620000000001</v>
      </c>
      <c r="AD14" s="1">
        <f t="shared" si="11"/>
        <v>1411.4650000000001</v>
      </c>
      <c r="AE14" s="1">
        <f t="shared" si="11"/>
        <v>6629.9880000000012</v>
      </c>
      <c r="AF14" s="1">
        <f t="shared" si="11"/>
        <v>1687.4649999999999</v>
      </c>
      <c r="AG14" s="1">
        <f t="shared" si="11"/>
        <v>2227.1859999999997</v>
      </c>
      <c r="AH14" s="1">
        <f t="shared" si="11"/>
        <v>949.82600000000002</v>
      </c>
      <c r="AI14" s="1">
        <f t="shared" si="11"/>
        <v>4634.098</v>
      </c>
      <c r="AJ14" s="1">
        <f t="shared" si="11"/>
        <v>1127.8999999999999</v>
      </c>
      <c r="AK14" s="1">
        <f t="shared" si="11"/>
        <v>3557.8240000000001</v>
      </c>
      <c r="AL14" s="1">
        <f t="shared" si="11"/>
        <v>1158.8989999999999</v>
      </c>
      <c r="AM14" s="1">
        <f t="shared" si="11"/>
        <v>3222.3180000000007</v>
      </c>
      <c r="AN14" s="1">
        <f t="shared" si="11"/>
        <v>1530.9960000000001</v>
      </c>
      <c r="AO14" s="1">
        <f t="shared" si="11"/>
        <v>4572.2610000000004</v>
      </c>
      <c r="AP14" s="1">
        <f t="shared" si="11"/>
        <v>3450.2250000000004</v>
      </c>
      <c r="AQ14" s="1">
        <f t="shared" si="11"/>
        <v>3777.9750000000004</v>
      </c>
      <c r="AR14" s="1">
        <f t="shared" si="11"/>
        <v>4209.4580000000005</v>
      </c>
      <c r="AS14" s="1">
        <f t="shared" si="11"/>
        <v>4563.6690000000008</v>
      </c>
      <c r="AT14" s="1">
        <f t="shared" si="11"/>
        <v>4517.5409999999993</v>
      </c>
      <c r="AU14" s="1">
        <f t="shared" si="11"/>
        <v>3985.0580000000004</v>
      </c>
      <c r="AV14" s="1">
        <f t="shared" si="11"/>
        <v>8346.5229999999992</v>
      </c>
      <c r="AW14" s="1">
        <f t="shared" si="11"/>
        <v>8687.4449999999997</v>
      </c>
      <c r="AX14" s="1">
        <f t="shared" si="11"/>
        <v>2974.6630000000005</v>
      </c>
      <c r="AY14" s="1">
        <f t="shared" si="11"/>
        <v>1894.1760000000004</v>
      </c>
      <c r="AZ14" s="1">
        <f t="shared" si="11"/>
        <v>3291.5160000000005</v>
      </c>
      <c r="BA14" s="1">
        <f t="shared" si="11"/>
        <v>10606.772000000001</v>
      </c>
      <c r="BB14" s="1">
        <f t="shared" si="11"/>
        <v>6411.9410000000007</v>
      </c>
      <c r="BC14" s="1">
        <f t="shared" si="11"/>
        <v>11100.647000000001</v>
      </c>
      <c r="BD14" s="1">
        <f t="shared" si="11"/>
        <v>1155.1849999999999</v>
      </c>
      <c r="BE14" s="1">
        <f t="shared" si="11"/>
        <v>13037.864</v>
      </c>
      <c r="BF14" s="1">
        <f t="shared" si="11"/>
        <v>6622.7940000000008</v>
      </c>
      <c r="BG14" s="1">
        <f t="shared" si="11"/>
        <v>8001.8850000000011</v>
      </c>
      <c r="BH14" s="1">
        <f t="shared" si="11"/>
        <v>18263.419000000002</v>
      </c>
      <c r="BI14" s="1">
        <f t="shared" si="11"/>
        <v>13337.675000000001</v>
      </c>
      <c r="BJ14" s="1">
        <f t="shared" si="11"/>
        <v>1772.2400000000002</v>
      </c>
      <c r="BK14" s="1">
        <f t="shared" si="11"/>
        <v>3786.3440000000005</v>
      </c>
      <c r="BL14" s="1">
        <f t="shared" si="11"/>
        <v>1777.8030000000003</v>
      </c>
      <c r="BM14" s="1">
        <f t="shared" si="11"/>
        <v>3723.5689999999995</v>
      </c>
      <c r="BN14" s="1">
        <f t="shared" si="11"/>
        <v>3894.41</v>
      </c>
      <c r="BO14" s="1">
        <f t="shared" si="11"/>
        <v>8627.5060000000012</v>
      </c>
      <c r="BP14" s="1">
        <f t="shared" si="11"/>
        <v>17188.322</v>
      </c>
      <c r="BQ14" s="1">
        <f t="shared" si="11"/>
        <v>7770.0860000000002</v>
      </c>
      <c r="BR14" s="1">
        <f t="shared" si="11"/>
        <v>24060.585999999999</v>
      </c>
      <c r="BS14" s="1">
        <f t="shared" si="11"/>
        <v>17133.257999999998</v>
      </c>
      <c r="BT14" s="1">
        <f t="shared" si="11"/>
        <v>16596.522000000001</v>
      </c>
      <c r="BU14" s="1">
        <f t="shared" si="11"/>
        <v>33959.812999999995</v>
      </c>
      <c r="BV14" s="1">
        <f t="shared" si="11"/>
        <v>4557.795000000001</v>
      </c>
      <c r="BW14" s="1">
        <f t="shared" si="11"/>
        <v>25773.403999999999</v>
      </c>
      <c r="BX14" s="1">
        <f t="shared" si="11"/>
        <v>13354.793</v>
      </c>
      <c r="BY14" s="1">
        <f t="shared" si="11"/>
        <v>3919.1419999999998</v>
      </c>
      <c r="BZ14" s="1">
        <f t="shared" si="11"/>
        <v>11212.808000000001</v>
      </c>
      <c r="CA14" s="1">
        <f t="shared" si="11"/>
        <v>18739.146000000001</v>
      </c>
      <c r="CB14" s="1">
        <f t="shared" si="11"/>
        <v>41061.800999999999</v>
      </c>
      <c r="CC14" s="1">
        <f t="shared" si="11"/>
        <v>30381.037</v>
      </c>
      <c r="CD14" s="1">
        <f t="shared" si="11"/>
        <v>30071.547999999999</v>
      </c>
      <c r="CE14" s="1">
        <f t="shared" si="11"/>
        <v>77470.570000000109</v>
      </c>
      <c r="CF14" s="1">
        <f t="shared" si="11"/>
        <v>29017.603999999999</v>
      </c>
      <c r="CG14" s="1">
        <f>IF(CG2="","",CG12*0.1)</f>
        <v>88936.565999999992</v>
      </c>
      <c r="CH14" s="1">
        <v>36703.829000000005</v>
      </c>
      <c r="CI14" s="1">
        <v>38937.192999999999</v>
      </c>
      <c r="CJ14" s="1">
        <v>39729.57</v>
      </c>
      <c r="CK14" s="1">
        <v>32163.005000000001</v>
      </c>
      <c r="CL14" s="1">
        <v>51393.332000000002</v>
      </c>
      <c r="CM14" s="1">
        <v>23320.197000000004</v>
      </c>
      <c r="CN14" s="1">
        <v>11277.925999999999</v>
      </c>
      <c r="CO14" s="1">
        <v>57941.041000000005</v>
      </c>
      <c r="CP14" s="1">
        <v>38789.236000000004</v>
      </c>
      <c r="CQ14" s="1">
        <v>42667.863000000005</v>
      </c>
      <c r="CR14" s="1">
        <v>24750.919000000002</v>
      </c>
      <c r="CS14" s="1">
        <v>50169.987000000001</v>
      </c>
      <c r="CT14" s="1">
        <f t="shared" ref="CT14:DE14" si="12">IF(CT2="","",CT12*0.1)</f>
        <v>43057.342000000004</v>
      </c>
      <c r="CU14" s="1">
        <f t="shared" si="12"/>
        <v>41098.078000000009</v>
      </c>
      <c r="CV14" s="1">
        <f t="shared" si="12"/>
        <v>0</v>
      </c>
      <c r="CW14" s="1">
        <f t="shared" si="12"/>
        <v>0</v>
      </c>
      <c r="CX14" s="1">
        <f t="shared" si="12"/>
        <v>0</v>
      </c>
      <c r="CY14" s="1">
        <f t="shared" si="12"/>
        <v>0</v>
      </c>
      <c r="CZ14" s="1">
        <f t="shared" si="12"/>
        <v>0</v>
      </c>
      <c r="DA14" s="1">
        <f t="shared" si="12"/>
        <v>0</v>
      </c>
      <c r="DB14" s="1">
        <f t="shared" si="12"/>
        <v>0</v>
      </c>
      <c r="DC14" s="1">
        <f t="shared" si="12"/>
        <v>0</v>
      </c>
      <c r="DD14" s="1">
        <f t="shared" si="12"/>
        <v>0</v>
      </c>
      <c r="DE14" s="1">
        <f t="shared" si="12"/>
        <v>0</v>
      </c>
    </row>
    <row r="15" spans="1:109" x14ac:dyDescent="0.2">
      <c r="A15" s="53" t="s">
        <v>446</v>
      </c>
      <c r="Z15" s="214">
        <f t="shared" ref="Z15:CF15" si="13">IF(Z2="","",Z5-Z14)</f>
        <v>357969.53613245703</v>
      </c>
      <c r="AA15" s="214">
        <f t="shared" si="13"/>
        <v>300938.36342999898</v>
      </c>
      <c r="AB15" s="214">
        <f t="shared" si="13"/>
        <v>219517.34199489444</v>
      </c>
      <c r="AC15" s="214">
        <f t="shared" si="13"/>
        <v>124092.92031195</v>
      </c>
      <c r="AD15" s="214">
        <f t="shared" si="13"/>
        <v>117805.41792694997</v>
      </c>
      <c r="AE15" s="214">
        <f t="shared" si="13"/>
        <v>118631.24620196452</v>
      </c>
      <c r="AF15" s="214">
        <f t="shared" si="13"/>
        <v>378642.34500000003</v>
      </c>
      <c r="AG15" s="214">
        <f t="shared" si="13"/>
        <v>343137.57400000002</v>
      </c>
      <c r="AH15" s="214">
        <f t="shared" si="13"/>
        <v>393885.61400000018</v>
      </c>
      <c r="AI15" s="214">
        <f t="shared" si="13"/>
        <v>410524.59199999995</v>
      </c>
      <c r="AJ15" s="214">
        <f t="shared" si="13"/>
        <v>487292.7899999998</v>
      </c>
      <c r="AK15" s="214">
        <f t="shared" si="13"/>
        <v>458280.49599999993</v>
      </c>
      <c r="AL15" s="214">
        <f t="shared" si="13"/>
        <v>404646.01100000012</v>
      </c>
      <c r="AM15" s="214">
        <f t="shared" si="13"/>
        <v>379895.42199999926</v>
      </c>
      <c r="AN15" s="214">
        <f t="shared" si="13"/>
        <v>366165.38399999897</v>
      </c>
      <c r="AO15" s="214">
        <f t="shared" si="13"/>
        <v>317002.39900000003</v>
      </c>
      <c r="AP15" s="214">
        <f t="shared" si="13"/>
        <v>344295.20500000002</v>
      </c>
      <c r="AQ15" s="214">
        <f t="shared" si="13"/>
        <v>308049.93499999994</v>
      </c>
      <c r="AR15" s="214">
        <f t="shared" si="13"/>
        <v>415929.58200000209</v>
      </c>
      <c r="AS15" s="214">
        <f t="shared" si="13"/>
        <v>413305.07100000093</v>
      </c>
      <c r="AT15" s="214">
        <f t="shared" si="13"/>
        <v>443165.99900000094</v>
      </c>
      <c r="AU15" s="214">
        <f t="shared" si="13"/>
        <v>475426.81200000009</v>
      </c>
      <c r="AV15" s="214">
        <f t="shared" si="13"/>
        <v>468279.01699999993</v>
      </c>
      <c r="AW15" s="214">
        <f t="shared" si="13"/>
        <v>487741.77500000002</v>
      </c>
      <c r="AX15" s="214">
        <f t="shared" si="13"/>
        <v>420787.22700000013</v>
      </c>
      <c r="AY15" s="214">
        <f t="shared" si="13"/>
        <v>394463.53399999993</v>
      </c>
      <c r="AZ15" s="214">
        <f t="shared" si="13"/>
        <v>415077.06399999902</v>
      </c>
      <c r="BA15" s="214">
        <f t="shared" si="13"/>
        <v>415004.83799999999</v>
      </c>
      <c r="BB15" s="214">
        <f t="shared" si="13"/>
        <v>471783.30900000088</v>
      </c>
      <c r="BC15" s="214">
        <f t="shared" si="13"/>
        <v>412147.14300000027</v>
      </c>
      <c r="BD15" s="214">
        <f t="shared" si="13"/>
        <v>463285.40499999991</v>
      </c>
      <c r="BE15" s="214">
        <f t="shared" si="13"/>
        <v>432162.71600000007</v>
      </c>
      <c r="BF15" s="214">
        <f t="shared" si="13"/>
        <v>468719.08600000007</v>
      </c>
      <c r="BG15" s="214">
        <f t="shared" si="13"/>
        <v>455961.17499999946</v>
      </c>
      <c r="BH15" s="214">
        <f t="shared" si="13"/>
        <v>449015.07100000035</v>
      </c>
      <c r="BI15" s="214">
        <f t="shared" si="13"/>
        <v>469094.92500000191</v>
      </c>
      <c r="BJ15" s="214">
        <f t="shared" si="13"/>
        <v>322310.45</v>
      </c>
      <c r="BK15" s="214">
        <f t="shared" si="13"/>
        <v>253326.31599999988</v>
      </c>
      <c r="BL15" s="214">
        <f t="shared" si="13"/>
        <v>302390.65699999966</v>
      </c>
      <c r="BM15" s="214">
        <f t="shared" si="13"/>
        <v>505796.77100000001</v>
      </c>
      <c r="BN15" s="214">
        <f t="shared" si="13"/>
        <v>493390.40000000037</v>
      </c>
      <c r="BO15" s="214">
        <f t="shared" si="13"/>
        <v>462420.67399999948</v>
      </c>
      <c r="BP15" s="214">
        <f t="shared" si="13"/>
        <v>564506.21799999906</v>
      </c>
      <c r="BQ15" s="214">
        <f t="shared" si="13"/>
        <v>590317.68400000012</v>
      </c>
      <c r="BR15" s="214">
        <f t="shared" si="13"/>
        <v>520062.3139999999</v>
      </c>
      <c r="BS15" s="214">
        <f t="shared" si="13"/>
        <v>614323.501999998</v>
      </c>
      <c r="BT15" s="214">
        <f t="shared" si="13"/>
        <v>626429.75799999991</v>
      </c>
      <c r="BU15" s="214">
        <f t="shared" si="13"/>
        <v>684281.53700000211</v>
      </c>
      <c r="BV15" s="214">
        <f t="shared" si="13"/>
        <v>675633.70500000042</v>
      </c>
      <c r="BW15" s="214">
        <f t="shared" si="13"/>
        <v>604894.58599999978</v>
      </c>
      <c r="BX15" s="214">
        <f t="shared" si="13"/>
        <v>636796.53700000083</v>
      </c>
      <c r="BY15" s="214">
        <f t="shared" si="13"/>
        <v>548972.58799999987</v>
      </c>
      <c r="BZ15" s="214">
        <f t="shared" si="13"/>
        <v>565220.10200000007</v>
      </c>
      <c r="CA15" s="214">
        <f t="shared" si="13"/>
        <v>634740.08400000003</v>
      </c>
      <c r="CB15" s="214">
        <f t="shared" si="13"/>
        <v>728992.2790000001</v>
      </c>
      <c r="CC15" s="214">
        <f t="shared" si="13"/>
        <v>663763.98300000001</v>
      </c>
      <c r="CD15" s="214">
        <f t="shared" si="13"/>
        <v>685318.8419999996</v>
      </c>
      <c r="CE15" s="214">
        <f t="shared" si="13"/>
        <v>708930.74</v>
      </c>
      <c r="CF15" s="214">
        <f t="shared" si="13"/>
        <v>825761.96600000001</v>
      </c>
      <c r="CG15" s="214">
        <f>IF(CG2="","",CG5-CG14)</f>
        <v>764406.09399999992</v>
      </c>
      <c r="CH15" s="214">
        <v>1003943.5810000002</v>
      </c>
      <c r="CI15" s="214">
        <v>800423.81699999992</v>
      </c>
      <c r="CJ15" s="214">
        <v>869173.75</v>
      </c>
      <c r="CK15" s="214">
        <v>741837.13500000036</v>
      </c>
      <c r="CL15" s="214">
        <v>661278.06799999997</v>
      </c>
      <c r="CM15" s="214">
        <v>747561.00300000003</v>
      </c>
      <c r="CN15" s="214">
        <v>865839.43399999989</v>
      </c>
      <c r="CO15" s="214">
        <v>790597.71901300014</v>
      </c>
      <c r="CP15" s="214">
        <v>895171.63400199963</v>
      </c>
      <c r="CQ15" s="214">
        <v>799269.37700099975</v>
      </c>
      <c r="CR15" s="214">
        <v>975668.31100000022</v>
      </c>
      <c r="CS15" s="214">
        <v>1171110.6229999999</v>
      </c>
      <c r="CT15" s="214">
        <f t="shared" ref="CT15:DE15" si="14">IF(CT2="","",CT5-CT14)</f>
        <v>839782.17800000007</v>
      </c>
      <c r="CU15" s="214">
        <f t="shared" si="14"/>
        <v>754416.68190899992</v>
      </c>
      <c r="CV15" s="214">
        <f t="shared" si="14"/>
        <v>834112.59438499971</v>
      </c>
      <c r="CW15" s="214">
        <f t="shared" si="14"/>
        <v>0</v>
      </c>
      <c r="CX15" s="214">
        <f t="shared" si="14"/>
        <v>0</v>
      </c>
      <c r="CY15" s="214">
        <f t="shared" si="14"/>
        <v>0</v>
      </c>
      <c r="CZ15" s="214">
        <f t="shared" si="14"/>
        <v>0</v>
      </c>
      <c r="DA15" s="214">
        <f t="shared" si="14"/>
        <v>0</v>
      </c>
      <c r="DB15" s="214">
        <f t="shared" si="14"/>
        <v>0</v>
      </c>
      <c r="DC15" s="214">
        <f t="shared" si="14"/>
        <v>0</v>
      </c>
      <c r="DD15" s="214">
        <f t="shared" si="14"/>
        <v>0</v>
      </c>
      <c r="DE15" s="214">
        <f t="shared" si="14"/>
        <v>0</v>
      </c>
    </row>
    <row r="16" spans="1:109" x14ac:dyDescent="0.2">
      <c r="A16" s="53" t="s">
        <v>318</v>
      </c>
      <c r="Z16" s="214">
        <f t="shared" ref="Z16:CD16" si="15">IF(Z2="","",Z2-Z12)</f>
        <v>2080493.160999957</v>
      </c>
      <c r="AA16" s="214">
        <f t="shared" si="15"/>
        <v>1557878.3589999997</v>
      </c>
      <c r="AB16" s="214">
        <f t="shared" si="15"/>
        <v>2467867.021999896</v>
      </c>
      <c r="AC16" s="214">
        <f t="shared" si="15"/>
        <v>2077416.317999948</v>
      </c>
      <c r="AD16" s="214">
        <f t="shared" si="15"/>
        <v>2023994.4099999508</v>
      </c>
      <c r="AE16" s="214">
        <f t="shared" si="15"/>
        <v>1893787.8739999654</v>
      </c>
      <c r="AF16" s="214">
        <f t="shared" si="15"/>
        <v>2432703.7399999998</v>
      </c>
      <c r="AG16" s="214">
        <f t="shared" si="15"/>
        <v>1729132.8599999999</v>
      </c>
      <c r="AH16" s="214">
        <f t="shared" si="15"/>
        <v>2626606.6500000004</v>
      </c>
      <c r="AI16" s="214">
        <f t="shared" si="15"/>
        <v>1944716.3900000001</v>
      </c>
      <c r="AJ16" s="214">
        <f t="shared" si="15"/>
        <v>2879198.23</v>
      </c>
      <c r="AK16" s="214">
        <f t="shared" si="15"/>
        <v>2636964.12</v>
      </c>
      <c r="AL16" s="214">
        <f t="shared" si="15"/>
        <v>2148686.1799999997</v>
      </c>
      <c r="AM16" s="214">
        <f t="shared" si="15"/>
        <v>1696947.3800000001</v>
      </c>
      <c r="AN16" s="214">
        <f t="shared" si="15"/>
        <v>1392808.2200000002</v>
      </c>
      <c r="AO16" s="214">
        <f t="shared" si="15"/>
        <v>2148581.48</v>
      </c>
      <c r="AP16" s="214">
        <f t="shared" si="15"/>
        <v>2615876.5600000005</v>
      </c>
      <c r="AQ16" s="214">
        <f t="shared" si="15"/>
        <v>2171635.7300000004</v>
      </c>
      <c r="AR16" s="214">
        <f t="shared" si="15"/>
        <v>2290461.33</v>
      </c>
      <c r="AS16" s="214">
        <f t="shared" si="15"/>
        <v>2135233.38</v>
      </c>
      <c r="AT16" s="214">
        <f t="shared" si="15"/>
        <v>2229072.0299999998</v>
      </c>
      <c r="AU16" s="214">
        <f t="shared" si="15"/>
        <v>2548910.1399999997</v>
      </c>
      <c r="AV16" s="214">
        <f t="shared" si="15"/>
        <v>2497815.87</v>
      </c>
      <c r="AW16" s="214">
        <f t="shared" si="15"/>
        <v>2915902.6899999995</v>
      </c>
      <c r="AX16" s="214">
        <f t="shared" si="15"/>
        <v>2207028.7200000002</v>
      </c>
      <c r="AY16" s="214">
        <f t="shared" si="15"/>
        <v>1413713.47</v>
      </c>
      <c r="AZ16" s="214">
        <f t="shared" si="15"/>
        <v>1978443.77</v>
      </c>
      <c r="BA16" s="214">
        <f t="shared" si="15"/>
        <v>2552963.2599999998</v>
      </c>
      <c r="BB16" s="214">
        <f t="shared" si="15"/>
        <v>2942460.34</v>
      </c>
      <c r="BC16" s="214">
        <f t="shared" si="15"/>
        <v>2353894.8899999997</v>
      </c>
      <c r="BD16" s="214">
        <f t="shared" si="15"/>
        <v>2489830.2099999995</v>
      </c>
      <c r="BE16" s="214">
        <f t="shared" si="15"/>
        <v>2074481.41</v>
      </c>
      <c r="BF16" s="214">
        <f t="shared" si="15"/>
        <v>2490668.09</v>
      </c>
      <c r="BG16" s="214">
        <f t="shared" si="15"/>
        <v>2627678.5900000003</v>
      </c>
      <c r="BH16" s="214">
        <f t="shared" si="15"/>
        <v>2233248.35</v>
      </c>
      <c r="BI16" s="214">
        <f t="shared" si="15"/>
        <v>2559407.8900000006</v>
      </c>
      <c r="BJ16" s="214">
        <f t="shared" si="15"/>
        <v>2841862.91</v>
      </c>
      <c r="BK16" s="214">
        <f t="shared" si="15"/>
        <v>2252640.1800000002</v>
      </c>
      <c r="BL16" s="214">
        <f t="shared" si="15"/>
        <v>2240985.7600000002</v>
      </c>
      <c r="BM16" s="214">
        <f t="shared" si="15"/>
        <v>3189129.54</v>
      </c>
      <c r="BN16" s="214">
        <f t="shared" si="15"/>
        <v>2720686.62</v>
      </c>
      <c r="BO16" s="214">
        <f t="shared" si="15"/>
        <v>2678221.2899999996</v>
      </c>
      <c r="BP16" s="214">
        <f t="shared" si="15"/>
        <v>2667305.7899999996</v>
      </c>
      <c r="BQ16" s="214">
        <f t="shared" si="15"/>
        <v>3723873.9899999998</v>
      </c>
      <c r="BR16" s="214">
        <f t="shared" si="15"/>
        <v>3106188.9400000004</v>
      </c>
      <c r="BS16" s="214">
        <f t="shared" si="15"/>
        <v>3074373.5399999996</v>
      </c>
      <c r="BT16" s="214">
        <f t="shared" si="15"/>
        <v>3313483.4699999997</v>
      </c>
      <c r="BU16" s="214">
        <f t="shared" si="15"/>
        <v>4583650.79</v>
      </c>
      <c r="BV16" s="214">
        <f t="shared" si="15"/>
        <v>3164177.31</v>
      </c>
      <c r="BW16" s="214">
        <f t="shared" si="15"/>
        <v>2999203.63</v>
      </c>
      <c r="BX16" s="214">
        <f t="shared" si="15"/>
        <v>2471644.5499999998</v>
      </c>
      <c r="BY16" s="214">
        <f t="shared" si="15"/>
        <v>3254390.2100000004</v>
      </c>
      <c r="BZ16" s="214">
        <f t="shared" si="15"/>
        <v>3517860.65</v>
      </c>
      <c r="CA16" s="214">
        <f t="shared" si="15"/>
        <v>3880732.6600259999</v>
      </c>
      <c r="CB16" s="214">
        <f t="shared" si="15"/>
        <v>4229628.4100030009</v>
      </c>
      <c r="CC16" s="214">
        <f t="shared" si="15"/>
        <v>3150399.6</v>
      </c>
      <c r="CD16" s="214">
        <f t="shared" si="15"/>
        <v>3952421.3999960008</v>
      </c>
      <c r="CE16" s="214">
        <f t="shared" ref="CE16:CG16" si="16">IF(CE2="","",CE2-CE12)</f>
        <v>3883434.9700220013</v>
      </c>
      <c r="CF16" s="214">
        <f t="shared" si="16"/>
        <v>5854162.9599359995</v>
      </c>
      <c r="CG16" s="214">
        <f t="shared" si="16"/>
        <v>4422740.2499210006</v>
      </c>
      <c r="CH16" s="214">
        <v>4035615.6500060009</v>
      </c>
      <c r="CI16" s="214">
        <v>3696882.3499999996</v>
      </c>
      <c r="CJ16" s="214">
        <v>3650898.6399999997</v>
      </c>
      <c r="CK16" s="214">
        <v>3617997.45</v>
      </c>
      <c r="CL16" s="214">
        <v>3034277.560000001</v>
      </c>
      <c r="CM16" s="214">
        <v>4071314.299964</v>
      </c>
      <c r="CN16" s="214">
        <v>4413230.12</v>
      </c>
      <c r="CO16" s="214">
        <v>4249190.2984499997</v>
      </c>
      <c r="CP16" s="214">
        <v>4032584.2528320006</v>
      </c>
      <c r="CQ16" s="214">
        <v>3873651.6500000004</v>
      </c>
      <c r="CR16" s="214">
        <v>4434287.5299999993</v>
      </c>
      <c r="CS16" s="214">
        <v>6845733.1500000013</v>
      </c>
      <c r="CT16" s="214">
        <f t="shared" ref="CT16:CU16" si="17">IF(CT2="","",CT2-CT12)</f>
        <v>3408484.54</v>
      </c>
      <c r="CU16" s="214">
        <f t="shared" si="17"/>
        <v>3212763.3099999996</v>
      </c>
      <c r="CV16" s="214">
        <f t="shared" ref="CV16:CW16" si="18">IF(CV2="","",CV2-CV12)</f>
        <v>4695972.1340000005</v>
      </c>
      <c r="CW16" s="214">
        <f t="shared" si="18"/>
        <v>0</v>
      </c>
      <c r="CX16" s="214">
        <f t="shared" ref="CX16:DE16" si="19">IF(CX2="","",CX2-CX12)</f>
        <v>0</v>
      </c>
      <c r="CY16" s="214">
        <f t="shared" si="19"/>
        <v>0</v>
      </c>
      <c r="CZ16" s="214">
        <f t="shared" si="19"/>
        <v>0</v>
      </c>
      <c r="DA16" s="214">
        <f t="shared" si="19"/>
        <v>0</v>
      </c>
      <c r="DB16" s="214">
        <f t="shared" si="19"/>
        <v>0</v>
      </c>
      <c r="DC16" s="214">
        <f t="shared" si="19"/>
        <v>0</v>
      </c>
      <c r="DD16" s="214">
        <f t="shared" si="19"/>
        <v>0</v>
      </c>
      <c r="DE16" s="214">
        <f t="shared" si="19"/>
        <v>0</v>
      </c>
    </row>
    <row r="17" spans="1:109" x14ac:dyDescent="0.2">
      <c r="A17" s="53" t="s">
        <v>447</v>
      </c>
      <c r="Z17" s="214">
        <f t="shared" ref="Z17:CF17" si="20">IF(Z2="","",Z3+Z4+Z15)</f>
        <v>1758679.2561153993</v>
      </c>
      <c r="AA17" s="214">
        <f t="shared" si="20"/>
        <v>1616060.4643125841</v>
      </c>
      <c r="AB17" s="214">
        <f t="shared" si="20"/>
        <v>1486808.4585062196</v>
      </c>
      <c r="AC17" s="214">
        <f t="shared" si="20"/>
        <v>1427966.4186415253</v>
      </c>
      <c r="AD17" s="214">
        <f t="shared" si="20"/>
        <v>1325241.1279153251</v>
      </c>
      <c r="AE17" s="214">
        <f t="shared" si="20"/>
        <v>1266160.4115824867</v>
      </c>
      <c r="AF17" s="214">
        <f t="shared" si="20"/>
        <v>1533317.2872616576</v>
      </c>
      <c r="AG17" s="214">
        <f t="shared" si="20"/>
        <v>1517804.336126511</v>
      </c>
      <c r="AH17" s="214">
        <f t="shared" si="20"/>
        <v>1464761.8946913043</v>
      </c>
      <c r="AI17" s="214">
        <f t="shared" si="20"/>
        <v>1667835.615374659</v>
      </c>
      <c r="AJ17" s="214">
        <f t="shared" si="20"/>
        <v>1842024.8830171321</v>
      </c>
      <c r="AK17" s="214">
        <f t="shared" si="20"/>
        <v>2249340.4996300349</v>
      </c>
      <c r="AL17" s="214">
        <f t="shared" si="20"/>
        <v>1139470.7479000001</v>
      </c>
      <c r="AM17" s="214">
        <f t="shared" si="20"/>
        <v>1549922.500962365</v>
      </c>
      <c r="AN17" s="214">
        <f t="shared" si="20"/>
        <v>1642911.9883854829</v>
      </c>
      <c r="AO17" s="214">
        <f t="shared" si="20"/>
        <v>1646164.0501547621</v>
      </c>
      <c r="AP17" s="214">
        <f t="shared" si="20"/>
        <v>1648217.273116129</v>
      </c>
      <c r="AQ17" s="214">
        <f t="shared" si="20"/>
        <v>1615940.5837499998</v>
      </c>
      <c r="AR17" s="214">
        <f t="shared" si="20"/>
        <v>1806038.5475424749</v>
      </c>
      <c r="AS17" s="214">
        <f t="shared" si="20"/>
        <v>1943488.0397666679</v>
      </c>
      <c r="AT17" s="214">
        <f t="shared" si="20"/>
        <v>1905716.7538591404</v>
      </c>
      <c r="AU17" s="214">
        <f t="shared" si="20"/>
        <v>1982009.2604155734</v>
      </c>
      <c r="AV17" s="214">
        <f t="shared" si="20"/>
        <v>2114477.0795415235</v>
      </c>
      <c r="AW17" s="214">
        <f t="shared" si="20"/>
        <v>2227710.5919892476</v>
      </c>
      <c r="AX17" s="214">
        <f t="shared" si="20"/>
        <v>1946124.5459322503</v>
      </c>
      <c r="AY17" s="214">
        <f t="shared" si="20"/>
        <v>1855333.8873864438</v>
      </c>
      <c r="AZ17" s="214">
        <f t="shared" si="20"/>
        <v>1999082.1438899261</v>
      </c>
      <c r="BA17" s="214">
        <f t="shared" si="20"/>
        <v>2000207.8313234181</v>
      </c>
      <c r="BB17" s="214">
        <f t="shared" si="20"/>
        <v>2035686.9965737988</v>
      </c>
      <c r="BC17" s="214">
        <f t="shared" si="20"/>
        <v>1971107.1453231075</v>
      </c>
      <c r="BD17" s="214">
        <f t="shared" si="20"/>
        <v>2134132.4894802496</v>
      </c>
      <c r="BE17" s="214">
        <f t="shared" si="20"/>
        <v>2036827.73908025</v>
      </c>
      <c r="BF17" s="214">
        <f t="shared" si="20"/>
        <v>2069969.438747992</v>
      </c>
      <c r="BG17" s="214">
        <f t="shared" si="20"/>
        <v>2164056.920799999</v>
      </c>
      <c r="BH17" s="214">
        <f t="shared" si="20"/>
        <v>2235195.1752000004</v>
      </c>
      <c r="BI17" s="214">
        <f t="shared" si="20"/>
        <v>2491638.9892000016</v>
      </c>
      <c r="BJ17" s="214">
        <f t="shared" si="20"/>
        <v>2155124.5736779221</v>
      </c>
      <c r="BK17" s="214">
        <f t="shared" si="20"/>
        <v>2197652.3148999996</v>
      </c>
      <c r="BL17" s="214">
        <f t="shared" si="20"/>
        <v>2299345.4925999995</v>
      </c>
      <c r="BM17" s="214">
        <f t="shared" si="20"/>
        <v>2444397.3722000001</v>
      </c>
      <c r="BN17" s="214">
        <f t="shared" si="20"/>
        <v>2564486.1700000004</v>
      </c>
      <c r="BO17" s="214">
        <f t="shared" si="20"/>
        <v>2542396.6336999997</v>
      </c>
      <c r="BP17" s="214">
        <f t="shared" si="20"/>
        <v>2585753.0881666658</v>
      </c>
      <c r="BQ17" s="214">
        <f t="shared" si="20"/>
        <v>2639318.0644666664</v>
      </c>
      <c r="BR17" s="214">
        <f t="shared" si="20"/>
        <v>2642045.6662215055</v>
      </c>
      <c r="BS17" s="214">
        <f t="shared" si="20"/>
        <v>2972671.3146666647</v>
      </c>
      <c r="BT17" s="214">
        <f t="shared" si="20"/>
        <v>2838566.1946666664</v>
      </c>
      <c r="BU17" s="214">
        <f t="shared" si="20"/>
        <v>3313704.2810666692</v>
      </c>
      <c r="BV17" s="214">
        <f t="shared" si="20"/>
        <v>2856690.9940204001</v>
      </c>
      <c r="BW17" s="214">
        <f t="shared" si="20"/>
        <v>2625201.3278203998</v>
      </c>
      <c r="BX17" s="214">
        <f t="shared" si="20"/>
        <v>2672449.3973204009</v>
      </c>
      <c r="BY17" s="214">
        <f t="shared" si="20"/>
        <v>2786899.7826204007</v>
      </c>
      <c r="BZ17" s="214">
        <f t="shared" si="20"/>
        <v>2812555.6783584002</v>
      </c>
      <c r="CA17" s="214">
        <f t="shared" si="20"/>
        <v>2900125.9907983998</v>
      </c>
      <c r="CB17" s="214">
        <f t="shared" si="20"/>
        <v>3138269.1141744</v>
      </c>
      <c r="CC17" s="214">
        <f t="shared" si="20"/>
        <v>3002210.0607763999</v>
      </c>
      <c r="CD17" s="214">
        <f t="shared" si="20"/>
        <v>3073213.3434473998</v>
      </c>
      <c r="CE17" s="214">
        <f t="shared" si="20"/>
        <v>3325486.0276324004</v>
      </c>
      <c r="CF17" s="214">
        <f t="shared" si="20"/>
        <v>3781953.8060323996</v>
      </c>
      <c r="CG17" s="214">
        <f>IF(CG2="","",CG3+CG4+CG15)</f>
        <v>3886001.8394539556</v>
      </c>
      <c r="CH17" s="214">
        <v>3397254.3345897365</v>
      </c>
      <c r="CI17" s="214">
        <v>3337042.5185299991</v>
      </c>
      <c r="CJ17" s="214">
        <v>3410375.690799736</v>
      </c>
      <c r="CK17" s="214">
        <v>3389422.1897974908</v>
      </c>
      <c r="CL17" s="214">
        <v>3388243.6000489998</v>
      </c>
      <c r="CM17" s="214">
        <v>3639954.3700199998</v>
      </c>
      <c r="CN17" s="214">
        <v>3684327.1240739999</v>
      </c>
      <c r="CO17" s="214">
        <v>3521967.5113829998</v>
      </c>
      <c r="CP17" s="214">
        <v>3970318.1265929639</v>
      </c>
      <c r="CQ17" s="214">
        <v>3607699.5749567347</v>
      </c>
      <c r="CR17" s="214">
        <v>4022690.2293200004</v>
      </c>
      <c r="CS17" s="214">
        <v>4417529.2171689998</v>
      </c>
      <c r="CT17" s="214">
        <f t="shared" ref="CT17:DE17" si="21">IF(CT2="","",CT3+CT4+CT15)</f>
        <v>3833706.2702579992</v>
      </c>
      <c r="CU17" s="214">
        <f t="shared" si="21"/>
        <v>3627105.7529634289</v>
      </c>
      <c r="CV17" s="214">
        <f t="shared" si="21"/>
        <v>3903787.3590810141</v>
      </c>
      <c r="CW17" s="214">
        <f t="shared" si="21"/>
        <v>0</v>
      </c>
      <c r="CX17" s="214">
        <f t="shared" si="21"/>
        <v>0</v>
      </c>
      <c r="CY17" s="214">
        <f t="shared" si="21"/>
        <v>0</v>
      </c>
      <c r="CZ17" s="214">
        <f t="shared" si="21"/>
        <v>0</v>
      </c>
      <c r="DA17" s="214">
        <f t="shared" si="21"/>
        <v>0</v>
      </c>
      <c r="DB17" s="214">
        <f t="shared" si="21"/>
        <v>0</v>
      </c>
      <c r="DC17" s="214">
        <f t="shared" si="21"/>
        <v>0</v>
      </c>
      <c r="DD17" s="214">
        <f t="shared" si="21"/>
        <v>0</v>
      </c>
      <c r="DE17" s="214">
        <f t="shared" si="21"/>
        <v>0</v>
      </c>
    </row>
    <row r="18" spans="1:109" x14ac:dyDescent="0.2">
      <c r="A18" s="53" t="s">
        <v>317</v>
      </c>
      <c r="Z18" s="214">
        <f>Z16-Z3-Z4-Z5</f>
        <v>316967.94188455766</v>
      </c>
      <c r="AA18" s="214">
        <f t="shared" ref="AA18:BI18" si="22">AA16-AA3-AA4-AA5</f>
        <v>-59721.478312584339</v>
      </c>
      <c r="AB18" s="214">
        <f t="shared" si="22"/>
        <v>980149.12149367644</v>
      </c>
      <c r="AC18" s="214">
        <f t="shared" si="22"/>
        <v>648542.93735842267</v>
      </c>
      <c r="AD18" s="214">
        <f t="shared" si="22"/>
        <v>697341.8170846256</v>
      </c>
      <c r="AE18" s="214">
        <f t="shared" si="22"/>
        <v>620997.47441747854</v>
      </c>
      <c r="AF18" s="214">
        <f t="shared" si="22"/>
        <v>897698.98773834202</v>
      </c>
      <c r="AG18" s="214">
        <f t="shared" si="22"/>
        <v>209101.3378734889</v>
      </c>
      <c r="AH18" s="214">
        <f t="shared" si="22"/>
        <v>1160894.929308696</v>
      </c>
      <c r="AI18" s="214">
        <f t="shared" si="22"/>
        <v>272246.67662534106</v>
      </c>
      <c r="AJ18" s="214">
        <f t="shared" si="22"/>
        <v>1036045.4469828681</v>
      </c>
      <c r="AK18" s="214">
        <f t="shared" si="22"/>
        <v>384065.7963699653</v>
      </c>
      <c r="AL18" s="214">
        <f t="shared" si="22"/>
        <v>1008056.5330999994</v>
      </c>
      <c r="AM18" s="214">
        <f t="shared" si="22"/>
        <v>143802.56103763508</v>
      </c>
      <c r="AN18" s="214">
        <f t="shared" si="22"/>
        <v>-251634.7643854827</v>
      </c>
      <c r="AO18" s="214">
        <f t="shared" si="22"/>
        <v>497845.16884523781</v>
      </c>
      <c r="AP18" s="214">
        <f t="shared" si="22"/>
        <v>964209.06188387168</v>
      </c>
      <c r="AQ18" s="214">
        <f t="shared" si="22"/>
        <v>551917.1712500006</v>
      </c>
      <c r="AR18" s="214">
        <f t="shared" si="22"/>
        <v>480213.32445752498</v>
      </c>
      <c r="AS18" s="214">
        <f t="shared" si="22"/>
        <v>187181.67123333202</v>
      </c>
      <c r="AT18" s="214">
        <f t="shared" si="22"/>
        <v>318837.73514085938</v>
      </c>
      <c r="AU18" s="214">
        <f t="shared" si="22"/>
        <v>562915.82158442633</v>
      </c>
      <c r="AV18" s="214">
        <f t="shared" si="22"/>
        <v>374992.26745847648</v>
      </c>
      <c r="AW18" s="214">
        <f t="shared" si="22"/>
        <v>679504.65301075205</v>
      </c>
      <c r="AX18" s="214">
        <f t="shared" si="22"/>
        <v>257929.51106774982</v>
      </c>
      <c r="AY18" s="214">
        <f t="shared" si="22"/>
        <v>-443514.59338644368</v>
      </c>
      <c r="AZ18" s="214">
        <f t="shared" si="22"/>
        <v>-23929.889889926184</v>
      </c>
      <c r="BA18" s="214">
        <f t="shared" si="22"/>
        <v>542148.65667658171</v>
      </c>
      <c r="BB18" s="214">
        <f t="shared" si="22"/>
        <v>900361.40242620092</v>
      </c>
      <c r="BC18" s="214">
        <f t="shared" si="22"/>
        <v>371687.09767689218</v>
      </c>
      <c r="BD18" s="214">
        <f t="shared" si="22"/>
        <v>354542.53551974968</v>
      </c>
      <c r="BE18" s="214">
        <f t="shared" si="22"/>
        <v>24615.806919749768</v>
      </c>
      <c r="BF18" s="214">
        <f t="shared" si="22"/>
        <v>414075.85725200787</v>
      </c>
      <c r="BG18" s="214">
        <f t="shared" si="22"/>
        <v>455619.78420000116</v>
      </c>
      <c r="BH18" s="214">
        <f t="shared" si="22"/>
        <v>-20210.244200000074</v>
      </c>
      <c r="BI18" s="214">
        <f t="shared" si="22"/>
        <v>54431.225799998676</v>
      </c>
      <c r="BJ18" s="214">
        <f>BJ16-BJ3-BJ4-BJ5</f>
        <v>684966.09632207802</v>
      </c>
      <c r="BK18" s="214">
        <f t="shared" ref="BK18:BU18" si="23">BK16-BK3-BK4-BK5</f>
        <v>51201.521100000391</v>
      </c>
      <c r="BL18" s="214">
        <f t="shared" si="23"/>
        <v>-60137.535599999188</v>
      </c>
      <c r="BM18" s="214">
        <f t="shared" si="23"/>
        <v>741008.59880000004</v>
      </c>
      <c r="BN18" s="214">
        <f t="shared" si="23"/>
        <v>152306.03999999963</v>
      </c>
      <c r="BO18" s="214">
        <f t="shared" si="23"/>
        <v>127197.15029999998</v>
      </c>
      <c r="BP18" s="214">
        <f t="shared" si="23"/>
        <v>64364.37983333366</v>
      </c>
      <c r="BQ18" s="214">
        <f t="shared" si="23"/>
        <v>1076785.8395333332</v>
      </c>
      <c r="BR18" s="214">
        <f t="shared" si="23"/>
        <v>440082.68777849479</v>
      </c>
      <c r="BS18" s="214">
        <f t="shared" si="23"/>
        <v>84568.967333334731</v>
      </c>
      <c r="BT18" s="214">
        <f t="shared" si="23"/>
        <v>458320.7533333333</v>
      </c>
      <c r="BU18" s="214">
        <f t="shared" si="23"/>
        <v>1235986.6959333313</v>
      </c>
      <c r="BV18" s="214">
        <f>IF(BV2="","",BV16-BV3-BV4-BV5)</f>
        <v>302928.52097959979</v>
      </c>
      <c r="BW18" s="214">
        <f t="shared" ref="BW18:CG18" si="24">IF(BW2="","",BW16-BW3-BW4-BW5)</f>
        <v>348228.89817960002</v>
      </c>
      <c r="BX18" s="214">
        <f t="shared" si="24"/>
        <v>-214159.64032040094</v>
      </c>
      <c r="BY18" s="214">
        <f t="shared" si="24"/>
        <v>463571.28537960013</v>
      </c>
      <c r="BZ18" s="214">
        <f t="shared" si="24"/>
        <v>694092.16364159959</v>
      </c>
      <c r="CA18" s="214">
        <f t="shared" si="24"/>
        <v>961867.52322759968</v>
      </c>
      <c r="CB18" s="214">
        <f t="shared" si="24"/>
        <v>1050297.4948286007</v>
      </c>
      <c r="CC18" s="214">
        <f t="shared" si="24"/>
        <v>117808.50222360017</v>
      </c>
      <c r="CD18" s="214">
        <f t="shared" si="24"/>
        <v>849136.50854860118</v>
      </c>
      <c r="CE18" s="214">
        <f t="shared" si="24"/>
        <v>480478.37238960108</v>
      </c>
      <c r="CF18" s="214">
        <f t="shared" si="24"/>
        <v>2043191.5499035998</v>
      </c>
      <c r="CG18" s="214">
        <f t="shared" si="24"/>
        <v>447801.84446704551</v>
      </c>
      <c r="CH18" s="214">
        <v>601657.48641626432</v>
      </c>
      <c r="CI18" s="214">
        <v>320902.63847000047</v>
      </c>
      <c r="CJ18" s="214">
        <v>200793.37920026376</v>
      </c>
      <c r="CK18" s="214">
        <v>196412.25520250911</v>
      </c>
      <c r="CL18" s="214">
        <v>-405359.37204899895</v>
      </c>
      <c r="CM18" s="214">
        <v>408039.73294400016</v>
      </c>
      <c r="CN18" s="214">
        <v>717625.06992599973</v>
      </c>
      <c r="CO18" s="214">
        <v>669281.74606699985</v>
      </c>
      <c r="CP18" s="214">
        <v>23476.890239036526</v>
      </c>
      <c r="CQ18" s="214">
        <v>223284.21204326558</v>
      </c>
      <c r="CR18" s="214">
        <v>386846.38167999871</v>
      </c>
      <c r="CS18" s="214">
        <v>2378033.9458310013</v>
      </c>
      <c r="CT18" s="214">
        <f t="shared" ref="CT18:CU18" si="25">IF(CT2="","",CT16-CT3-CT4-CT5)</f>
        <v>-468279.07225799898</v>
      </c>
      <c r="CU18" s="214">
        <f t="shared" si="25"/>
        <v>-455440.52096342924</v>
      </c>
      <c r="CV18" s="214">
        <f t="shared" ref="CV18:CW18" si="26">IF(CV2="","",CV16-CV3-CV4-CV5)</f>
        <v>792184.77491898602</v>
      </c>
      <c r="CW18" s="214">
        <f t="shared" si="26"/>
        <v>0</v>
      </c>
      <c r="CX18" s="214">
        <f t="shared" ref="CX18:DE18" si="27">IF(CX2="","",CX16-CX3-CX4-CX5)</f>
        <v>0</v>
      </c>
      <c r="CY18" s="214">
        <f t="shared" si="27"/>
        <v>0</v>
      </c>
      <c r="CZ18" s="214">
        <f t="shared" si="27"/>
        <v>0</v>
      </c>
      <c r="DA18" s="214">
        <f t="shared" si="27"/>
        <v>0</v>
      </c>
      <c r="DB18" s="214">
        <f t="shared" si="27"/>
        <v>0</v>
      </c>
      <c r="DC18" s="214">
        <f t="shared" si="27"/>
        <v>0</v>
      </c>
      <c r="DD18" s="214">
        <f t="shared" si="27"/>
        <v>0</v>
      </c>
      <c r="DE18" s="214">
        <f t="shared" si="27"/>
        <v>0</v>
      </c>
    </row>
    <row r="19" spans="1:109" x14ac:dyDescent="0.2">
      <c r="A19" s="53" t="s">
        <v>448</v>
      </c>
      <c r="Z19" s="214">
        <f t="shared" ref="Z19:CF19" si="28">IF(Z2="","",Z16-Z17)</f>
        <v>321813.90488455771</v>
      </c>
      <c r="AA19" s="214">
        <f t="shared" si="28"/>
        <v>-58182.105312584434</v>
      </c>
      <c r="AB19" s="214">
        <f t="shared" si="28"/>
        <v>981058.56349367648</v>
      </c>
      <c r="AC19" s="214">
        <f t="shared" si="28"/>
        <v>649449.89935842273</v>
      </c>
      <c r="AD19" s="214">
        <f t="shared" si="28"/>
        <v>698753.28208462568</v>
      </c>
      <c r="AE19" s="214">
        <f t="shared" si="28"/>
        <v>627627.46241747867</v>
      </c>
      <c r="AF19" s="214">
        <f t="shared" si="28"/>
        <v>899386.45273834211</v>
      </c>
      <c r="AG19" s="214">
        <f t="shared" si="28"/>
        <v>211328.52387348888</v>
      </c>
      <c r="AH19" s="214">
        <f t="shared" si="28"/>
        <v>1161844.7553086961</v>
      </c>
      <c r="AI19" s="214">
        <f t="shared" si="28"/>
        <v>276880.77462534118</v>
      </c>
      <c r="AJ19" s="214">
        <f t="shared" si="28"/>
        <v>1037173.3469828679</v>
      </c>
      <c r="AK19" s="214">
        <f t="shared" si="28"/>
        <v>387623.62036996521</v>
      </c>
      <c r="AL19" s="214">
        <f t="shared" si="28"/>
        <v>1009215.4320999996</v>
      </c>
      <c r="AM19" s="214">
        <f t="shared" si="28"/>
        <v>147024.87903763517</v>
      </c>
      <c r="AN19" s="214">
        <f t="shared" si="28"/>
        <v>-250103.76838548272</v>
      </c>
      <c r="AO19" s="214">
        <f t="shared" si="28"/>
        <v>502417.42984523787</v>
      </c>
      <c r="AP19" s="214">
        <f t="shared" si="28"/>
        <v>967659.28688387154</v>
      </c>
      <c r="AQ19" s="214">
        <f t="shared" si="28"/>
        <v>555695.14625000069</v>
      </c>
      <c r="AR19" s="214">
        <f t="shared" si="28"/>
        <v>484422.78245752514</v>
      </c>
      <c r="AS19" s="214">
        <f t="shared" si="28"/>
        <v>191745.34023333201</v>
      </c>
      <c r="AT19" s="214">
        <f t="shared" si="28"/>
        <v>323355.27614085935</v>
      </c>
      <c r="AU19" s="214">
        <f t="shared" si="28"/>
        <v>566900.87958442629</v>
      </c>
      <c r="AV19" s="214">
        <f t="shared" si="28"/>
        <v>383338.79045847664</v>
      </c>
      <c r="AW19" s="214">
        <f t="shared" si="28"/>
        <v>688192.09801075188</v>
      </c>
      <c r="AX19" s="214">
        <f t="shared" si="28"/>
        <v>260904.17406774987</v>
      </c>
      <c r="AY19" s="214">
        <f t="shared" si="28"/>
        <v>-441620.41738644382</v>
      </c>
      <c r="AZ19" s="214">
        <f t="shared" si="28"/>
        <v>-20638.373889926123</v>
      </c>
      <c r="BA19" s="214">
        <f t="shared" si="28"/>
        <v>552755.42867658171</v>
      </c>
      <c r="BB19" s="214">
        <f t="shared" si="28"/>
        <v>906773.34342620103</v>
      </c>
      <c r="BC19" s="214">
        <f t="shared" si="28"/>
        <v>382787.74467689218</v>
      </c>
      <c r="BD19" s="214">
        <f t="shared" si="28"/>
        <v>355697.72051974991</v>
      </c>
      <c r="BE19" s="214">
        <f t="shared" si="28"/>
        <v>37653.670919749886</v>
      </c>
      <c r="BF19" s="214">
        <f t="shared" si="28"/>
        <v>420698.65125200781</v>
      </c>
      <c r="BG19" s="214">
        <f t="shared" si="28"/>
        <v>463621.66920000128</v>
      </c>
      <c r="BH19" s="214">
        <f t="shared" si="28"/>
        <v>-1946.8252000003122</v>
      </c>
      <c r="BI19" s="214">
        <f t="shared" si="28"/>
        <v>67768.900799999014</v>
      </c>
      <c r="BJ19" s="214">
        <f t="shared" si="28"/>
        <v>686738.33632207802</v>
      </c>
      <c r="BK19" s="214">
        <f t="shared" si="28"/>
        <v>54987.865100000519</v>
      </c>
      <c r="BL19" s="214">
        <f t="shared" si="28"/>
        <v>-58359.73259999929</v>
      </c>
      <c r="BM19" s="214">
        <f t="shared" si="28"/>
        <v>744732.16779999994</v>
      </c>
      <c r="BN19" s="214">
        <f t="shared" si="28"/>
        <v>156200.44999999972</v>
      </c>
      <c r="BO19" s="214">
        <f t="shared" si="28"/>
        <v>135824.65629999992</v>
      </c>
      <c r="BP19" s="214">
        <f t="shared" si="28"/>
        <v>81552.70183333382</v>
      </c>
      <c r="BQ19" s="214">
        <f t="shared" si="28"/>
        <v>1084555.9255333333</v>
      </c>
      <c r="BR19" s="214">
        <f t="shared" si="28"/>
        <v>464143.27377849491</v>
      </c>
      <c r="BS19" s="214">
        <f t="shared" si="28"/>
        <v>101702.22533333488</v>
      </c>
      <c r="BT19" s="214">
        <f t="shared" si="28"/>
        <v>474917.27533333329</v>
      </c>
      <c r="BU19" s="214">
        <f t="shared" si="28"/>
        <v>1269946.5089333309</v>
      </c>
      <c r="BV19" s="214">
        <f t="shared" si="28"/>
        <v>307486.31597959995</v>
      </c>
      <c r="BW19" s="214">
        <f t="shared" si="28"/>
        <v>374002.30217960011</v>
      </c>
      <c r="BX19" s="214">
        <f t="shared" si="28"/>
        <v>-200804.84732040111</v>
      </c>
      <c r="BY19" s="214">
        <f t="shared" si="28"/>
        <v>467490.42737959977</v>
      </c>
      <c r="BZ19" s="214">
        <f t="shared" si="28"/>
        <v>705304.97164159967</v>
      </c>
      <c r="CA19" s="214">
        <f t="shared" si="28"/>
        <v>980606.6692276001</v>
      </c>
      <c r="CB19" s="214">
        <f t="shared" si="28"/>
        <v>1091359.2958286009</v>
      </c>
      <c r="CC19" s="214">
        <f t="shared" si="28"/>
        <v>148189.53922360018</v>
      </c>
      <c r="CD19" s="214">
        <f t="shared" si="28"/>
        <v>879208.05654860102</v>
      </c>
      <c r="CE19" s="214">
        <f t="shared" si="28"/>
        <v>557948.94238960091</v>
      </c>
      <c r="CF19" s="214">
        <f t="shared" si="28"/>
        <v>2072209.1539035998</v>
      </c>
      <c r="CG19" s="214">
        <f>IF(CG2="","",CG16-CG17)</f>
        <v>536738.41046704492</v>
      </c>
      <c r="CH19" s="214">
        <v>638361.31541626435</v>
      </c>
      <c r="CI19" s="214">
        <v>359839.83147000056</v>
      </c>
      <c r="CJ19" s="214">
        <v>240522.94920026371</v>
      </c>
      <c r="CK19" s="214">
        <v>228575.26020250935</v>
      </c>
      <c r="CL19" s="214">
        <v>-353966.04004899878</v>
      </c>
      <c r="CM19" s="214">
        <v>431359.92994400021</v>
      </c>
      <c r="CN19" s="214">
        <v>728902.99592600018</v>
      </c>
      <c r="CO19" s="214">
        <v>727222.78706699982</v>
      </c>
      <c r="CP19" s="214">
        <v>62266.126239036676</v>
      </c>
      <c r="CQ19" s="214">
        <v>265952.07504326571</v>
      </c>
      <c r="CR19" s="214">
        <v>411597.30067999894</v>
      </c>
      <c r="CS19" s="214">
        <v>2428203.9328310015</v>
      </c>
      <c r="CT19" s="214">
        <f t="shared" ref="CT19:DE19" si="29">IF(CT2="","",CT16-CT17)</f>
        <v>-425221.73025799915</v>
      </c>
      <c r="CU19" s="214">
        <f t="shared" si="29"/>
        <v>-414342.44296342926</v>
      </c>
      <c r="CV19" s="214">
        <f t="shared" si="29"/>
        <v>792184.77491898648</v>
      </c>
      <c r="CW19" s="214">
        <f t="shared" si="29"/>
        <v>0</v>
      </c>
      <c r="CX19" s="214">
        <f t="shared" si="29"/>
        <v>0</v>
      </c>
      <c r="CY19" s="214">
        <f t="shared" si="29"/>
        <v>0</v>
      </c>
      <c r="CZ19" s="214">
        <f t="shared" si="29"/>
        <v>0</v>
      </c>
      <c r="DA19" s="214">
        <f t="shared" si="29"/>
        <v>0</v>
      </c>
      <c r="DB19" s="214">
        <f t="shared" si="29"/>
        <v>0</v>
      </c>
      <c r="DC19" s="214">
        <f t="shared" si="29"/>
        <v>0</v>
      </c>
      <c r="DD19" s="214">
        <f t="shared" si="29"/>
        <v>0</v>
      </c>
      <c r="DE19" s="214">
        <f t="shared" si="29"/>
        <v>0</v>
      </c>
    </row>
    <row r="20" spans="1:109" x14ac:dyDescent="0.2">
      <c r="A20" s="53" t="s">
        <v>560</v>
      </c>
      <c r="BJ20" s="214">
        <v>0</v>
      </c>
      <c r="BK20" s="1">
        <v>210000</v>
      </c>
      <c r="BL20" s="1">
        <v>80000</v>
      </c>
      <c r="BM20" s="1">
        <v>80000</v>
      </c>
      <c r="BN20" s="1">
        <v>80000</v>
      </c>
      <c r="BO20" s="1">
        <v>80000</v>
      </c>
      <c r="BP20" s="1">
        <v>0</v>
      </c>
      <c r="BQ20" s="1">
        <v>0</v>
      </c>
      <c r="BR20" s="1">
        <v>110000</v>
      </c>
      <c r="BS20" s="1">
        <v>170000</v>
      </c>
      <c r="BT20" s="1">
        <v>0</v>
      </c>
      <c r="BU20" s="1">
        <v>400000</v>
      </c>
      <c r="BV20" s="214">
        <v>50000</v>
      </c>
      <c r="BW20" s="214">
        <v>0</v>
      </c>
      <c r="BX20" s="214">
        <v>0</v>
      </c>
      <c r="BY20" s="214">
        <v>0</v>
      </c>
      <c r="BZ20" s="214">
        <v>0</v>
      </c>
      <c r="CA20" s="214">
        <v>0</v>
      </c>
      <c r="CB20" s="214">
        <v>0</v>
      </c>
      <c r="CC20" s="214">
        <v>0</v>
      </c>
      <c r="CD20" s="214">
        <v>0</v>
      </c>
      <c r="CE20" s="214">
        <v>0</v>
      </c>
      <c r="CF20" s="214">
        <v>400000</v>
      </c>
      <c r="CG20" s="214">
        <v>500000</v>
      </c>
      <c r="CH20" s="214">
        <v>0</v>
      </c>
      <c r="CI20" s="214">
        <v>0</v>
      </c>
      <c r="CJ20" s="214">
        <v>0</v>
      </c>
      <c r="CK20" s="214">
        <v>0</v>
      </c>
      <c r="CL20" s="214">
        <v>0</v>
      </c>
      <c r="CM20" s="214">
        <v>0</v>
      </c>
      <c r="CN20" s="214">
        <v>0</v>
      </c>
      <c r="CO20" s="214">
        <v>0</v>
      </c>
      <c r="CP20" s="214">
        <v>0</v>
      </c>
      <c r="CQ20" s="214">
        <v>0</v>
      </c>
      <c r="CR20" s="214">
        <v>0</v>
      </c>
      <c r="CS20" s="214">
        <v>0</v>
      </c>
      <c r="CT20" s="214">
        <f>IF(CT2="","",[2]Receita!B220)</f>
        <v>0</v>
      </c>
      <c r="CU20" s="214">
        <f>IF(CU2="","",[2]Receita!C220)</f>
        <v>0</v>
      </c>
      <c r="CV20" s="214">
        <f>IF(CV2="","",[2]Receita!D220)</f>
        <v>0</v>
      </c>
      <c r="CW20" s="214">
        <f>IF(CW2="","",[2]Receita!E220)</f>
        <v>0</v>
      </c>
      <c r="CX20" s="214">
        <f>IF(CX2="","",[2]Receita!F220)</f>
        <v>0</v>
      </c>
      <c r="CY20" s="214">
        <f>IF(CY2="","",[2]Receita!G220)</f>
        <v>0</v>
      </c>
      <c r="CZ20" s="214">
        <f>IF(CZ2="","",[2]Receita!H220)</f>
        <v>0</v>
      </c>
      <c r="DA20" s="214">
        <f>IF(DA2="","",[2]Receita!I220)</f>
        <v>0</v>
      </c>
      <c r="DB20" s="214">
        <f>IF(DB2="","",[2]Receita!J220)</f>
        <v>0</v>
      </c>
      <c r="DC20" s="214">
        <f>IF(DC2="","",[2]Receita!K220)</f>
        <v>0</v>
      </c>
      <c r="DD20" s="214">
        <f>IF(DD2="","",[2]Receita!L220)</f>
        <v>0</v>
      </c>
      <c r="DE20" s="214">
        <f>IF(DE2="","",[2]Receita!M220)</f>
        <v>0</v>
      </c>
    </row>
    <row r="21" spans="1:109" x14ac:dyDescent="0.2">
      <c r="A21" s="53" t="s">
        <v>564</v>
      </c>
      <c r="CE21" s="1">
        <f>'[6]Valor Legal'!$BQ$54+'[6]Valor Legal'!$BQ$61</f>
        <v>45894.978636898057</v>
      </c>
      <c r="CF21" s="1">
        <f>'[6]Valor Legal'!$BX$54+'[6]Valor Legal'!$BX$61</f>
        <v>6215.8881714684394</v>
      </c>
      <c r="CG21" s="1">
        <f>'[6]Valor Legal'!$CE$54+'[6]Valor Legal'!$CE$61</f>
        <v>91797.278487393211</v>
      </c>
      <c r="CH21" s="1">
        <v>22489.233494407214</v>
      </c>
      <c r="CI21" s="1">
        <v>41333.127999761709</v>
      </c>
      <c r="CJ21" s="1">
        <v>44330.34958010765</v>
      </c>
      <c r="CK21" s="1">
        <v>30862.17250160512</v>
      </c>
      <c r="CL21" s="1">
        <v>68647.996753000349</v>
      </c>
      <c r="CM21" s="1">
        <v>20028.889312087882</v>
      </c>
      <c r="CN21" s="1">
        <v>30481.664858240703</v>
      </c>
      <c r="CO21" s="1">
        <v>50200.220736726362</v>
      </c>
      <c r="CP21" s="1">
        <v>62569.330995825418</v>
      </c>
      <c r="CQ21" s="1">
        <v>77234.868176144344</v>
      </c>
      <c r="CR21" s="1">
        <v>59360.300839145129</v>
      </c>
      <c r="CS21" s="1">
        <v>59907.790630710355</v>
      </c>
      <c r="CT21" s="1">
        <f>IF(CT2="","",[2]Recupera!$F$176+[2]Recupera!$F$184)</f>
        <v>96591.413653726791</v>
      </c>
      <c r="CU21" s="1">
        <f>IF(CU2="","",[2]Recupera!$M$176+[2]Recupera!$M$184)</f>
        <v>99851.768768120819</v>
      </c>
      <c r="CV21" s="1">
        <f>IF(CV2="","",[2]Recupera!$T$176+[2]Recupera!$T$184)</f>
        <v>158860.76113281975</v>
      </c>
      <c r="CW21" s="1">
        <f>IF(CW2="","",[2]Recupera!$AA$176+[2]Recupera!$AA$184)</f>
        <v>0</v>
      </c>
      <c r="CX21" s="1">
        <f>IF(CX2="","",[2]Recupera!$AH$176+[2]Recupera!$AH$184)</f>
        <v>0</v>
      </c>
      <c r="CY21" s="1">
        <f>IF(CY2="","",[2]Recupera!$AO$176+[2]Recupera!$AO$184)</f>
        <v>0</v>
      </c>
      <c r="CZ21" s="1">
        <f>IF(CZ2="","",[2]Recupera!$AV$176+[2]Recupera!$AV$184)</f>
        <v>0</v>
      </c>
      <c r="DA21" s="1">
        <f>IF(DA2="","",[2]Recupera!$BC$176+[2]Recupera!$BC$184)</f>
        <v>0</v>
      </c>
      <c r="DB21" s="1">
        <f>IF(DB2="","",[2]Recupera!$BJ$176+[2]Recupera!$BJ$184)</f>
        <v>0</v>
      </c>
      <c r="DC21" s="1">
        <f>IF(DC2="","",[2]Recupera!$BQ$176+[2]Recupera!$BQ$184)</f>
        <v>0</v>
      </c>
      <c r="DD21" s="1">
        <f>IF(DD2="","",[2]Recupera!$BX$176+[2]Recupera!$BX$184)</f>
        <v>0</v>
      </c>
      <c r="DE21" s="1">
        <f>IF(DE2="","",[2]Recupera!$CE$176+[2]Recupera!$CE$184)</f>
        <v>0</v>
      </c>
    </row>
    <row r="22" spans="1:109" x14ac:dyDescent="0.2">
      <c r="A22" s="53" t="s">
        <v>567</v>
      </c>
      <c r="BV22" s="214">
        <f t="shared" ref="BV22:CG22" si="30">IFERROR(BV12-BV13-BV23-BV12*0.1,"")</f>
        <v>18583.375</v>
      </c>
      <c r="BW22" s="214">
        <f t="shared" si="30"/>
        <v>194132.91599999997</v>
      </c>
      <c r="BX22" s="214">
        <f t="shared" si="30"/>
        <v>106430.62699999999</v>
      </c>
      <c r="BY22" s="214">
        <f t="shared" si="30"/>
        <v>-776.62200000000303</v>
      </c>
      <c r="BZ22" s="214">
        <f t="shared" si="30"/>
        <v>31914.882000000001</v>
      </c>
      <c r="CA22" s="214">
        <f t="shared" si="30"/>
        <v>124939.11399999997</v>
      </c>
      <c r="CB22" s="214">
        <f t="shared" si="30"/>
        <v>218859.35899999994</v>
      </c>
      <c r="CC22" s="214">
        <f t="shared" si="30"/>
        <v>195272.29300000001</v>
      </c>
      <c r="CD22" s="214">
        <f t="shared" si="30"/>
        <v>225599.00199999998</v>
      </c>
      <c r="CE22" s="214">
        <f t="shared" si="30"/>
        <v>549772.87136310281</v>
      </c>
      <c r="CF22" s="214">
        <f t="shared" si="30"/>
        <v>214019.48782853154</v>
      </c>
      <c r="CG22" s="214">
        <f t="shared" si="30"/>
        <v>746460.22632896143</v>
      </c>
      <c r="CH22" s="214">
        <v>296944.09820000001</v>
      </c>
      <c r="CI22" s="214">
        <v>296431.25956656702</v>
      </c>
      <c r="CJ22" s="214">
        <v>313439.60681099998</v>
      </c>
      <c r="CK22" s="214">
        <v>228184.098887</v>
      </c>
      <c r="CL22" s="214">
        <v>474354.26418</v>
      </c>
      <c r="CM22" s="214">
        <v>55607.741698000042</v>
      </c>
      <c r="CN22" s="214">
        <v>35551.04182716697</v>
      </c>
      <c r="CO22" s="214">
        <v>477323.64049199998</v>
      </c>
      <c r="CP22" s="214">
        <v>62001.918658000039</v>
      </c>
      <c r="CQ22" s="214">
        <v>321352.21184399998</v>
      </c>
      <c r="CR22" s="214">
        <v>134963.69482200002</v>
      </c>
      <c r="CS22" s="214">
        <v>407018.18979699997</v>
      </c>
      <c r="CT22" s="214">
        <f t="shared" ref="CT22:CU22" si="31">IFERROR(CT12-CT13-CT23-CT12*0.1,"")</f>
        <v>353651.40510799998</v>
      </c>
      <c r="CU22" s="214">
        <f t="shared" si="31"/>
        <v>324456.717114</v>
      </c>
      <c r="CV22" s="214">
        <f t="shared" ref="CV22:DE22" si="32">IFERROR(CV12-CV13-CV23-CV12*0.1,"")</f>
        <v>-74268.38037716609</v>
      </c>
      <c r="CW22" s="214">
        <f t="shared" si="32"/>
        <v>0</v>
      </c>
      <c r="CX22" s="214">
        <f t="shared" si="32"/>
        <v>0</v>
      </c>
      <c r="CY22" s="214">
        <f t="shared" si="32"/>
        <v>0</v>
      </c>
      <c r="CZ22" s="214">
        <f t="shared" si="32"/>
        <v>0</v>
      </c>
      <c r="DA22" s="214">
        <f t="shared" si="32"/>
        <v>0</v>
      </c>
      <c r="DB22" s="214">
        <f t="shared" si="32"/>
        <v>0</v>
      </c>
      <c r="DC22" s="214">
        <f t="shared" si="32"/>
        <v>0</v>
      </c>
      <c r="DD22" s="214">
        <f t="shared" si="32"/>
        <v>0</v>
      </c>
      <c r="DE22" s="214">
        <f t="shared" si="32"/>
        <v>0</v>
      </c>
    </row>
    <row r="23" spans="1:109" x14ac:dyDescent="0.2">
      <c r="A23" s="53" t="s">
        <v>568</v>
      </c>
      <c r="CC23" s="376"/>
      <c r="CD23" s="376"/>
      <c r="CE23" s="1">
        <v>45894.978636898057</v>
      </c>
      <c r="CF23" s="1">
        <v>6215.8881714684394</v>
      </c>
      <c r="CG23" s="1">
        <v>5292.2576710385429</v>
      </c>
      <c r="CH23" s="1">
        <v>5010.1127999999999</v>
      </c>
      <c r="CI23" s="1">
        <v>7679.8074334330076</v>
      </c>
      <c r="CJ23" s="1">
        <v>13659.403188999999</v>
      </c>
      <c r="CK23" s="1">
        <v>13024.136112999999</v>
      </c>
      <c r="CL23" s="1">
        <v>13363.60382</v>
      </c>
      <c r="CM23" s="1">
        <v>12984.261301999999</v>
      </c>
      <c r="CN23" s="1">
        <v>29778.562172833033</v>
      </c>
      <c r="CO23" s="1">
        <v>22424.198508000001</v>
      </c>
      <c r="CP23" s="1">
        <v>34808.085342000006</v>
      </c>
      <c r="CQ23" s="1">
        <v>31048.795156</v>
      </c>
      <c r="CR23" s="1">
        <v>24300.526178</v>
      </c>
      <c r="CS23" s="1">
        <v>22950.773203000001</v>
      </c>
      <c r="CT23" s="1">
        <f>IF(CT2="","",[2]Recupera!$F$176)</f>
        <v>24750.632891999998</v>
      </c>
      <c r="CU23" s="1">
        <f>IF(CU2="","",[2]Recupera!$M$176)</f>
        <v>21875.414886000002</v>
      </c>
      <c r="CV23" s="1">
        <f>IF(CV2="","",[2]Recupera!$T$176)</f>
        <v>42960.220377166093</v>
      </c>
      <c r="CW23" s="1">
        <f>IF(CW2="","",[2]Recupera!$AA$176)</f>
        <v>0</v>
      </c>
      <c r="CX23" s="1">
        <f>IF(CX2="","",[2]Recupera!$AH$176)</f>
        <v>0</v>
      </c>
      <c r="CY23" s="1">
        <f>IF(CY2="","",[2]Recupera!$AO$176)</f>
        <v>0</v>
      </c>
      <c r="CZ23" s="1">
        <f>IF(CZ2="","",[2]Recupera!$AV$176)</f>
        <v>0</v>
      </c>
      <c r="DA23" s="1">
        <f>IF(DA2="","",[2]Recupera!$BC$176)</f>
        <v>0</v>
      </c>
      <c r="DB23" s="1">
        <f>IF(DB2="","",[2]Recupera!$BJ$176)</f>
        <v>0</v>
      </c>
      <c r="DC23" s="1">
        <f>IF(DC2="","",[2]Recupera!$BQ$176)</f>
        <v>0</v>
      </c>
      <c r="DD23" s="1">
        <f>IF(DD2="","",[2]Recupera!$BX$176)</f>
        <v>0</v>
      </c>
      <c r="DE23" s="1">
        <f>IF(DE2="","",[2]Recupera!$CE$176)</f>
        <v>0</v>
      </c>
    </row>
    <row r="24" spans="1:109" x14ac:dyDescent="0.2">
      <c r="A24" s="53" t="s">
        <v>569</v>
      </c>
      <c r="CH24" s="1">
        <v>141666.66666666666</v>
      </c>
      <c r="CI24" s="1">
        <v>141666.66666666666</v>
      </c>
      <c r="CJ24" s="1">
        <v>141666.66666666666</v>
      </c>
      <c r="CK24" s="1">
        <v>141666.66666666666</v>
      </c>
      <c r="CL24" s="1">
        <v>141666.66666666666</v>
      </c>
      <c r="CM24" s="1">
        <v>141666.66666666666</v>
      </c>
      <c r="CN24" s="1">
        <v>141666.66666666666</v>
      </c>
      <c r="CO24" s="1">
        <v>141666.66666666666</v>
      </c>
      <c r="CP24" s="1">
        <v>141666.66666666666</v>
      </c>
      <c r="CQ24" s="1">
        <v>141666.66666666666</v>
      </c>
      <c r="CR24" s="1">
        <v>141666.66666666666</v>
      </c>
      <c r="CS24" s="1">
        <v>141666.66666666666</v>
      </c>
      <c r="CT24" s="1">
        <f>[2]Recupera!$D$8</f>
        <v>150000</v>
      </c>
      <c r="CU24" s="1">
        <f>[2]Recupera!$K$8</f>
        <v>150000</v>
      </c>
      <c r="CV24" s="1">
        <f>[2]Recupera!$R$8</f>
        <v>150000</v>
      </c>
      <c r="CW24" s="1">
        <f>[2]Recupera!$Y$8</f>
        <v>150000</v>
      </c>
      <c r="CX24" s="1">
        <f>[2]Recupera!$AF$8</f>
        <v>150000</v>
      </c>
      <c r="CY24" s="1">
        <f>[2]Recupera!$AM$8</f>
        <v>150000</v>
      </c>
      <c r="CZ24" s="1">
        <f>[2]Recupera!$AT$8</f>
        <v>150000</v>
      </c>
      <c r="DA24" s="1">
        <f>[2]Recupera!$BA$8</f>
        <v>150000</v>
      </c>
      <c r="DB24" s="1">
        <f>[2]Recupera!$BH$8</f>
        <v>150000</v>
      </c>
      <c r="DC24" s="1">
        <f>[2]Recupera!$BO$8</f>
        <v>150000</v>
      </c>
      <c r="DD24" s="1">
        <f>[2]Recupera!$BV$8</f>
        <v>150000</v>
      </c>
      <c r="DE24" s="1">
        <f>[2]Recupera!$CC$8</f>
        <v>150000</v>
      </c>
    </row>
    <row r="25" spans="1:109" x14ac:dyDescent="0.2">
      <c r="A25" s="1" t="s">
        <v>570</v>
      </c>
      <c r="CH25" s="1">
        <v>4231546.6697000004</v>
      </c>
      <c r="CI25" s="1">
        <v>4391466.6697000004</v>
      </c>
      <c r="CJ25" s="1">
        <v>3930886.6697</v>
      </c>
      <c r="CK25" s="1">
        <v>4214399.6697000004</v>
      </c>
      <c r="CL25" s="1">
        <v>4491699.6646999996</v>
      </c>
      <c r="CM25" s="1">
        <v>4496699.6646999996</v>
      </c>
      <c r="CN25" s="1">
        <v>4546699.6646999996</v>
      </c>
      <c r="CO25" s="1">
        <v>4582399.6646999996</v>
      </c>
      <c r="CP25" s="1">
        <v>4492399.6646999996</v>
      </c>
      <c r="CQ25" s="1">
        <v>4516599.6697000004</v>
      </c>
      <c r="CR25" s="1">
        <v>4536599.6697000004</v>
      </c>
      <c r="CS25" s="1">
        <v>4526599.6587000005</v>
      </c>
      <c r="CT25" s="1">
        <f>[2]Total!$B$35</f>
        <v>3495609.3475000001</v>
      </c>
      <c r="CU25" s="1">
        <f>[2]Total!$P$35</f>
        <v>3650042.4175</v>
      </c>
      <c r="CV25" s="1">
        <f>[2]Total!$AD$35</f>
        <v>4860256.5752499998</v>
      </c>
      <c r="CW25" s="1">
        <f>[2]Total!$AR$35</f>
        <v>4674335.2352499999</v>
      </c>
      <c r="CX25" s="1">
        <f>[2]Total!$BF$35</f>
        <v>4763068.2952500004</v>
      </c>
      <c r="CY25" s="1">
        <f>[2]Total!$BT$35</f>
        <v>4772526.2952500004</v>
      </c>
      <c r="CZ25" s="1">
        <f>[2]Total!$CH$35</f>
        <v>4948793.2352499999</v>
      </c>
      <c r="DA25" s="1">
        <f>[2]Total!$CV$35</f>
        <v>4948793.2352499999</v>
      </c>
      <c r="DB25" s="1">
        <f>[2]Total!$DJ$35</f>
        <v>4948793.2352499999</v>
      </c>
      <c r="DC25" s="1">
        <f>[2]Total!$DX$35</f>
        <v>4995060.1652499996</v>
      </c>
      <c r="DD25" s="1">
        <f>[2]Total!$EL$35</f>
        <v>4948793.2352499999</v>
      </c>
      <c r="DE25" s="1">
        <f>[2]Total!$EZ$35</f>
        <v>4948793.2352499999</v>
      </c>
    </row>
    <row r="26" spans="1:109" x14ac:dyDescent="0.2">
      <c r="A26" s="1" t="s">
        <v>571</v>
      </c>
      <c r="CH26" s="1">
        <v>4089880.0030333339</v>
      </c>
      <c r="CI26" s="1">
        <v>4249800.0030333335</v>
      </c>
      <c r="CJ26" s="1">
        <v>3789220.0030333335</v>
      </c>
      <c r="CK26" s="1">
        <v>4072733.0030333339</v>
      </c>
      <c r="CL26" s="1">
        <v>4350032.9980333326</v>
      </c>
      <c r="CM26" s="1">
        <v>4355032.9980333326</v>
      </c>
      <c r="CN26" s="1">
        <v>4405032.9980333326</v>
      </c>
      <c r="CO26" s="1">
        <v>4440732.9980333326</v>
      </c>
      <c r="CP26" s="1">
        <v>4350732.9980333326</v>
      </c>
      <c r="CQ26" s="1">
        <v>4374933.0030333335</v>
      </c>
      <c r="CR26" s="1">
        <v>4394933.0030333335</v>
      </c>
      <c r="CS26" s="1">
        <v>4384932.9920333335</v>
      </c>
      <c r="CT26" s="1">
        <f t="shared" ref="CT26:CU26" si="33">IF(CT2="","",CT25-CT24)</f>
        <v>3345609.3475000001</v>
      </c>
      <c r="CU26" s="1">
        <f t="shared" si="33"/>
        <v>3500042.4175</v>
      </c>
      <c r="CV26" s="1">
        <f t="shared" ref="CV26:DE26" si="34">IF(CV2="","",CV25-CV24)</f>
        <v>4710256.5752499998</v>
      </c>
      <c r="CW26" s="1">
        <f t="shared" si="34"/>
        <v>4524335.2352499999</v>
      </c>
      <c r="CX26" s="1">
        <f t="shared" si="34"/>
        <v>4613068.2952500004</v>
      </c>
      <c r="CY26" s="1">
        <f t="shared" si="34"/>
        <v>4622526.2952500004</v>
      </c>
      <c r="CZ26" s="1">
        <f t="shared" si="34"/>
        <v>4798793.2352499999</v>
      </c>
      <c r="DA26" s="1">
        <f t="shared" si="34"/>
        <v>4798793.2352499999</v>
      </c>
      <c r="DB26" s="1">
        <f t="shared" si="34"/>
        <v>4798793.2352499999</v>
      </c>
      <c r="DC26" s="1">
        <f t="shared" si="34"/>
        <v>4845060.1652499996</v>
      </c>
      <c r="DD26" s="1">
        <f t="shared" si="34"/>
        <v>4798793.2352499999</v>
      </c>
      <c r="DE26" s="1">
        <f t="shared" si="34"/>
        <v>4798793.2352499999</v>
      </c>
    </row>
    <row r="27" spans="1:109" x14ac:dyDescent="0.2">
      <c r="A27" s="53" t="s">
        <v>572</v>
      </c>
      <c r="BV27" s="214">
        <f>BV9-BV22</f>
        <v>329923.09597960021</v>
      </c>
      <c r="BW27" s="214">
        <f t="shared" ref="BW27:CG27" si="35">BW9-BW22</f>
        <v>411830.02217960008</v>
      </c>
      <c r="BX27" s="214">
        <f t="shared" si="35"/>
        <v>-187042.33732040052</v>
      </c>
      <c r="BY27" s="214">
        <f t="shared" si="35"/>
        <v>503539.32737959968</v>
      </c>
      <c r="BZ27" s="214">
        <f t="shared" si="35"/>
        <v>774305.36164159956</v>
      </c>
      <c r="CA27" s="214">
        <f t="shared" si="35"/>
        <v>1024319.8692275999</v>
      </c>
      <c r="CB27" s="214">
        <f t="shared" si="35"/>
        <v>1242056.1458286007</v>
      </c>
      <c r="CC27" s="214">
        <f t="shared" si="35"/>
        <v>226346.57922360027</v>
      </c>
      <c r="CD27" s="214">
        <f t="shared" si="35"/>
        <v>924252.98654860107</v>
      </c>
      <c r="CE27" s="214">
        <f t="shared" si="35"/>
        <v>705411.20102649939</v>
      </c>
      <c r="CF27" s="214">
        <f t="shared" si="35"/>
        <v>2119348.1020750683</v>
      </c>
      <c r="CG27" s="214">
        <f t="shared" si="35"/>
        <v>590707.27813808352</v>
      </c>
      <c r="CH27" s="214">
        <v>671751.67821626447</v>
      </c>
      <c r="CI27" s="214">
        <v>413843.30890343373</v>
      </c>
      <c r="CJ27" s="214">
        <v>284649.47238926409</v>
      </c>
      <c r="CK27" s="214">
        <v>289858.20631550928</v>
      </c>
      <c r="CL27" s="214">
        <v>-365780.31622899888</v>
      </c>
      <c r="CM27" s="214">
        <v>585633.96124600025</v>
      </c>
      <c r="CN27" s="214">
        <v>794853.28809883306</v>
      </c>
      <c r="CO27" s="214">
        <v>771368.51557499985</v>
      </c>
      <c r="CP27" s="214">
        <v>349367.33158103644</v>
      </c>
      <c r="CQ27" s="214">
        <v>328610.63019926572</v>
      </c>
      <c r="CR27" s="214">
        <v>499391.87685799913</v>
      </c>
      <c r="CS27" s="214">
        <v>2472715.6260340018</v>
      </c>
      <c r="CT27" s="214">
        <f t="shared" ref="CT27:DE27" si="36">IF(CT2="","",CT9-CT22)</f>
        <v>-391357.05736599892</v>
      </c>
      <c r="CU27" s="214">
        <f t="shared" si="36"/>
        <v>-368916.45807742875</v>
      </c>
      <c r="CV27" s="214">
        <f t="shared" si="36"/>
        <v>866453.15529615257</v>
      </c>
      <c r="CW27" s="214">
        <f t="shared" si="36"/>
        <v>0</v>
      </c>
      <c r="CX27" s="214">
        <f t="shared" si="36"/>
        <v>0</v>
      </c>
      <c r="CY27" s="214">
        <f t="shared" si="36"/>
        <v>0</v>
      </c>
      <c r="CZ27" s="214">
        <f t="shared" si="36"/>
        <v>0</v>
      </c>
      <c r="DA27" s="214">
        <f t="shared" si="36"/>
        <v>0</v>
      </c>
      <c r="DB27" s="214">
        <f t="shared" si="36"/>
        <v>0</v>
      </c>
      <c r="DC27" s="214">
        <f t="shared" si="36"/>
        <v>0</v>
      </c>
      <c r="DD27" s="214">
        <f t="shared" si="36"/>
        <v>0</v>
      </c>
      <c r="DE27" s="214">
        <f t="shared" si="36"/>
        <v>0</v>
      </c>
    </row>
    <row r="28" spans="1:109" x14ac:dyDescent="0.2">
      <c r="A28" s="53" t="s">
        <v>615</v>
      </c>
      <c r="B28" s="29">
        <f t="shared" ref="B28:BM28" si="37">B2-B20</f>
        <v>1307223.7999999991</v>
      </c>
      <c r="C28" s="29">
        <f t="shared" si="37"/>
        <v>1533151.6239999996</v>
      </c>
      <c r="D28" s="29">
        <f t="shared" si="37"/>
        <v>990409.83100000001</v>
      </c>
      <c r="E28" s="29">
        <f t="shared" si="37"/>
        <v>1675538.8130999992</v>
      </c>
      <c r="F28" s="29">
        <f t="shared" si="37"/>
        <v>1390304.1299999992</v>
      </c>
      <c r="G28" s="29">
        <f t="shared" si="37"/>
        <v>1429726.8799999992</v>
      </c>
      <c r="H28" s="29">
        <f t="shared" si="37"/>
        <v>1617844.8599999999</v>
      </c>
      <c r="I28" s="29">
        <f t="shared" si="37"/>
        <v>1754379.7909999609</v>
      </c>
      <c r="J28" s="29">
        <f t="shared" si="37"/>
        <v>1464234.7479999592</v>
      </c>
      <c r="K28" s="29">
        <f t="shared" si="37"/>
        <v>2097191.6049999632</v>
      </c>
      <c r="L28" s="29">
        <f t="shared" si="37"/>
        <v>1576315.2519999505</v>
      </c>
      <c r="M28" s="29">
        <f t="shared" si="37"/>
        <v>1978552.7079999633</v>
      </c>
      <c r="N28" s="29">
        <f t="shared" si="37"/>
        <v>1467400.1099999887</v>
      </c>
      <c r="O28" s="29">
        <f t="shared" si="37"/>
        <v>1032717.8069999877</v>
      </c>
      <c r="P28" s="29">
        <f t="shared" si="37"/>
        <v>1313738.0199999877</v>
      </c>
      <c r="Q28" s="29">
        <f t="shared" si="37"/>
        <v>1330213.885999993</v>
      </c>
      <c r="R28" s="29">
        <f t="shared" si="37"/>
        <v>1973924.0239999788</v>
      </c>
      <c r="S28" s="29">
        <f t="shared" si="37"/>
        <v>2136174.1899999799</v>
      </c>
      <c r="T28" s="29">
        <f t="shared" si="37"/>
        <v>1983098.5799999996</v>
      </c>
      <c r="U28" s="29">
        <f t="shared" si="37"/>
        <v>2276787.9096264662</v>
      </c>
      <c r="V28" s="29">
        <f t="shared" si="37"/>
        <v>1849436.0400000003</v>
      </c>
      <c r="W28" s="29">
        <f t="shared" si="37"/>
        <v>1853373.6699999557</v>
      </c>
      <c r="X28" s="29">
        <f t="shared" si="37"/>
        <v>2489722.6293332889</v>
      </c>
      <c r="Y28" s="29">
        <f t="shared" si="37"/>
        <v>1833456.7339999606</v>
      </c>
      <c r="Z28" s="29">
        <f t="shared" si="37"/>
        <v>2128952.7909999569</v>
      </c>
      <c r="AA28" s="29">
        <f t="shared" si="37"/>
        <v>1573272.0889999997</v>
      </c>
      <c r="AB28" s="29">
        <f t="shared" si="37"/>
        <v>2476961.441999896</v>
      </c>
      <c r="AC28" s="29">
        <f t="shared" si="37"/>
        <v>2086485.9379999482</v>
      </c>
      <c r="AD28" s="29">
        <f t="shared" si="37"/>
        <v>2038109.0599999507</v>
      </c>
      <c r="AE28" s="29">
        <f t="shared" si="37"/>
        <v>1960087.7539999653</v>
      </c>
      <c r="AF28" s="29">
        <f t="shared" si="37"/>
        <v>2449578.3899999997</v>
      </c>
      <c r="AG28" s="29">
        <f t="shared" si="37"/>
        <v>1751404.72</v>
      </c>
      <c r="AH28" s="29">
        <f t="shared" si="37"/>
        <v>2636104.91</v>
      </c>
      <c r="AI28" s="29">
        <f t="shared" si="37"/>
        <v>1991057.37</v>
      </c>
      <c r="AJ28" s="29">
        <f t="shared" si="37"/>
        <v>2890477.23</v>
      </c>
      <c r="AK28" s="29">
        <f t="shared" si="37"/>
        <v>2672542.3600000003</v>
      </c>
      <c r="AL28" s="29">
        <f t="shared" si="37"/>
        <v>2160275.17</v>
      </c>
      <c r="AM28" s="29">
        <f t="shared" si="37"/>
        <v>1729170.56</v>
      </c>
      <c r="AN28" s="29">
        <f t="shared" si="37"/>
        <v>1408118.1800000002</v>
      </c>
      <c r="AO28" s="29">
        <f t="shared" si="37"/>
        <v>2194304.09</v>
      </c>
      <c r="AP28" s="29">
        <f t="shared" si="37"/>
        <v>2650378.8100000005</v>
      </c>
      <c r="AQ28" s="29">
        <f t="shared" si="37"/>
        <v>2209415.4800000004</v>
      </c>
      <c r="AR28" s="29">
        <f t="shared" si="37"/>
        <v>2332555.91</v>
      </c>
      <c r="AS28" s="29">
        <f t="shared" si="37"/>
        <v>2180870.0699999998</v>
      </c>
      <c r="AT28" s="29">
        <f t="shared" si="37"/>
        <v>2274247.44</v>
      </c>
      <c r="AU28" s="29">
        <f t="shared" si="37"/>
        <v>2588760.7199999997</v>
      </c>
      <c r="AV28" s="29">
        <f t="shared" si="37"/>
        <v>2581281.1</v>
      </c>
      <c r="AW28" s="29">
        <f t="shared" si="37"/>
        <v>3002777.1399999997</v>
      </c>
      <c r="AX28" s="29">
        <f t="shared" si="37"/>
        <v>2236775.35</v>
      </c>
      <c r="AY28" s="29">
        <f t="shared" si="37"/>
        <v>1432655.23</v>
      </c>
      <c r="AZ28" s="29">
        <f t="shared" si="37"/>
        <v>2011358.93</v>
      </c>
      <c r="BA28" s="29">
        <f t="shared" si="37"/>
        <v>2659030.98</v>
      </c>
      <c r="BB28" s="29">
        <f t="shared" si="37"/>
        <v>3006579.75</v>
      </c>
      <c r="BC28" s="29">
        <f t="shared" si="37"/>
        <v>2464901.36</v>
      </c>
      <c r="BD28" s="29">
        <f t="shared" si="37"/>
        <v>2501382.0599999996</v>
      </c>
      <c r="BE28" s="29">
        <f t="shared" si="37"/>
        <v>2204860.0499999998</v>
      </c>
      <c r="BF28" s="29">
        <f t="shared" si="37"/>
        <v>2556896.0299999998</v>
      </c>
      <c r="BG28" s="29">
        <f t="shared" si="37"/>
        <v>2707697.4400000004</v>
      </c>
      <c r="BH28" s="29">
        <f t="shared" si="37"/>
        <v>2415882.54</v>
      </c>
      <c r="BI28" s="29">
        <f t="shared" si="37"/>
        <v>2692784.6400000006</v>
      </c>
      <c r="BJ28" s="29">
        <f t="shared" si="37"/>
        <v>2859585.31</v>
      </c>
      <c r="BK28" s="29">
        <f t="shared" si="37"/>
        <v>2080503.62</v>
      </c>
      <c r="BL28" s="29">
        <f t="shared" si="37"/>
        <v>2178763.79</v>
      </c>
      <c r="BM28" s="29">
        <f t="shared" si="37"/>
        <v>3146365.23</v>
      </c>
      <c r="BN28" s="29">
        <f t="shared" ref="BN28:CG28" si="38">BN2-BN20</f>
        <v>2679630.7200000002</v>
      </c>
      <c r="BO28" s="29">
        <f t="shared" si="38"/>
        <v>2684496.3499999996</v>
      </c>
      <c r="BP28" s="29">
        <f t="shared" si="38"/>
        <v>2839189.01</v>
      </c>
      <c r="BQ28" s="29">
        <f t="shared" si="38"/>
        <v>3801574.8499999996</v>
      </c>
      <c r="BR28" s="29">
        <f t="shared" si="38"/>
        <v>3236794.8000000003</v>
      </c>
      <c r="BS28" s="29">
        <f t="shared" si="38"/>
        <v>3075706.1199999996</v>
      </c>
      <c r="BT28" s="29">
        <f t="shared" si="38"/>
        <v>3479448.69</v>
      </c>
      <c r="BU28" s="29">
        <f t="shared" si="38"/>
        <v>4523248.92</v>
      </c>
      <c r="BV28" s="29">
        <f t="shared" si="38"/>
        <v>3159755.2600000002</v>
      </c>
      <c r="BW28" s="29">
        <f t="shared" si="38"/>
        <v>3256937.67</v>
      </c>
      <c r="BX28" s="29">
        <f t="shared" si="38"/>
        <v>2605192.48</v>
      </c>
      <c r="BY28" s="29">
        <f t="shared" si="38"/>
        <v>3293581.6300000004</v>
      </c>
      <c r="BZ28" s="29">
        <f t="shared" si="38"/>
        <v>3629988.73</v>
      </c>
      <c r="CA28" s="29">
        <f t="shared" si="38"/>
        <v>4068124.1200259998</v>
      </c>
      <c r="CB28" s="29">
        <f t="shared" si="38"/>
        <v>4640246.4200030006</v>
      </c>
      <c r="CC28" s="29">
        <f t="shared" si="38"/>
        <v>3454209.97</v>
      </c>
      <c r="CD28" s="29">
        <f t="shared" si="38"/>
        <v>4253136.8799960008</v>
      </c>
      <c r="CE28" s="29">
        <f t="shared" si="38"/>
        <v>4658140.6700220024</v>
      </c>
      <c r="CF28" s="29">
        <f t="shared" si="38"/>
        <v>5744338.9999359995</v>
      </c>
      <c r="CG28" s="29">
        <f t="shared" si="38"/>
        <v>4812105.9099210007</v>
      </c>
      <c r="CH28" s="29">
        <v>4402653.9400060009</v>
      </c>
      <c r="CI28" s="29">
        <v>4086254.28</v>
      </c>
      <c r="CJ28" s="29">
        <v>4048194.34</v>
      </c>
      <c r="CK28" s="29">
        <v>3939627.5</v>
      </c>
      <c r="CL28" s="29">
        <v>3548210.8800000008</v>
      </c>
      <c r="CM28" s="29">
        <v>4304516.2699640002</v>
      </c>
      <c r="CN28" s="29">
        <v>4526009.38</v>
      </c>
      <c r="CO28" s="29">
        <v>4828600.7084499998</v>
      </c>
      <c r="CP28" s="29">
        <v>4420476.6128320005</v>
      </c>
      <c r="CQ28" s="29">
        <v>4300330.28</v>
      </c>
      <c r="CR28" s="29">
        <v>4681796.72</v>
      </c>
      <c r="CS28" s="29">
        <v>7347433.0200000014</v>
      </c>
      <c r="CT28" s="29">
        <f t="shared" ref="CT28:DE28" si="39">IF(CT2="","",CT2-CT20)</f>
        <v>3839057.96</v>
      </c>
      <c r="CU28" s="29">
        <f t="shared" si="39"/>
        <v>3623744.09</v>
      </c>
      <c r="CV28" s="29">
        <f t="shared" si="39"/>
        <v>4695972.1340000005</v>
      </c>
      <c r="CW28" s="29">
        <f t="shared" si="39"/>
        <v>0</v>
      </c>
      <c r="CX28" s="29">
        <f t="shared" si="39"/>
        <v>0</v>
      </c>
      <c r="CY28" s="29">
        <f t="shared" si="39"/>
        <v>0</v>
      </c>
      <c r="CZ28" s="29">
        <f t="shared" si="39"/>
        <v>0</v>
      </c>
      <c r="DA28" s="29">
        <f t="shared" si="39"/>
        <v>0</v>
      </c>
      <c r="DB28" s="29">
        <f t="shared" si="39"/>
        <v>0</v>
      </c>
      <c r="DC28" s="29">
        <f t="shared" si="39"/>
        <v>0</v>
      </c>
      <c r="DD28" s="29">
        <f t="shared" si="39"/>
        <v>0</v>
      </c>
      <c r="DE28" s="29">
        <f t="shared" si="39"/>
        <v>0</v>
      </c>
    </row>
    <row r="29" spans="1:109" x14ac:dyDescent="0.2">
      <c r="A29" s="53" t="s">
        <v>616</v>
      </c>
      <c r="B29" s="214">
        <f t="shared" ref="B29:BM29" si="40">B8-B20</f>
        <v>1251905.0682446565</v>
      </c>
      <c r="C29" s="214">
        <f t="shared" si="40"/>
        <v>1154457.7910613224</v>
      </c>
      <c r="D29" s="214">
        <f t="shared" si="40"/>
        <v>1183242.9127805452</v>
      </c>
      <c r="E29" s="214">
        <f t="shared" si="40"/>
        <v>1291915.3390788354</v>
      </c>
      <c r="F29" s="214">
        <f t="shared" si="40"/>
        <v>1293411.0466638003</v>
      </c>
      <c r="G29" s="214">
        <f t="shared" si="40"/>
        <v>1306796.9747250557</v>
      </c>
      <c r="H29" s="214">
        <f t="shared" si="40"/>
        <v>1485977.832918799</v>
      </c>
      <c r="I29" s="214">
        <f t="shared" si="40"/>
        <v>1509039.2553428165</v>
      </c>
      <c r="J29" s="214">
        <f t="shared" si="40"/>
        <v>1490557.3422433694</v>
      </c>
      <c r="K29" s="214">
        <f t="shared" si="40"/>
        <v>1616661.3529037707</v>
      </c>
      <c r="L29" s="214">
        <f t="shared" si="40"/>
        <v>1596511.5656682842</v>
      </c>
      <c r="M29" s="214">
        <f t="shared" si="40"/>
        <v>1632923.7086199627</v>
      </c>
      <c r="N29" s="214">
        <f t="shared" si="40"/>
        <v>1497079.5515116551</v>
      </c>
      <c r="O29" s="214">
        <f t="shared" si="40"/>
        <v>1451102.2777399875</v>
      </c>
      <c r="P29" s="214">
        <f t="shared" si="40"/>
        <v>1442210.5248055554</v>
      </c>
      <c r="Q29" s="214">
        <f t="shared" si="40"/>
        <v>1481588.1707983341</v>
      </c>
      <c r="R29" s="214">
        <f t="shared" si="40"/>
        <v>1610069.6159149779</v>
      </c>
      <c r="S29" s="214">
        <f t="shared" si="40"/>
        <v>1702489.4654371068</v>
      </c>
      <c r="T29" s="214">
        <f t="shared" si="40"/>
        <v>1707009.7942716335</v>
      </c>
      <c r="U29" s="214">
        <f t="shared" si="40"/>
        <v>1613678.9274349667</v>
      </c>
      <c r="V29" s="214">
        <f t="shared" si="40"/>
        <v>1652698.1501916409</v>
      </c>
      <c r="W29" s="214">
        <f t="shared" si="40"/>
        <v>1626455.5745602681</v>
      </c>
      <c r="X29" s="214">
        <f t="shared" si="40"/>
        <v>1821513.5370933095</v>
      </c>
      <c r="Y29" s="214">
        <f t="shared" si="40"/>
        <v>1701985.0988399102</v>
      </c>
      <c r="Z29" s="214">
        <f t="shared" si="40"/>
        <v>1763525.2191153993</v>
      </c>
      <c r="AA29" s="214">
        <f t="shared" si="40"/>
        <v>1617599.8373125843</v>
      </c>
      <c r="AB29" s="214">
        <f t="shared" si="40"/>
        <v>1487717.9005062196</v>
      </c>
      <c r="AC29" s="214">
        <f t="shared" si="40"/>
        <v>1428873.3806415254</v>
      </c>
      <c r="AD29" s="214">
        <f t="shared" si="40"/>
        <v>1326652.5929153252</v>
      </c>
      <c r="AE29" s="214">
        <f t="shared" si="40"/>
        <v>1272790.3995824866</v>
      </c>
      <c r="AF29" s="214">
        <f t="shared" si="40"/>
        <v>1535004.7522616577</v>
      </c>
      <c r="AG29" s="214">
        <f t="shared" si="40"/>
        <v>1520031.522126511</v>
      </c>
      <c r="AH29" s="214">
        <f t="shared" si="40"/>
        <v>1465711.7206913044</v>
      </c>
      <c r="AI29" s="214">
        <f t="shared" si="40"/>
        <v>1672469.713374659</v>
      </c>
      <c r="AJ29" s="214">
        <f t="shared" si="40"/>
        <v>1843152.783017132</v>
      </c>
      <c r="AK29" s="214">
        <f t="shared" si="40"/>
        <v>2252898.3236300349</v>
      </c>
      <c r="AL29" s="214">
        <f t="shared" si="40"/>
        <v>1140629.6469000001</v>
      </c>
      <c r="AM29" s="214">
        <f t="shared" si="40"/>
        <v>1553144.8189623649</v>
      </c>
      <c r="AN29" s="214">
        <f t="shared" si="40"/>
        <v>1644442.984385483</v>
      </c>
      <c r="AO29" s="214">
        <f t="shared" si="40"/>
        <v>1650736.3111547623</v>
      </c>
      <c r="AP29" s="214">
        <f t="shared" si="40"/>
        <v>1651667.4981161288</v>
      </c>
      <c r="AQ29" s="214">
        <f t="shared" si="40"/>
        <v>1619718.5587499999</v>
      </c>
      <c r="AR29" s="214">
        <f t="shared" si="40"/>
        <v>1810248.005542475</v>
      </c>
      <c r="AS29" s="214">
        <f t="shared" si="40"/>
        <v>1948051.7087666679</v>
      </c>
      <c r="AT29" s="214">
        <f t="shared" si="40"/>
        <v>1910234.2948591404</v>
      </c>
      <c r="AU29" s="214">
        <f t="shared" si="40"/>
        <v>1985994.3184155733</v>
      </c>
      <c r="AV29" s="214">
        <f t="shared" si="40"/>
        <v>2122823.6025415235</v>
      </c>
      <c r="AW29" s="214">
        <f t="shared" si="40"/>
        <v>2236398.0369892474</v>
      </c>
      <c r="AX29" s="214">
        <f t="shared" si="40"/>
        <v>1949099.2089322503</v>
      </c>
      <c r="AY29" s="214">
        <f t="shared" si="40"/>
        <v>1857228.0633864438</v>
      </c>
      <c r="AZ29" s="214">
        <f t="shared" si="40"/>
        <v>2002373.6598899262</v>
      </c>
      <c r="BA29" s="214">
        <f t="shared" si="40"/>
        <v>2010814.6033234182</v>
      </c>
      <c r="BB29" s="214">
        <f t="shared" si="40"/>
        <v>2042098.9375737989</v>
      </c>
      <c r="BC29" s="214">
        <f t="shared" si="40"/>
        <v>1982207.7923231076</v>
      </c>
      <c r="BD29" s="214">
        <f t="shared" si="40"/>
        <v>2135287.6744802496</v>
      </c>
      <c r="BE29" s="214">
        <f t="shared" si="40"/>
        <v>2049865.6030802501</v>
      </c>
      <c r="BF29" s="214">
        <f t="shared" si="40"/>
        <v>2076592.232747992</v>
      </c>
      <c r="BG29" s="214">
        <f t="shared" si="40"/>
        <v>2172058.8057999993</v>
      </c>
      <c r="BH29" s="214">
        <f t="shared" si="40"/>
        <v>2253458.5942000002</v>
      </c>
      <c r="BI29" s="214">
        <f t="shared" si="40"/>
        <v>2504976.6642000019</v>
      </c>
      <c r="BJ29" s="214">
        <f t="shared" si="40"/>
        <v>2156896.8136779219</v>
      </c>
      <c r="BK29" s="214">
        <f t="shared" si="40"/>
        <v>1991438.6588999997</v>
      </c>
      <c r="BL29" s="214">
        <f t="shared" si="40"/>
        <v>2221123.2955999994</v>
      </c>
      <c r="BM29" s="214">
        <f t="shared" si="40"/>
        <v>2368120.9411999998</v>
      </c>
      <c r="BN29" s="214">
        <f t="shared" ref="BN29:CG29" si="41">BN8-BN20</f>
        <v>2488380.5800000005</v>
      </c>
      <c r="BO29" s="214">
        <f t="shared" si="41"/>
        <v>2471024.1396999992</v>
      </c>
      <c r="BP29" s="214">
        <f t="shared" si="41"/>
        <v>2602941.4101666659</v>
      </c>
      <c r="BQ29" s="214">
        <f t="shared" si="41"/>
        <v>2647088.1504666666</v>
      </c>
      <c r="BR29" s="214">
        <f t="shared" si="41"/>
        <v>2556106.2522215056</v>
      </c>
      <c r="BS29" s="214">
        <f t="shared" si="41"/>
        <v>2819804.5726666646</v>
      </c>
      <c r="BT29" s="214">
        <f t="shared" si="41"/>
        <v>2855162.7166666663</v>
      </c>
      <c r="BU29" s="214">
        <f t="shared" si="41"/>
        <v>2947664.0940666688</v>
      </c>
      <c r="BV29" s="214">
        <f t="shared" si="41"/>
        <v>2811248.7890204</v>
      </c>
      <c r="BW29" s="214">
        <f t="shared" si="41"/>
        <v>2650974.7318203999</v>
      </c>
      <c r="BX29" s="214">
        <f t="shared" si="41"/>
        <v>2685804.1903204005</v>
      </c>
      <c r="BY29" s="214">
        <f t="shared" si="41"/>
        <v>2790818.9246204006</v>
      </c>
      <c r="BZ29" s="214">
        <f t="shared" si="41"/>
        <v>2823768.4863584004</v>
      </c>
      <c r="CA29" s="214">
        <f t="shared" si="41"/>
        <v>2918865.1367984</v>
      </c>
      <c r="CB29" s="214">
        <f t="shared" si="41"/>
        <v>3179330.9151744</v>
      </c>
      <c r="CC29" s="214">
        <f t="shared" si="41"/>
        <v>3032591.0977763999</v>
      </c>
      <c r="CD29" s="214">
        <f t="shared" si="41"/>
        <v>3103284.8914473997</v>
      </c>
      <c r="CE29" s="214">
        <f t="shared" si="41"/>
        <v>3402956.5976324002</v>
      </c>
      <c r="CF29" s="214">
        <f t="shared" si="41"/>
        <v>3410971.4100323999</v>
      </c>
      <c r="CG29" s="214">
        <f t="shared" si="41"/>
        <v>3474938.4054539558</v>
      </c>
      <c r="CH29" s="214">
        <v>3433958.1635897364</v>
      </c>
      <c r="CI29" s="214">
        <v>3375979.711529999</v>
      </c>
      <c r="CJ29" s="214">
        <v>3450105.2607997358</v>
      </c>
      <c r="CK29" s="214">
        <v>3421585.1947974907</v>
      </c>
      <c r="CL29" s="214">
        <v>3439636.9320489997</v>
      </c>
      <c r="CM29" s="214">
        <v>3663274.56702</v>
      </c>
      <c r="CN29" s="214">
        <v>3695605.0500739999</v>
      </c>
      <c r="CO29" s="214">
        <v>3579908.552383</v>
      </c>
      <c r="CP29" s="214">
        <v>4009107.362592964</v>
      </c>
      <c r="CQ29" s="214">
        <v>3650367.4379567346</v>
      </c>
      <c r="CR29" s="214">
        <v>4047441.1483200006</v>
      </c>
      <c r="CS29" s="214">
        <v>4467699.2041689996</v>
      </c>
      <c r="CT29" s="214">
        <f t="shared" ref="CT29:DE29" si="42">IF(CT2="","",CT8-CT20)</f>
        <v>3876763.6122579989</v>
      </c>
      <c r="CU29" s="214">
        <f t="shared" si="42"/>
        <v>3668203.8309634286</v>
      </c>
      <c r="CV29" s="214">
        <f t="shared" si="42"/>
        <v>3903787.3590810141</v>
      </c>
      <c r="CW29" s="214">
        <f t="shared" si="42"/>
        <v>0</v>
      </c>
      <c r="CX29" s="214">
        <f t="shared" si="42"/>
        <v>0</v>
      </c>
      <c r="CY29" s="214">
        <f t="shared" si="42"/>
        <v>0</v>
      </c>
      <c r="CZ29" s="214">
        <f t="shared" si="42"/>
        <v>0</v>
      </c>
      <c r="DA29" s="214">
        <f t="shared" si="42"/>
        <v>0</v>
      </c>
      <c r="DB29" s="214">
        <f t="shared" si="42"/>
        <v>0</v>
      </c>
      <c r="DC29" s="214">
        <f t="shared" si="42"/>
        <v>0</v>
      </c>
      <c r="DD29" s="214">
        <f t="shared" si="42"/>
        <v>0</v>
      </c>
      <c r="DE29" s="214">
        <f t="shared" si="42"/>
        <v>0</v>
      </c>
    </row>
    <row r="30" spans="1:109" x14ac:dyDescent="0.2">
      <c r="A30" s="53" t="s">
        <v>617</v>
      </c>
      <c r="B30" s="214">
        <f t="shared" ref="B30:BM30" si="43">B28-B29</f>
        <v>55318.731755342567</v>
      </c>
      <c r="C30" s="214">
        <f t="shared" si="43"/>
        <v>378693.83293867717</v>
      </c>
      <c r="D30" s="214">
        <f t="shared" si="43"/>
        <v>-192833.08178054518</v>
      </c>
      <c r="E30" s="214">
        <f t="shared" si="43"/>
        <v>383623.47402116377</v>
      </c>
      <c r="F30" s="214">
        <f t="shared" si="43"/>
        <v>96893.083336198935</v>
      </c>
      <c r="G30" s="214">
        <f t="shared" si="43"/>
        <v>122929.90527494345</v>
      </c>
      <c r="H30" s="214">
        <f t="shared" si="43"/>
        <v>131867.02708120085</v>
      </c>
      <c r="I30" s="214">
        <f t="shared" si="43"/>
        <v>245340.53565714438</v>
      </c>
      <c r="J30" s="214">
        <f t="shared" si="43"/>
        <v>-26322.594243410276</v>
      </c>
      <c r="K30" s="214">
        <f t="shared" si="43"/>
        <v>480530.25209619245</v>
      </c>
      <c r="L30" s="214">
        <f t="shared" si="43"/>
        <v>-20196.313668333692</v>
      </c>
      <c r="M30" s="214">
        <f t="shared" si="43"/>
        <v>345628.99938000063</v>
      </c>
      <c r="N30" s="214">
        <f t="shared" si="43"/>
        <v>-29679.441511666402</v>
      </c>
      <c r="O30" s="214">
        <f t="shared" si="43"/>
        <v>-418384.47073999979</v>
      </c>
      <c r="P30" s="214">
        <f t="shared" si="43"/>
        <v>-128472.50480556767</v>
      </c>
      <c r="Q30" s="214">
        <f t="shared" si="43"/>
        <v>-151374.2847983411</v>
      </c>
      <c r="R30" s="214">
        <f t="shared" si="43"/>
        <v>363854.40808500093</v>
      </c>
      <c r="S30" s="214">
        <f t="shared" si="43"/>
        <v>433684.72456287313</v>
      </c>
      <c r="T30" s="214">
        <f t="shared" si="43"/>
        <v>276088.78572836611</v>
      </c>
      <c r="U30" s="214">
        <f t="shared" si="43"/>
        <v>663108.98219149956</v>
      </c>
      <c r="V30" s="214">
        <f t="shared" si="43"/>
        <v>196737.88980835932</v>
      </c>
      <c r="W30" s="214">
        <f t="shared" si="43"/>
        <v>226918.0954396876</v>
      </c>
      <c r="X30" s="214">
        <f t="shared" si="43"/>
        <v>668209.09223997942</v>
      </c>
      <c r="Y30" s="214">
        <f t="shared" si="43"/>
        <v>131471.63516005035</v>
      </c>
      <c r="Z30" s="214">
        <f t="shared" si="43"/>
        <v>365427.5718845576</v>
      </c>
      <c r="AA30" s="214">
        <f t="shared" si="43"/>
        <v>-44327.74831258459</v>
      </c>
      <c r="AB30" s="214">
        <f t="shared" si="43"/>
        <v>989243.54149367637</v>
      </c>
      <c r="AC30" s="214">
        <f t="shared" si="43"/>
        <v>657612.55735842278</v>
      </c>
      <c r="AD30" s="214">
        <f t="shared" si="43"/>
        <v>711456.4670846255</v>
      </c>
      <c r="AE30" s="214">
        <f t="shared" si="43"/>
        <v>687297.35441747867</v>
      </c>
      <c r="AF30" s="214">
        <f t="shared" si="43"/>
        <v>914573.63773834193</v>
      </c>
      <c r="AG30" s="214">
        <f t="shared" si="43"/>
        <v>231373.197873489</v>
      </c>
      <c r="AH30" s="214">
        <f t="shared" si="43"/>
        <v>1170393.1893086957</v>
      </c>
      <c r="AI30" s="214">
        <f t="shared" si="43"/>
        <v>318587.65662534116</v>
      </c>
      <c r="AJ30" s="214">
        <f t="shared" si="43"/>
        <v>1047324.446982868</v>
      </c>
      <c r="AK30" s="214">
        <f t="shared" si="43"/>
        <v>419644.03636996541</v>
      </c>
      <c r="AL30" s="214">
        <f t="shared" si="43"/>
        <v>1019645.5230999999</v>
      </c>
      <c r="AM30" s="214">
        <f t="shared" si="43"/>
        <v>176025.74103763513</v>
      </c>
      <c r="AN30" s="214">
        <f t="shared" si="43"/>
        <v>-236324.8043854828</v>
      </c>
      <c r="AO30" s="214">
        <f t="shared" si="43"/>
        <v>543567.77884523757</v>
      </c>
      <c r="AP30" s="214">
        <f t="shared" si="43"/>
        <v>998711.31188387168</v>
      </c>
      <c r="AQ30" s="214">
        <f t="shared" si="43"/>
        <v>589696.9212500006</v>
      </c>
      <c r="AR30" s="214">
        <f t="shared" si="43"/>
        <v>522307.90445752512</v>
      </c>
      <c r="AS30" s="214">
        <f t="shared" si="43"/>
        <v>232818.36123333196</v>
      </c>
      <c r="AT30" s="214">
        <f t="shared" si="43"/>
        <v>364013.14514085953</v>
      </c>
      <c r="AU30" s="214">
        <f t="shared" si="43"/>
        <v>602766.40158442641</v>
      </c>
      <c r="AV30" s="214">
        <f t="shared" si="43"/>
        <v>458457.49745847657</v>
      </c>
      <c r="AW30" s="214">
        <f t="shared" si="43"/>
        <v>766379.10301075224</v>
      </c>
      <c r="AX30" s="214">
        <f t="shared" si="43"/>
        <v>287676.14106774982</v>
      </c>
      <c r="AY30" s="214">
        <f t="shared" si="43"/>
        <v>-424572.83338644379</v>
      </c>
      <c r="AZ30" s="214">
        <f t="shared" si="43"/>
        <v>8985.2701100737322</v>
      </c>
      <c r="BA30" s="214">
        <f t="shared" si="43"/>
        <v>648216.3766765818</v>
      </c>
      <c r="BB30" s="214">
        <f t="shared" si="43"/>
        <v>964480.81242620107</v>
      </c>
      <c r="BC30" s="214">
        <f t="shared" si="43"/>
        <v>482693.56767689227</v>
      </c>
      <c r="BD30" s="214">
        <f t="shared" si="43"/>
        <v>366094.38551974995</v>
      </c>
      <c r="BE30" s="214">
        <f t="shared" si="43"/>
        <v>154994.44691974972</v>
      </c>
      <c r="BF30" s="214">
        <f t="shared" si="43"/>
        <v>480303.79725200776</v>
      </c>
      <c r="BG30" s="214">
        <f t="shared" si="43"/>
        <v>535638.63420000114</v>
      </c>
      <c r="BH30" s="214">
        <f t="shared" si="43"/>
        <v>162423.94579999987</v>
      </c>
      <c r="BI30" s="214">
        <f t="shared" si="43"/>
        <v>187807.97579999873</v>
      </c>
      <c r="BJ30" s="214">
        <f t="shared" si="43"/>
        <v>702688.49632207816</v>
      </c>
      <c r="BK30" s="214">
        <f t="shared" si="43"/>
        <v>89064.961100000422</v>
      </c>
      <c r="BL30" s="214">
        <f t="shared" si="43"/>
        <v>-42359.505599999335</v>
      </c>
      <c r="BM30" s="214">
        <f t="shared" si="43"/>
        <v>778244.28880000021</v>
      </c>
      <c r="BN30" s="214">
        <f t="shared" ref="BN30:CG30" si="44">BN28-BN29</f>
        <v>191250.13999999966</v>
      </c>
      <c r="BO30" s="214">
        <f t="shared" si="44"/>
        <v>213472.21030000038</v>
      </c>
      <c r="BP30" s="214">
        <f t="shared" si="44"/>
        <v>236247.59983333386</v>
      </c>
      <c r="BQ30" s="214">
        <f t="shared" si="44"/>
        <v>1154486.6995333331</v>
      </c>
      <c r="BR30" s="214">
        <f t="shared" si="44"/>
        <v>680688.54777849466</v>
      </c>
      <c r="BS30" s="214">
        <f t="shared" si="44"/>
        <v>255901.54733333504</v>
      </c>
      <c r="BT30" s="214">
        <f t="shared" si="44"/>
        <v>624285.97333333362</v>
      </c>
      <c r="BU30" s="214">
        <f t="shared" si="44"/>
        <v>1575584.8259333312</v>
      </c>
      <c r="BV30" s="214">
        <f t="shared" si="44"/>
        <v>348506.47097960021</v>
      </c>
      <c r="BW30" s="214">
        <f t="shared" si="44"/>
        <v>605962.93817960005</v>
      </c>
      <c r="BX30" s="214">
        <f t="shared" si="44"/>
        <v>-80611.71032040054</v>
      </c>
      <c r="BY30" s="214">
        <f t="shared" si="44"/>
        <v>502762.70537959971</v>
      </c>
      <c r="BZ30" s="214">
        <f t="shared" si="44"/>
        <v>806220.24364159955</v>
      </c>
      <c r="CA30" s="214">
        <f t="shared" si="44"/>
        <v>1149258.9832275999</v>
      </c>
      <c r="CB30" s="214">
        <f t="shared" si="44"/>
        <v>1460915.5048286007</v>
      </c>
      <c r="CC30" s="214">
        <f t="shared" si="44"/>
        <v>421618.87222360028</v>
      </c>
      <c r="CD30" s="214">
        <f t="shared" si="44"/>
        <v>1149851.988548601</v>
      </c>
      <c r="CE30" s="214">
        <f t="shared" si="44"/>
        <v>1255184.0723896022</v>
      </c>
      <c r="CF30" s="214">
        <f t="shared" si="44"/>
        <v>2333367.5899035996</v>
      </c>
      <c r="CG30" s="214">
        <f t="shared" si="44"/>
        <v>1337167.504467045</v>
      </c>
      <c r="CH30" s="214">
        <v>968695.77641626447</v>
      </c>
      <c r="CI30" s="214">
        <v>710274.56847000076</v>
      </c>
      <c r="CJ30" s="214">
        <v>598089.07920026407</v>
      </c>
      <c r="CK30" s="214">
        <v>518042.30520250928</v>
      </c>
      <c r="CL30" s="214">
        <v>108573.94795100112</v>
      </c>
      <c r="CM30" s="214">
        <v>641241.70294400025</v>
      </c>
      <c r="CN30" s="214">
        <v>830404.32992599998</v>
      </c>
      <c r="CO30" s="214">
        <v>1248692.1560669998</v>
      </c>
      <c r="CP30" s="214">
        <v>411369.25023903651</v>
      </c>
      <c r="CQ30" s="214">
        <v>649962.8420432657</v>
      </c>
      <c r="CR30" s="214">
        <v>634355.57167999912</v>
      </c>
      <c r="CS30" s="214">
        <v>2879733.8158310018</v>
      </c>
      <c r="CT30" s="214">
        <f t="shared" ref="CT30:DE30" si="45">IF(CT2="","",CT28-CT29)</f>
        <v>-37705.65225799894</v>
      </c>
      <c r="CU30" s="214">
        <f t="shared" si="45"/>
        <v>-44459.740963428747</v>
      </c>
      <c r="CV30" s="214">
        <f t="shared" si="45"/>
        <v>792184.77491898648</v>
      </c>
      <c r="CW30" s="214">
        <f t="shared" si="45"/>
        <v>0</v>
      </c>
      <c r="CX30" s="214">
        <f t="shared" si="45"/>
        <v>0</v>
      </c>
      <c r="CY30" s="214">
        <f t="shared" si="45"/>
        <v>0</v>
      </c>
      <c r="CZ30" s="214">
        <f t="shared" si="45"/>
        <v>0</v>
      </c>
      <c r="DA30" s="214">
        <f t="shared" si="45"/>
        <v>0</v>
      </c>
      <c r="DB30" s="214">
        <f t="shared" si="45"/>
        <v>0</v>
      </c>
      <c r="DC30" s="214">
        <f t="shared" si="45"/>
        <v>0</v>
      </c>
      <c r="DD30" s="214">
        <f t="shared" si="45"/>
        <v>0</v>
      </c>
      <c r="DE30" s="214">
        <f t="shared" si="45"/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146-FECC-4ED4-AECC-802F5B304C2F}">
  <sheetPr codeName="Planilha2">
    <tabColor rgb="FF00B050"/>
  </sheetPr>
  <dimension ref="A1:H97"/>
  <sheetViews>
    <sheetView zoomScaleNormal="100" workbookViewId="0">
      <pane ySplit="1" topLeftCell="A74" activePane="bottomLeft" state="frozen"/>
      <selection pane="bottomLeft" activeCell="E87" sqref="E87"/>
    </sheetView>
  </sheetViews>
  <sheetFormatPr defaultRowHeight="12.75" x14ac:dyDescent="0.2"/>
  <cols>
    <col min="1" max="1" width="13.7109375" bestFit="1" customWidth="1"/>
    <col min="2" max="2" width="14" bestFit="1" customWidth="1"/>
    <col min="3" max="3" width="18.42578125" bestFit="1" customWidth="1"/>
    <col min="4" max="4" width="16" bestFit="1" customWidth="1"/>
    <col min="5" max="5" width="12.85546875" bestFit="1" customWidth="1"/>
    <col min="6" max="6" width="24.140625" bestFit="1" customWidth="1"/>
    <col min="7" max="7" width="14" bestFit="1" customWidth="1"/>
    <col min="8" max="8" width="15.42578125" bestFit="1" customWidth="1"/>
  </cols>
  <sheetData>
    <row r="1" spans="1:8" x14ac:dyDescent="0.2">
      <c r="A1" s="12" t="s">
        <v>23</v>
      </c>
      <c r="B1" s="12" t="s">
        <v>22</v>
      </c>
      <c r="C1" s="12" t="s">
        <v>19</v>
      </c>
      <c r="D1" s="12" t="s">
        <v>20</v>
      </c>
      <c r="E1" s="12" t="s">
        <v>21</v>
      </c>
      <c r="F1" s="30" t="s">
        <v>27</v>
      </c>
      <c r="G1" s="12" t="s">
        <v>7</v>
      </c>
      <c r="H1" s="58" t="s">
        <v>144</v>
      </c>
    </row>
    <row r="2" spans="1:8" x14ac:dyDescent="0.2">
      <c r="A2" s="4">
        <v>43466</v>
      </c>
      <c r="B2" s="7">
        <v>1467400.1</v>
      </c>
      <c r="C2" s="7"/>
      <c r="D2" s="7"/>
      <c r="E2" s="7"/>
      <c r="F2" s="31"/>
      <c r="G2" s="7">
        <f>B2+C2+D2+E2</f>
        <v>1467400.1</v>
      </c>
      <c r="H2" s="88">
        <f ca="1">NOW()</f>
        <v>46134.668796296297</v>
      </c>
    </row>
    <row r="3" spans="1:8" x14ac:dyDescent="0.2">
      <c r="A3" s="4">
        <v>43497</v>
      </c>
      <c r="B3" s="7">
        <v>1032717.8</v>
      </c>
      <c r="C3" s="7"/>
      <c r="D3" s="7"/>
      <c r="E3" s="7"/>
      <c r="F3" s="31"/>
      <c r="G3" s="7">
        <f t="shared" ref="G3:G34" si="0">B3+C3+D3+E3</f>
        <v>1032717.8</v>
      </c>
    </row>
    <row r="4" spans="1:8" x14ac:dyDescent="0.2">
      <c r="A4" s="4">
        <v>43525</v>
      </c>
      <c r="B4" s="7">
        <v>1313738.01</v>
      </c>
      <c r="C4" s="7"/>
      <c r="D4" s="7"/>
      <c r="E4" s="7"/>
      <c r="F4" s="31"/>
      <c r="G4" s="7">
        <f t="shared" si="0"/>
        <v>1313738.01</v>
      </c>
    </row>
    <row r="5" spans="1:8" x14ac:dyDescent="0.2">
      <c r="A5" s="4">
        <v>43556</v>
      </c>
      <c r="B5" s="7">
        <v>1330213.8799999999</v>
      </c>
      <c r="C5" s="7"/>
      <c r="D5" s="7"/>
      <c r="E5" s="7"/>
      <c r="F5" s="31"/>
      <c r="G5" s="7">
        <f t="shared" si="0"/>
        <v>1330213.8799999999</v>
      </c>
    </row>
    <row r="6" spans="1:8" x14ac:dyDescent="0.2">
      <c r="A6" s="4">
        <v>43586</v>
      </c>
      <c r="B6" s="7">
        <v>1973924.02</v>
      </c>
      <c r="C6" s="7"/>
      <c r="D6" s="7"/>
      <c r="E6" s="7"/>
      <c r="F6" s="31"/>
      <c r="G6" s="7">
        <f t="shared" si="0"/>
        <v>1973924.02</v>
      </c>
    </row>
    <row r="7" spans="1:8" x14ac:dyDescent="0.2">
      <c r="A7" s="4">
        <v>43617</v>
      </c>
      <c r="B7" s="7">
        <v>2136174.1800000002</v>
      </c>
      <c r="C7" s="7"/>
      <c r="D7" s="7"/>
      <c r="E7" s="7"/>
      <c r="F7" s="31"/>
      <c r="G7" s="7">
        <f t="shared" si="0"/>
        <v>2136174.1800000002</v>
      </c>
    </row>
    <row r="8" spans="1:8" x14ac:dyDescent="0.2">
      <c r="A8" s="4">
        <v>43647</v>
      </c>
      <c r="B8" s="7">
        <v>1983098.5799999996</v>
      </c>
      <c r="C8" s="7"/>
      <c r="D8" s="7"/>
      <c r="E8" s="7"/>
      <c r="F8" s="31"/>
      <c r="G8" s="7">
        <f t="shared" si="0"/>
        <v>1983098.5799999996</v>
      </c>
    </row>
    <row r="9" spans="1:8" x14ac:dyDescent="0.2">
      <c r="A9" s="4">
        <v>43678</v>
      </c>
      <c r="B9" s="7">
        <v>2276787.9</v>
      </c>
      <c r="C9" s="7"/>
      <c r="D9" s="7"/>
      <c r="E9" s="7"/>
      <c r="F9" s="31"/>
      <c r="G9" s="7">
        <f t="shared" si="0"/>
        <v>2276787.9</v>
      </c>
    </row>
    <row r="10" spans="1:8" x14ac:dyDescent="0.2">
      <c r="A10" s="4">
        <v>43709</v>
      </c>
      <c r="B10" s="7">
        <v>1849436.0400000003</v>
      </c>
      <c r="C10" s="7"/>
      <c r="D10" s="7"/>
      <c r="E10" s="7"/>
      <c r="F10" s="31"/>
      <c r="G10" s="7">
        <f t="shared" si="0"/>
        <v>1849436.0400000003</v>
      </c>
    </row>
    <row r="11" spans="1:8" x14ac:dyDescent="0.2">
      <c r="A11" s="4">
        <v>43739</v>
      </c>
      <c r="B11" s="7">
        <v>1853373.66</v>
      </c>
      <c r="C11" s="7"/>
      <c r="D11" s="7"/>
      <c r="E11" s="7"/>
      <c r="F11" s="31"/>
      <c r="G11" s="7">
        <f t="shared" si="0"/>
        <v>1853373.66</v>
      </c>
    </row>
    <row r="12" spans="1:8" x14ac:dyDescent="0.2">
      <c r="A12" s="4">
        <v>43770</v>
      </c>
      <c r="B12" s="7">
        <v>2489722.62</v>
      </c>
      <c r="C12" s="7"/>
      <c r="D12" s="7"/>
      <c r="E12" s="7"/>
      <c r="F12" s="31"/>
      <c r="G12" s="7">
        <f t="shared" si="0"/>
        <v>2489722.62</v>
      </c>
    </row>
    <row r="13" spans="1:8" x14ac:dyDescent="0.2">
      <c r="A13" s="4">
        <v>43800</v>
      </c>
      <c r="B13" s="7">
        <v>1833456.73</v>
      </c>
      <c r="C13" s="7"/>
      <c r="D13" s="7"/>
      <c r="E13" s="7"/>
      <c r="F13" s="31"/>
      <c r="G13" s="7">
        <f t="shared" si="0"/>
        <v>1833456.73</v>
      </c>
    </row>
    <row r="14" spans="1:8" x14ac:dyDescent="0.2">
      <c r="A14" s="4">
        <v>43831</v>
      </c>
      <c r="B14" s="7">
        <v>2079332.440999957</v>
      </c>
      <c r="C14" s="7">
        <v>0</v>
      </c>
      <c r="D14" s="7">
        <v>48459.630000000005</v>
      </c>
      <c r="E14" s="7">
        <v>1160.72</v>
      </c>
      <c r="F14" s="31">
        <v>0</v>
      </c>
      <c r="G14" s="7">
        <f t="shared" si="0"/>
        <v>2128952.7909999574</v>
      </c>
    </row>
    <row r="15" spans="1:8" x14ac:dyDescent="0.2">
      <c r="A15" s="4">
        <v>43862</v>
      </c>
      <c r="B15" s="7">
        <v>1557158.2789999996</v>
      </c>
      <c r="C15" s="7">
        <v>0</v>
      </c>
      <c r="D15" s="7">
        <v>15393.73</v>
      </c>
      <c r="E15" s="7">
        <v>720.08</v>
      </c>
      <c r="F15" s="31">
        <v>0</v>
      </c>
      <c r="G15" s="7">
        <f t="shared" si="0"/>
        <v>1573272.0889999997</v>
      </c>
    </row>
    <row r="16" spans="1:8" x14ac:dyDescent="0.2">
      <c r="A16" s="4">
        <v>43891</v>
      </c>
      <c r="B16" s="7">
        <v>2446334.3419998954</v>
      </c>
      <c r="C16" s="7">
        <v>2080.1</v>
      </c>
      <c r="D16" s="7">
        <v>9094.42</v>
      </c>
      <c r="E16" s="7">
        <v>19452.580000000002</v>
      </c>
      <c r="F16" s="31">
        <v>0</v>
      </c>
      <c r="G16" s="7">
        <f t="shared" si="0"/>
        <v>2476961.4419998955</v>
      </c>
    </row>
    <row r="17" spans="1:7" x14ac:dyDescent="0.2">
      <c r="A17" s="4">
        <v>43922</v>
      </c>
      <c r="B17" s="7">
        <v>2077416.3179999478</v>
      </c>
      <c r="C17" s="7">
        <v>0</v>
      </c>
      <c r="D17" s="7">
        <v>9069.6200000000008</v>
      </c>
      <c r="E17" s="7">
        <v>0</v>
      </c>
      <c r="F17" s="31">
        <v>0</v>
      </c>
      <c r="G17" s="7">
        <f t="shared" si="0"/>
        <v>2086485.9379999479</v>
      </c>
    </row>
    <row r="18" spans="1:7" x14ac:dyDescent="0.2">
      <c r="A18" s="4">
        <v>43952</v>
      </c>
      <c r="B18" s="7">
        <v>2012991.179999951</v>
      </c>
      <c r="C18" s="7">
        <v>10395</v>
      </c>
      <c r="D18" s="7">
        <v>14114.65</v>
      </c>
      <c r="E18" s="7">
        <v>608.23</v>
      </c>
      <c r="F18" s="31">
        <v>0</v>
      </c>
      <c r="G18" s="7">
        <f t="shared" si="0"/>
        <v>2038109.0599999509</v>
      </c>
    </row>
    <row r="19" spans="1:7" x14ac:dyDescent="0.2">
      <c r="A19" s="4">
        <v>43983</v>
      </c>
      <c r="B19" s="7">
        <v>1893356.0339999648</v>
      </c>
      <c r="C19" s="7">
        <v>0</v>
      </c>
      <c r="D19" s="7">
        <v>66299.88</v>
      </c>
      <c r="E19" s="7">
        <v>431.84</v>
      </c>
      <c r="F19" s="31">
        <v>0</v>
      </c>
      <c r="G19" s="7">
        <f t="shared" si="0"/>
        <v>1960087.753999965</v>
      </c>
    </row>
    <row r="20" spans="1:7" x14ac:dyDescent="0.2">
      <c r="A20" s="4">
        <v>44013</v>
      </c>
      <c r="B20" s="7">
        <v>2424434.7999999998</v>
      </c>
      <c r="C20" s="7">
        <v>60</v>
      </c>
      <c r="D20" s="7">
        <v>16874.649999999998</v>
      </c>
      <c r="E20" s="7">
        <v>8208.94</v>
      </c>
      <c r="F20" s="31">
        <v>0</v>
      </c>
      <c r="G20" s="7">
        <f t="shared" si="0"/>
        <v>2449578.3899999997</v>
      </c>
    </row>
    <row r="21" spans="1:7" x14ac:dyDescent="0.2">
      <c r="A21" s="4">
        <v>44044</v>
      </c>
      <c r="B21" s="7">
        <v>1728524.6300000001</v>
      </c>
      <c r="C21" s="7">
        <v>0</v>
      </c>
      <c r="D21" s="7">
        <v>22271.859999999997</v>
      </c>
      <c r="E21" s="7">
        <v>608.23</v>
      </c>
      <c r="F21" s="31">
        <v>0</v>
      </c>
      <c r="G21" s="7">
        <f t="shared" si="0"/>
        <v>1751404.7200000002</v>
      </c>
    </row>
    <row r="22" spans="1:7" x14ac:dyDescent="0.2">
      <c r="A22" s="4">
        <v>44075</v>
      </c>
      <c r="B22" s="7">
        <v>2622040.1</v>
      </c>
      <c r="C22" s="7">
        <v>290</v>
      </c>
      <c r="D22" s="7">
        <v>9498.26</v>
      </c>
      <c r="E22" s="7">
        <v>4276.55</v>
      </c>
      <c r="F22" s="31">
        <v>0</v>
      </c>
      <c r="G22" s="7">
        <f t="shared" si="0"/>
        <v>2636104.9099999997</v>
      </c>
    </row>
    <row r="23" spans="1:7" x14ac:dyDescent="0.2">
      <c r="A23" s="4">
        <v>44105</v>
      </c>
      <c r="B23" s="7">
        <v>1936416.9000000006</v>
      </c>
      <c r="C23" s="7">
        <v>580</v>
      </c>
      <c r="D23" s="7">
        <v>46340.979999999996</v>
      </c>
      <c r="E23" s="7">
        <v>7719.49</v>
      </c>
      <c r="F23" s="31">
        <v>0</v>
      </c>
      <c r="G23" s="7">
        <f t="shared" si="0"/>
        <v>1991057.3700000006</v>
      </c>
    </row>
    <row r="24" spans="1:7" x14ac:dyDescent="0.2">
      <c r="A24" s="4">
        <v>44136</v>
      </c>
      <c r="B24" s="7">
        <v>2820577.77</v>
      </c>
      <c r="C24" s="7">
        <v>700</v>
      </c>
      <c r="D24" s="7">
        <v>11278.999999999998</v>
      </c>
      <c r="E24" s="7">
        <v>57920.46</v>
      </c>
      <c r="F24" s="31">
        <v>0</v>
      </c>
      <c r="G24" s="7">
        <f t="shared" si="0"/>
        <v>2890477.23</v>
      </c>
    </row>
    <row r="25" spans="1:7" x14ac:dyDescent="0.2">
      <c r="A25" s="4">
        <v>44166</v>
      </c>
      <c r="B25" s="7">
        <v>2630554.9900000002</v>
      </c>
      <c r="C25" s="7">
        <v>1015</v>
      </c>
      <c r="D25" s="7">
        <v>35578.239999999998</v>
      </c>
      <c r="E25" s="7">
        <v>5394.13</v>
      </c>
      <c r="F25" s="31">
        <v>0</v>
      </c>
      <c r="G25" s="7">
        <f t="shared" si="0"/>
        <v>2672542.3600000003</v>
      </c>
    </row>
    <row r="26" spans="1:7" x14ac:dyDescent="0.2">
      <c r="A26" s="40">
        <v>44197</v>
      </c>
      <c r="B26" s="41">
        <v>2148481.1799999997</v>
      </c>
      <c r="C26" s="41">
        <v>205</v>
      </c>
      <c r="D26" s="41">
        <v>11588.989999999998</v>
      </c>
      <c r="E26" s="41">
        <v>0</v>
      </c>
      <c r="F26" s="41">
        <v>0</v>
      </c>
      <c r="G26" s="41">
        <f t="shared" si="0"/>
        <v>2160275.17</v>
      </c>
    </row>
    <row r="27" spans="1:7" x14ac:dyDescent="0.2">
      <c r="A27" s="40">
        <v>44228</v>
      </c>
      <c r="B27" s="41">
        <v>1696947.3800000001</v>
      </c>
      <c r="C27" s="41">
        <v>0</v>
      </c>
      <c r="D27" s="41">
        <v>32223.180000000004</v>
      </c>
      <c r="E27" s="41">
        <v>0</v>
      </c>
      <c r="F27" s="41">
        <v>0</v>
      </c>
      <c r="G27" s="41">
        <f t="shared" si="0"/>
        <v>1729170.56</v>
      </c>
    </row>
    <row r="28" spans="1:7" x14ac:dyDescent="0.2">
      <c r="A28" s="40">
        <v>44256</v>
      </c>
      <c r="B28" s="41">
        <v>1392543.2199999997</v>
      </c>
      <c r="C28" s="41">
        <v>265</v>
      </c>
      <c r="D28" s="41">
        <v>15309.960000000001</v>
      </c>
      <c r="E28" s="41">
        <v>0</v>
      </c>
      <c r="F28" s="41">
        <v>0</v>
      </c>
      <c r="G28" s="41">
        <f t="shared" si="0"/>
        <v>1408118.1799999997</v>
      </c>
    </row>
    <row r="29" spans="1:7" x14ac:dyDescent="0.2">
      <c r="A29" s="40">
        <v>44287</v>
      </c>
      <c r="B29" s="41">
        <v>2143885.35</v>
      </c>
      <c r="C29" s="41">
        <v>1365</v>
      </c>
      <c r="D29" s="41">
        <v>45722.61</v>
      </c>
      <c r="E29" s="41">
        <v>3331.13</v>
      </c>
      <c r="F29" s="41">
        <v>0</v>
      </c>
      <c r="G29" s="41">
        <f t="shared" si="0"/>
        <v>2194304.09</v>
      </c>
    </row>
    <row r="30" spans="1:7" x14ac:dyDescent="0.2">
      <c r="A30" s="40">
        <v>44317</v>
      </c>
      <c r="B30" s="41">
        <v>2610565.02</v>
      </c>
      <c r="C30" s="41">
        <v>0</v>
      </c>
      <c r="D30" s="41">
        <v>34502.25</v>
      </c>
      <c r="E30" s="41">
        <v>5311.54</v>
      </c>
      <c r="F30" s="41">
        <v>0</v>
      </c>
      <c r="G30" s="41">
        <f t="shared" si="0"/>
        <v>2650378.81</v>
      </c>
    </row>
    <row r="31" spans="1:7" x14ac:dyDescent="0.2">
      <c r="A31" s="40">
        <v>44348</v>
      </c>
      <c r="B31" s="41">
        <v>2164882.84</v>
      </c>
      <c r="C31" s="41">
        <v>240</v>
      </c>
      <c r="D31" s="41">
        <v>37779.75</v>
      </c>
      <c r="E31" s="41">
        <v>6512.89</v>
      </c>
      <c r="F31" s="41">
        <v>0</v>
      </c>
      <c r="G31" s="41">
        <f t="shared" si="0"/>
        <v>2209415.48</v>
      </c>
    </row>
    <row r="32" spans="1:7" x14ac:dyDescent="0.2">
      <c r="A32" s="40">
        <v>44378</v>
      </c>
      <c r="B32" s="41">
        <v>2286681.4500000002</v>
      </c>
      <c r="C32" s="41">
        <v>0</v>
      </c>
      <c r="D32" s="41">
        <v>42094.58</v>
      </c>
      <c r="E32" s="41">
        <v>3779.88</v>
      </c>
      <c r="F32" s="41">
        <v>0</v>
      </c>
      <c r="G32" s="41">
        <f t="shared" si="0"/>
        <v>2332555.91</v>
      </c>
    </row>
    <row r="33" spans="1:7" x14ac:dyDescent="0.2">
      <c r="A33" s="40">
        <v>44409</v>
      </c>
      <c r="B33" s="41">
        <v>2099963.58</v>
      </c>
      <c r="C33" s="41">
        <v>0</v>
      </c>
      <c r="D33" s="41">
        <v>45636.69</v>
      </c>
      <c r="E33" s="41">
        <v>35269.799999999996</v>
      </c>
      <c r="F33" s="41">
        <v>0</v>
      </c>
      <c r="G33" s="41">
        <f t="shared" si="0"/>
        <v>2180870.0699999998</v>
      </c>
    </row>
    <row r="34" spans="1:7" x14ac:dyDescent="0.2">
      <c r="A34" s="40">
        <v>44440</v>
      </c>
      <c r="B34" s="41">
        <v>2200749.7399999993</v>
      </c>
      <c r="C34" s="41">
        <v>2448.1000000000004</v>
      </c>
      <c r="D34" s="41">
        <f>[7]Receita!$J$315+[7]Receita!$J$318</f>
        <v>45175.409999999989</v>
      </c>
      <c r="E34" s="41">
        <v>25874.19</v>
      </c>
      <c r="F34" s="41">
        <v>0</v>
      </c>
      <c r="G34" s="41">
        <f t="shared" si="0"/>
        <v>2274247.4399999995</v>
      </c>
    </row>
    <row r="35" spans="1:7" x14ac:dyDescent="0.2">
      <c r="A35" s="40">
        <v>44470</v>
      </c>
      <c r="B35" s="41">
        <v>2525135.4500000002</v>
      </c>
      <c r="C35" s="41">
        <v>1885</v>
      </c>
      <c r="D35" s="41">
        <f>[7]Receita!$K$315+[7]Receita!$K$318</f>
        <v>39850.58</v>
      </c>
      <c r="E35" s="41">
        <v>21889.69</v>
      </c>
      <c r="F35" s="41">
        <v>0</v>
      </c>
      <c r="G35" s="41">
        <f t="shared" ref="G35" si="1">B35+C35+D35+E35</f>
        <v>2588760.7200000002</v>
      </c>
    </row>
    <row r="36" spans="1:7" x14ac:dyDescent="0.2">
      <c r="A36" s="40">
        <v>44501</v>
      </c>
      <c r="B36" s="41">
        <v>2472022.2800000003</v>
      </c>
      <c r="C36" s="41">
        <v>0</v>
      </c>
      <c r="D36" s="41">
        <v>83465.23</v>
      </c>
      <c r="E36" s="41">
        <v>25793.59</v>
      </c>
      <c r="F36" s="41">
        <v>0</v>
      </c>
      <c r="G36" s="41">
        <f t="shared" ref="G36:G37" si="2">B36+C36+D36+E36</f>
        <v>2581281.1</v>
      </c>
    </row>
    <row r="37" spans="1:7" x14ac:dyDescent="0.2">
      <c r="A37" s="40">
        <v>44531</v>
      </c>
      <c r="B37" s="41">
        <v>2899936.41</v>
      </c>
      <c r="C37" s="41">
        <v>2150</v>
      </c>
      <c r="D37" s="41">
        <v>86874.45</v>
      </c>
      <c r="E37" s="41">
        <v>13816.28</v>
      </c>
      <c r="F37" s="41">
        <v>0</v>
      </c>
      <c r="G37" s="41">
        <f t="shared" si="2"/>
        <v>3002777.14</v>
      </c>
    </row>
    <row r="38" spans="1:7" x14ac:dyDescent="0.2">
      <c r="A38" s="40">
        <v>44562</v>
      </c>
      <c r="B38" s="41">
        <v>2194991.6</v>
      </c>
      <c r="C38" s="41">
        <v>290</v>
      </c>
      <c r="D38" s="41">
        <v>29746.630000000005</v>
      </c>
      <c r="E38" s="41">
        <f>10077.12+1670</f>
        <v>11747.12</v>
      </c>
      <c r="F38" s="41">
        <v>0</v>
      </c>
      <c r="G38" s="41">
        <f t="shared" ref="G38:G44" si="3">B38+C38+D38+E38</f>
        <v>2236775.35</v>
      </c>
    </row>
    <row r="39" spans="1:7" x14ac:dyDescent="0.2">
      <c r="A39" s="40">
        <v>44593</v>
      </c>
      <c r="B39" s="41">
        <v>1407956.74</v>
      </c>
      <c r="C39" s="41">
        <v>60</v>
      </c>
      <c r="D39" s="41">
        <v>18941.760000000002</v>
      </c>
      <c r="E39" s="41">
        <v>5696.7300000000005</v>
      </c>
      <c r="F39" s="41">
        <v>0</v>
      </c>
      <c r="G39" s="41">
        <f t="shared" si="3"/>
        <v>1432655.23</v>
      </c>
    </row>
    <row r="40" spans="1:7" x14ac:dyDescent="0.2">
      <c r="A40" s="40">
        <v>44621</v>
      </c>
      <c r="B40" s="41">
        <v>1972315.42</v>
      </c>
      <c r="C40" s="41">
        <v>435</v>
      </c>
      <c r="D40" s="41">
        <v>32915.160000000003</v>
      </c>
      <c r="E40" s="41">
        <v>5693.35</v>
      </c>
      <c r="F40" s="41">
        <v>0</v>
      </c>
      <c r="G40" s="41">
        <f t="shared" si="3"/>
        <v>2011358.93</v>
      </c>
    </row>
    <row r="41" spans="1:7" x14ac:dyDescent="0.2">
      <c r="A41" s="40">
        <v>44652</v>
      </c>
      <c r="B41" s="41">
        <v>2545081.56</v>
      </c>
      <c r="C41" s="41">
        <v>435</v>
      </c>
      <c r="D41" s="41">
        <v>106067.72</v>
      </c>
      <c r="E41" s="41">
        <v>7446.7</v>
      </c>
      <c r="F41" s="41">
        <v>0</v>
      </c>
      <c r="G41" s="41">
        <f t="shared" si="3"/>
        <v>2659030.9800000004</v>
      </c>
    </row>
    <row r="42" spans="1:7" x14ac:dyDescent="0.2">
      <c r="A42" s="40">
        <v>44682</v>
      </c>
      <c r="B42" s="41">
        <v>2927889.19</v>
      </c>
      <c r="C42" s="41">
        <v>180</v>
      </c>
      <c r="D42" s="41">
        <v>64119.410000000011</v>
      </c>
      <c r="E42" s="41">
        <v>14391.150000000001</v>
      </c>
      <c r="F42" s="41">
        <v>0</v>
      </c>
      <c r="G42" s="41">
        <f t="shared" si="3"/>
        <v>3006579.75</v>
      </c>
    </row>
    <row r="43" spans="1:7" x14ac:dyDescent="0.2">
      <c r="A43" s="40">
        <v>44713</v>
      </c>
      <c r="B43" s="41">
        <v>2337673.7000000002</v>
      </c>
      <c r="C43" s="41">
        <v>1885</v>
      </c>
      <c r="D43" s="41">
        <f>[4]Receita!$G$315+[4]Receita!$G$318</f>
        <v>111006.47</v>
      </c>
      <c r="E43" s="41">
        <v>14336.19</v>
      </c>
      <c r="F43" s="41">
        <v>0</v>
      </c>
      <c r="G43" s="41">
        <f t="shared" si="3"/>
        <v>2464901.3600000003</v>
      </c>
    </row>
    <row r="44" spans="1:7" x14ac:dyDescent="0.2">
      <c r="A44" s="40">
        <v>44743</v>
      </c>
      <c r="B44" s="41">
        <v>2487139.4500000002</v>
      </c>
      <c r="C44" s="41">
        <v>650</v>
      </c>
      <c r="D44" s="41">
        <v>11551.849999999999</v>
      </c>
      <c r="E44" s="41">
        <v>2040.76</v>
      </c>
      <c r="F44" s="41">
        <v>0</v>
      </c>
      <c r="G44" s="41">
        <f t="shared" si="3"/>
        <v>2501382.06</v>
      </c>
    </row>
    <row r="45" spans="1:7" x14ac:dyDescent="0.2">
      <c r="A45" s="40">
        <v>44774</v>
      </c>
      <c r="B45" s="41">
        <v>2068851.06</v>
      </c>
      <c r="C45" s="41">
        <v>530</v>
      </c>
      <c r="D45" s="41">
        <v>130378.63999999998</v>
      </c>
      <c r="E45" s="41">
        <v>5100.3500000000004</v>
      </c>
      <c r="F45" s="41">
        <v>0</v>
      </c>
      <c r="G45" s="41">
        <f t="shared" ref="G45" si="4">B45+C45+D45+E45</f>
        <v>2204860.0500000003</v>
      </c>
    </row>
    <row r="46" spans="1:7" x14ac:dyDescent="0.2">
      <c r="A46" s="40">
        <v>44805</v>
      </c>
      <c r="B46" s="41">
        <v>2481115.31</v>
      </c>
      <c r="C46" s="41">
        <v>2650</v>
      </c>
      <c r="D46" s="41">
        <v>66227.94</v>
      </c>
      <c r="E46" s="41">
        <v>6902.7800000000007</v>
      </c>
      <c r="F46" s="41">
        <v>0</v>
      </c>
      <c r="G46" s="41">
        <f t="shared" ref="G46:G47" si="5">B46+C46+D46+E46</f>
        <v>2556896.0299999998</v>
      </c>
    </row>
    <row r="47" spans="1:7" x14ac:dyDescent="0.2">
      <c r="A47" s="40">
        <v>44835</v>
      </c>
      <c r="B47" s="41">
        <v>2619228.1700000004</v>
      </c>
      <c r="C47" s="41">
        <v>0</v>
      </c>
      <c r="D47" s="41">
        <v>80018.850000000006</v>
      </c>
      <c r="E47" s="41">
        <v>8450.42</v>
      </c>
      <c r="F47" s="41">
        <v>0</v>
      </c>
      <c r="G47" s="41">
        <f t="shared" si="5"/>
        <v>2707697.4400000004</v>
      </c>
    </row>
    <row r="48" spans="1:7" x14ac:dyDescent="0.2">
      <c r="A48" s="40">
        <v>44866</v>
      </c>
      <c r="B48" s="41">
        <v>2217274.79</v>
      </c>
      <c r="C48" s="41">
        <v>2250</v>
      </c>
      <c r="D48" s="41">
        <v>182634.19</v>
      </c>
      <c r="E48" s="41">
        <v>13723.560000000001</v>
      </c>
      <c r="F48" s="41">
        <v>0</v>
      </c>
      <c r="G48" s="41">
        <f t="shared" ref="G48:G49" si="6">B48+C48+D48+E48</f>
        <v>2415882.54</v>
      </c>
    </row>
    <row r="49" spans="1:8" x14ac:dyDescent="0.2">
      <c r="A49" s="40">
        <v>44896</v>
      </c>
      <c r="B49" s="41">
        <v>2382610.2300000004</v>
      </c>
      <c r="C49" s="41">
        <v>0</v>
      </c>
      <c r="D49" s="41">
        <v>133376.75</v>
      </c>
      <c r="E49" s="41">
        <v>176797.66</v>
      </c>
      <c r="F49" s="41">
        <v>0</v>
      </c>
      <c r="G49" s="41">
        <f t="shared" si="6"/>
        <v>2692784.6400000006</v>
      </c>
    </row>
    <row r="50" spans="1:8" x14ac:dyDescent="0.2">
      <c r="A50" s="40">
        <v>44927</v>
      </c>
      <c r="B50" s="41">
        <v>2824332.11</v>
      </c>
      <c r="C50" s="41">
        <v>360</v>
      </c>
      <c r="D50" s="41">
        <v>17722.400000000001</v>
      </c>
      <c r="E50" s="143">
        <v>17170.8</v>
      </c>
      <c r="F50" s="41">
        <v>0</v>
      </c>
      <c r="G50" s="41">
        <v>2859585.3099999996</v>
      </c>
      <c r="H50" s="117"/>
    </row>
    <row r="51" spans="1:8" x14ac:dyDescent="0.2">
      <c r="A51" s="40">
        <v>44958</v>
      </c>
      <c r="B51" s="41">
        <v>2229804.8899999997</v>
      </c>
      <c r="C51" s="41">
        <v>0</v>
      </c>
      <c r="D51" s="41">
        <v>37863.440000000002</v>
      </c>
      <c r="E51" s="143">
        <v>22510</v>
      </c>
      <c r="F51" s="41">
        <v>325.28999999999996</v>
      </c>
      <c r="G51" s="41">
        <v>2290503.6199999996</v>
      </c>
      <c r="H51" s="117"/>
    </row>
    <row r="52" spans="1:8" x14ac:dyDescent="0.2">
      <c r="A52" s="40">
        <v>44986</v>
      </c>
      <c r="B52" s="41">
        <v>2206837.6999999997</v>
      </c>
      <c r="C52" s="41">
        <v>0</v>
      </c>
      <c r="D52" s="41">
        <v>17778.030000000002</v>
      </c>
      <c r="E52" s="143">
        <v>32443.95</v>
      </c>
      <c r="F52" s="41">
        <v>1704.1100000000001</v>
      </c>
      <c r="G52" s="41">
        <v>2258763.7899999996</v>
      </c>
      <c r="H52" s="117"/>
    </row>
    <row r="53" spans="1:8" x14ac:dyDescent="0.2">
      <c r="A53" s="40">
        <v>45017</v>
      </c>
      <c r="B53" s="41">
        <v>3171958.74</v>
      </c>
      <c r="C53" s="41">
        <v>0</v>
      </c>
      <c r="D53" s="41">
        <v>37235.689999999995</v>
      </c>
      <c r="E53" s="143">
        <v>17170.8</v>
      </c>
      <c r="F53" s="41">
        <v>0</v>
      </c>
      <c r="G53" s="41">
        <v>3226365.23</v>
      </c>
      <c r="H53" s="117"/>
    </row>
    <row r="54" spans="1:8" x14ac:dyDescent="0.2">
      <c r="A54" s="40">
        <v>45047</v>
      </c>
      <c r="B54" s="41">
        <v>2692285.79</v>
      </c>
      <c r="C54" s="41">
        <v>360</v>
      </c>
      <c r="D54" s="41">
        <v>38944.1</v>
      </c>
      <c r="E54" s="143">
        <v>28040.829999999998</v>
      </c>
      <c r="F54" s="41">
        <v>0</v>
      </c>
      <c r="G54" s="41">
        <v>2759630.72</v>
      </c>
    </row>
    <row r="55" spans="1:8" x14ac:dyDescent="0.2">
      <c r="A55" s="40">
        <v>45078</v>
      </c>
      <c r="B55" s="41">
        <v>2613183.63</v>
      </c>
      <c r="C55" s="41">
        <v>0</v>
      </c>
      <c r="D55" s="41">
        <v>86275.060000000012</v>
      </c>
      <c r="E55" s="143">
        <v>65037.659999999996</v>
      </c>
      <c r="F55" s="41">
        <v>0</v>
      </c>
      <c r="G55" s="41">
        <v>2764496.35</v>
      </c>
    </row>
    <row r="56" spans="1:8" x14ac:dyDescent="0.2">
      <c r="A56" s="40">
        <v>45108</v>
      </c>
      <c r="B56" s="41">
        <v>2641941.17</v>
      </c>
      <c r="C56" s="41">
        <v>3750</v>
      </c>
      <c r="D56" s="41">
        <v>171883.22</v>
      </c>
      <c r="E56" s="143">
        <v>21614.62</v>
      </c>
      <c r="F56" s="41">
        <v>0</v>
      </c>
      <c r="G56" s="41">
        <v>2839189.0100000002</v>
      </c>
    </row>
    <row r="57" spans="1:8" x14ac:dyDescent="0.2">
      <c r="A57" s="40">
        <v>45139</v>
      </c>
      <c r="B57" s="41">
        <v>3700449.7</v>
      </c>
      <c r="C57" s="41">
        <v>1230</v>
      </c>
      <c r="D57" s="41">
        <v>77700.86</v>
      </c>
      <c r="E57" s="143">
        <v>22194.29</v>
      </c>
      <c r="F57" s="41">
        <v>0</v>
      </c>
      <c r="G57" s="41">
        <v>3801574.85</v>
      </c>
    </row>
    <row r="58" spans="1:8" x14ac:dyDescent="0.2">
      <c r="A58" s="40">
        <v>45170</v>
      </c>
      <c r="B58" s="41">
        <v>3076295.07</v>
      </c>
      <c r="C58" s="41">
        <v>5950</v>
      </c>
      <c r="D58" s="41">
        <v>240605.86</v>
      </c>
      <c r="E58" s="143">
        <v>23943.87</v>
      </c>
      <c r="F58" s="41">
        <v>0</v>
      </c>
      <c r="G58" s="41">
        <v>3346794.8</v>
      </c>
    </row>
    <row r="59" spans="1:8" x14ac:dyDescent="0.2">
      <c r="A59" s="40">
        <v>45200</v>
      </c>
      <c r="B59" s="41">
        <v>3041310.04</v>
      </c>
      <c r="C59" s="41">
        <v>990</v>
      </c>
      <c r="D59" s="41">
        <v>171332.58</v>
      </c>
      <c r="E59" s="143">
        <v>32073.500000000004</v>
      </c>
      <c r="F59" s="41">
        <v>0</v>
      </c>
      <c r="G59" s="41">
        <v>3245706.12</v>
      </c>
    </row>
    <row r="60" spans="1:8" x14ac:dyDescent="0.2">
      <c r="A60" s="40">
        <v>45231</v>
      </c>
      <c r="B60" s="41">
        <v>3272228.6199999987</v>
      </c>
      <c r="C60" s="41">
        <v>0</v>
      </c>
      <c r="D60" s="41">
        <v>165965.22</v>
      </c>
      <c r="E60" s="143">
        <v>41254.85</v>
      </c>
      <c r="F60" s="41">
        <v>0</v>
      </c>
      <c r="G60" s="41">
        <v>3479448.689999999</v>
      </c>
    </row>
    <row r="61" spans="1:8" x14ac:dyDescent="0.2">
      <c r="A61" s="40">
        <v>45261</v>
      </c>
      <c r="B61" s="41">
        <v>4523403.1100000003</v>
      </c>
      <c r="C61" s="41">
        <v>0</v>
      </c>
      <c r="D61" s="41">
        <v>339598.12999999995</v>
      </c>
      <c r="E61" s="143">
        <v>32755.25</v>
      </c>
      <c r="F61" s="41">
        <v>27492.43</v>
      </c>
      <c r="G61" s="41">
        <v>4923248.92</v>
      </c>
    </row>
    <row r="62" spans="1:8" x14ac:dyDescent="0.2">
      <c r="A62" s="40">
        <v>45292</v>
      </c>
      <c r="B62" s="41">
        <v>3141740.5300000003</v>
      </c>
      <c r="C62" s="41">
        <v>0</v>
      </c>
      <c r="D62" s="41">
        <v>45577.950000000004</v>
      </c>
      <c r="E62" s="143">
        <v>22436.780000000002</v>
      </c>
      <c r="F62" s="41">
        <v>0</v>
      </c>
      <c r="G62" s="41">
        <v>3209755.2600000002</v>
      </c>
    </row>
    <row r="63" spans="1:8" x14ac:dyDescent="0.2">
      <c r="A63" s="40">
        <v>45323</v>
      </c>
      <c r="B63" s="41">
        <v>2949425.9099999997</v>
      </c>
      <c r="C63" s="41">
        <v>11950</v>
      </c>
      <c r="D63" s="41">
        <v>257734.03999999998</v>
      </c>
      <c r="E63" s="143">
        <v>37827.72</v>
      </c>
      <c r="F63" s="41">
        <v>0</v>
      </c>
      <c r="G63" s="41">
        <v>3256937.67</v>
      </c>
    </row>
    <row r="64" spans="1:8" x14ac:dyDescent="0.2">
      <c r="A64" s="40">
        <v>45352</v>
      </c>
      <c r="B64" s="41">
        <v>2456782.04</v>
      </c>
      <c r="C64" s="41">
        <v>1100</v>
      </c>
      <c r="D64" s="41">
        <v>133547.93</v>
      </c>
      <c r="E64" s="143">
        <v>13762.51</v>
      </c>
      <c r="F64" s="41">
        <v>0</v>
      </c>
      <c r="G64" s="41">
        <v>2605192.48</v>
      </c>
    </row>
    <row r="65" spans="1:7" x14ac:dyDescent="0.2">
      <c r="A65" s="40">
        <v>45383</v>
      </c>
      <c r="B65" s="41">
        <v>3218341.3100000005</v>
      </c>
      <c r="C65" s="41">
        <v>0</v>
      </c>
      <c r="D65" s="41">
        <v>39191.42</v>
      </c>
      <c r="E65" s="143">
        <v>36048.9</v>
      </c>
      <c r="F65" s="41">
        <v>0</v>
      </c>
      <c r="G65" s="41">
        <v>3293581.6300000004</v>
      </c>
    </row>
    <row r="66" spans="1:7" x14ac:dyDescent="0.2">
      <c r="A66" s="40">
        <v>45413</v>
      </c>
      <c r="B66" s="41">
        <v>3442360.26</v>
      </c>
      <c r="C66" s="41">
        <v>1250</v>
      </c>
      <c r="D66" s="41">
        <v>112128.08</v>
      </c>
      <c r="E66" s="143">
        <v>69000.39</v>
      </c>
      <c r="F66" s="41">
        <v>5250</v>
      </c>
      <c r="G66" s="41">
        <v>3629988.73</v>
      </c>
    </row>
    <row r="67" spans="1:7" x14ac:dyDescent="0.2">
      <c r="A67" s="40">
        <v>45444</v>
      </c>
      <c r="B67" s="41">
        <v>3832219.4599999995</v>
      </c>
      <c r="C67" s="41">
        <v>4800.0000259999997</v>
      </c>
      <c r="D67" s="41">
        <v>187391.46</v>
      </c>
      <c r="E67" s="143">
        <v>43713.200000000004</v>
      </c>
      <c r="F67" s="41">
        <v>0</v>
      </c>
      <c r="G67" s="41">
        <v>4068124.1200259998</v>
      </c>
    </row>
    <row r="68" spans="1:7" x14ac:dyDescent="0.2">
      <c r="A68" s="40">
        <v>45474</v>
      </c>
      <c r="B68" s="41">
        <v>4073931.560000001</v>
      </c>
      <c r="C68" s="41">
        <v>5000.0000030000001</v>
      </c>
      <c r="D68" s="41">
        <v>410618.00999999995</v>
      </c>
      <c r="E68" s="143">
        <v>150696.85</v>
      </c>
      <c r="F68" s="41">
        <v>0</v>
      </c>
      <c r="G68" s="41">
        <v>4640246.4200030006</v>
      </c>
    </row>
    <row r="69" spans="1:7" x14ac:dyDescent="0.2">
      <c r="A69" s="40">
        <v>45505</v>
      </c>
      <c r="B69" s="41">
        <v>3072242.56</v>
      </c>
      <c r="C69" s="41">
        <v>0</v>
      </c>
      <c r="D69" s="41">
        <v>303810.37</v>
      </c>
      <c r="E69" s="143">
        <v>78157.039999999994</v>
      </c>
      <c r="F69" s="41">
        <v>0</v>
      </c>
      <c r="G69" s="41">
        <v>3454209.97</v>
      </c>
    </row>
    <row r="70" spans="1:7" x14ac:dyDescent="0.2">
      <c r="A70" s="40">
        <v>45536</v>
      </c>
      <c r="B70" s="41">
        <v>3904226.4700000007</v>
      </c>
      <c r="C70" s="41">
        <v>3149.999996</v>
      </c>
      <c r="D70" s="41">
        <v>300715.48</v>
      </c>
      <c r="E70" s="143">
        <v>45044.93</v>
      </c>
      <c r="F70" s="41">
        <v>0</v>
      </c>
      <c r="G70" s="41">
        <v>4253136.8799960008</v>
      </c>
    </row>
    <row r="71" spans="1:7" x14ac:dyDescent="0.2">
      <c r="A71" s="40">
        <v>45566</v>
      </c>
      <c r="B71" s="41">
        <v>3775017.6900000018</v>
      </c>
      <c r="C71" s="41">
        <v>5600.0000220000002</v>
      </c>
      <c r="D71" s="41">
        <v>774705.700000001</v>
      </c>
      <c r="E71" s="143">
        <v>101567.28</v>
      </c>
      <c r="F71" s="41">
        <v>1250</v>
      </c>
      <c r="G71" s="41">
        <v>4658140.6700220024</v>
      </c>
    </row>
    <row r="72" spans="1:7" x14ac:dyDescent="0.2">
      <c r="A72" s="40">
        <v>45597</v>
      </c>
      <c r="B72" s="41">
        <v>5813239.8999359999</v>
      </c>
      <c r="C72" s="41">
        <v>0</v>
      </c>
      <c r="D72" s="41">
        <v>290176.03999999998</v>
      </c>
      <c r="E72" s="143">
        <v>40923.06</v>
      </c>
      <c r="F72" s="41">
        <v>0</v>
      </c>
      <c r="G72" s="41">
        <v>6144338.9999359995</v>
      </c>
    </row>
    <row r="73" spans="1:7" x14ac:dyDescent="0.2">
      <c r="A73" s="40">
        <v>45627</v>
      </c>
      <c r="B73" s="41">
        <v>4363622.9000000004</v>
      </c>
      <c r="C73" s="41">
        <v>9749.9999210000005</v>
      </c>
      <c r="D73" s="41">
        <v>889365.65999999992</v>
      </c>
      <c r="E73" s="143">
        <v>48676.609999999993</v>
      </c>
      <c r="F73" s="41">
        <v>690.74</v>
      </c>
      <c r="G73" s="41">
        <v>5312105.9099210007</v>
      </c>
    </row>
    <row r="74" spans="1:7" x14ac:dyDescent="0.2">
      <c r="A74" s="40">
        <v>45658</v>
      </c>
      <c r="B74" s="118">
        <v>3992728.4300000011</v>
      </c>
      <c r="C74" s="118">
        <v>5150.0000060000002</v>
      </c>
      <c r="D74" s="118">
        <v>367038.29000000004</v>
      </c>
      <c r="E74" s="119">
        <v>28380.25</v>
      </c>
      <c r="F74" s="118">
        <v>9356.9699999999993</v>
      </c>
      <c r="G74" s="118">
        <v>4402653.9400060009</v>
      </c>
    </row>
    <row r="75" spans="1:7" x14ac:dyDescent="0.2">
      <c r="A75" s="40">
        <v>45689</v>
      </c>
      <c r="B75" s="118">
        <v>3650558.6799999997</v>
      </c>
      <c r="C75" s="118">
        <v>0</v>
      </c>
      <c r="D75" s="118">
        <v>389371.93</v>
      </c>
      <c r="E75" s="119">
        <v>46323.669999999991</v>
      </c>
      <c r="F75" s="118">
        <v>0</v>
      </c>
      <c r="G75" s="118">
        <v>4086254.28</v>
      </c>
    </row>
    <row r="76" spans="1:7" x14ac:dyDescent="0.2">
      <c r="A76" s="40">
        <v>45717</v>
      </c>
      <c r="B76" s="118">
        <v>3620431.5199999996</v>
      </c>
      <c r="C76" s="118">
        <v>0</v>
      </c>
      <c r="D76" s="118">
        <v>397295.69999999995</v>
      </c>
      <c r="E76" s="119">
        <v>30467.120000000003</v>
      </c>
      <c r="F76" s="118">
        <v>0</v>
      </c>
      <c r="G76" s="118">
        <v>4048194.34</v>
      </c>
    </row>
    <row r="77" spans="1:7" x14ac:dyDescent="0.2">
      <c r="A77" s="40">
        <v>45748</v>
      </c>
      <c r="B77" s="118">
        <v>3545182.64</v>
      </c>
      <c r="C77" s="118">
        <v>0</v>
      </c>
      <c r="D77" s="118">
        <v>321630.05</v>
      </c>
      <c r="E77" s="119">
        <v>47814.81</v>
      </c>
      <c r="F77" s="118">
        <v>25000</v>
      </c>
      <c r="G77" s="118">
        <v>3939627.5</v>
      </c>
    </row>
    <row r="78" spans="1:7" x14ac:dyDescent="0.2">
      <c r="A78" s="40">
        <v>45778</v>
      </c>
      <c r="B78" s="118">
        <v>3059899.4400000009</v>
      </c>
      <c r="C78" s="118">
        <v>0</v>
      </c>
      <c r="D78" s="118">
        <v>513933.32</v>
      </c>
      <c r="E78" s="119">
        <v>-25621.879999999997</v>
      </c>
      <c r="F78" s="118">
        <v>0</v>
      </c>
      <c r="G78" s="118">
        <v>3548210.8800000008</v>
      </c>
    </row>
    <row r="79" spans="1:7" x14ac:dyDescent="0.2">
      <c r="A79" s="40">
        <v>45809</v>
      </c>
      <c r="B79" s="118">
        <v>3909768.5300000003</v>
      </c>
      <c r="C79" s="118">
        <v>20699.999963999999</v>
      </c>
      <c r="D79" s="118">
        <v>233201.97000000003</v>
      </c>
      <c r="E79" s="119">
        <v>140845.76999999999</v>
      </c>
      <c r="F79" s="118">
        <v>0</v>
      </c>
      <c r="G79" s="118">
        <v>4304516.2699640002</v>
      </c>
    </row>
    <row r="80" spans="1:7" x14ac:dyDescent="0.2">
      <c r="A80" s="40">
        <v>45839</v>
      </c>
      <c r="B80" s="118">
        <v>4377058.3899999997</v>
      </c>
      <c r="C80" s="118">
        <v>0</v>
      </c>
      <c r="D80" s="118">
        <v>112779.26</v>
      </c>
      <c r="E80" s="119">
        <v>36171.729999999996</v>
      </c>
      <c r="F80" s="118">
        <v>0</v>
      </c>
      <c r="G80" s="118">
        <v>4526009.38</v>
      </c>
    </row>
    <row r="81" spans="1:7" x14ac:dyDescent="0.2">
      <c r="A81" s="40">
        <v>45870</v>
      </c>
      <c r="B81" s="118">
        <v>4218418.770012999</v>
      </c>
      <c r="C81" s="118">
        <v>9049.9984370000002</v>
      </c>
      <c r="D81" s="118">
        <v>579410.41</v>
      </c>
      <c r="E81" s="119">
        <v>21721.530000000006</v>
      </c>
      <c r="F81" s="118">
        <v>0</v>
      </c>
      <c r="G81" s="118">
        <v>4828600.7084499998</v>
      </c>
    </row>
    <row r="82" spans="1:7" x14ac:dyDescent="0.2">
      <c r="A82" s="40">
        <v>45901</v>
      </c>
      <c r="B82" s="118">
        <v>3773891.1300000004</v>
      </c>
      <c r="C82" s="118">
        <v>6400.0028320000001</v>
      </c>
      <c r="D82" s="118">
        <v>387892.36000000004</v>
      </c>
      <c r="E82" s="119">
        <v>252293.12</v>
      </c>
      <c r="F82" s="118">
        <v>0</v>
      </c>
      <c r="G82" s="118">
        <v>4420476.6128320005</v>
      </c>
    </row>
    <row r="83" spans="1:7" x14ac:dyDescent="0.2">
      <c r="A83" s="40">
        <v>45931</v>
      </c>
      <c r="B83" s="118">
        <v>3831016.8900000006</v>
      </c>
      <c r="C83" s="118">
        <v>11025</v>
      </c>
      <c r="D83" s="118">
        <v>426678.63</v>
      </c>
      <c r="E83" s="119">
        <v>31609.760000000002</v>
      </c>
      <c r="F83" s="118">
        <v>0</v>
      </c>
      <c r="G83" s="118">
        <v>4300330.28</v>
      </c>
    </row>
    <row r="84" spans="1:7" x14ac:dyDescent="0.2">
      <c r="A84" s="40">
        <v>45962</v>
      </c>
      <c r="B84" s="118">
        <v>4366518.4799999995</v>
      </c>
      <c r="C84" s="118">
        <v>4275</v>
      </c>
      <c r="D84" s="118">
        <v>247509.19</v>
      </c>
      <c r="E84" s="119">
        <v>63494.05</v>
      </c>
      <c r="F84" s="118">
        <v>0</v>
      </c>
      <c r="G84" s="118">
        <v>4681796.72</v>
      </c>
    </row>
    <row r="85" spans="1:7" x14ac:dyDescent="0.2">
      <c r="A85" s="40">
        <v>45992</v>
      </c>
      <c r="B85" s="118">
        <v>6820947.2300000014</v>
      </c>
      <c r="C85" s="118">
        <v>3225</v>
      </c>
      <c r="D85" s="118">
        <v>501699.87</v>
      </c>
      <c r="E85" s="119">
        <v>21560.920000000002</v>
      </c>
      <c r="F85" s="118">
        <v>0</v>
      </c>
      <c r="G85" s="118">
        <v>7347433.0200000014</v>
      </c>
    </row>
    <row r="86" spans="1:7" x14ac:dyDescent="0.2">
      <c r="A86" s="40">
        <v>46023</v>
      </c>
      <c r="B86" s="118">
        <f t="shared" ref="B86:B97" si="7">IFERROR(G86-C86-D86-E86-F86,"")</f>
        <v>3394480.5</v>
      </c>
      <c r="C86" s="118">
        <f>VLOOKUP("ATOS/PREPOSTOS",[2]Receita!$A$370:$M$381,(MONTH($A86)+1),0)</f>
        <v>0</v>
      </c>
      <c r="D86" s="118">
        <f>[5]Sucumbências!$CD$44</f>
        <v>430573.42</v>
      </c>
      <c r="E86" s="119">
        <f>IF(GLOSAS!CD$43=0,"",GLOSAS!CD$43)</f>
        <v>9114.0400000000009</v>
      </c>
      <c r="F86" s="118">
        <f>VLOOKUP("HONORÁRIOS RETROATIVOS",[2]Receita!$A$370:$M$381,(MONTH($A86)+1),0)+VLOOKUP("PREPOSTOS RETROATIVOS",[2]Receita!$A$370:$M$381,(MONTH($A86)+1),0)</f>
        <v>4890</v>
      </c>
      <c r="G86" s="118">
        <f>'TOTAIS  20 E 21'!CT$2</f>
        <v>3839057.96</v>
      </c>
    </row>
    <row r="87" spans="1:7" x14ac:dyDescent="0.2">
      <c r="A87" s="40">
        <v>46054</v>
      </c>
      <c r="B87" s="118">
        <f t="shared" si="7"/>
        <v>3189212.7399999998</v>
      </c>
      <c r="C87" s="118">
        <f>VLOOKUP("ATOS/PREPOSTOS",[2]Receita!$A$370:$M$381,(MONTH($A87)+1),0)</f>
        <v>0</v>
      </c>
      <c r="D87" s="118">
        <f>[5]Sucumbências!$CE$44</f>
        <v>410980.78</v>
      </c>
      <c r="E87" s="119">
        <f>IF(GLOSAS!CE$43=0,"",GLOSAS!CE$43)</f>
        <v>23550.57</v>
      </c>
      <c r="F87" s="118">
        <f>VLOOKUP("HONORÁRIOS RETROATIVOS",[2]Receita!$A$370:$M$381,(MONTH($A87)+1),0)+VLOOKUP("PREPOSTOS RETROATIVOS",[2]Receita!$A$370:$M$381,(MONTH($A87)+1),0)</f>
        <v>0</v>
      </c>
      <c r="G87" s="118">
        <f>'TOTAIS  20 E 21'!CU$2</f>
        <v>3623744.09</v>
      </c>
    </row>
    <row r="88" spans="1:7" x14ac:dyDescent="0.2">
      <c r="A88" s="40">
        <v>46082</v>
      </c>
      <c r="B88" s="118">
        <f t="shared" si="7"/>
        <v>4664663.9740000004</v>
      </c>
      <c r="C88" s="118">
        <f>VLOOKUP("ATOS/PREPOSTOS",[2]Receita!$A$370:$M$381,(MONTH($A88)+1),0)</f>
        <v>0</v>
      </c>
      <c r="D88" s="118">
        <f>[5]Sucumbências!$CF$44</f>
        <v>0</v>
      </c>
      <c r="E88" s="119">
        <f>IF(GLOSAS!CF$43=0,"",GLOSAS!CF$43)</f>
        <v>31308.160000000003</v>
      </c>
      <c r="F88" s="118">
        <f>VLOOKUP("HONORÁRIOS RETROATIVOS",[2]Receita!$A$370:$M$381,(MONTH($A88)+1),0)+VLOOKUP("PREPOSTOS RETROATIVOS",[2]Receita!$A$370:$M$381,(MONTH($A88)+1),0)</f>
        <v>0</v>
      </c>
      <c r="G88" s="118">
        <f>'TOTAIS  20 E 21'!CV$2</f>
        <v>4695972.1340000005</v>
      </c>
    </row>
    <row r="89" spans="1:7" x14ac:dyDescent="0.2">
      <c r="A89" s="40">
        <v>46113</v>
      </c>
      <c r="B89" s="118" t="str">
        <f t="shared" si="7"/>
        <v/>
      </c>
      <c r="C89" s="118">
        <f>VLOOKUP("ATOS/PREPOSTOS",[2]Receita!$A$370:$M$381,(MONTH($A89)+1),0)</f>
        <v>0</v>
      </c>
      <c r="D89" s="118">
        <f>[5]Sucumbências!$CG$44</f>
        <v>0</v>
      </c>
      <c r="E89" s="119" t="str">
        <f>IF(GLOSAS!CG$43=0,"",GLOSAS!CG$43)</f>
        <v/>
      </c>
      <c r="F89" s="118">
        <f>VLOOKUP("HONORÁRIOS RETROATIVOS",[2]Receita!$A$370:$M$381,(MONTH($A89)+1),0)+VLOOKUP("PREPOSTOS RETROATIVOS",[2]Receita!$A$370:$M$381,(MONTH($A89)+1),0)</f>
        <v>0</v>
      </c>
      <c r="G89" s="118">
        <f>'TOTAIS  20 E 21'!CW$2</f>
        <v>0</v>
      </c>
    </row>
    <row r="90" spans="1:7" x14ac:dyDescent="0.2">
      <c r="A90" s="40">
        <v>46143</v>
      </c>
      <c r="B90" s="118" t="str">
        <f t="shared" si="7"/>
        <v/>
      </c>
      <c r="C90" s="118">
        <f>VLOOKUP("ATOS/PREPOSTOS",[2]Receita!$A$370:$M$381,(MONTH($A90)+1),0)</f>
        <v>0</v>
      </c>
      <c r="D90" s="118">
        <f>[5]Sucumbências!$CH$44</f>
        <v>0</v>
      </c>
      <c r="E90" s="119" t="str">
        <f>IF(GLOSAS!CH$43=0,"",GLOSAS!CH$43)</f>
        <v/>
      </c>
      <c r="F90" s="118">
        <f>VLOOKUP("HONORÁRIOS RETROATIVOS",[2]Receita!$A$370:$M$381,(MONTH($A90)+1),0)+VLOOKUP("PREPOSTOS RETROATIVOS",[2]Receita!$A$370:$M$381,(MONTH($A90)+1),0)</f>
        <v>0</v>
      </c>
      <c r="G90" s="118">
        <f>'TOTAIS  20 E 21'!CX$2</f>
        <v>0</v>
      </c>
    </row>
    <row r="91" spans="1:7" x14ac:dyDescent="0.2">
      <c r="A91" s="40">
        <v>46174</v>
      </c>
      <c r="B91" s="118" t="str">
        <f t="shared" si="7"/>
        <v/>
      </c>
      <c r="C91" s="118">
        <f>VLOOKUP("ATOS/PREPOSTOS",[2]Receita!$A$370:$M$381,(MONTH($A91)+1),0)</f>
        <v>0</v>
      </c>
      <c r="D91" s="118">
        <f>[5]Sucumbências!$CI$44</f>
        <v>0</v>
      </c>
      <c r="E91" s="119" t="str">
        <f>IF(GLOSAS!CI$43=0,"",GLOSAS!CI$43)</f>
        <v/>
      </c>
      <c r="F91" s="118">
        <f>VLOOKUP("HONORÁRIOS RETROATIVOS",[2]Receita!$A$370:$M$381,(MONTH($A91)+1),0)+VLOOKUP("PREPOSTOS RETROATIVOS",[2]Receita!$A$370:$M$381,(MONTH($A91)+1),0)</f>
        <v>0</v>
      </c>
      <c r="G91" s="118">
        <f>'TOTAIS  20 E 21'!CY$2</f>
        <v>0</v>
      </c>
    </row>
    <row r="92" spans="1:7" x14ac:dyDescent="0.2">
      <c r="A92" s="40">
        <v>46204</v>
      </c>
      <c r="B92" s="118" t="str">
        <f t="shared" si="7"/>
        <v/>
      </c>
      <c r="C92" s="118">
        <f>VLOOKUP("ATOS/PREPOSTOS",[2]Receita!$A$370:$M$381,(MONTH($A92)+1),0)</f>
        <v>0</v>
      </c>
      <c r="D92" s="118">
        <f>[5]Sucumbências!$CJ$44</f>
        <v>0</v>
      </c>
      <c r="E92" s="119" t="str">
        <f>IF(GLOSAS!CJ$43=0,"",GLOSAS!CJ$43)</f>
        <v/>
      </c>
      <c r="F92" s="118">
        <f>VLOOKUP("HONORÁRIOS RETROATIVOS",[2]Receita!$A$370:$M$381,(MONTH($A92)+1),0)+VLOOKUP("PREPOSTOS RETROATIVOS",[2]Receita!$A$370:$M$381,(MONTH($A92)+1),0)</f>
        <v>0</v>
      </c>
      <c r="G92" s="118">
        <f>'TOTAIS  20 E 21'!CZ$2</f>
        <v>0</v>
      </c>
    </row>
    <row r="93" spans="1:7" x14ac:dyDescent="0.2">
      <c r="A93" s="40">
        <v>46235</v>
      </c>
      <c r="B93" s="118" t="str">
        <f t="shared" si="7"/>
        <v/>
      </c>
      <c r="C93" s="118">
        <f>VLOOKUP("ATOS/PREPOSTOS",[2]Receita!$A$370:$M$381,(MONTH($A93)+1),0)</f>
        <v>0</v>
      </c>
      <c r="D93" s="118">
        <f>[5]Sucumbências!$CK$44</f>
        <v>0</v>
      </c>
      <c r="E93" s="119" t="str">
        <f>IF(GLOSAS!CK$43=0,"",GLOSAS!CK$43)</f>
        <v/>
      </c>
      <c r="F93" s="118">
        <f>VLOOKUP("HONORÁRIOS RETROATIVOS",[2]Receita!$A$370:$M$381,(MONTH($A93)+1),0)+VLOOKUP("PREPOSTOS RETROATIVOS",[2]Receita!$A$370:$M$381,(MONTH($A93)+1),0)</f>
        <v>0</v>
      </c>
      <c r="G93" s="118">
        <f>'TOTAIS  20 E 21'!DA$2</f>
        <v>0</v>
      </c>
    </row>
    <row r="94" spans="1:7" x14ac:dyDescent="0.2">
      <c r="A94" s="40">
        <v>46266</v>
      </c>
      <c r="B94" s="118" t="str">
        <f t="shared" si="7"/>
        <v/>
      </c>
      <c r="C94" s="118">
        <f>VLOOKUP("ATOS/PREPOSTOS",[2]Receita!$A$370:$M$381,(MONTH($A94)+1),0)</f>
        <v>0</v>
      </c>
      <c r="D94" s="118">
        <f>[5]Sucumbências!$CL$44</f>
        <v>0</v>
      </c>
      <c r="E94" s="119" t="str">
        <f>IF(GLOSAS!CL$43=0,"",GLOSAS!CL$43)</f>
        <v/>
      </c>
      <c r="F94" s="118">
        <f>VLOOKUP("HONORÁRIOS RETROATIVOS",[2]Receita!$A$370:$M$381,(MONTH($A94)+1),0)+VLOOKUP("PREPOSTOS RETROATIVOS",[2]Receita!$A$370:$M$381,(MONTH($A94)+1),0)</f>
        <v>0</v>
      </c>
      <c r="G94" s="118">
        <f>'TOTAIS  20 E 21'!DB$2</f>
        <v>0</v>
      </c>
    </row>
    <row r="95" spans="1:7" x14ac:dyDescent="0.2">
      <c r="A95" s="40">
        <v>46296</v>
      </c>
      <c r="B95" s="118" t="str">
        <f t="shared" si="7"/>
        <v/>
      </c>
      <c r="C95" s="118">
        <f>VLOOKUP("ATOS/PREPOSTOS",[2]Receita!$A$370:$M$381,(MONTH($A95)+1),0)</f>
        <v>0</v>
      </c>
      <c r="D95" s="118">
        <f>[5]Sucumbências!$CM$44</f>
        <v>0</v>
      </c>
      <c r="E95" s="119" t="str">
        <f>IF(GLOSAS!CM$43=0,"",GLOSAS!CM$43)</f>
        <v/>
      </c>
      <c r="F95" s="118">
        <f>VLOOKUP("HONORÁRIOS RETROATIVOS",[2]Receita!$A$370:$M$381,(MONTH($A95)+1),0)+VLOOKUP("PREPOSTOS RETROATIVOS",[2]Receita!$A$370:$M$381,(MONTH($A95)+1),0)</f>
        <v>0</v>
      </c>
      <c r="G95" s="118">
        <f>'TOTAIS  20 E 21'!DC$2</f>
        <v>0</v>
      </c>
    </row>
    <row r="96" spans="1:7" x14ac:dyDescent="0.2">
      <c r="A96" s="40">
        <v>46327</v>
      </c>
      <c r="B96" s="118" t="str">
        <f t="shared" si="7"/>
        <v/>
      </c>
      <c r="C96" s="118">
        <f>VLOOKUP("ATOS/PREPOSTOS",[2]Receita!$A$370:$M$381,(MONTH($A96)+1),0)</f>
        <v>0</v>
      </c>
      <c r="D96" s="118">
        <f>[5]Sucumbências!$CN$44</f>
        <v>0</v>
      </c>
      <c r="E96" s="119" t="str">
        <f>IF(GLOSAS!CN$43=0,"",GLOSAS!CN$43)</f>
        <v/>
      </c>
      <c r="F96" s="118">
        <f>VLOOKUP("HONORÁRIOS RETROATIVOS",[2]Receita!$A$370:$M$381,(MONTH($A96)+1),0)+VLOOKUP("PREPOSTOS RETROATIVOS",[2]Receita!$A$370:$M$381,(MONTH($A96)+1),0)</f>
        <v>0</v>
      </c>
      <c r="G96" s="118">
        <f>'TOTAIS  20 E 21'!DD$2</f>
        <v>0</v>
      </c>
    </row>
    <row r="97" spans="1:7" x14ac:dyDescent="0.2">
      <c r="A97" s="40">
        <v>46357</v>
      </c>
      <c r="B97" s="118" t="str">
        <f t="shared" si="7"/>
        <v/>
      </c>
      <c r="C97" s="118">
        <f>VLOOKUP("ATOS/PREPOSTOS",[2]Receita!$A$370:$M$381,(MONTH($A97)+1),0)</f>
        <v>0</v>
      </c>
      <c r="D97" s="118">
        <f>[5]Sucumbências!$CO$44</f>
        <v>0</v>
      </c>
      <c r="E97" s="119" t="str">
        <f>IF(GLOSAS!CO$43=0,"",GLOSAS!CO$43)</f>
        <v/>
      </c>
      <c r="F97" s="118">
        <f>VLOOKUP("HONORÁRIOS RETROATIVOS",[2]Receita!$A$370:$M$381,(MONTH($A97)+1),0)+VLOOKUP("PREPOSTOS RETROATIVOS",[2]Receita!$A$370:$M$381,(MONTH($A97)+1),0)</f>
        <v>0</v>
      </c>
      <c r="G97" s="118">
        <f>'TOTAIS  20 E 21'!DE$2</f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5AFE-DA7C-4E1D-8DEB-836770735B26}">
  <sheetPr codeName="Planilha3">
    <tabColor rgb="FF00B050"/>
  </sheetPr>
  <dimension ref="A1:CP46"/>
  <sheetViews>
    <sheetView zoomScale="85" zoomScaleNormal="85" workbookViewId="0">
      <pane xSplit="2" topLeftCell="BT1" activePane="topRight" state="frozen"/>
      <selection pane="topRight" activeCell="BX7" sqref="BX7"/>
    </sheetView>
  </sheetViews>
  <sheetFormatPr defaultRowHeight="12.75" x14ac:dyDescent="0.2"/>
  <cols>
    <col min="2" max="2" width="41.140625" bestFit="1" customWidth="1"/>
    <col min="3" max="3" width="17.5703125" customWidth="1"/>
    <col min="4" max="27" width="10.140625" customWidth="1"/>
    <col min="28" max="28" width="10.7109375" customWidth="1"/>
    <col min="29" max="29" width="9.7109375" customWidth="1"/>
    <col min="30" max="40" width="10.28515625" customWidth="1"/>
    <col min="41" max="41" width="11.5703125" customWidth="1"/>
    <col min="42" max="42" width="10.28515625" customWidth="1"/>
    <col min="43" max="43" width="10.28515625" bestFit="1" customWidth="1"/>
    <col min="44" max="54" width="10.28515625" customWidth="1"/>
    <col min="55" max="55" width="10.28515625" bestFit="1" customWidth="1"/>
    <col min="56" max="56" width="21.5703125" customWidth="1"/>
    <col min="57" max="59" width="10.28515625" bestFit="1" customWidth="1"/>
    <col min="60" max="60" width="11.5703125" bestFit="1" customWidth="1"/>
    <col min="61" max="61" width="10.28515625" bestFit="1" customWidth="1"/>
    <col min="62" max="62" width="11.5703125" bestFit="1" customWidth="1"/>
    <col min="63" max="64" width="10.28515625" bestFit="1" customWidth="1"/>
    <col min="65" max="65" width="11.5703125" bestFit="1" customWidth="1"/>
    <col min="66" max="68" width="10.28515625" bestFit="1" customWidth="1"/>
    <col min="69" max="73" width="10.5703125" bestFit="1" customWidth="1"/>
    <col min="74" max="75" width="11.5703125" bestFit="1" customWidth="1"/>
    <col min="76" max="76" width="10.5703125" bestFit="1" customWidth="1"/>
    <col min="77" max="78" width="11.5703125" bestFit="1" customWidth="1"/>
    <col min="79" max="80" width="10.5703125" bestFit="1" customWidth="1"/>
    <col min="81" max="93" width="10.28515625" bestFit="1" customWidth="1"/>
  </cols>
  <sheetData>
    <row r="1" spans="1:94" x14ac:dyDescent="0.2">
      <c r="A1" t="s">
        <v>637</v>
      </c>
      <c r="B1" t="s">
        <v>71</v>
      </c>
      <c r="C1">
        <v>2019</v>
      </c>
      <c r="D1" s="32">
        <v>43831</v>
      </c>
      <c r="E1" s="32">
        <v>43862</v>
      </c>
      <c r="F1" s="32">
        <v>43891</v>
      </c>
      <c r="G1" s="32">
        <v>43922</v>
      </c>
      <c r="H1" s="32">
        <v>43952</v>
      </c>
      <c r="I1" s="32">
        <v>43983</v>
      </c>
      <c r="J1" s="32">
        <v>44013</v>
      </c>
      <c r="K1" s="32">
        <v>44044</v>
      </c>
      <c r="L1" s="32">
        <v>44075</v>
      </c>
      <c r="M1" s="32">
        <v>44105</v>
      </c>
      <c r="N1" s="32">
        <v>44136</v>
      </c>
      <c r="O1" s="32">
        <v>44166</v>
      </c>
      <c r="P1">
        <v>2020</v>
      </c>
      <c r="Q1" s="32">
        <v>44197</v>
      </c>
      <c r="R1" s="32">
        <v>44228</v>
      </c>
      <c r="S1" s="32">
        <v>44256</v>
      </c>
      <c r="T1" s="32">
        <v>44287</v>
      </c>
      <c r="U1" s="32">
        <v>44317</v>
      </c>
      <c r="V1" s="32">
        <v>44348</v>
      </c>
      <c r="W1" s="32">
        <v>44378</v>
      </c>
      <c r="X1" s="32">
        <v>44409</v>
      </c>
      <c r="Y1" s="32">
        <v>44440</v>
      </c>
      <c r="Z1" s="32">
        <v>44470</v>
      </c>
      <c r="AA1" s="32">
        <v>44501</v>
      </c>
      <c r="AB1" s="32">
        <v>44531</v>
      </c>
      <c r="AC1">
        <v>2021</v>
      </c>
      <c r="AD1" s="32">
        <v>44562</v>
      </c>
      <c r="AE1" s="32">
        <v>44593</v>
      </c>
      <c r="AF1" s="32">
        <v>44621</v>
      </c>
      <c r="AG1" s="32">
        <v>44652</v>
      </c>
      <c r="AH1" s="32">
        <v>44682</v>
      </c>
      <c r="AI1" s="32">
        <v>44713</v>
      </c>
      <c r="AJ1" s="32">
        <v>44743</v>
      </c>
      <c r="AK1" s="32">
        <v>44774</v>
      </c>
      <c r="AL1" s="32">
        <v>44805</v>
      </c>
      <c r="AM1" s="32">
        <v>44835</v>
      </c>
      <c r="AN1" s="32">
        <v>44866</v>
      </c>
      <c r="AO1" s="32">
        <v>44896</v>
      </c>
      <c r="AP1">
        <v>2022</v>
      </c>
      <c r="AQ1" s="32">
        <v>44927</v>
      </c>
      <c r="AR1" s="32">
        <v>44958</v>
      </c>
      <c r="AS1" s="32">
        <v>44986</v>
      </c>
      <c r="AT1" s="32">
        <v>45017</v>
      </c>
      <c r="AU1" s="32">
        <v>45047</v>
      </c>
      <c r="AV1" s="32">
        <v>45078</v>
      </c>
      <c r="AW1" s="32">
        <v>45108</v>
      </c>
      <c r="AX1" s="32">
        <v>45139</v>
      </c>
      <c r="AY1" s="32">
        <v>45170</v>
      </c>
      <c r="AZ1" s="32">
        <v>45200</v>
      </c>
      <c r="BA1" s="32">
        <v>45231</v>
      </c>
      <c r="BB1" s="32">
        <v>45261</v>
      </c>
      <c r="BC1">
        <v>2023</v>
      </c>
      <c r="BD1" s="32">
        <v>45292</v>
      </c>
      <c r="BE1" s="32">
        <v>45323</v>
      </c>
      <c r="BF1" s="32">
        <v>45352</v>
      </c>
      <c r="BG1" s="32">
        <v>45383</v>
      </c>
      <c r="BH1" s="32">
        <v>45413</v>
      </c>
      <c r="BI1" s="32">
        <v>45444</v>
      </c>
      <c r="BJ1" s="32">
        <v>45474</v>
      </c>
      <c r="BK1" s="32">
        <v>45505</v>
      </c>
      <c r="BL1" s="32">
        <v>45536</v>
      </c>
      <c r="BM1" s="32">
        <v>45566</v>
      </c>
      <c r="BN1" s="32">
        <v>45597</v>
      </c>
      <c r="BO1" s="32">
        <v>45627</v>
      </c>
      <c r="BP1">
        <v>2024</v>
      </c>
      <c r="BQ1" s="32">
        <v>45658</v>
      </c>
      <c r="BR1" s="32">
        <v>45689</v>
      </c>
      <c r="BS1" s="32">
        <v>45717</v>
      </c>
      <c r="BT1" s="32">
        <v>45748</v>
      </c>
      <c r="BU1" s="32">
        <v>45778</v>
      </c>
      <c r="BV1" s="32">
        <v>45809</v>
      </c>
      <c r="BW1" s="32">
        <v>45839</v>
      </c>
      <c r="BX1" s="32">
        <v>45870</v>
      </c>
      <c r="BY1" s="32">
        <v>45901</v>
      </c>
      <c r="BZ1" s="32">
        <v>45931</v>
      </c>
      <c r="CA1" s="32">
        <v>45962</v>
      </c>
      <c r="CB1" s="32">
        <v>45992</v>
      </c>
      <c r="CC1">
        <v>2025</v>
      </c>
      <c r="CD1" s="32">
        <v>46023</v>
      </c>
      <c r="CE1" s="32">
        <v>46054</v>
      </c>
      <c r="CF1" s="32">
        <v>46082</v>
      </c>
      <c r="CG1" s="32">
        <v>46113</v>
      </c>
      <c r="CH1" s="32">
        <v>46143</v>
      </c>
      <c r="CI1" s="32">
        <v>46174</v>
      </c>
      <c r="CJ1" s="32">
        <v>46204</v>
      </c>
      <c r="CK1" s="32">
        <v>46235</v>
      </c>
      <c r="CL1" s="32">
        <v>46266</v>
      </c>
      <c r="CM1" s="32">
        <v>46296</v>
      </c>
      <c r="CN1" s="32">
        <v>46327</v>
      </c>
      <c r="CO1" s="32">
        <v>46357</v>
      </c>
      <c r="CP1">
        <v>2026</v>
      </c>
    </row>
    <row r="2" spans="1:94" x14ac:dyDescent="0.2">
      <c r="A2" t="s">
        <v>618</v>
      </c>
      <c r="B2" s="408" t="s">
        <v>618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 t="shared" ref="P2:P41" si="0">SUM(D2:O2)</f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s="42">
        <v>0</v>
      </c>
      <c r="Y2">
        <v>578.97</v>
      </c>
      <c r="Z2">
        <v>0</v>
      </c>
      <c r="AA2">
        <v>0</v>
      </c>
      <c r="AB2">
        <v>0</v>
      </c>
      <c r="AC2">
        <f>SUM(Q2:AB2)</f>
        <v>578.97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700</v>
      </c>
      <c r="AM2">
        <v>2042</v>
      </c>
      <c r="AN2">
        <v>900.46</v>
      </c>
      <c r="AO2">
        <v>0</v>
      </c>
      <c r="AP2">
        <f>SUM(AD2:AO2)</f>
        <v>3642.46</v>
      </c>
      <c r="AQ2" s="117">
        <v>0</v>
      </c>
      <c r="AR2" s="117">
        <v>0</v>
      </c>
      <c r="AS2" s="117">
        <v>1219.97</v>
      </c>
      <c r="AT2" s="117">
        <v>0</v>
      </c>
      <c r="AU2" s="117">
        <v>2304.14</v>
      </c>
      <c r="AV2" s="117">
        <v>0</v>
      </c>
      <c r="AW2" s="117">
        <v>1877.3</v>
      </c>
      <c r="AX2" s="117">
        <v>0</v>
      </c>
      <c r="AY2" s="117">
        <v>0</v>
      </c>
      <c r="AZ2" s="117">
        <v>0</v>
      </c>
      <c r="BA2" s="117">
        <v>0</v>
      </c>
      <c r="BB2" s="117">
        <v>0</v>
      </c>
      <c r="BC2">
        <f>SUM(AQ2:BB2)</f>
        <v>5401.41</v>
      </c>
      <c r="BD2" s="117">
        <v>0</v>
      </c>
      <c r="BE2" s="117">
        <v>6279.55</v>
      </c>
      <c r="BF2" s="117">
        <v>0</v>
      </c>
      <c r="BG2" s="117">
        <v>10864.74</v>
      </c>
      <c r="BH2" s="117">
        <v>0</v>
      </c>
      <c r="BI2" s="117">
        <v>0</v>
      </c>
      <c r="BJ2" s="117">
        <v>3000</v>
      </c>
      <c r="BK2" s="117">
        <v>0</v>
      </c>
      <c r="BL2" s="117">
        <v>8000</v>
      </c>
      <c r="BM2" s="117">
        <v>2430.7399999999998</v>
      </c>
      <c r="BN2" s="117">
        <v>0</v>
      </c>
      <c r="BO2" s="117">
        <v>0</v>
      </c>
      <c r="BP2">
        <f>SUM(BD2:BO2)</f>
        <v>30575.03</v>
      </c>
      <c r="BQ2" s="117">
        <v>0</v>
      </c>
      <c r="BR2" s="117">
        <v>0</v>
      </c>
      <c r="BS2" s="117">
        <v>0</v>
      </c>
      <c r="BT2" s="117">
        <v>0</v>
      </c>
      <c r="BU2" s="117">
        <v>0</v>
      </c>
      <c r="BV2" s="117">
        <v>0</v>
      </c>
      <c r="BW2" s="117">
        <v>0</v>
      </c>
      <c r="BX2" s="117">
        <v>0</v>
      </c>
      <c r="BY2" s="117">
        <v>0</v>
      </c>
      <c r="BZ2" s="117">
        <v>0</v>
      </c>
      <c r="CA2" s="117">
        <v>0</v>
      </c>
      <c r="CB2" s="117">
        <v>0</v>
      </c>
      <c r="CC2">
        <f>SUM(BQ2:CB2)</f>
        <v>0</v>
      </c>
      <c r="CD2" s="117">
        <v>0</v>
      </c>
      <c r="CE2" s="117">
        <v>0</v>
      </c>
      <c r="CF2" s="117">
        <v>0</v>
      </c>
      <c r="CG2" s="117">
        <v>0</v>
      </c>
      <c r="CH2" s="117">
        <v>0</v>
      </c>
      <c r="CI2" s="117">
        <v>0</v>
      </c>
      <c r="CJ2" s="117">
        <v>0</v>
      </c>
      <c r="CK2" s="117">
        <v>0</v>
      </c>
      <c r="CL2" s="117">
        <v>0</v>
      </c>
      <c r="CM2" s="117">
        <v>0</v>
      </c>
      <c r="CN2" s="117">
        <v>0</v>
      </c>
      <c r="CO2" s="117">
        <v>0</v>
      </c>
      <c r="CP2">
        <f>SUM(CD2:CO2)</f>
        <v>0</v>
      </c>
    </row>
    <row r="3" spans="1:94" x14ac:dyDescent="0.2">
      <c r="A3" t="s">
        <v>618</v>
      </c>
      <c r="B3" s="469" t="s">
        <v>628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si="0"/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ref="AC3:AC12" si="1">SUM(Q3:AB3)</f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f t="shared" ref="AP3:AP11" si="2">SUM(AD3:AO3)</f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f t="shared" ref="BC3:BC11" si="3">SUM(AQ3:BB3)</f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f t="shared" ref="BP3:BP11" si="4">SUM(BD3:BO3)</f>
        <v>0</v>
      </c>
      <c r="BQ3" s="117">
        <v>0</v>
      </c>
      <c r="BR3" s="117">
        <v>6255.98</v>
      </c>
      <c r="BS3" s="117">
        <v>1172.33</v>
      </c>
      <c r="BT3" s="117">
        <v>0</v>
      </c>
      <c r="BU3" s="117">
        <v>254.94</v>
      </c>
      <c r="BV3" s="117">
        <v>77515.48</v>
      </c>
      <c r="BW3" s="117">
        <v>12847.05</v>
      </c>
      <c r="BX3" s="117">
        <v>4500</v>
      </c>
      <c r="BY3" s="117">
        <v>4385.96</v>
      </c>
      <c r="BZ3" s="117">
        <v>8501.5499999999993</v>
      </c>
      <c r="CA3" s="117">
        <v>8500</v>
      </c>
      <c r="CB3" s="117">
        <v>0</v>
      </c>
      <c r="CC3">
        <f t="shared" ref="CC3:CC13" si="5">SUM(BQ3:CB3)</f>
        <v>123933.29000000001</v>
      </c>
      <c r="CD3" s="117">
        <f>VLOOKUP("Condenação",[2]Saneamento!$A67:$CH109,CD46,0)+VLOOKUP("Penalidades/Irregularidades",[2]Saneamento!$A67:$CH109,CD46,0)</f>
        <v>0</v>
      </c>
      <c r="CE3" s="117">
        <f>VLOOKUP("Condenação",[2]Saneamento!$A67:$CH109,CE46,0)+VLOOKUP("Penalidades/Irregularidades",[2]Saneamento!$A67:$CH109,CE46,0)</f>
        <v>0</v>
      </c>
      <c r="CF3" s="117">
        <f>VLOOKUP("Condenação",[2]Saneamento!$A67:$CH109,CF46,0)+VLOOKUP("Penalidades/Irregularidades",[2]Saneamento!$A67:$CH109,CF46,0)</f>
        <v>0</v>
      </c>
      <c r="CG3" s="117">
        <f>VLOOKUP("Condenação",[2]Saneamento!$A67:$CH109,CG46,0)+VLOOKUP("Penalidades/Irregularidades",[2]Saneamento!$A67:$CH109,CG46,0)</f>
        <v>0</v>
      </c>
      <c r="CH3" s="117">
        <f>VLOOKUP("Condenação",[2]Saneamento!$A67:$CH109,CH46,0)+VLOOKUP("Penalidades/Irregularidades",[2]Saneamento!$A67:$CH109,CH46,0)</f>
        <v>0</v>
      </c>
      <c r="CI3" s="117">
        <f>VLOOKUP("Condenação",[2]Saneamento!$A67:$CH109,CI46,0)+VLOOKUP("Penalidades/Irregularidades",[2]Saneamento!$A67:$CH109,CI46,0)</f>
        <v>0</v>
      </c>
      <c r="CJ3" s="117">
        <f>VLOOKUP("Condenação",[2]Saneamento!$A67:$CH109,CJ46,0)+VLOOKUP("Penalidades/Irregularidades",[2]Saneamento!$A67:$CH109,CJ46,0)</f>
        <v>0</v>
      </c>
      <c r="CK3" s="117">
        <f>VLOOKUP("Condenação",[2]Saneamento!$A67:$CH109,CK46,0)+VLOOKUP("Penalidades/Irregularidades",[2]Saneamento!$A67:$CH109,CK46,0)</f>
        <v>0</v>
      </c>
      <c r="CL3" s="117">
        <f>VLOOKUP("Condenação",[2]Saneamento!$A67:$CH109,CL46,0)+VLOOKUP("Penalidades/Irregularidades",[2]Saneamento!$A67:$CH109,CL46,0)</f>
        <v>0</v>
      </c>
      <c r="CM3" s="117">
        <f>VLOOKUP("Condenação",[2]Saneamento!$A67:$CH109,CM46,0)+VLOOKUP("Penalidades/Irregularidades",[2]Saneamento!$A67:$CH109,CM46,0)</f>
        <v>0</v>
      </c>
      <c r="CN3" s="117">
        <f>VLOOKUP("Condenação",[2]Saneamento!$A67:$CH109,CN46,0)+VLOOKUP("Penalidades/Irregularidades",[2]Saneamento!$A67:$CH109,CN46,0)</f>
        <v>0</v>
      </c>
      <c r="CO3" s="117">
        <f>VLOOKUP("Condenação",[2]Saneamento!$A67:$CH109,CO46,0)+VLOOKUP("Penalidades/Irregularidades",[2]Saneamento!$A67:$CH109,CO46,0)</f>
        <v>0</v>
      </c>
      <c r="CP3">
        <f t="shared" ref="CP3:CP41" si="6">SUM(CD3:CO3)</f>
        <v>0</v>
      </c>
    </row>
    <row r="4" spans="1:94" x14ac:dyDescent="0.2">
      <c r="A4" t="s">
        <v>618</v>
      </c>
      <c r="B4" s="469" t="s">
        <v>629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1"/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f t="shared" si="2"/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f t="shared" si="3"/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f t="shared" si="4"/>
        <v>0</v>
      </c>
      <c r="BQ4" s="117">
        <v>0</v>
      </c>
      <c r="BR4" s="117">
        <v>0</v>
      </c>
      <c r="BS4" s="117">
        <v>0</v>
      </c>
      <c r="BT4" s="117">
        <v>0</v>
      </c>
      <c r="BU4" s="117">
        <v>0</v>
      </c>
      <c r="BV4" s="117">
        <v>0</v>
      </c>
      <c r="BW4" s="117">
        <v>0</v>
      </c>
      <c r="BX4" s="117">
        <v>0</v>
      </c>
      <c r="BY4" s="117">
        <v>0</v>
      </c>
      <c r="BZ4" s="117">
        <v>0</v>
      </c>
      <c r="CA4" s="117">
        <v>0</v>
      </c>
      <c r="CB4" s="117">
        <v>0</v>
      </c>
      <c r="CC4">
        <f t="shared" si="5"/>
        <v>0</v>
      </c>
      <c r="CD4" s="117">
        <f>VLOOKUP("Condenação",[2]Saneamento!$A501:$CH543,CD46,0)+VLOOKUP("Penalidades/Irregularidades",[2]Saneamento!$A501:$CH543,CD46,0)</f>
        <v>0</v>
      </c>
      <c r="CE4" s="117">
        <f>VLOOKUP("Condenação",[2]Saneamento!$A501:$CH543,CE46,0)+VLOOKUP("Penalidades/Irregularidades",[2]Saneamento!$A501:$CH543,CE46,0)</f>
        <v>0</v>
      </c>
      <c r="CF4" s="117">
        <f>VLOOKUP("Condenação",[2]Saneamento!$A501:$CH543,CF46,0)+VLOOKUP("Penalidades/Irregularidades",[2]Saneamento!$A501:$CH543,CF46,0)</f>
        <v>0</v>
      </c>
      <c r="CG4" s="117">
        <f>VLOOKUP("Condenação",[2]Saneamento!$A501:$CH543,CG46,0)+VLOOKUP("Penalidades/Irregularidades",[2]Saneamento!$A501:$CH543,CG46,0)</f>
        <v>0</v>
      </c>
      <c r="CH4" s="117">
        <f>VLOOKUP("Condenação",[2]Saneamento!$A501:$CH543,CH46,0)+VLOOKUP("Penalidades/Irregularidades",[2]Saneamento!$A501:$CH543,CH46,0)</f>
        <v>0</v>
      </c>
      <c r="CI4" s="117">
        <f>VLOOKUP("Condenação",[2]Saneamento!$A501:$CH543,CI46,0)+VLOOKUP("Penalidades/Irregularidades",[2]Saneamento!$A501:$CH543,CI46,0)</f>
        <v>0</v>
      </c>
      <c r="CJ4" s="117">
        <f>VLOOKUP("Condenação",[2]Saneamento!$A501:$CH543,CJ46,0)+VLOOKUP("Penalidades/Irregularidades",[2]Saneamento!$A501:$CH543,CJ46,0)</f>
        <v>0</v>
      </c>
      <c r="CK4" s="117">
        <f>VLOOKUP("Condenação",[2]Saneamento!$A501:$CH543,CK46,0)+VLOOKUP("Penalidades/Irregularidades",[2]Saneamento!$A501:$CH543,CK46,0)</f>
        <v>0</v>
      </c>
      <c r="CL4" s="117">
        <f>VLOOKUP("Condenação",[2]Saneamento!$A501:$CH543,CL46,0)+VLOOKUP("Penalidades/Irregularidades",[2]Saneamento!$A501:$CH543,CL46,0)</f>
        <v>0</v>
      </c>
      <c r="CM4" s="117">
        <f>VLOOKUP("Condenação",[2]Saneamento!$A501:$CH543,CM46,0)+VLOOKUP("Penalidades/Irregularidades",[2]Saneamento!$A501:$CH543,CM46,0)</f>
        <v>0</v>
      </c>
      <c r="CN4" s="117">
        <f>VLOOKUP("Condenação",[2]Saneamento!$A501:$CH543,CN46,0)+VLOOKUP("Penalidades/Irregularidades",[2]Saneamento!$A501:$CH543,CN46,0)</f>
        <v>0</v>
      </c>
      <c r="CO4" s="117">
        <f>VLOOKUP("Condenação",[2]Saneamento!$A501:$CH543,CO46,0)+VLOOKUP("Penalidades/Irregularidades",[2]Saneamento!$A501:$CH543,CO46,0)</f>
        <v>0</v>
      </c>
      <c r="CP4">
        <f t="shared" si="6"/>
        <v>0</v>
      </c>
    </row>
    <row r="5" spans="1:94" x14ac:dyDescent="0.2">
      <c r="A5" t="s">
        <v>618</v>
      </c>
      <c r="B5" s="469" t="s">
        <v>630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1"/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f t="shared" si="2"/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f t="shared" si="3"/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f t="shared" si="4"/>
        <v>0</v>
      </c>
      <c r="BQ5" s="117">
        <v>0</v>
      </c>
      <c r="BR5" s="117">
        <v>0</v>
      </c>
      <c r="BS5" s="117">
        <v>0</v>
      </c>
      <c r="BT5" s="117">
        <v>0</v>
      </c>
      <c r="BU5" s="117">
        <v>0</v>
      </c>
      <c r="BV5" s="117">
        <v>0</v>
      </c>
      <c r="BW5" s="117">
        <v>0</v>
      </c>
      <c r="BX5" s="117">
        <v>0</v>
      </c>
      <c r="BY5" s="117">
        <v>0</v>
      </c>
      <c r="BZ5" s="117">
        <v>0</v>
      </c>
      <c r="CA5" s="117">
        <v>0</v>
      </c>
      <c r="CB5" s="117">
        <v>0</v>
      </c>
      <c r="CC5">
        <f t="shared" si="5"/>
        <v>0</v>
      </c>
      <c r="CD5" s="117">
        <f>VLOOKUP("Condenação",[2]Saneamento!$A439:$CH481,CD46,0)+VLOOKUP("Penalidades/Irregularidades",[2]Saneamento!$A439:$CH481,CD46,0)</f>
        <v>0</v>
      </c>
      <c r="CE5" s="117">
        <f>VLOOKUP("Condenação",[2]Saneamento!$A439:$CH481,CE46,0)+VLOOKUP("Penalidades/Irregularidades",[2]Saneamento!$A439:$CH481,CE46,0)</f>
        <v>0</v>
      </c>
      <c r="CF5" s="117">
        <f>VLOOKUP("Condenação",[2]Saneamento!$A439:$CH481,CF46,0)+VLOOKUP("Penalidades/Irregularidades",[2]Saneamento!$A439:$CH481,CF46,0)</f>
        <v>0</v>
      </c>
      <c r="CG5" s="117">
        <f>VLOOKUP("Condenação",[2]Saneamento!$A439:$CH481,CG46,0)+VLOOKUP("Penalidades/Irregularidades",[2]Saneamento!$A439:$CH481,CG46,0)</f>
        <v>0</v>
      </c>
      <c r="CH5" s="117">
        <f>VLOOKUP("Condenação",[2]Saneamento!$A439:$CH481,CH46,0)+VLOOKUP("Penalidades/Irregularidades",[2]Saneamento!$A439:$CH481,CH46,0)</f>
        <v>0</v>
      </c>
      <c r="CI5" s="117">
        <f>VLOOKUP("Condenação",[2]Saneamento!$A439:$CH481,CI46,0)+VLOOKUP("Penalidades/Irregularidades",[2]Saneamento!$A439:$CH481,CI46,0)</f>
        <v>0</v>
      </c>
      <c r="CJ5" s="117">
        <f>VLOOKUP("Condenação",[2]Saneamento!$A439:$CH481,CJ46,0)+VLOOKUP("Penalidades/Irregularidades",[2]Saneamento!$A439:$CH481,CJ46,0)</f>
        <v>0</v>
      </c>
      <c r="CK5" s="117">
        <f>VLOOKUP("Condenação",[2]Saneamento!$A439:$CH481,CK46,0)+VLOOKUP("Penalidades/Irregularidades",[2]Saneamento!$A439:$CH481,CK46,0)</f>
        <v>0</v>
      </c>
      <c r="CL5" s="117">
        <f>VLOOKUP("Condenação",[2]Saneamento!$A439:$CH481,CL46,0)+VLOOKUP("Penalidades/Irregularidades",[2]Saneamento!$A439:$CH481,CL46,0)</f>
        <v>0</v>
      </c>
      <c r="CM5" s="117">
        <f>VLOOKUP("Condenação",[2]Saneamento!$A439:$CH481,CM46,0)+VLOOKUP("Penalidades/Irregularidades",[2]Saneamento!$A439:$CH481,CM46,0)</f>
        <v>0</v>
      </c>
      <c r="CN5" s="117">
        <f>VLOOKUP("Condenação",[2]Saneamento!$A439:$CH481,CN46,0)+VLOOKUP("Penalidades/Irregularidades",[2]Saneamento!$A439:$CH481,CN46,0)</f>
        <v>0</v>
      </c>
      <c r="CO5" s="117">
        <f>VLOOKUP("Condenação",[2]Saneamento!$A439:$CH481,CO46,0)+VLOOKUP("Penalidades/Irregularidades",[2]Saneamento!$A439:$CH481,CO46,0)</f>
        <v>0</v>
      </c>
      <c r="CP5">
        <f t="shared" si="6"/>
        <v>0</v>
      </c>
    </row>
    <row r="6" spans="1:94" x14ac:dyDescent="0.2">
      <c r="A6" t="s">
        <v>618</v>
      </c>
      <c r="B6" s="469" t="s">
        <v>631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1"/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f t="shared" si="2"/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f t="shared" si="3"/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f t="shared" si="4"/>
        <v>0</v>
      </c>
      <c r="BQ6" s="117">
        <v>0</v>
      </c>
      <c r="BR6" s="117">
        <v>0</v>
      </c>
      <c r="BS6" s="117">
        <v>0</v>
      </c>
      <c r="BT6" s="117">
        <v>0</v>
      </c>
      <c r="BU6" s="117">
        <v>0</v>
      </c>
      <c r="BV6" s="117">
        <v>0</v>
      </c>
      <c r="BW6" s="117">
        <v>0</v>
      </c>
      <c r="BX6" s="117">
        <v>0</v>
      </c>
      <c r="BY6" s="117">
        <v>0</v>
      </c>
      <c r="BZ6" s="117">
        <v>0</v>
      </c>
      <c r="CA6" s="117">
        <v>0</v>
      </c>
      <c r="CB6" s="117">
        <v>0</v>
      </c>
      <c r="CC6">
        <f t="shared" si="5"/>
        <v>0</v>
      </c>
      <c r="CD6" s="117">
        <f>VLOOKUP("Condenação",[2]Saneamento!$A377:$CH419,CD46,0)+VLOOKUP("Penalidades/Irregularidades",[2]Saneamento!$A377:$CH419,CD46,0)</f>
        <v>0</v>
      </c>
      <c r="CE6" s="117">
        <f>VLOOKUP("Condenação",[2]Saneamento!$A377:$CH419,CE46,0)+VLOOKUP("Penalidades/Irregularidades",[2]Saneamento!$A377:$CH419,CE46,0)</f>
        <v>0</v>
      </c>
      <c r="CF6" s="117">
        <f>VLOOKUP("Condenação",[2]Saneamento!$A377:$CH419,CF46,0)+VLOOKUP("Penalidades/Irregularidades",[2]Saneamento!$A377:$CH419,CF46,0)</f>
        <v>0</v>
      </c>
      <c r="CG6" s="117">
        <f>VLOOKUP("Condenação",[2]Saneamento!$A377:$CH419,CG46,0)+VLOOKUP("Penalidades/Irregularidades",[2]Saneamento!$A377:$CH419,CG46,0)</f>
        <v>0</v>
      </c>
      <c r="CH6" s="117">
        <f>VLOOKUP("Condenação",[2]Saneamento!$A377:$CH419,CH46,0)+VLOOKUP("Penalidades/Irregularidades",[2]Saneamento!$A377:$CH419,CH46,0)</f>
        <v>0</v>
      </c>
      <c r="CI6" s="117">
        <f>VLOOKUP("Condenação",[2]Saneamento!$A377:$CH419,CI46,0)+VLOOKUP("Penalidades/Irregularidades",[2]Saneamento!$A377:$CH419,CI46,0)</f>
        <v>0</v>
      </c>
      <c r="CJ6" s="117">
        <f>VLOOKUP("Condenação",[2]Saneamento!$A377:$CH419,CJ46,0)+VLOOKUP("Penalidades/Irregularidades",[2]Saneamento!$A377:$CH419,CJ46,0)</f>
        <v>0</v>
      </c>
      <c r="CK6" s="117">
        <f>VLOOKUP("Condenação",[2]Saneamento!$A377:$CH419,CK46,0)+VLOOKUP("Penalidades/Irregularidades",[2]Saneamento!$A377:$CH419,CK46,0)</f>
        <v>0</v>
      </c>
      <c r="CL6" s="117">
        <f>VLOOKUP("Condenação",[2]Saneamento!$A377:$CH419,CL46,0)+VLOOKUP("Penalidades/Irregularidades",[2]Saneamento!$A377:$CH419,CL46,0)</f>
        <v>0</v>
      </c>
      <c r="CM6" s="117">
        <f>VLOOKUP("Condenação",[2]Saneamento!$A377:$CH419,CM46,0)+VLOOKUP("Penalidades/Irregularidades",[2]Saneamento!$A377:$CH419,CM46,0)</f>
        <v>0</v>
      </c>
      <c r="CN6" s="117">
        <f>VLOOKUP("Condenação",[2]Saneamento!$A377:$CH419,CN46,0)+VLOOKUP("Penalidades/Irregularidades",[2]Saneamento!$A377:$CH419,CN46,0)</f>
        <v>0</v>
      </c>
      <c r="CO6" s="117">
        <f>VLOOKUP("Condenação",[2]Saneamento!$A377:$CH419,CO46,0)+VLOOKUP("Penalidades/Irregularidades",[2]Saneamento!$A377:$CH419,CO46,0)</f>
        <v>0</v>
      </c>
      <c r="CP6">
        <f t="shared" si="6"/>
        <v>0</v>
      </c>
    </row>
    <row r="7" spans="1:94" x14ac:dyDescent="0.2">
      <c r="A7" t="s">
        <v>618</v>
      </c>
      <c r="B7" s="469" t="s">
        <v>632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1"/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f t="shared" si="2"/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f t="shared" si="3"/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f t="shared" si="4"/>
        <v>0</v>
      </c>
      <c r="BQ7" s="117">
        <v>0</v>
      </c>
      <c r="BR7" s="117">
        <v>0</v>
      </c>
      <c r="BS7" s="117">
        <v>0</v>
      </c>
      <c r="BT7" s="117">
        <v>0</v>
      </c>
      <c r="BU7" s="117">
        <v>0</v>
      </c>
      <c r="BV7" s="117">
        <v>0</v>
      </c>
      <c r="BW7" s="117">
        <v>0</v>
      </c>
      <c r="BX7" s="117">
        <v>0</v>
      </c>
      <c r="BY7" s="117">
        <v>0</v>
      </c>
      <c r="BZ7" s="117">
        <v>259.08</v>
      </c>
      <c r="CA7" s="117">
        <v>0</v>
      </c>
      <c r="CB7" s="117">
        <v>0</v>
      </c>
      <c r="CC7">
        <f t="shared" si="5"/>
        <v>259.08</v>
      </c>
      <c r="CD7" s="117">
        <f>VLOOKUP("Condenação",[2]Saneamento!$A129:$CH171,CD46,0)+VLOOKUP("Penalidades/Irregularidades",[2]Saneamento!$A129:$CH171,CD46,0)</f>
        <v>0</v>
      </c>
      <c r="CE7" s="117">
        <f>VLOOKUP("Condenação",[2]Saneamento!$A129:$CH171,CE46,0)+VLOOKUP("Penalidades/Irregularidades",[2]Saneamento!$A129:$CH171,CE46,0)</f>
        <v>0</v>
      </c>
      <c r="CF7" s="117">
        <f>VLOOKUP("Condenação",[2]Saneamento!$A129:$CH171,CF46,0)+VLOOKUP("Penalidades/Irregularidades",[2]Saneamento!$A129:$CH171,CF46,0)</f>
        <v>0</v>
      </c>
      <c r="CG7" s="117">
        <f>VLOOKUP("Condenação",[2]Saneamento!$A129:$CH171,CG46,0)+VLOOKUP("Penalidades/Irregularidades",[2]Saneamento!$A129:$CH171,CG46,0)</f>
        <v>0</v>
      </c>
      <c r="CH7" s="117">
        <f>VLOOKUP("Condenação",[2]Saneamento!$A129:$CH171,CH46,0)+VLOOKUP("Penalidades/Irregularidades",[2]Saneamento!$A129:$CH171,CH46,0)</f>
        <v>0</v>
      </c>
      <c r="CI7" s="117">
        <f>VLOOKUP("Condenação",[2]Saneamento!$A129:$CH171,CI46,0)+VLOOKUP("Penalidades/Irregularidades",[2]Saneamento!$A129:$CH171,CI46,0)</f>
        <v>0</v>
      </c>
      <c r="CJ7" s="117">
        <f>VLOOKUP("Condenação",[2]Saneamento!$A129:$CH171,CJ46,0)+VLOOKUP("Penalidades/Irregularidades",[2]Saneamento!$A129:$CH171,CJ46,0)</f>
        <v>0</v>
      </c>
      <c r="CK7" s="117">
        <f>VLOOKUP("Condenação",[2]Saneamento!$A129:$CH171,CK46,0)+VLOOKUP("Penalidades/Irregularidades",[2]Saneamento!$A129:$CH171,CK46,0)</f>
        <v>0</v>
      </c>
      <c r="CL7" s="117">
        <f>VLOOKUP("Condenação",[2]Saneamento!$A129:$CH171,CL46,0)+VLOOKUP("Penalidades/Irregularidades",[2]Saneamento!$A129:$CH171,CL46,0)</f>
        <v>0</v>
      </c>
      <c r="CM7" s="117">
        <f>VLOOKUP("Condenação",[2]Saneamento!$A129:$CH171,CM46,0)+VLOOKUP("Penalidades/Irregularidades",[2]Saneamento!$A129:$CH171,CM46,0)</f>
        <v>0</v>
      </c>
      <c r="CN7" s="117">
        <f>VLOOKUP("Condenação",[2]Saneamento!$A129:$CH171,CN46,0)+VLOOKUP("Penalidades/Irregularidades",[2]Saneamento!$A129:$CH171,CN46,0)</f>
        <v>0</v>
      </c>
      <c r="CO7" s="117">
        <f>VLOOKUP("Condenação",[2]Saneamento!$A129:$CH171,CO46,0)+VLOOKUP("Penalidades/Irregularidades",[2]Saneamento!$A129:$CH171,CO46,0)</f>
        <v>0</v>
      </c>
      <c r="CP7">
        <f t="shared" si="6"/>
        <v>0</v>
      </c>
    </row>
    <row r="8" spans="1:94" x14ac:dyDescent="0.2">
      <c r="A8" t="s">
        <v>618</v>
      </c>
      <c r="B8" s="469" t="s">
        <v>633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1"/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f t="shared" si="2"/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f t="shared" si="3"/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f t="shared" si="4"/>
        <v>0</v>
      </c>
      <c r="BQ8" s="117">
        <v>0</v>
      </c>
      <c r="BR8" s="117">
        <v>0</v>
      </c>
      <c r="BS8" s="117">
        <v>0</v>
      </c>
      <c r="BT8" s="117">
        <v>0</v>
      </c>
      <c r="BU8" s="117">
        <v>0</v>
      </c>
      <c r="BV8" s="117">
        <v>0</v>
      </c>
      <c r="BW8" s="117">
        <v>0</v>
      </c>
      <c r="BX8" s="117">
        <v>0</v>
      </c>
      <c r="BY8" s="117">
        <v>0</v>
      </c>
      <c r="BZ8" s="117">
        <v>0</v>
      </c>
      <c r="CA8" s="117">
        <v>0</v>
      </c>
      <c r="CB8" s="117">
        <v>0</v>
      </c>
      <c r="CC8">
        <f t="shared" si="5"/>
        <v>0</v>
      </c>
      <c r="CD8" s="117">
        <f>VLOOKUP("Condenação",[2]Saneamento!$A253:$CH295,CD46,0)+VLOOKUP("Penalidades/Irregularidades",[2]Saneamento!$A253:$CH295,CD46,0)</f>
        <v>0</v>
      </c>
      <c r="CE8" s="117">
        <f>VLOOKUP("Condenação",[2]Saneamento!$A253:$CH295,CE46,0)+VLOOKUP("Penalidades/Irregularidades",[2]Saneamento!$A253:$CH295,CE46,0)</f>
        <v>0</v>
      </c>
      <c r="CF8" s="117">
        <f>VLOOKUP("Condenação",[2]Saneamento!$A253:$CH295,CF46,0)+VLOOKUP("Penalidades/Irregularidades",[2]Saneamento!$A253:$CH295,CF46,0)</f>
        <v>0</v>
      </c>
      <c r="CG8" s="117">
        <f>VLOOKUP("Condenação",[2]Saneamento!$A253:$CH295,CG46,0)+VLOOKUP("Penalidades/Irregularidades",[2]Saneamento!$A253:$CH295,CG46,0)</f>
        <v>0</v>
      </c>
      <c r="CH8" s="117">
        <f>VLOOKUP("Condenação",[2]Saneamento!$A253:$CH295,CH46,0)+VLOOKUP("Penalidades/Irregularidades",[2]Saneamento!$A253:$CH295,CH46,0)</f>
        <v>0</v>
      </c>
      <c r="CI8" s="117">
        <f>VLOOKUP("Condenação",[2]Saneamento!$A253:$CH295,CI46,0)+VLOOKUP("Penalidades/Irregularidades",[2]Saneamento!$A253:$CH295,CI46,0)</f>
        <v>0</v>
      </c>
      <c r="CJ8" s="117">
        <f>VLOOKUP("Condenação",[2]Saneamento!$A253:$CH295,CJ46,0)+VLOOKUP("Penalidades/Irregularidades",[2]Saneamento!$A253:$CH295,CJ46,0)</f>
        <v>0</v>
      </c>
      <c r="CK8" s="117">
        <f>VLOOKUP("Condenação",[2]Saneamento!$A253:$CH295,CK46,0)+VLOOKUP("Penalidades/Irregularidades",[2]Saneamento!$A253:$CH295,CK46,0)</f>
        <v>0</v>
      </c>
      <c r="CL8" s="117">
        <f>VLOOKUP("Condenação",[2]Saneamento!$A253:$CH295,CL46,0)+VLOOKUP("Penalidades/Irregularidades",[2]Saneamento!$A253:$CH295,CL46,0)</f>
        <v>0</v>
      </c>
      <c r="CM8" s="117">
        <f>VLOOKUP("Condenação",[2]Saneamento!$A253:$CH295,CM46,0)+VLOOKUP("Penalidades/Irregularidades",[2]Saneamento!$A253:$CH295,CM46,0)</f>
        <v>0</v>
      </c>
      <c r="CN8" s="117">
        <f>VLOOKUP("Condenação",[2]Saneamento!$A253:$CH295,CN46,0)+VLOOKUP("Penalidades/Irregularidades",[2]Saneamento!$A253:$CH295,CN46,0)</f>
        <v>0</v>
      </c>
      <c r="CO8" s="117">
        <f>VLOOKUP("Condenação",[2]Saneamento!$A253:$CH295,CO46,0)+VLOOKUP("Penalidades/Irregularidades",[2]Saneamento!$A253:$CH295,CO46,0)</f>
        <v>0</v>
      </c>
      <c r="CP8">
        <f t="shared" si="6"/>
        <v>0</v>
      </c>
    </row>
    <row r="9" spans="1:94" x14ac:dyDescent="0.2">
      <c r="A9" t="s">
        <v>618</v>
      </c>
      <c r="B9" s="469" t="s">
        <v>634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1"/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f t="shared" si="2"/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f t="shared" si="3"/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f t="shared" si="4"/>
        <v>0</v>
      </c>
      <c r="BQ9" s="117">
        <v>0</v>
      </c>
      <c r="BR9" s="117">
        <v>0</v>
      </c>
      <c r="BS9" s="117">
        <v>0</v>
      </c>
      <c r="BT9" s="117">
        <v>0</v>
      </c>
      <c r="BU9" s="117">
        <v>0</v>
      </c>
      <c r="BV9" s="117">
        <v>0</v>
      </c>
      <c r="BW9" s="117">
        <v>0</v>
      </c>
      <c r="BX9" s="117">
        <v>0</v>
      </c>
      <c r="BY9" s="117">
        <v>0</v>
      </c>
      <c r="BZ9" s="117">
        <v>0</v>
      </c>
      <c r="CA9" s="117">
        <v>16020.4</v>
      </c>
      <c r="CB9" s="117">
        <v>0</v>
      </c>
      <c r="CC9">
        <f t="shared" si="5"/>
        <v>16020.4</v>
      </c>
      <c r="CD9" s="117">
        <f>VLOOKUP("Condenação",[2]Saneamento!$A563:$CH605,CD46,0)+VLOOKUP("Penalidades/Irregularidades",[2]Saneamento!$A563:$CH605,CD46,0)</f>
        <v>0</v>
      </c>
      <c r="CE9" s="117">
        <f>VLOOKUP("Condenação",[2]Saneamento!$A563:$CH605,CE46,0)+VLOOKUP("Penalidades/Irregularidades",[2]Saneamento!$A563:$CH605,CE46,0)</f>
        <v>0</v>
      </c>
      <c r="CF9" s="117">
        <f>VLOOKUP("Condenação",[2]Saneamento!$A563:$CH605,CF46,0)+VLOOKUP("Penalidades/Irregularidades",[2]Saneamento!$A563:$CH605,CF46,0)</f>
        <v>0</v>
      </c>
      <c r="CG9" s="117">
        <f>VLOOKUP("Condenação",[2]Saneamento!$A563:$CH605,CG46,0)+VLOOKUP("Penalidades/Irregularidades",[2]Saneamento!$A563:$CH605,CG46,0)</f>
        <v>0</v>
      </c>
      <c r="CH9" s="117">
        <f>VLOOKUP("Condenação",[2]Saneamento!$A563:$CH605,CH46,0)+VLOOKUP("Penalidades/Irregularidades",[2]Saneamento!$A563:$CH605,CH46,0)</f>
        <v>0</v>
      </c>
      <c r="CI9" s="117">
        <f>VLOOKUP("Condenação",[2]Saneamento!$A563:$CH605,CI46,0)+VLOOKUP("Penalidades/Irregularidades",[2]Saneamento!$A563:$CH605,CI46,0)</f>
        <v>0</v>
      </c>
      <c r="CJ9" s="117">
        <f>VLOOKUP("Condenação",[2]Saneamento!$A563:$CH605,CJ46,0)+VLOOKUP("Penalidades/Irregularidades",[2]Saneamento!$A563:$CH605,CJ46,0)</f>
        <v>0</v>
      </c>
      <c r="CK9" s="117">
        <f>VLOOKUP("Condenação",[2]Saneamento!$A563:$CH605,CK46,0)+VLOOKUP("Penalidades/Irregularidades",[2]Saneamento!$A563:$CH605,CK46,0)</f>
        <v>0</v>
      </c>
      <c r="CL9" s="117">
        <f>VLOOKUP("Condenação",[2]Saneamento!$A563:$CH605,CL46,0)+VLOOKUP("Penalidades/Irregularidades",[2]Saneamento!$A563:$CH605,CL46,0)</f>
        <v>0</v>
      </c>
      <c r="CM9" s="117">
        <f>VLOOKUP("Condenação",[2]Saneamento!$A563:$CH605,CM46,0)+VLOOKUP("Penalidades/Irregularidades",[2]Saneamento!$A563:$CH605,CM46,0)</f>
        <v>0</v>
      </c>
      <c r="CN9" s="117">
        <f>VLOOKUP("Condenação",[2]Saneamento!$A563:$CH605,CN46,0)+VLOOKUP("Penalidades/Irregularidades",[2]Saneamento!$A563:$CH605,CN46,0)</f>
        <v>0</v>
      </c>
      <c r="CO9" s="117">
        <f>VLOOKUP("Condenação",[2]Saneamento!$A563:$CH605,CO46,0)+VLOOKUP("Penalidades/Irregularidades",[2]Saneamento!$A563:$CH605,CO46,0)</f>
        <v>0</v>
      </c>
      <c r="CP9">
        <f t="shared" si="6"/>
        <v>0</v>
      </c>
    </row>
    <row r="10" spans="1:94" x14ac:dyDescent="0.2">
      <c r="A10" t="s">
        <v>618</v>
      </c>
      <c r="B10" s="469" t="s">
        <v>635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f t="shared" si="1"/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f t="shared" si="2"/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f t="shared" si="3"/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f t="shared" si="4"/>
        <v>0</v>
      </c>
      <c r="BQ10" s="117">
        <v>0</v>
      </c>
      <c r="BR10" s="117">
        <v>0</v>
      </c>
      <c r="BS10" s="117">
        <v>0</v>
      </c>
      <c r="BT10" s="117">
        <v>0</v>
      </c>
      <c r="BU10" s="117">
        <v>0</v>
      </c>
      <c r="BV10" s="117">
        <v>0</v>
      </c>
      <c r="BW10" s="117">
        <v>0</v>
      </c>
      <c r="BX10" s="117">
        <v>0</v>
      </c>
      <c r="BY10" s="117">
        <v>0</v>
      </c>
      <c r="BZ10" s="117">
        <v>0</v>
      </c>
      <c r="CA10" s="117">
        <v>0</v>
      </c>
      <c r="CB10" s="117">
        <v>0</v>
      </c>
      <c r="CC10">
        <f t="shared" si="5"/>
        <v>0</v>
      </c>
      <c r="CD10" s="117">
        <f>VLOOKUP("Condenação",[2]Saneamento!$A191:$CH233,CD46,0)+VLOOKUP("Penalidades/Irregularidades",[2]Saneamento!$A191:$CH233,CD46,0)</f>
        <v>0</v>
      </c>
      <c r="CE10" s="117">
        <f>VLOOKUP("Condenação",[2]Saneamento!$A191:$CH233,CE46,0)+VLOOKUP("Penalidades/Irregularidades",[2]Saneamento!$A191:$CH233,CE46,0)</f>
        <v>0</v>
      </c>
      <c r="CF10" s="117">
        <f>VLOOKUP("Condenação",[2]Saneamento!$A191:$CH233,CF46,0)+VLOOKUP("Penalidades/Irregularidades",[2]Saneamento!$A191:$CH233,CF46,0)</f>
        <v>0</v>
      </c>
      <c r="CG10" s="117">
        <f>VLOOKUP("Condenação",[2]Saneamento!$A191:$CH233,CG46,0)+VLOOKUP("Penalidades/Irregularidades",[2]Saneamento!$A191:$CH233,CG46,0)</f>
        <v>0</v>
      </c>
      <c r="CH10" s="117">
        <f>VLOOKUP("Condenação",[2]Saneamento!$A191:$CH233,CH46,0)+VLOOKUP("Penalidades/Irregularidades",[2]Saneamento!$A191:$CH233,CH46,0)</f>
        <v>0</v>
      </c>
      <c r="CI10" s="117">
        <f>VLOOKUP("Condenação",[2]Saneamento!$A191:$CH233,CI46,0)+VLOOKUP("Penalidades/Irregularidades",[2]Saneamento!$A191:$CH233,CI46,0)</f>
        <v>0</v>
      </c>
      <c r="CJ10" s="117">
        <f>VLOOKUP("Condenação",[2]Saneamento!$A191:$CH233,CJ46,0)+VLOOKUP("Penalidades/Irregularidades",[2]Saneamento!$A191:$CH233,CJ46,0)</f>
        <v>0</v>
      </c>
      <c r="CK10" s="117">
        <f>VLOOKUP("Condenação",[2]Saneamento!$A191:$CH233,CK46,0)+VLOOKUP("Penalidades/Irregularidades",[2]Saneamento!$A191:$CH233,CK46,0)</f>
        <v>0</v>
      </c>
      <c r="CL10" s="117">
        <f>VLOOKUP("Condenação",[2]Saneamento!$A191:$CH233,CL46,0)+VLOOKUP("Penalidades/Irregularidades",[2]Saneamento!$A191:$CH233,CL46,0)</f>
        <v>0</v>
      </c>
      <c r="CM10" s="117">
        <f>VLOOKUP("Condenação",[2]Saneamento!$A191:$CH233,CM46,0)+VLOOKUP("Penalidades/Irregularidades",[2]Saneamento!$A191:$CH233,CM46,0)</f>
        <v>0</v>
      </c>
      <c r="CN10" s="117">
        <f>VLOOKUP("Condenação",[2]Saneamento!$A191:$CH233,CN46,0)+VLOOKUP("Penalidades/Irregularidades",[2]Saneamento!$A191:$CH233,CN46,0)</f>
        <v>0</v>
      </c>
      <c r="CO10" s="117">
        <f>VLOOKUP("Condenação",[2]Saneamento!$A191:$CH233,CO46,0)+VLOOKUP("Penalidades/Irregularidades",[2]Saneamento!$A191:$CH233,CO46,0)</f>
        <v>0</v>
      </c>
      <c r="CP10">
        <f t="shared" si="6"/>
        <v>0</v>
      </c>
    </row>
    <row r="11" spans="1:94" x14ac:dyDescent="0.2">
      <c r="A11" t="s">
        <v>618</v>
      </c>
      <c r="B11" s="469" t="s">
        <v>636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1"/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f t="shared" si="2"/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f t="shared" si="3"/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f t="shared" si="4"/>
        <v>0</v>
      </c>
      <c r="BQ11" s="117">
        <v>0</v>
      </c>
      <c r="BR11" s="117">
        <v>0</v>
      </c>
      <c r="BS11" s="117">
        <v>0</v>
      </c>
      <c r="BT11" s="117">
        <v>0</v>
      </c>
      <c r="BU11" s="117">
        <v>0</v>
      </c>
      <c r="BV11" s="117">
        <v>0</v>
      </c>
      <c r="BW11" s="117">
        <v>0</v>
      </c>
      <c r="BX11" s="117">
        <v>0</v>
      </c>
      <c r="BY11" s="117">
        <v>0</v>
      </c>
      <c r="BZ11" s="117">
        <v>0</v>
      </c>
      <c r="CA11" s="117">
        <v>0</v>
      </c>
      <c r="CB11" s="117">
        <v>0</v>
      </c>
      <c r="CC11">
        <f t="shared" si="5"/>
        <v>0</v>
      </c>
      <c r="CD11" s="117">
        <f>VLOOKUP("Condenação",[2]Saneamento!$A315:$CH357,CD46,0)+VLOOKUP("Penalidades/Irregularidades",[2]Saneamento!$A315:$CH357,CD46,0)</f>
        <v>0</v>
      </c>
      <c r="CE11" s="117">
        <f>VLOOKUP("Condenação",[2]Saneamento!$A315:$CH357,CE46,0)+VLOOKUP("Penalidades/Irregularidades",[2]Saneamento!$A315:$CH357,CE46,0)</f>
        <v>0</v>
      </c>
      <c r="CF11" s="117">
        <f>VLOOKUP("Condenação",[2]Saneamento!$A315:$CH357,CF46,0)+VLOOKUP("Penalidades/Irregularidades",[2]Saneamento!$A315:$CH357,CF46,0)</f>
        <v>0</v>
      </c>
      <c r="CG11" s="117">
        <f>VLOOKUP("Condenação",[2]Saneamento!$A315:$CH357,CG46,0)+VLOOKUP("Penalidades/Irregularidades",[2]Saneamento!$A315:$CH357,CG46,0)</f>
        <v>0</v>
      </c>
      <c r="CH11" s="117">
        <f>VLOOKUP("Condenação",[2]Saneamento!$A315:$CH357,CH46,0)+VLOOKUP("Penalidades/Irregularidades",[2]Saneamento!$A315:$CH357,CH46,0)</f>
        <v>0</v>
      </c>
      <c r="CI11" s="117">
        <f>VLOOKUP("Condenação",[2]Saneamento!$A315:$CH357,CI46,0)+VLOOKUP("Penalidades/Irregularidades",[2]Saneamento!$A315:$CH357,CI46,0)</f>
        <v>0</v>
      </c>
      <c r="CJ11" s="117">
        <f>VLOOKUP("Condenação",[2]Saneamento!$A315:$CH357,CJ46,0)+VLOOKUP("Penalidades/Irregularidades",[2]Saneamento!$A315:$CH357,CJ46,0)</f>
        <v>0</v>
      </c>
      <c r="CK11" s="117">
        <f>VLOOKUP("Condenação",[2]Saneamento!$A315:$CH357,CK46,0)+VLOOKUP("Penalidades/Irregularidades",[2]Saneamento!$A315:$CH357,CK46,0)</f>
        <v>0</v>
      </c>
      <c r="CL11" s="117">
        <f>VLOOKUP("Condenação",[2]Saneamento!$A315:$CH357,CL46,0)+VLOOKUP("Penalidades/Irregularidades",[2]Saneamento!$A315:$CH357,CL46,0)</f>
        <v>0</v>
      </c>
      <c r="CM11" s="117">
        <f>VLOOKUP("Condenação",[2]Saneamento!$A315:$CH357,CM46,0)+VLOOKUP("Penalidades/Irregularidades",[2]Saneamento!$A315:$CH357,CM46,0)</f>
        <v>0</v>
      </c>
      <c r="CN11" s="117">
        <f>VLOOKUP("Condenação",[2]Saneamento!$A315:$CH357,CN46,0)+VLOOKUP("Penalidades/Irregularidades",[2]Saneamento!$A315:$CH357,CN46,0)</f>
        <v>0</v>
      </c>
      <c r="CO11" s="117">
        <f>VLOOKUP("Condenação",[2]Saneamento!$A315:$CH357,CO46,0)+VLOOKUP("Penalidades/Irregularidades",[2]Saneamento!$A315:$CH357,CO46,0)</f>
        <v>0</v>
      </c>
      <c r="CP11">
        <f t="shared" si="6"/>
        <v>0</v>
      </c>
    </row>
    <row r="12" spans="1:94" x14ac:dyDescent="0.2">
      <c r="A12" s="408" t="s">
        <v>416</v>
      </c>
      <c r="B12" s="408" t="s">
        <v>416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s="42">
        <v>0</v>
      </c>
      <c r="Y12">
        <v>0</v>
      </c>
      <c r="Z12">
        <v>0</v>
      </c>
      <c r="AA12">
        <v>0</v>
      </c>
      <c r="AB12">
        <v>0</v>
      </c>
      <c r="AC12">
        <f t="shared" si="1"/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9764.59</v>
      </c>
      <c r="AJ12">
        <v>0</v>
      </c>
      <c r="AK12">
        <v>0</v>
      </c>
      <c r="AL12">
        <v>5021.9800000000005</v>
      </c>
      <c r="AM12">
        <v>0</v>
      </c>
      <c r="AN12">
        <v>0</v>
      </c>
      <c r="AO12">
        <v>0</v>
      </c>
      <c r="AP12">
        <f t="shared" ref="AP12:AP41" si="7">SUM(AD12:AO12)</f>
        <v>14786.57</v>
      </c>
      <c r="AQ12" s="117">
        <v>0</v>
      </c>
      <c r="AR12" s="117">
        <v>0</v>
      </c>
      <c r="AS12" s="117">
        <v>0</v>
      </c>
      <c r="AT12" s="117">
        <v>0</v>
      </c>
      <c r="AU12" s="117">
        <v>0</v>
      </c>
      <c r="AV12" s="117">
        <v>0</v>
      </c>
      <c r="AW12" s="117">
        <v>0</v>
      </c>
      <c r="AX12" s="117">
        <v>0</v>
      </c>
      <c r="AY12" s="117">
        <v>0</v>
      </c>
      <c r="AZ12" s="117">
        <v>0</v>
      </c>
      <c r="BA12" s="117">
        <v>0</v>
      </c>
      <c r="BB12" s="117">
        <v>0</v>
      </c>
      <c r="BC12">
        <f t="shared" ref="BC12:BC41" si="8">SUM(AQ12:BB12)</f>
        <v>0</v>
      </c>
      <c r="BD12" s="117">
        <v>0</v>
      </c>
      <c r="BE12" s="117">
        <v>0</v>
      </c>
      <c r="BF12" s="117">
        <v>0</v>
      </c>
      <c r="BG12" s="117">
        <v>0</v>
      </c>
      <c r="BH12" s="117">
        <v>0</v>
      </c>
      <c r="BI12" s="117">
        <v>0</v>
      </c>
      <c r="BJ12" s="117">
        <v>0</v>
      </c>
      <c r="BK12" s="117">
        <v>0</v>
      </c>
      <c r="BL12" s="117">
        <v>0</v>
      </c>
      <c r="BM12" s="117">
        <v>20861.13</v>
      </c>
      <c r="BN12" s="117">
        <v>864.1</v>
      </c>
      <c r="BO12" s="117">
        <v>841.11</v>
      </c>
      <c r="BP12">
        <f t="shared" ref="BP12:BP41" si="9">SUM(BD12:BO12)</f>
        <v>22566.34</v>
      </c>
      <c r="BQ12" s="117">
        <v>7756.08</v>
      </c>
      <c r="BR12" s="117">
        <v>16889.71</v>
      </c>
      <c r="BS12" s="117">
        <v>362.85</v>
      </c>
      <c r="BT12" s="117">
        <v>1187.04</v>
      </c>
      <c r="BU12" s="117">
        <v>0</v>
      </c>
      <c r="BV12" s="117">
        <v>210.25</v>
      </c>
      <c r="BW12" s="117">
        <v>0</v>
      </c>
      <c r="BX12" s="117">
        <v>2036.12</v>
      </c>
      <c r="BY12" s="117">
        <v>0</v>
      </c>
      <c r="BZ12" s="117">
        <v>0</v>
      </c>
      <c r="CA12" s="117">
        <v>1341.73</v>
      </c>
      <c r="CB12" s="117">
        <v>2417</v>
      </c>
      <c r="CC12">
        <f t="shared" si="5"/>
        <v>32200.78</v>
      </c>
      <c r="CD12" s="117">
        <f>VLOOKUP("Condenação",[2]Bradesco!$A$11:$CH$80,CD46,0)+VLOOKUP("Penalidades/Irregularidades",[2]Bradesco!$A$11:$CH$80,CD46,0)</f>
        <v>2195.83</v>
      </c>
      <c r="CE12" s="117">
        <f>VLOOKUP("Condenação",[2]Bradesco!$A$11:$CH$80,CE46,0)+VLOOKUP("Penalidades/Irregularidades",[2]Bradesco!$A$11:$CH$80,CE46,0)</f>
        <v>0</v>
      </c>
      <c r="CF12" s="117">
        <f>VLOOKUP("Condenação",[2]Bradesco!$A$11:$CH$80,CF46,0)+VLOOKUP("Penalidades/Irregularidades",[2]Bradesco!$A$11:$CH$80,CF46,0)</f>
        <v>0</v>
      </c>
      <c r="CG12" s="117">
        <f>VLOOKUP("Condenação",[2]Bradesco!$A$11:$CH$80,CG46,0)+VLOOKUP("Penalidades/Irregularidades",[2]Bradesco!$A$11:$CH$80,CG46,0)</f>
        <v>0</v>
      </c>
      <c r="CH12" s="117">
        <f>VLOOKUP("Condenação",[2]Bradesco!$A$11:$CH$80,CH46,0)+VLOOKUP("Penalidades/Irregularidades",[2]Bradesco!$A$11:$CH$80,CH46,0)</f>
        <v>0</v>
      </c>
      <c r="CI12" s="117">
        <f>VLOOKUP("Condenação",[2]Bradesco!$A$11:$CH$80,CI46,0)+VLOOKUP("Penalidades/Irregularidades",[2]Bradesco!$A$11:$CH$80,CI46,0)</f>
        <v>0</v>
      </c>
      <c r="CJ12" s="117">
        <f>VLOOKUP("Condenação",[2]Bradesco!$A$11:$CH$80,CJ46,0)+VLOOKUP("Penalidades/Irregularidades",[2]Bradesco!$A$11:$CH$80,CJ46,0)</f>
        <v>0</v>
      </c>
      <c r="CK12" s="117">
        <f>VLOOKUP("Condenação",[2]Bradesco!$A$11:$CH$80,CK46,0)+VLOOKUP("Penalidades/Irregularidades",[2]Bradesco!$A$11:$CH$80,CK46,0)</f>
        <v>0</v>
      </c>
      <c r="CL12" s="117">
        <f>VLOOKUP("Condenação",[2]Bradesco!$A$11:$CH$80,CL46,0)+VLOOKUP("Penalidades/Irregularidades",[2]Bradesco!$A$11:$CH$80,CL46,0)</f>
        <v>0</v>
      </c>
      <c r="CM12" s="117">
        <f>VLOOKUP("Condenação",[2]Bradesco!$A$11:$CH$80,CM46,0)+VLOOKUP("Penalidades/Irregularidades",[2]Bradesco!$A$11:$CH$80,CM46,0)</f>
        <v>0</v>
      </c>
      <c r="CN12" s="117">
        <f>VLOOKUP("Condenação",[2]Bradesco!$A$11:$CH$80,CN46,0)+VLOOKUP("Penalidades/Irregularidades",[2]Bradesco!$A$11:$CH$80,CN46,0)</f>
        <v>0</v>
      </c>
      <c r="CO12" s="117">
        <f>VLOOKUP("Condenação",[2]Bradesco!$A$11:$CH$80,CO46,0)+VLOOKUP("Penalidades/Irregularidades",[2]Bradesco!$A$11:$CH$80,CO46,0)</f>
        <v>0</v>
      </c>
      <c r="CP12">
        <f t="shared" si="6"/>
        <v>2195.83</v>
      </c>
    </row>
    <row r="13" spans="1:94" x14ac:dyDescent="0.2">
      <c r="A13" s="409" t="s">
        <v>67</v>
      </c>
      <c r="B13" s="409" t="s">
        <v>67</v>
      </c>
      <c r="C13">
        <v>8798.3799999999992</v>
      </c>
      <c r="D13">
        <v>0</v>
      </c>
      <c r="E13">
        <v>6874.78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6874.78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37">
        <v>513.4</v>
      </c>
      <c r="X13" s="42">
        <v>0</v>
      </c>
      <c r="Y13">
        <v>0</v>
      </c>
      <c r="Z13">
        <v>0</v>
      </c>
      <c r="AA13">
        <v>0</v>
      </c>
      <c r="AB13">
        <v>0</v>
      </c>
      <c r="AC13">
        <f t="shared" ref="AC13:AC41" si="10">SUM(Q13:AB13)</f>
        <v>513.4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1937.5</v>
      </c>
      <c r="AL13">
        <v>0</v>
      </c>
      <c r="AM13">
        <v>0</v>
      </c>
      <c r="AN13">
        <v>0</v>
      </c>
      <c r="AO13">
        <v>0</v>
      </c>
      <c r="AP13">
        <f t="shared" si="7"/>
        <v>1937.5</v>
      </c>
      <c r="AQ13" s="117">
        <v>0</v>
      </c>
      <c r="AR13" s="117">
        <v>0</v>
      </c>
      <c r="AS13" s="117">
        <v>0</v>
      </c>
      <c r="AT13" s="117">
        <v>0</v>
      </c>
      <c r="AU13" s="117">
        <v>0</v>
      </c>
      <c r="AV13" s="117">
        <v>9500</v>
      </c>
      <c r="AW13" s="117">
        <v>0</v>
      </c>
      <c r="AX13" s="117">
        <v>0</v>
      </c>
      <c r="AY13" s="117">
        <v>1665.88</v>
      </c>
      <c r="AZ13" s="117">
        <v>0</v>
      </c>
      <c r="BA13" s="117">
        <v>0</v>
      </c>
      <c r="BB13" s="117">
        <v>0</v>
      </c>
      <c r="BC13">
        <f t="shared" si="8"/>
        <v>11165.880000000001</v>
      </c>
      <c r="BD13" s="117">
        <v>0</v>
      </c>
      <c r="BE13" s="117">
        <v>0</v>
      </c>
      <c r="BF13" s="117">
        <v>0</v>
      </c>
      <c r="BG13" s="117">
        <v>0</v>
      </c>
      <c r="BH13" s="117">
        <v>0</v>
      </c>
      <c r="BI13" s="117">
        <v>0</v>
      </c>
      <c r="BJ13" s="117">
        <v>1379.96</v>
      </c>
      <c r="BK13" s="117">
        <v>0</v>
      </c>
      <c r="BL13" s="117">
        <v>0</v>
      </c>
      <c r="BM13" s="117">
        <v>560</v>
      </c>
      <c r="BN13" s="117">
        <v>8445</v>
      </c>
      <c r="BO13" s="117">
        <v>0</v>
      </c>
      <c r="BP13">
        <f t="shared" si="9"/>
        <v>10384.959999999999</v>
      </c>
      <c r="BQ13" s="117">
        <v>0</v>
      </c>
      <c r="BR13" s="117">
        <v>0</v>
      </c>
      <c r="BS13" s="117">
        <v>0</v>
      </c>
      <c r="BT13" s="117">
        <v>0</v>
      </c>
      <c r="BU13" s="117">
        <v>0</v>
      </c>
      <c r="BV13" s="117">
        <v>0</v>
      </c>
      <c r="BW13" s="117">
        <v>0</v>
      </c>
      <c r="BX13" s="117">
        <v>0</v>
      </c>
      <c r="BY13" s="117">
        <v>0</v>
      </c>
      <c r="BZ13" s="117">
        <v>0</v>
      </c>
      <c r="CA13" s="117">
        <v>0</v>
      </c>
      <c r="CB13" s="117">
        <v>0</v>
      </c>
      <c r="CC13">
        <f t="shared" si="5"/>
        <v>0</v>
      </c>
      <c r="CD13" s="117">
        <f>VLOOKUP("Condenação",[2]BS2!$A$11:$CH$80,CD46,0)+VLOOKUP("Penalidades/Irregularidades",[2]BS2!$A$11:$CH$80,CD46,0)</f>
        <v>0</v>
      </c>
      <c r="CE13" s="117">
        <f>VLOOKUP("Condenação",[2]BS2!$A$11:$CH$80,CE46,0)+VLOOKUP("Penalidades/Irregularidades",[2]BS2!$A$11:$CH$80,CE46,0)</f>
        <v>0</v>
      </c>
      <c r="CF13" s="117">
        <f>VLOOKUP("Condenação",[2]BS2!$A$11:$CH$80,CF46,0)+VLOOKUP("Penalidades/Irregularidades",[2]BS2!$A$11:$CH$80,CF46,0)</f>
        <v>0</v>
      </c>
      <c r="CG13" s="117">
        <f>VLOOKUP("Condenação",[2]BS2!$A$11:$CH$80,CG46,0)+VLOOKUP("Penalidades/Irregularidades",[2]BS2!$A$11:$CH$80,CG46,0)</f>
        <v>0</v>
      </c>
      <c r="CH13" s="117">
        <f>VLOOKUP("Condenação",[2]BS2!$A$11:$CH$80,CH46,0)+VLOOKUP("Penalidades/Irregularidades",[2]BS2!$A$11:$CH$80,CH46,0)</f>
        <v>0</v>
      </c>
      <c r="CI13" s="117">
        <f>VLOOKUP("Condenação",[2]BS2!$A$11:$CH$80,CI46,0)+VLOOKUP("Penalidades/Irregularidades",[2]BS2!$A$11:$CH$80,CI46,0)</f>
        <v>0</v>
      </c>
      <c r="CJ13" s="117">
        <f>VLOOKUP("Condenação",[2]BS2!$A$11:$CH$80,CJ46,0)+VLOOKUP("Penalidades/Irregularidades",[2]BS2!$A$11:$CH$80,CJ46,0)</f>
        <v>0</v>
      </c>
      <c r="CK13" s="117">
        <f>VLOOKUP("Condenação",[2]BS2!$A$11:$CH$80,CK46,0)+VLOOKUP("Penalidades/Irregularidades",[2]BS2!$A$11:$CH$80,CK46,0)</f>
        <v>0</v>
      </c>
      <c r="CL13" s="117">
        <f>VLOOKUP("Condenação",[2]BS2!$A$11:$CH$80,CL46,0)+VLOOKUP("Penalidades/Irregularidades",[2]BS2!$A$11:$CH$80,CL46,0)</f>
        <v>0</v>
      </c>
      <c r="CM13" s="117">
        <f>VLOOKUP("Condenação",[2]BS2!$A$11:$CH$80,CM46,0)+VLOOKUP("Penalidades/Irregularidades",[2]BS2!$A$11:$CH$80,CM46,0)</f>
        <v>0</v>
      </c>
      <c r="CN13" s="117">
        <f>VLOOKUP("Condenação",[2]BS2!$A$11:$CH$80,CN46,0)+VLOOKUP("Penalidades/Irregularidades",[2]BS2!$A$11:$CH$80,CN46,0)</f>
        <v>0</v>
      </c>
      <c r="CO13" s="117">
        <f>VLOOKUP("Condenação",[2]BS2!$A$11:$CH$80,CO46,0)+VLOOKUP("Penalidades/Irregularidades",[2]BS2!$A$11:$CH$80,CO46,0)</f>
        <v>0</v>
      </c>
      <c r="CP13">
        <f t="shared" si="6"/>
        <v>0</v>
      </c>
    </row>
    <row r="14" spans="1:94" x14ac:dyDescent="0.2">
      <c r="A14" s="409" t="s">
        <v>68</v>
      </c>
      <c r="B14" s="409" t="s">
        <v>68</v>
      </c>
      <c r="C14">
        <v>6637.68</v>
      </c>
      <c r="D14">
        <v>777.02</v>
      </c>
      <c r="E14">
        <v>0</v>
      </c>
      <c r="F14">
        <v>0</v>
      </c>
      <c r="G14">
        <v>300</v>
      </c>
      <c r="H14">
        <v>2500.0100000000002</v>
      </c>
      <c r="I14">
        <v>1044.82</v>
      </c>
      <c r="J14">
        <v>0</v>
      </c>
      <c r="K14">
        <v>0</v>
      </c>
      <c r="L14">
        <v>0</v>
      </c>
      <c r="M14">
        <v>0</v>
      </c>
      <c r="N14">
        <v>0</v>
      </c>
      <c r="O14">
        <v>300</v>
      </c>
      <c r="P14">
        <f t="shared" si="0"/>
        <v>4921.8500000000004</v>
      </c>
      <c r="Q14">
        <v>0</v>
      </c>
      <c r="R14">
        <v>0</v>
      </c>
      <c r="S14">
        <v>0</v>
      </c>
      <c r="T14">
        <v>3331.13</v>
      </c>
      <c r="U14">
        <v>0</v>
      </c>
      <c r="V14">
        <v>300</v>
      </c>
      <c r="W14" s="38">
        <f>900+300</f>
        <v>1200</v>
      </c>
      <c r="X14" s="42">
        <v>300</v>
      </c>
      <c r="Y14">
        <v>0</v>
      </c>
      <c r="Z14">
        <v>0</v>
      </c>
      <c r="AA14">
        <v>0</v>
      </c>
      <c r="AB14">
        <v>0</v>
      </c>
      <c r="AC14">
        <f t="shared" si="10"/>
        <v>5131.13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f t="shared" si="7"/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f t="shared" si="8"/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f t="shared" si="9"/>
        <v>0</v>
      </c>
      <c r="BQ14" s="90">
        <v>0</v>
      </c>
      <c r="BR14" s="90">
        <v>0</v>
      </c>
      <c r="BS14" s="90">
        <v>0</v>
      </c>
      <c r="BT14" s="90">
        <v>0</v>
      </c>
      <c r="BU14" s="90">
        <v>0</v>
      </c>
      <c r="BV14" s="90">
        <v>0</v>
      </c>
      <c r="BW14" s="90">
        <v>0</v>
      </c>
      <c r="BX14" s="90">
        <v>0</v>
      </c>
      <c r="BY14" s="90">
        <v>0</v>
      </c>
      <c r="BZ14" s="90">
        <v>0</v>
      </c>
      <c r="CA14" s="90">
        <v>0</v>
      </c>
      <c r="CB14" s="90">
        <v>0</v>
      </c>
      <c r="CC14">
        <f t="shared" ref="CC14:CC41" si="11">SUM(BQ14:CB14)</f>
        <v>0</v>
      </c>
      <c r="CD14" s="90">
        <v>0</v>
      </c>
      <c r="CE14" s="90">
        <v>0</v>
      </c>
      <c r="CF14" s="90">
        <v>0</v>
      </c>
      <c r="CG14" s="90">
        <v>0</v>
      </c>
      <c r="CH14" s="90">
        <v>0</v>
      </c>
      <c r="CI14" s="90">
        <v>0</v>
      </c>
      <c r="CJ14" s="90">
        <v>0</v>
      </c>
      <c r="CK14" s="90">
        <v>0</v>
      </c>
      <c r="CL14" s="90">
        <v>0</v>
      </c>
      <c r="CM14" s="90">
        <v>0</v>
      </c>
      <c r="CN14" s="90">
        <v>0</v>
      </c>
      <c r="CO14" s="90">
        <v>0</v>
      </c>
      <c r="CP14">
        <f t="shared" si="6"/>
        <v>0</v>
      </c>
    </row>
    <row r="15" spans="1:94" x14ac:dyDescent="0.2">
      <c r="A15" s="408" t="s">
        <v>421</v>
      </c>
      <c r="B15" s="408" t="s">
        <v>421</v>
      </c>
      <c r="C15">
        <v>236.63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s="42">
        <v>0</v>
      </c>
      <c r="Y15">
        <v>0</v>
      </c>
      <c r="Z15">
        <v>0</v>
      </c>
      <c r="AA15">
        <v>0</v>
      </c>
      <c r="AB15">
        <v>0</v>
      </c>
      <c r="AC15">
        <f t="shared" si="10"/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170000</v>
      </c>
      <c r="AP15">
        <f t="shared" si="7"/>
        <v>170000</v>
      </c>
      <c r="AQ15" s="117">
        <v>6666.67</v>
      </c>
      <c r="AR15" s="117">
        <v>6666.67</v>
      </c>
      <c r="AS15" s="117">
        <v>6666.67</v>
      </c>
      <c r="AT15" s="117">
        <v>6666.67</v>
      </c>
      <c r="AU15" s="117">
        <v>6666.67</v>
      </c>
      <c r="AV15" s="117">
        <v>6666.67</v>
      </c>
      <c r="AW15" s="117">
        <v>6666.67</v>
      </c>
      <c r="AX15" s="117">
        <v>6666.67</v>
      </c>
      <c r="AY15" s="117">
        <v>6666.67</v>
      </c>
      <c r="AZ15" s="117">
        <v>6666.67</v>
      </c>
      <c r="BA15" s="117">
        <v>16206.67</v>
      </c>
      <c r="BB15" s="117">
        <v>6666.67</v>
      </c>
      <c r="BC15">
        <f t="shared" si="8"/>
        <v>89540.04</v>
      </c>
      <c r="BD15" s="117">
        <v>7007.51</v>
      </c>
      <c r="BE15" s="117">
        <v>7007.51</v>
      </c>
      <c r="BF15" s="117">
        <v>7007.51</v>
      </c>
      <c r="BG15" s="117">
        <v>7007.51</v>
      </c>
      <c r="BH15" s="117">
        <v>7007.51</v>
      </c>
      <c r="BI15" s="117">
        <v>7007.51</v>
      </c>
      <c r="BJ15" s="117">
        <v>7007.51</v>
      </c>
      <c r="BK15" s="117">
        <v>7007.51</v>
      </c>
      <c r="BL15" s="117">
        <v>7007.51</v>
      </c>
      <c r="BM15" s="117">
        <v>7007.51</v>
      </c>
      <c r="BN15" s="117">
        <v>7007.51</v>
      </c>
      <c r="BO15" s="117">
        <v>7007.51</v>
      </c>
      <c r="BP15">
        <f t="shared" si="9"/>
        <v>84090.12</v>
      </c>
      <c r="BQ15" s="117">
        <v>7007.51</v>
      </c>
      <c r="BR15" s="117">
        <v>7725.85</v>
      </c>
      <c r="BS15" s="117">
        <v>7366.68</v>
      </c>
      <c r="BT15" s="117">
        <v>8697.83</v>
      </c>
      <c r="BU15" s="117">
        <v>7366.68</v>
      </c>
      <c r="BV15" s="117">
        <v>7366.68</v>
      </c>
      <c r="BW15" s="117">
        <v>0</v>
      </c>
      <c r="BX15" s="117">
        <v>0</v>
      </c>
      <c r="BY15" s="117">
        <v>0</v>
      </c>
      <c r="BZ15" s="117">
        <v>0</v>
      </c>
      <c r="CA15" s="117">
        <v>0</v>
      </c>
      <c r="CB15" s="117">
        <v>0</v>
      </c>
      <c r="CC15">
        <f t="shared" si="11"/>
        <v>45531.23</v>
      </c>
      <c r="CD15" s="117">
        <f>VLOOKUP("Condenação",[2]Patrimônio!$A$11:$CH$80,CD46,0)+VLOOKUP("Penalidades/Irregularidades",[2]Patrimônio!$A$11:$CH$80,CD46,0)</f>
        <v>0</v>
      </c>
      <c r="CE15" s="117">
        <f>VLOOKUP("Condenação",[2]Patrimônio!$A$11:$CH$80,CE46,0)+VLOOKUP("Penalidades/Irregularidades",[2]Patrimônio!$A$11:$CH$80,CE46,0)</f>
        <v>18000</v>
      </c>
      <c r="CF15" s="117">
        <f>VLOOKUP("Condenação",[2]Patrimônio!$A$11:$CH$80,CF46,0)+VLOOKUP("Penalidades/Irregularidades",[2]Patrimônio!$A$11:$CH$80,CF46,0)</f>
        <v>0</v>
      </c>
      <c r="CG15" s="117">
        <f>VLOOKUP("Condenação",[2]Patrimônio!$A$11:$CH$80,CG46,0)+VLOOKUP("Penalidades/Irregularidades",[2]Patrimônio!$A$11:$CH$80,CG46,0)</f>
        <v>0</v>
      </c>
      <c r="CH15" s="117">
        <f>VLOOKUP("Condenação",[2]Patrimônio!$A$11:$CH$80,CH46,0)+VLOOKUP("Penalidades/Irregularidades",[2]Patrimônio!$A$11:$CH$80,CH46,0)</f>
        <v>0</v>
      </c>
      <c r="CI15" s="117">
        <f>VLOOKUP("Condenação",[2]Patrimônio!$A$11:$CH$80,CI46,0)+VLOOKUP("Penalidades/Irregularidades",[2]Patrimônio!$A$11:$CH$80,CI46,0)</f>
        <v>0</v>
      </c>
      <c r="CJ15" s="117">
        <f>VLOOKUP("Condenação",[2]Patrimônio!$A$11:$CH$80,CJ46,0)+VLOOKUP("Penalidades/Irregularidades",[2]Patrimônio!$A$11:$CH$80,CJ46,0)</f>
        <v>0</v>
      </c>
      <c r="CK15" s="117">
        <f>VLOOKUP("Condenação",[2]Patrimônio!$A$11:$CH$80,CK46,0)+VLOOKUP("Penalidades/Irregularidades",[2]Patrimônio!$A$11:$CH$80,CK46,0)</f>
        <v>0</v>
      </c>
      <c r="CL15" s="117">
        <f>VLOOKUP("Condenação",[2]Patrimônio!$A$11:$CH$80,CL46,0)+VLOOKUP("Penalidades/Irregularidades",[2]Patrimônio!$A$11:$CH$80,CL46,0)</f>
        <v>0</v>
      </c>
      <c r="CM15" s="117">
        <f>VLOOKUP("Condenação",[2]Patrimônio!$A$11:$CH$80,CM46,0)+VLOOKUP("Penalidades/Irregularidades",[2]Patrimônio!$A$11:$CH$80,CM46,0)</f>
        <v>0</v>
      </c>
      <c r="CN15" s="117">
        <f>VLOOKUP("Condenação",[2]Patrimônio!$A$11:$CH$80,CN46,0)+VLOOKUP("Penalidades/Irregularidades",[2]Patrimônio!$A$11:$CH$80,CN46,0)</f>
        <v>0</v>
      </c>
      <c r="CO15" s="117">
        <f>VLOOKUP("Condenação",[2]Patrimônio!$A$11:$CH$80,CO46,0)+VLOOKUP("Penalidades/Irregularidades",[2]Patrimônio!$A$11:$CH$80,CO46,0)</f>
        <v>0</v>
      </c>
      <c r="CP15">
        <f t="shared" si="6"/>
        <v>18000</v>
      </c>
    </row>
    <row r="16" spans="1:94" x14ac:dyDescent="0.2">
      <c r="A16" s="409" t="s">
        <v>638</v>
      </c>
      <c r="B16" s="409" t="s">
        <v>638</v>
      </c>
      <c r="C16">
        <v>17897.310000000001</v>
      </c>
      <c r="D16">
        <v>760.72</v>
      </c>
      <c r="E16">
        <v>720.08</v>
      </c>
      <c r="F16">
        <v>0</v>
      </c>
      <c r="G16">
        <v>0</v>
      </c>
      <c r="H16">
        <v>2196.56</v>
      </c>
      <c r="I16">
        <v>40.64</v>
      </c>
      <c r="J16">
        <v>0</v>
      </c>
      <c r="K16">
        <v>0</v>
      </c>
      <c r="L16">
        <v>0</v>
      </c>
      <c r="M16">
        <v>7719.49</v>
      </c>
      <c r="N16">
        <v>0</v>
      </c>
      <c r="O16">
        <v>0</v>
      </c>
      <c r="P16">
        <f t="shared" si="0"/>
        <v>11437.49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s="42">
        <v>0</v>
      </c>
      <c r="Y16">
        <v>0</v>
      </c>
      <c r="Z16">
        <v>0</v>
      </c>
      <c r="AA16">
        <v>0</v>
      </c>
      <c r="AB16">
        <v>0</v>
      </c>
      <c r="AC16">
        <f t="shared" si="10"/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f t="shared" si="7"/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f t="shared" si="8"/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f t="shared" si="9"/>
        <v>0</v>
      </c>
      <c r="BQ16" s="90">
        <v>0</v>
      </c>
      <c r="BR16" s="90">
        <v>0</v>
      </c>
      <c r="BS16" s="90">
        <v>0</v>
      </c>
      <c r="BT16" s="90">
        <v>0</v>
      </c>
      <c r="BU16" s="90">
        <v>0</v>
      </c>
      <c r="BV16" s="90">
        <v>0</v>
      </c>
      <c r="BW16" s="90">
        <v>0</v>
      </c>
      <c r="BX16" s="90">
        <v>0</v>
      </c>
      <c r="BY16" s="90">
        <v>0</v>
      </c>
      <c r="BZ16" s="90">
        <v>0</v>
      </c>
      <c r="CA16" s="90">
        <v>0</v>
      </c>
      <c r="CB16" s="90">
        <v>0</v>
      </c>
      <c r="CC16">
        <f t="shared" si="11"/>
        <v>0</v>
      </c>
      <c r="CD16" s="90">
        <v>0</v>
      </c>
      <c r="CE16" s="90">
        <v>0</v>
      </c>
      <c r="CF16" s="90">
        <v>0</v>
      </c>
      <c r="CG16" s="90">
        <v>0</v>
      </c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0">
        <v>0</v>
      </c>
      <c r="CN16" s="90">
        <v>0</v>
      </c>
      <c r="CO16" s="90">
        <v>0</v>
      </c>
      <c r="CP16">
        <f t="shared" si="6"/>
        <v>0</v>
      </c>
    </row>
    <row r="17" spans="1:94" x14ac:dyDescent="0.2">
      <c r="A17" s="409" t="s">
        <v>409</v>
      </c>
      <c r="B17" s="409" t="s">
        <v>409</v>
      </c>
      <c r="C17">
        <v>58706.879999999997</v>
      </c>
      <c r="D17">
        <v>13880.93</v>
      </c>
      <c r="E17">
        <v>12261.56</v>
      </c>
      <c r="F17">
        <v>27171.63</v>
      </c>
      <c r="G17">
        <v>0</v>
      </c>
      <c r="H17">
        <v>608.23</v>
      </c>
      <c r="I17">
        <v>0</v>
      </c>
      <c r="J17">
        <v>0</v>
      </c>
      <c r="K17">
        <v>608.23</v>
      </c>
      <c r="L17">
        <v>3556.55</v>
      </c>
      <c r="M17">
        <v>0</v>
      </c>
      <c r="N17">
        <v>52314.59</v>
      </c>
      <c r="O17">
        <v>11000</v>
      </c>
      <c r="P17">
        <f t="shared" si="0"/>
        <v>121401.72</v>
      </c>
      <c r="Q17">
        <v>0</v>
      </c>
      <c r="R17">
        <v>0</v>
      </c>
      <c r="S17">
        <v>0</v>
      </c>
      <c r="T17">
        <v>0</v>
      </c>
      <c r="U17">
        <v>0</v>
      </c>
      <c r="V17">
        <v>5031.42</v>
      </c>
      <c r="W17">
        <v>0</v>
      </c>
      <c r="X17" s="42">
        <v>0</v>
      </c>
      <c r="Y17">
        <v>0</v>
      </c>
      <c r="Z17">
        <v>0</v>
      </c>
      <c r="AA17">
        <v>0</v>
      </c>
      <c r="AB17">
        <v>576</v>
      </c>
      <c r="AC17">
        <f t="shared" si="10"/>
        <v>5607.42</v>
      </c>
      <c r="AD17">
        <v>0</v>
      </c>
      <c r="AE17">
        <v>3776.8</v>
      </c>
      <c r="AF17">
        <v>1970</v>
      </c>
      <c r="AG17">
        <v>0</v>
      </c>
      <c r="AH17">
        <v>3450</v>
      </c>
      <c r="AI17">
        <v>0</v>
      </c>
      <c r="AJ17">
        <v>2040.76</v>
      </c>
      <c r="AK17">
        <v>587.61</v>
      </c>
      <c r="AL17">
        <v>0</v>
      </c>
      <c r="AM17">
        <v>768.2</v>
      </c>
      <c r="AN17">
        <v>0</v>
      </c>
      <c r="AO17">
        <v>-1700</v>
      </c>
      <c r="AP17">
        <f t="shared" si="7"/>
        <v>10893.37</v>
      </c>
      <c r="AQ17" s="117">
        <v>0</v>
      </c>
      <c r="AR17" s="117">
        <v>1860.35</v>
      </c>
      <c r="AS17" s="117">
        <v>12759.76</v>
      </c>
      <c r="AT17" s="117">
        <v>0</v>
      </c>
      <c r="AU17" s="117">
        <v>3833.27</v>
      </c>
      <c r="AV17" s="117">
        <v>11013.97</v>
      </c>
      <c r="AW17" s="117">
        <v>2211</v>
      </c>
      <c r="AX17" s="117">
        <v>0</v>
      </c>
      <c r="AY17" s="117">
        <v>0</v>
      </c>
      <c r="AZ17" s="117">
        <v>6572.03</v>
      </c>
      <c r="BA17" s="117">
        <v>0</v>
      </c>
      <c r="BB17" s="117">
        <v>4548.34</v>
      </c>
      <c r="BC17">
        <f t="shared" si="8"/>
        <v>42798.720000000001</v>
      </c>
      <c r="BD17" s="117">
        <v>4548.34</v>
      </c>
      <c r="BE17" s="117">
        <v>8089.7</v>
      </c>
      <c r="BF17" s="117">
        <v>0</v>
      </c>
      <c r="BG17" s="117">
        <v>13294.18</v>
      </c>
      <c r="BH17" s="117">
        <v>54012.770000000004</v>
      </c>
      <c r="BI17" s="117">
        <v>35918.15</v>
      </c>
      <c r="BJ17" s="117">
        <v>139309.38</v>
      </c>
      <c r="BK17" s="117">
        <v>71149.53</v>
      </c>
      <c r="BL17" s="117">
        <v>29647.42</v>
      </c>
      <c r="BM17" s="117">
        <v>34566.85</v>
      </c>
      <c r="BN17" s="117">
        <v>16839.2</v>
      </c>
      <c r="BO17" s="117">
        <v>23375.53</v>
      </c>
      <c r="BP17">
        <f t="shared" si="9"/>
        <v>430751.05000000005</v>
      </c>
      <c r="BQ17" s="117">
        <v>0</v>
      </c>
      <c r="BR17" s="117">
        <v>3289.71</v>
      </c>
      <c r="BS17" s="117">
        <v>10942</v>
      </c>
      <c r="BT17" s="117">
        <v>10098.879999999999</v>
      </c>
      <c r="BU17" s="117">
        <v>-43341.51</v>
      </c>
      <c r="BV17" s="117">
        <v>35823.64</v>
      </c>
      <c r="BW17" s="117">
        <v>9190.19</v>
      </c>
      <c r="BX17" s="117">
        <v>9547.070000000007</v>
      </c>
      <c r="BY17" s="117">
        <v>6900</v>
      </c>
      <c r="BZ17" s="117">
        <v>0</v>
      </c>
      <c r="CA17" s="117">
        <v>0</v>
      </c>
      <c r="CB17" s="117">
        <v>0</v>
      </c>
      <c r="CC17">
        <f t="shared" si="11"/>
        <v>42449.98</v>
      </c>
      <c r="CD17" s="117">
        <f>VLOOKUP("Condenação",'[2]Mercado Livre'!$A$11:$CH$80,CD46,0)+VLOOKUP("Penalidades/Irregularidades",'[2]Mercado Livre'!$A$11:$CH$80,CD46,0)</f>
        <v>0</v>
      </c>
      <c r="CE17" s="117">
        <f>VLOOKUP("Condenação",'[2]Mercado Livre'!$A$11:$CH$80,CE46,0)+VLOOKUP("Penalidades/Irregularidades",'[2]Mercado Livre'!$A$11:$CH$80,CE46,0)</f>
        <v>0</v>
      </c>
      <c r="CF17" s="117">
        <f>VLOOKUP("Condenação",'[2]Mercado Livre'!$A$11:$CH$80,CF46,0)+VLOOKUP("Penalidades/Irregularidades",'[2]Mercado Livre'!$A$11:$CH$80,CF46,0)</f>
        <v>0</v>
      </c>
      <c r="CG17" s="117">
        <f>VLOOKUP("Condenação",'[2]Mercado Livre'!$A$11:$CH$80,CG46,0)+VLOOKUP("Penalidades/Irregularidades",'[2]Mercado Livre'!$A$11:$CH$80,CG46,0)</f>
        <v>0</v>
      </c>
      <c r="CH17" s="117">
        <f>VLOOKUP("Condenação",'[2]Mercado Livre'!$A$11:$CH$80,CH46,0)+VLOOKUP("Penalidades/Irregularidades",'[2]Mercado Livre'!$A$11:$CH$80,CH46,0)</f>
        <v>0</v>
      </c>
      <c r="CI17" s="117">
        <f>VLOOKUP("Condenação",'[2]Mercado Livre'!$A$11:$CH$80,CI46,0)+VLOOKUP("Penalidades/Irregularidades",'[2]Mercado Livre'!$A$11:$CH$80,CI46,0)</f>
        <v>0</v>
      </c>
      <c r="CJ17" s="117">
        <f>VLOOKUP("Condenação",'[2]Mercado Livre'!$A$11:$CH$80,CJ46,0)+VLOOKUP("Penalidades/Irregularidades",'[2]Mercado Livre'!$A$11:$CH$80,CJ46,0)</f>
        <v>0</v>
      </c>
      <c r="CK17" s="117">
        <f>VLOOKUP("Condenação",'[2]Mercado Livre'!$A$11:$CH$80,CK46,0)+VLOOKUP("Penalidades/Irregularidades",'[2]Mercado Livre'!$A$11:$CH$80,CK46,0)</f>
        <v>0</v>
      </c>
      <c r="CL17" s="117">
        <f>VLOOKUP("Condenação",'[2]Mercado Livre'!$A$11:$CH$80,CL46,0)+VLOOKUP("Penalidades/Irregularidades",'[2]Mercado Livre'!$A$11:$CH$80,CL46,0)</f>
        <v>0</v>
      </c>
      <c r="CM17" s="117">
        <f>VLOOKUP("Condenação",'[2]Mercado Livre'!$A$11:$CH$80,CM46,0)+VLOOKUP("Penalidades/Irregularidades",'[2]Mercado Livre'!$A$11:$CH$80,CM46,0)</f>
        <v>0</v>
      </c>
      <c r="CN17" s="117">
        <f>VLOOKUP("Condenação",'[2]Mercado Livre'!$A$11:$CH$80,CN46,0)+VLOOKUP("Penalidades/Irregularidades",'[2]Mercado Livre'!$A$11:$CH$80,CN46,0)</f>
        <v>0</v>
      </c>
      <c r="CO17" s="117">
        <f>VLOOKUP("Condenação",'[2]Mercado Livre'!$A$11:$CH$80,CO46,0)+VLOOKUP("Penalidades/Irregularidades",'[2]Mercado Livre'!$A$11:$CH$80,CO46,0)</f>
        <v>0</v>
      </c>
      <c r="CP17">
        <f t="shared" si="6"/>
        <v>0</v>
      </c>
    </row>
    <row r="18" spans="1:94" x14ac:dyDescent="0.2">
      <c r="A18" s="408" t="s">
        <v>410</v>
      </c>
      <c r="B18" s="408" t="s">
        <v>410</v>
      </c>
      <c r="C18">
        <v>1016.98</v>
      </c>
      <c r="D18">
        <v>400</v>
      </c>
      <c r="E18">
        <v>0</v>
      </c>
      <c r="F18">
        <v>0</v>
      </c>
      <c r="G18">
        <v>0</v>
      </c>
      <c r="H18">
        <v>0</v>
      </c>
      <c r="I18">
        <v>0</v>
      </c>
      <c r="J18">
        <v>8208.94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8608.94</v>
      </c>
      <c r="Q18">
        <v>0</v>
      </c>
      <c r="R18">
        <v>0</v>
      </c>
      <c r="S18">
        <v>0</v>
      </c>
      <c r="T18">
        <v>0</v>
      </c>
      <c r="U18">
        <v>2300</v>
      </c>
      <c r="V18">
        <v>1181.47</v>
      </c>
      <c r="W18" s="39">
        <f>483.52+801.96+150</f>
        <v>1435.48</v>
      </c>
      <c r="X18" s="42">
        <v>13689.01</v>
      </c>
      <c r="Y18">
        <v>2402.6</v>
      </c>
      <c r="Z18">
        <v>830</v>
      </c>
      <c r="AA18">
        <v>1940</v>
      </c>
      <c r="AB18">
        <v>13240.28</v>
      </c>
      <c r="AC18">
        <f t="shared" si="10"/>
        <v>37018.839999999997</v>
      </c>
      <c r="AD18">
        <v>6353.77</v>
      </c>
      <c r="AE18">
        <v>1919.93</v>
      </c>
      <c r="AF18">
        <v>0</v>
      </c>
      <c r="AG18">
        <v>0</v>
      </c>
      <c r="AH18">
        <v>948.03</v>
      </c>
      <c r="AI18">
        <v>0</v>
      </c>
      <c r="AJ18">
        <v>0</v>
      </c>
      <c r="AK18">
        <v>0</v>
      </c>
      <c r="AL18">
        <v>861</v>
      </c>
      <c r="AM18">
        <v>320</v>
      </c>
      <c r="AN18">
        <v>0</v>
      </c>
      <c r="AO18">
        <v>0</v>
      </c>
      <c r="AP18">
        <f t="shared" si="7"/>
        <v>10402.730000000001</v>
      </c>
      <c r="AQ18" s="117">
        <v>0</v>
      </c>
      <c r="AR18" s="117">
        <v>0</v>
      </c>
      <c r="AS18" s="117">
        <v>0</v>
      </c>
      <c r="AT18" s="117">
        <v>0</v>
      </c>
      <c r="AU18" s="117">
        <v>0</v>
      </c>
      <c r="AV18" s="117">
        <v>0</v>
      </c>
      <c r="AW18" s="117">
        <v>0</v>
      </c>
      <c r="AX18" s="117">
        <v>0</v>
      </c>
      <c r="AY18" s="117">
        <v>3793.63</v>
      </c>
      <c r="AZ18" s="117">
        <v>6853.36</v>
      </c>
      <c r="BA18" s="117">
        <v>9811.43</v>
      </c>
      <c r="BB18" s="117">
        <v>500</v>
      </c>
      <c r="BC18">
        <f t="shared" si="8"/>
        <v>20958.419999999998</v>
      </c>
      <c r="BD18" s="117">
        <v>7888.55</v>
      </c>
      <c r="BE18" s="117">
        <v>16450.96</v>
      </c>
      <c r="BF18" s="117">
        <v>6755</v>
      </c>
      <c r="BG18" s="117">
        <v>0</v>
      </c>
      <c r="BH18" s="117">
        <v>4035.24</v>
      </c>
      <c r="BI18" s="117">
        <v>787.54</v>
      </c>
      <c r="BJ18" s="117">
        <v>0</v>
      </c>
      <c r="BK18" s="117">
        <v>0</v>
      </c>
      <c r="BL18" s="117">
        <v>0</v>
      </c>
      <c r="BM18" s="117">
        <v>85.52</v>
      </c>
      <c r="BN18" s="117">
        <v>4189.25</v>
      </c>
      <c r="BO18" s="117">
        <v>6119.01</v>
      </c>
      <c r="BP18">
        <f t="shared" si="9"/>
        <v>46311.07</v>
      </c>
      <c r="BQ18" s="117">
        <v>0</v>
      </c>
      <c r="BR18" s="117">
        <v>0</v>
      </c>
      <c r="BS18" s="117">
        <v>690.29</v>
      </c>
      <c r="BT18" s="117">
        <v>0</v>
      </c>
      <c r="BU18" s="117">
        <v>0</v>
      </c>
      <c r="BV18" s="117">
        <v>4130.33</v>
      </c>
      <c r="BW18" s="117">
        <v>36.19</v>
      </c>
      <c r="BX18" s="117">
        <v>208.05</v>
      </c>
      <c r="BY18" s="117">
        <v>0</v>
      </c>
      <c r="BZ18" s="117">
        <v>1000</v>
      </c>
      <c r="CA18" s="117">
        <v>12183.060000000001</v>
      </c>
      <c r="CB18" s="117">
        <v>3588.69</v>
      </c>
      <c r="CC18">
        <f t="shared" si="11"/>
        <v>21836.61</v>
      </c>
      <c r="CD18" s="117">
        <f>VLOOKUP("Condenação",[2]Claro!$A$11:$CH$53,CD46,0)+VLOOKUP("Penalidades/Irregularidades",[2]Claro!$A$11:$CH$53,CD46,0)+VLOOKUP("Condenação",[2]Claro!$A$67:$CH$109,CD46,0)+VLOOKUP("Penalidades/Irregularidades",[2]Claro!$A$67:$CH$109,CD46,0)</f>
        <v>2597.48</v>
      </c>
      <c r="CE18" s="117">
        <f>VLOOKUP("Condenação",[2]Claro!$A$11:$CH$53,CE46,0)+VLOOKUP("Penalidades/Irregularidades",[2]Claro!$A$11:$CH$53,CE46,0)+VLOOKUP("Condenação",[2]Claro!$A$67:$CH$109,CE46,0)+VLOOKUP("Penalidades/Irregularidades",[2]Claro!$A$67:$CH$109,CE46,0)</f>
        <v>238.52</v>
      </c>
      <c r="CF18" s="117">
        <f>VLOOKUP("Condenação",[2]Claro!$A$11:$CH$53,CF46,0)+VLOOKUP("Penalidades/Irregularidades",[2]Claro!$A$11:$CH$53,CF46,0)+VLOOKUP("Condenação",[2]Claro!$A$67:$CH$109,CF46,0)+VLOOKUP("Penalidades/Irregularidades",[2]Claro!$A$67:$CH$109,CF46,0)</f>
        <v>0</v>
      </c>
      <c r="CG18" s="117">
        <f>VLOOKUP("Condenação",[2]Claro!$A$11:$CH$53,CG46,0)+VLOOKUP("Penalidades/Irregularidades",[2]Claro!$A$11:$CH$53,CG46,0)+VLOOKUP("Condenação",[2]Claro!$A$67:$CH$109,CG46,0)+VLOOKUP("Penalidades/Irregularidades",[2]Claro!$A$67:$CH$109,CG46,0)</f>
        <v>0</v>
      </c>
      <c r="CH18" s="117">
        <f>VLOOKUP("Condenação",[2]Claro!$A$11:$CH$53,CH46,0)+VLOOKUP("Penalidades/Irregularidades",[2]Claro!$A$11:$CH$53,CH46,0)+VLOOKUP("Condenação",[2]Claro!$A$67:$CH$109,CH46,0)+VLOOKUP("Penalidades/Irregularidades",[2]Claro!$A$67:$CH$109,CH46,0)</f>
        <v>0</v>
      </c>
      <c r="CI18" s="117">
        <f>VLOOKUP("Condenação",[2]Claro!$A$11:$CH$53,CI46,0)+VLOOKUP("Penalidades/Irregularidades",[2]Claro!$A$11:$CH$53,CI46,0)+VLOOKUP("Condenação",[2]Claro!$A$67:$CH$109,CI46,0)+VLOOKUP("Penalidades/Irregularidades",[2]Claro!$A$67:$CH$109,CI46,0)</f>
        <v>0</v>
      </c>
      <c r="CJ18" s="117">
        <f>VLOOKUP("Condenação",[2]Claro!$A$11:$CH$53,CJ46,0)+VLOOKUP("Penalidades/Irregularidades",[2]Claro!$A$11:$CH$53,CJ46,0)+VLOOKUP("Condenação",[2]Claro!$A$67:$CH$109,CJ46,0)+VLOOKUP("Penalidades/Irregularidades",[2]Claro!$A$67:$CH$109,CJ46,0)</f>
        <v>0</v>
      </c>
      <c r="CK18" s="117">
        <f>VLOOKUP("Condenação",[2]Claro!$A$11:$CH$53,CK46,0)+VLOOKUP("Penalidades/Irregularidades",[2]Claro!$A$11:$CH$53,CK46,0)+VLOOKUP("Condenação",[2]Claro!$A$67:$CH$109,CK46,0)+VLOOKUP("Penalidades/Irregularidades",[2]Claro!$A$67:$CH$109,CK46,0)</f>
        <v>0</v>
      </c>
      <c r="CL18" s="117">
        <f>VLOOKUP("Condenação",[2]Claro!$A$11:$CH$53,CL46,0)+VLOOKUP("Penalidades/Irregularidades",[2]Claro!$A$11:$CH$53,CL46,0)+VLOOKUP("Condenação",[2]Claro!$A$67:$CH$109,CL46,0)+VLOOKUP("Penalidades/Irregularidades",[2]Claro!$A$67:$CH$109,CL46,0)</f>
        <v>0</v>
      </c>
      <c r="CM18" s="117">
        <f>VLOOKUP("Condenação",[2]Claro!$A$11:$CH$53,CM46,0)+VLOOKUP("Penalidades/Irregularidades",[2]Claro!$A$11:$CH$53,CM46,0)+VLOOKUP("Condenação",[2]Claro!$A$67:$CH$109,CM46,0)+VLOOKUP("Penalidades/Irregularidades",[2]Claro!$A$67:$CH$109,CM46,0)</f>
        <v>0</v>
      </c>
      <c r="CN18" s="117">
        <f>VLOOKUP("Condenação",[2]Claro!$A$11:$CH$53,CN46,0)+VLOOKUP("Penalidades/Irregularidades",[2]Claro!$A$11:$CH$53,CN46,0)+VLOOKUP("Condenação",[2]Claro!$A$67:$CH$109,CN46,0)+VLOOKUP("Penalidades/Irregularidades",[2]Claro!$A$67:$CH$109,CN46,0)</f>
        <v>0</v>
      </c>
      <c r="CO18" s="117">
        <f>VLOOKUP("Condenação",[2]Claro!$A$11:$CH$53,CO46,0)+VLOOKUP("Penalidades/Irregularidades",[2]Claro!$A$11:$CH$53,CO46,0)+VLOOKUP("Condenação",[2]Claro!$A$67:$CH$109,CO46,0)+VLOOKUP("Penalidades/Irregularidades",[2]Claro!$A$67:$CH$109,CO46,0)</f>
        <v>0</v>
      </c>
      <c r="CP18">
        <f t="shared" si="6"/>
        <v>2836</v>
      </c>
    </row>
    <row r="19" spans="1:94" x14ac:dyDescent="0.2">
      <c r="A19" s="408" t="s">
        <v>619</v>
      </c>
      <c r="B19" s="408" t="s">
        <v>619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s="42"/>
      <c r="Y19">
        <v>2039.03</v>
      </c>
      <c r="Z19">
        <v>0</v>
      </c>
      <c r="AA19">
        <v>0</v>
      </c>
      <c r="AB19">
        <v>0</v>
      </c>
      <c r="AC19">
        <f t="shared" si="10"/>
        <v>2039.03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f t="shared" si="7"/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f t="shared" si="8"/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f t="shared" si="9"/>
        <v>0</v>
      </c>
      <c r="BQ19" s="90">
        <v>0</v>
      </c>
      <c r="BR19" s="90">
        <v>0</v>
      </c>
      <c r="BS19" s="90">
        <v>0</v>
      </c>
      <c r="BT19" s="90">
        <v>0</v>
      </c>
      <c r="BU19" s="90">
        <v>0</v>
      </c>
      <c r="BV19" s="90">
        <v>0</v>
      </c>
      <c r="BW19" s="90">
        <v>0</v>
      </c>
      <c r="BX19" s="90">
        <v>0</v>
      </c>
      <c r="BY19" s="90">
        <v>0</v>
      </c>
      <c r="BZ19" s="90">
        <v>0</v>
      </c>
      <c r="CA19" s="90">
        <v>0</v>
      </c>
      <c r="CB19" s="90">
        <v>0</v>
      </c>
      <c r="CC19">
        <f t="shared" si="11"/>
        <v>0</v>
      </c>
      <c r="CD19" s="90">
        <v>0</v>
      </c>
      <c r="CE19" s="90">
        <v>0</v>
      </c>
      <c r="CF19" s="90">
        <v>0</v>
      </c>
      <c r="CG19" s="90">
        <v>0</v>
      </c>
      <c r="CH19" s="90">
        <v>0</v>
      </c>
      <c r="CI19" s="90">
        <v>0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>
        <f t="shared" si="6"/>
        <v>0</v>
      </c>
    </row>
    <row r="20" spans="1:94" x14ac:dyDescent="0.2">
      <c r="A20" s="409" t="s">
        <v>408</v>
      </c>
      <c r="B20" s="409" t="s">
        <v>408</v>
      </c>
      <c r="C20">
        <v>15009.85</v>
      </c>
      <c r="D20">
        <v>0</v>
      </c>
      <c r="E20">
        <v>0</v>
      </c>
      <c r="F20">
        <v>0</v>
      </c>
      <c r="G20">
        <v>0</v>
      </c>
      <c r="H20">
        <v>0</v>
      </c>
      <c r="I20">
        <v>391.2</v>
      </c>
      <c r="J20">
        <v>0</v>
      </c>
      <c r="K20">
        <v>0</v>
      </c>
      <c r="L20">
        <v>720</v>
      </c>
      <c r="M20">
        <v>0</v>
      </c>
      <c r="N20">
        <v>0</v>
      </c>
      <c r="O20">
        <v>0</v>
      </c>
      <c r="P20">
        <f t="shared" si="0"/>
        <v>1111.2</v>
      </c>
      <c r="Q20">
        <v>0</v>
      </c>
      <c r="R20">
        <v>0</v>
      </c>
      <c r="S20">
        <v>0</v>
      </c>
      <c r="T20">
        <v>0</v>
      </c>
      <c r="U20">
        <v>3011.54</v>
      </c>
      <c r="V20">
        <v>0</v>
      </c>
      <c r="W20">
        <v>631</v>
      </c>
      <c r="X20">
        <v>20853.59</v>
      </c>
      <c r="Y20">
        <v>20853.59</v>
      </c>
      <c r="Z20">
        <v>20853.59</v>
      </c>
      <c r="AA20">
        <v>20853.59</v>
      </c>
      <c r="AB20">
        <v>0</v>
      </c>
      <c r="AC20">
        <f t="shared" si="10"/>
        <v>87056.9</v>
      </c>
      <c r="AD20">
        <v>3723.35</v>
      </c>
      <c r="AE20">
        <v>0</v>
      </c>
      <c r="AF20">
        <v>3723.35</v>
      </c>
      <c r="AG20">
        <v>7446.7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f t="shared" si="7"/>
        <v>14893.4</v>
      </c>
      <c r="AQ20" s="117">
        <v>10504.13</v>
      </c>
      <c r="AR20" s="117">
        <v>10504.13</v>
      </c>
      <c r="AS20" s="117">
        <v>11797.55</v>
      </c>
      <c r="AT20" s="117">
        <v>10504.13</v>
      </c>
      <c r="AU20" s="117">
        <v>10504.13</v>
      </c>
      <c r="AV20" s="117">
        <v>10504.13</v>
      </c>
      <c r="AW20" s="117">
        <v>10504.13</v>
      </c>
      <c r="AX20" s="117">
        <v>10504.13</v>
      </c>
      <c r="AY20" s="117">
        <v>10504.13</v>
      </c>
      <c r="AZ20" s="117">
        <v>11399.23</v>
      </c>
      <c r="BA20" s="117">
        <v>10504.13</v>
      </c>
      <c r="BB20" s="117">
        <v>10504.13</v>
      </c>
      <c r="BC20">
        <f t="shared" si="8"/>
        <v>128238.08</v>
      </c>
      <c r="BD20" s="117">
        <v>0</v>
      </c>
      <c r="BE20" s="117">
        <v>0</v>
      </c>
      <c r="BF20" s="117">
        <v>0</v>
      </c>
      <c r="BG20" s="117">
        <v>0</v>
      </c>
      <c r="BH20" s="117">
        <v>0</v>
      </c>
      <c r="BI20" s="117">
        <v>0</v>
      </c>
      <c r="BJ20" s="117">
        <v>0</v>
      </c>
      <c r="BK20" s="117">
        <v>0</v>
      </c>
      <c r="BL20" s="117">
        <v>0</v>
      </c>
      <c r="BM20" s="117">
        <v>3098</v>
      </c>
      <c r="BN20" s="117">
        <v>3098</v>
      </c>
      <c r="BO20" s="117">
        <v>3098</v>
      </c>
      <c r="BP20">
        <f t="shared" si="9"/>
        <v>9294</v>
      </c>
      <c r="BQ20" s="117">
        <v>3098</v>
      </c>
      <c r="BR20" s="117">
        <v>3098</v>
      </c>
      <c r="BS20" s="117">
        <v>3098</v>
      </c>
      <c r="BT20" s="117">
        <v>3098</v>
      </c>
      <c r="BU20" s="117">
        <v>3098</v>
      </c>
      <c r="BV20" s="117">
        <v>11121.65</v>
      </c>
      <c r="BW20" s="117">
        <v>8023.65</v>
      </c>
      <c r="BX20" s="117">
        <v>4925.6499999999996</v>
      </c>
      <c r="BY20" s="117">
        <v>6600.27</v>
      </c>
      <c r="BZ20" s="117">
        <v>6600.27</v>
      </c>
      <c r="CA20" s="117">
        <v>7131.9400000000005</v>
      </c>
      <c r="CB20" s="117">
        <v>6600.27</v>
      </c>
      <c r="CC20">
        <f t="shared" si="11"/>
        <v>66493.700000000012</v>
      </c>
      <c r="CD20" s="117">
        <f>VLOOKUP("Condenação",[2]Santander!$A$11:$CH$80,CD46,0)+VLOOKUP("Penalidades/Irregularidades",[2]Santander!$A$11:$CH$80,CD46,0)</f>
        <v>538.69000000000005</v>
      </c>
      <c r="CE20" s="117">
        <f>VLOOKUP("Condenação",[2]Santander!$A$11:$CH$80,CE46,0)+VLOOKUP("Penalidades/Irregularidades",[2]Santander!$A$11:$CH$80,CE46,0)</f>
        <v>0</v>
      </c>
      <c r="CF20" s="117">
        <f>VLOOKUP("Condenação",[2]Santander!$A$11:$CH$80,CF46,0)+VLOOKUP("Penalidades/Irregularidades",[2]Santander!$A$11:$CH$80,CF46,0)</f>
        <v>0</v>
      </c>
      <c r="CG20" s="117">
        <f>VLOOKUP("Condenação",[2]Santander!$A$11:$CH$80,CG46,0)+VLOOKUP("Penalidades/Irregularidades",[2]Santander!$A$11:$CH$80,CG46,0)</f>
        <v>0</v>
      </c>
      <c r="CH20" s="117">
        <f>VLOOKUP("Condenação",[2]Santander!$A$11:$CH$80,CH46,0)+VLOOKUP("Penalidades/Irregularidades",[2]Santander!$A$11:$CH$80,CH46,0)</f>
        <v>0</v>
      </c>
      <c r="CI20" s="117">
        <f>VLOOKUP("Condenação",[2]Santander!$A$11:$CH$80,CI46,0)+VLOOKUP("Penalidades/Irregularidades",[2]Santander!$A$11:$CH$80,CI46,0)</f>
        <v>0</v>
      </c>
      <c r="CJ20" s="117">
        <f>VLOOKUP("Condenação",[2]Santander!$A$11:$CH$80,CJ46,0)+VLOOKUP("Penalidades/Irregularidades",[2]Santander!$A$11:$CH$80,CJ46,0)</f>
        <v>0</v>
      </c>
      <c r="CK20" s="117">
        <f>VLOOKUP("Condenação",[2]Santander!$A$11:$CH$80,CK46,0)+VLOOKUP("Penalidades/Irregularidades",[2]Santander!$A$11:$CH$80,CK46,0)</f>
        <v>0</v>
      </c>
      <c r="CL20" s="117">
        <f>VLOOKUP("Condenação",[2]Santander!$A$11:$CH$80,CL46,0)+VLOOKUP("Penalidades/Irregularidades",[2]Santander!$A$11:$CH$80,CL46,0)</f>
        <v>0</v>
      </c>
      <c r="CM20" s="117">
        <f>VLOOKUP("Condenação",[2]Santander!$A$11:$CH$80,CM46,0)+VLOOKUP("Penalidades/Irregularidades",[2]Santander!$A$11:$CH$80,CM46,0)</f>
        <v>0</v>
      </c>
      <c r="CN20" s="117">
        <f>VLOOKUP("Condenação",[2]Santander!$A$11:$CH$80,CN46,0)+VLOOKUP("Penalidades/Irregularidades",[2]Santander!$A$11:$CH$80,CN46,0)</f>
        <v>0</v>
      </c>
      <c r="CO20" s="117">
        <f>VLOOKUP("Condenação",[2]Santander!$A$11:$CH$80,CO46,0)+VLOOKUP("Penalidades/Irregularidades",[2]Santander!$A$11:$CH$80,CO46,0)</f>
        <v>0</v>
      </c>
      <c r="CP20">
        <f t="shared" si="6"/>
        <v>538.69000000000005</v>
      </c>
    </row>
    <row r="21" spans="1:94" x14ac:dyDescent="0.2">
      <c r="A21" s="409" t="s">
        <v>640</v>
      </c>
      <c r="B21" s="409" t="s">
        <v>640</v>
      </c>
      <c r="C21">
        <v>244.4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s="42">
        <v>427.2</v>
      </c>
      <c r="Y21">
        <v>0</v>
      </c>
      <c r="Z21">
        <v>0</v>
      </c>
      <c r="AA21">
        <v>3000</v>
      </c>
      <c r="AB21">
        <v>0</v>
      </c>
      <c r="AC21">
        <f t="shared" si="10"/>
        <v>3427.2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f t="shared" si="7"/>
        <v>0</v>
      </c>
      <c r="AQ21" s="117">
        <v>0</v>
      </c>
      <c r="AR21" s="117">
        <v>0</v>
      </c>
      <c r="AS21" s="117">
        <v>0</v>
      </c>
      <c r="AT21" s="117">
        <v>0</v>
      </c>
      <c r="AU21" s="117">
        <v>0</v>
      </c>
      <c r="AV21" s="117">
        <v>0</v>
      </c>
      <c r="AW21" s="117">
        <v>355.52</v>
      </c>
      <c r="AX21" s="117">
        <v>0</v>
      </c>
      <c r="AY21" s="117">
        <v>0</v>
      </c>
      <c r="AZ21" s="117">
        <v>0</v>
      </c>
      <c r="BA21" s="117">
        <v>0</v>
      </c>
      <c r="BB21" s="117">
        <v>0</v>
      </c>
      <c r="BC21">
        <f t="shared" si="8"/>
        <v>355.52</v>
      </c>
      <c r="BD21" s="117">
        <v>0</v>
      </c>
      <c r="BE21" s="117">
        <v>0</v>
      </c>
      <c r="BF21" s="117">
        <v>0</v>
      </c>
      <c r="BG21" s="117">
        <v>3500</v>
      </c>
      <c r="BH21" s="117">
        <v>0</v>
      </c>
      <c r="BI21" s="117">
        <v>0</v>
      </c>
      <c r="BJ21" s="117">
        <v>0</v>
      </c>
      <c r="BK21" s="117">
        <v>0</v>
      </c>
      <c r="BL21" s="117">
        <v>0</v>
      </c>
      <c r="BM21" s="117">
        <v>0</v>
      </c>
      <c r="BN21" s="117">
        <v>0</v>
      </c>
      <c r="BO21" s="117">
        <v>0</v>
      </c>
      <c r="BP21">
        <f t="shared" si="9"/>
        <v>3500</v>
      </c>
      <c r="BQ21" s="117">
        <v>0</v>
      </c>
      <c r="BR21" s="117">
        <v>0</v>
      </c>
      <c r="BS21" s="117">
        <v>0</v>
      </c>
      <c r="BT21" s="117">
        <v>0</v>
      </c>
      <c r="BU21" s="117">
        <v>0</v>
      </c>
      <c r="BV21" s="117">
        <v>0</v>
      </c>
      <c r="BW21" s="117">
        <v>0</v>
      </c>
      <c r="BX21" s="117">
        <v>0</v>
      </c>
      <c r="BY21" s="117">
        <v>0</v>
      </c>
      <c r="BZ21" s="117">
        <v>0</v>
      </c>
      <c r="CA21" s="117">
        <v>0</v>
      </c>
      <c r="CB21" s="117">
        <v>0</v>
      </c>
      <c r="CC21">
        <f t="shared" si="11"/>
        <v>0</v>
      </c>
      <c r="CD21" s="117">
        <f>VLOOKUP("Condenação",[2]UOL!$A$11:$CH$53,CD46,0)+VLOOKUP("Penalidades/Irregularidades",[2]UOL!$A$11:$CH$53,CD46,0)+VLOOKUP("Condenação",[2]UOL!$A$67:$CH$109,CD46,0)+VLOOKUP("Penalidades/Irregularidades",[2]UOL!$A$67:$CH$109,CD46,0)+VLOOKUP("Condenação",[2]UOL!$A$123:$CH$165,CD46,0)+VLOOKUP("Penalidades/Irregularidades",[2]UOL!$A$123:$CH$165,CD46,0)</f>
        <v>0</v>
      </c>
      <c r="CE21" s="117">
        <f>VLOOKUP("Condenação",[2]UOL!$A$11:$CH$53,CE46,0)+VLOOKUP("Penalidades/Irregularidades",[2]UOL!$A$11:$CH$53,CE46,0)+VLOOKUP("Condenação",[2]UOL!$A$67:$CH$109,CE46,0)+VLOOKUP("Penalidades/Irregularidades",[2]UOL!$A$67:$CH$109,CE46,0)+VLOOKUP("Condenação",[2]UOL!$A$123:$CH$165,CE46,0)+VLOOKUP("Penalidades/Irregularidades",[2]UOL!$A$123:$CH$165,CE46,0)</f>
        <v>0</v>
      </c>
      <c r="CF21" s="117">
        <f>VLOOKUP("Condenação",[2]UOL!$A$11:$CH$53,CF46,0)+VLOOKUP("Penalidades/Irregularidades",[2]UOL!$A$11:$CH$53,CF46,0)+VLOOKUP("Condenação",[2]UOL!$A$67:$CH$109,CF46,0)+VLOOKUP("Penalidades/Irregularidades",[2]UOL!$A$67:$CH$109,CF46,0)+VLOOKUP("Condenação",[2]UOL!$A$123:$CH$165,CF46,0)+VLOOKUP("Penalidades/Irregularidades",[2]UOL!$A$123:$CH$165,CF46,0)</f>
        <v>0</v>
      </c>
      <c r="CG21" s="117">
        <f>VLOOKUP("Condenação",[2]UOL!$A$11:$CH$53,CG46,0)+VLOOKUP("Penalidades/Irregularidades",[2]UOL!$A$11:$CH$53,CG46,0)+VLOOKUP("Condenação",[2]UOL!$A$67:$CH$109,CG46,0)+VLOOKUP("Penalidades/Irregularidades",[2]UOL!$A$67:$CH$109,CG46,0)+VLOOKUP("Condenação",[2]UOL!$A$123:$CH$165,CG46,0)+VLOOKUP("Penalidades/Irregularidades",[2]UOL!$A$123:$CH$165,CG46,0)</f>
        <v>0</v>
      </c>
      <c r="CH21" s="117">
        <f>VLOOKUP("Condenação",[2]UOL!$A$11:$CH$53,CH46,0)+VLOOKUP("Penalidades/Irregularidades",[2]UOL!$A$11:$CH$53,CH46,0)+VLOOKUP("Condenação",[2]UOL!$A$67:$CH$109,CH46,0)+VLOOKUP("Penalidades/Irregularidades",[2]UOL!$A$67:$CH$109,CH46,0)+VLOOKUP("Condenação",[2]UOL!$A$123:$CH$165,CH46,0)+VLOOKUP("Penalidades/Irregularidades",[2]UOL!$A$123:$CH$165,CH46,0)</f>
        <v>0</v>
      </c>
      <c r="CI21" s="117">
        <f>VLOOKUP("Condenação",[2]UOL!$A$11:$CH$53,CI46,0)+VLOOKUP("Penalidades/Irregularidades",[2]UOL!$A$11:$CH$53,CI46,0)+VLOOKUP("Condenação",[2]UOL!$A$67:$CH$109,CI46,0)+VLOOKUP("Penalidades/Irregularidades",[2]UOL!$A$67:$CH$109,CI46,0)+VLOOKUP("Condenação",[2]UOL!$A$123:$CH$165,CI46,0)+VLOOKUP("Penalidades/Irregularidades",[2]UOL!$A$123:$CH$165,CI46,0)</f>
        <v>0</v>
      </c>
      <c r="CJ21" s="117">
        <f>VLOOKUP("Condenação",[2]UOL!$A$11:$CH$53,CJ46,0)+VLOOKUP("Penalidades/Irregularidades",[2]UOL!$A$11:$CH$53,CJ46,0)+VLOOKUP("Condenação",[2]UOL!$A$67:$CH$109,CJ46,0)+VLOOKUP("Penalidades/Irregularidades",[2]UOL!$A$67:$CH$109,CJ46,0)+VLOOKUP("Condenação",[2]UOL!$A$123:$CH$165,CJ46,0)+VLOOKUP("Penalidades/Irregularidades",[2]UOL!$A$123:$CH$165,CJ46,0)</f>
        <v>0</v>
      </c>
      <c r="CK21" s="117">
        <f>VLOOKUP("Condenação",[2]UOL!$A$11:$CH$53,CK46,0)+VLOOKUP("Penalidades/Irregularidades",[2]UOL!$A$11:$CH$53,CK46,0)+VLOOKUP("Condenação",[2]UOL!$A$67:$CH$109,CK46,0)+VLOOKUP("Penalidades/Irregularidades",[2]UOL!$A$67:$CH$109,CK46,0)+VLOOKUP("Condenação",[2]UOL!$A$123:$CH$165,CK46,0)+VLOOKUP("Penalidades/Irregularidades",[2]UOL!$A$123:$CH$165,CK46,0)</f>
        <v>0</v>
      </c>
      <c r="CL21" s="117">
        <f>VLOOKUP("Condenação",[2]UOL!$A$11:$CH$53,CL46,0)+VLOOKUP("Penalidades/Irregularidades",[2]UOL!$A$11:$CH$53,CL46,0)+VLOOKUP("Condenação",[2]UOL!$A$67:$CH$109,CL46,0)+VLOOKUP("Penalidades/Irregularidades",[2]UOL!$A$67:$CH$109,CL46,0)+VLOOKUP("Condenação",[2]UOL!$A$123:$CH$165,CL46,0)+VLOOKUP("Penalidades/Irregularidades",[2]UOL!$A$123:$CH$165,CL46,0)</f>
        <v>0</v>
      </c>
      <c r="CM21" s="117">
        <f>VLOOKUP("Condenação",[2]UOL!$A$11:$CH$53,CM46,0)+VLOOKUP("Penalidades/Irregularidades",[2]UOL!$A$11:$CH$53,CM46,0)+VLOOKUP("Condenação",[2]UOL!$A$67:$CH$109,CM46,0)+VLOOKUP("Penalidades/Irregularidades",[2]UOL!$A$67:$CH$109,CM46,0)+VLOOKUP("Condenação",[2]UOL!$A$123:$CH$165,CM46,0)+VLOOKUP("Penalidades/Irregularidades",[2]UOL!$A$123:$CH$165,CM46,0)</f>
        <v>0</v>
      </c>
      <c r="CN21" s="117">
        <f>VLOOKUP("Condenação",[2]UOL!$A$11:$CH$53,CN46,0)+VLOOKUP("Penalidades/Irregularidades",[2]UOL!$A$11:$CH$53,CN46,0)+VLOOKUP("Condenação",[2]UOL!$A$67:$CH$109,CN46,0)+VLOOKUP("Penalidades/Irregularidades",[2]UOL!$A$67:$CH$109,CN46,0)+VLOOKUP("Condenação",[2]UOL!$A$123:$CH$165,CN46,0)+VLOOKUP("Penalidades/Irregularidades",[2]UOL!$A$123:$CH$165,CN46,0)</f>
        <v>0</v>
      </c>
      <c r="CO21" s="117">
        <f>VLOOKUP("Condenação",[2]UOL!$A$11:$CH$53,CO46,0)+VLOOKUP("Penalidades/Irregularidades",[2]UOL!$A$11:$CH$53,CO46,0)+VLOOKUP("Condenação",[2]UOL!$A$67:$CH$109,CO46,0)+VLOOKUP("Penalidades/Irregularidades",[2]UOL!$A$67:$CH$109,CO46,0)+VLOOKUP("Condenação",[2]UOL!$A$123:$CH$165,CO46,0)+VLOOKUP("Penalidades/Irregularidades",[2]UOL!$A$123:$CH$165,CO46,0)</f>
        <v>0</v>
      </c>
      <c r="CP21">
        <f t="shared" si="6"/>
        <v>0</v>
      </c>
    </row>
    <row r="22" spans="1:94" x14ac:dyDescent="0.2">
      <c r="A22" s="408" t="s">
        <v>642</v>
      </c>
      <c r="B22" s="408" t="s">
        <v>642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4000</v>
      </c>
      <c r="O22">
        <v>0</v>
      </c>
      <c r="P22">
        <f t="shared" si="0"/>
        <v>4000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s="42">
        <v>0</v>
      </c>
      <c r="Y22">
        <v>0</v>
      </c>
      <c r="Z22">
        <v>0</v>
      </c>
      <c r="AA22">
        <v>0</v>
      </c>
      <c r="AB22">
        <v>0</v>
      </c>
      <c r="AC22">
        <f t="shared" si="10"/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4571.6000000000004</v>
      </c>
      <c r="AJ22">
        <v>0</v>
      </c>
      <c r="AK22">
        <v>2575.2399999999998</v>
      </c>
      <c r="AL22">
        <v>319.8</v>
      </c>
      <c r="AM22">
        <v>5268.96</v>
      </c>
      <c r="AN22">
        <v>0</v>
      </c>
      <c r="AO22">
        <v>8497.66</v>
      </c>
      <c r="AP22">
        <f t="shared" si="7"/>
        <v>21233.260000000002</v>
      </c>
      <c r="AQ22" s="117">
        <v>0</v>
      </c>
      <c r="AR22" s="117">
        <v>3478.85</v>
      </c>
      <c r="AS22" s="117">
        <v>0</v>
      </c>
      <c r="AT22" s="117">
        <v>0</v>
      </c>
      <c r="AU22" s="117">
        <v>0</v>
      </c>
      <c r="AV22" s="117">
        <v>27352.89</v>
      </c>
      <c r="AW22" s="117">
        <v>0</v>
      </c>
      <c r="AX22" s="117">
        <v>3425.2</v>
      </c>
      <c r="AY22" s="117">
        <v>0</v>
      </c>
      <c r="AZ22" s="117">
        <v>0</v>
      </c>
      <c r="BA22" s="117">
        <v>0</v>
      </c>
      <c r="BB22" s="117">
        <v>0</v>
      </c>
      <c r="BC22">
        <f t="shared" si="8"/>
        <v>34256.939999999995</v>
      </c>
      <c r="BD22" s="117">
        <v>0</v>
      </c>
      <c r="BE22" s="117">
        <v>0</v>
      </c>
      <c r="BF22" s="117">
        <v>0</v>
      </c>
      <c r="BG22" s="117">
        <v>0</v>
      </c>
      <c r="BH22" s="117">
        <v>0</v>
      </c>
      <c r="BI22" s="117">
        <v>0</v>
      </c>
      <c r="BJ22" s="117">
        <v>0</v>
      </c>
      <c r="BK22" s="117">
        <v>0</v>
      </c>
      <c r="BL22" s="117">
        <v>0</v>
      </c>
      <c r="BM22" s="117">
        <v>8122.5899999999992</v>
      </c>
      <c r="BN22" s="117">
        <v>0</v>
      </c>
      <c r="BO22" s="117">
        <v>-42.86</v>
      </c>
      <c r="BP22">
        <f t="shared" si="9"/>
        <v>8079.73</v>
      </c>
      <c r="BQ22" s="117">
        <v>0</v>
      </c>
      <c r="BR22" s="117">
        <v>0</v>
      </c>
      <c r="BS22" s="117">
        <v>0</v>
      </c>
      <c r="BT22" s="117">
        <v>1034.8800000000001</v>
      </c>
      <c r="BU22" s="117">
        <v>0</v>
      </c>
      <c r="BV22" s="117">
        <v>0</v>
      </c>
      <c r="BW22" s="117">
        <v>1094.31</v>
      </c>
      <c r="BX22" s="117">
        <v>0</v>
      </c>
      <c r="BY22" s="117">
        <v>2631.81</v>
      </c>
      <c r="BZ22" s="117">
        <v>0</v>
      </c>
      <c r="CA22" s="117">
        <v>0</v>
      </c>
      <c r="CB22" s="117">
        <v>0</v>
      </c>
      <c r="CC22">
        <f t="shared" si="11"/>
        <v>4761</v>
      </c>
      <c r="CD22" s="117">
        <f>VLOOKUP("Condenação",'[2]Resolução de Disputas'!$A$11:$CI$53,CD46,0)+VLOOKUP("Penalidades/Irregularidades",'[2]Resolução de Disputas'!$A$11:$CI$53,CD46,0)</f>
        <v>0</v>
      </c>
      <c r="CE22" s="117">
        <f>VLOOKUP("Condenação",'[2]Resolução de Disputas'!$A$11:$CI$53,CE46,0)+VLOOKUP("Penalidades/Irregularidades",'[2]Resolução de Disputas'!$A$11:$CI$53,CE46,0)</f>
        <v>0</v>
      </c>
      <c r="CF22" s="117">
        <f>VLOOKUP("Condenação",'[2]Resolução de Disputas'!$A$11:$CI$53,CF46,0)+VLOOKUP("Penalidades/Irregularidades",'[2]Resolução de Disputas'!$A$11:$CI$53,CF46,0)</f>
        <v>0</v>
      </c>
      <c r="CG22" s="117">
        <f>VLOOKUP("Condenação",'[2]Resolução de Disputas'!$A$11:$CI$53,CG46,0)+VLOOKUP("Penalidades/Irregularidades",'[2]Resolução de Disputas'!$A$11:$CI$53,CG46,0)</f>
        <v>0</v>
      </c>
      <c r="CH22" s="117">
        <f>VLOOKUP("Condenação",'[2]Resolução de Disputas'!$A$11:$CI$53,CH46,0)+VLOOKUP("Penalidades/Irregularidades",'[2]Resolução de Disputas'!$A$11:$CI$53,CH46,0)</f>
        <v>0</v>
      </c>
      <c r="CI22" s="117">
        <f>VLOOKUP("Condenação",'[2]Resolução de Disputas'!$A$11:$CI$53,CI46,0)+VLOOKUP("Penalidades/Irregularidades",'[2]Resolução de Disputas'!$A$11:$CI$53,CI46,0)</f>
        <v>0</v>
      </c>
      <c r="CJ22" s="117">
        <f>VLOOKUP("Condenação",'[2]Resolução de Disputas'!$A$11:$CI$53,CJ46,0)+VLOOKUP("Penalidades/Irregularidades",'[2]Resolução de Disputas'!$A$11:$CI$53,CJ46,0)</f>
        <v>0</v>
      </c>
      <c r="CK22" s="117">
        <f>VLOOKUP("Condenação",'[2]Resolução de Disputas'!$A$11:$CI$53,CK46,0)+VLOOKUP("Penalidades/Irregularidades",'[2]Resolução de Disputas'!$A$11:$CI$53,CK46,0)</f>
        <v>0</v>
      </c>
      <c r="CL22" s="117">
        <f>VLOOKUP("Condenação",'[2]Resolução de Disputas'!$A$11:$CI$53,CL46,0)+VLOOKUP("Penalidades/Irregularidades",'[2]Resolução de Disputas'!$A$11:$CI$53,CL46,0)</f>
        <v>0</v>
      </c>
      <c r="CM22" s="117">
        <f>VLOOKUP("Condenação",'[2]Resolução de Disputas'!$A$11:$CI$53,CM46,0)+VLOOKUP("Penalidades/Irregularidades",'[2]Resolução de Disputas'!$A$11:$CI$53,CM46,0)</f>
        <v>0</v>
      </c>
      <c r="CN22" s="117">
        <f>VLOOKUP("Condenação",'[2]Resolução de Disputas'!$A$11:$CI$53,CN46,0)+VLOOKUP("Penalidades/Irregularidades",'[2]Resolução de Disputas'!$A$11:$CI$53,CN46,0)</f>
        <v>0</v>
      </c>
      <c r="CO22" s="117">
        <f>VLOOKUP("Condenação",'[2]Resolução de Disputas'!$A$11:$CI$53,CO46,0)+VLOOKUP("Penalidades/Irregularidades",'[2]Resolução de Disputas'!$A$11:$CI$53,CO46,0)</f>
        <v>0</v>
      </c>
      <c r="CP22">
        <f t="shared" si="6"/>
        <v>0</v>
      </c>
    </row>
    <row r="23" spans="1:94" x14ac:dyDescent="0.2">
      <c r="A23" s="408" t="s">
        <v>620</v>
      </c>
      <c r="B23" s="408" t="s">
        <v>620</v>
      </c>
      <c r="C23">
        <v>1452.23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s="42">
        <v>0</v>
      </c>
      <c r="Y23">
        <v>0</v>
      </c>
      <c r="Z23">
        <v>0</v>
      </c>
      <c r="AA23">
        <v>0</v>
      </c>
      <c r="AB23">
        <v>0</v>
      </c>
      <c r="AC23">
        <f t="shared" si="10"/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f t="shared" si="7"/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f t="shared" si="8"/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f t="shared" si="9"/>
        <v>0</v>
      </c>
      <c r="BQ23" s="90">
        <v>0</v>
      </c>
      <c r="BR23" s="90">
        <v>0</v>
      </c>
      <c r="BS23" s="90">
        <v>0</v>
      </c>
      <c r="BT23" s="90">
        <v>0</v>
      </c>
      <c r="BU23" s="90">
        <v>0</v>
      </c>
      <c r="BV23" s="90">
        <v>0</v>
      </c>
      <c r="BW23" s="90">
        <v>0</v>
      </c>
      <c r="BX23" s="90">
        <v>0</v>
      </c>
      <c r="BY23" s="90">
        <v>0</v>
      </c>
      <c r="BZ23" s="90">
        <v>0</v>
      </c>
      <c r="CA23" s="90">
        <v>0</v>
      </c>
      <c r="CB23" s="90">
        <v>0</v>
      </c>
      <c r="CC23">
        <f t="shared" si="11"/>
        <v>0</v>
      </c>
      <c r="CD23" s="90">
        <v>0</v>
      </c>
      <c r="CE23" s="90">
        <v>0</v>
      </c>
      <c r="CF23" s="90">
        <v>0</v>
      </c>
      <c r="CG23" s="90">
        <v>0</v>
      </c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0</v>
      </c>
      <c r="CN23" s="90">
        <v>0</v>
      </c>
      <c r="CO23" s="90">
        <v>0</v>
      </c>
      <c r="CP23">
        <f t="shared" si="6"/>
        <v>0</v>
      </c>
    </row>
    <row r="24" spans="1:94" x14ac:dyDescent="0.2">
      <c r="A24" s="408" t="s">
        <v>621</v>
      </c>
      <c r="B24" s="408" t="s">
        <v>621</v>
      </c>
      <c r="C24">
        <v>1120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s="42">
        <v>0</v>
      </c>
      <c r="Y24">
        <v>0</v>
      </c>
      <c r="Z24">
        <v>0</v>
      </c>
      <c r="AA24">
        <v>0</v>
      </c>
      <c r="AB24">
        <v>0</v>
      </c>
      <c r="AC24">
        <f t="shared" si="10"/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f t="shared" si="7"/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f t="shared" si="8"/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f t="shared" si="9"/>
        <v>0</v>
      </c>
      <c r="BQ24" s="90">
        <v>0</v>
      </c>
      <c r="BR24" s="90">
        <v>0</v>
      </c>
      <c r="BS24" s="90">
        <v>0</v>
      </c>
      <c r="BT24" s="90">
        <v>0</v>
      </c>
      <c r="BU24" s="90">
        <v>0</v>
      </c>
      <c r="BV24" s="90">
        <v>0</v>
      </c>
      <c r="BW24" s="90">
        <v>0</v>
      </c>
      <c r="BX24" s="90">
        <v>0</v>
      </c>
      <c r="BY24" s="90">
        <v>0</v>
      </c>
      <c r="BZ24" s="90">
        <v>0</v>
      </c>
      <c r="CA24" s="90">
        <v>0</v>
      </c>
      <c r="CB24" s="90">
        <v>0</v>
      </c>
      <c r="CC24">
        <f t="shared" si="11"/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0</v>
      </c>
      <c r="CI24" s="90">
        <v>0</v>
      </c>
      <c r="CJ24" s="90">
        <v>0</v>
      </c>
      <c r="CK24" s="90">
        <v>0</v>
      </c>
      <c r="CL24" s="90">
        <v>0</v>
      </c>
      <c r="CM24" s="90">
        <v>0</v>
      </c>
      <c r="CN24" s="90">
        <v>0</v>
      </c>
      <c r="CO24" s="90">
        <v>0</v>
      </c>
      <c r="CP24">
        <f t="shared" si="6"/>
        <v>0</v>
      </c>
    </row>
    <row r="25" spans="1:94" x14ac:dyDescent="0.2">
      <c r="A25" s="408" t="s">
        <v>622</v>
      </c>
      <c r="B25" s="408" t="s">
        <v>622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s="54">
        <v>0</v>
      </c>
      <c r="Y25">
        <v>0</v>
      </c>
      <c r="Z25">
        <v>0</v>
      </c>
      <c r="AA25">
        <v>0</v>
      </c>
      <c r="AB25">
        <v>0</v>
      </c>
      <c r="AC25">
        <f t="shared" si="10"/>
        <v>0</v>
      </c>
      <c r="AD25">
        <v>1670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f t="shared" si="7"/>
        <v>1670</v>
      </c>
      <c r="AQ25" s="117">
        <v>0</v>
      </c>
      <c r="AR25" s="117">
        <v>0</v>
      </c>
      <c r="AS25" s="117">
        <v>0</v>
      </c>
      <c r="AT25" s="117">
        <v>0</v>
      </c>
      <c r="AU25" s="117">
        <v>0</v>
      </c>
      <c r="AV25" s="117">
        <v>0</v>
      </c>
      <c r="AW25" s="117">
        <v>0</v>
      </c>
      <c r="AX25" s="117">
        <v>0</v>
      </c>
      <c r="AY25" s="117">
        <v>0</v>
      </c>
      <c r="AZ25" s="117">
        <v>0</v>
      </c>
      <c r="BA25" s="117">
        <v>0</v>
      </c>
      <c r="BB25" s="117">
        <v>0</v>
      </c>
      <c r="BC25">
        <f t="shared" si="8"/>
        <v>0</v>
      </c>
      <c r="BD25" s="117">
        <v>0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0</v>
      </c>
      <c r="BL25" s="117">
        <v>0</v>
      </c>
      <c r="BM25" s="117">
        <v>0</v>
      </c>
      <c r="BN25" s="117">
        <v>0</v>
      </c>
      <c r="BO25" s="117">
        <v>0</v>
      </c>
      <c r="BP25">
        <f t="shared" si="9"/>
        <v>0</v>
      </c>
      <c r="BQ25" s="117">
        <v>0</v>
      </c>
      <c r="BR25" s="117">
        <v>4000</v>
      </c>
      <c r="BS25" s="117">
        <v>-444</v>
      </c>
      <c r="BT25" s="117">
        <v>-444</v>
      </c>
      <c r="BU25" s="117">
        <v>-444</v>
      </c>
      <c r="BV25" s="117">
        <v>-444</v>
      </c>
      <c r="BW25" s="117">
        <v>-444</v>
      </c>
      <c r="BX25" s="117">
        <v>-444</v>
      </c>
      <c r="BY25" s="117">
        <v>-444</v>
      </c>
      <c r="BZ25" s="117">
        <v>-444</v>
      </c>
      <c r="CA25" s="117">
        <v>0</v>
      </c>
      <c r="CB25" s="117">
        <v>0</v>
      </c>
      <c r="CC25">
        <f t="shared" si="11"/>
        <v>448</v>
      </c>
      <c r="CD25" s="117">
        <f>VLOOKUP("Condenação",[2]Enel!$A$12:$CH$54,CD46,0)+VLOOKUP("Penalidades/Irregularidades",[2]Enel!$A$12:$CH$54,CD46,0)</f>
        <v>0</v>
      </c>
      <c r="CE25" s="117">
        <f>VLOOKUP("Condenação",[2]Enel!$A$12:$CH$54,CE46,0)+VLOOKUP("Penalidades/Irregularidades",[2]Enel!$A$12:$CH$54,CE46,0)</f>
        <v>0</v>
      </c>
      <c r="CF25" s="117">
        <f>VLOOKUP("Condenação",[2]Enel!$A$12:$CH$54,CF46,0)+VLOOKUP("Penalidades/Irregularidades",[2]Enel!$A$12:$CH$54,CF46,0)</f>
        <v>0</v>
      </c>
      <c r="CG25" s="117">
        <f>VLOOKUP("Condenação",[2]Enel!$A$12:$CH$54,CG46,0)+VLOOKUP("Penalidades/Irregularidades",[2]Enel!$A$12:$CH$54,CG46,0)</f>
        <v>0</v>
      </c>
      <c r="CH25" s="117">
        <f>VLOOKUP("Condenação",[2]Enel!$A$12:$CH$54,CH46,0)+VLOOKUP("Penalidades/Irregularidades",[2]Enel!$A$12:$CH$54,CH46,0)</f>
        <v>0</v>
      </c>
      <c r="CI25" s="117">
        <f>VLOOKUP("Condenação",[2]Enel!$A$12:$CH$54,CI46,0)+VLOOKUP("Penalidades/Irregularidades",[2]Enel!$A$12:$CH$54,CI46,0)</f>
        <v>0</v>
      </c>
      <c r="CJ25" s="117">
        <f>VLOOKUP("Condenação",[2]Enel!$A$12:$CH$54,CJ46,0)+VLOOKUP("Penalidades/Irregularidades",[2]Enel!$A$12:$CH$54,CJ46,0)</f>
        <v>0</v>
      </c>
      <c r="CK25" s="117">
        <f>VLOOKUP("Condenação",[2]Enel!$A$12:$CH$54,CK46,0)+VLOOKUP("Penalidades/Irregularidades",[2]Enel!$A$12:$CH$54,CK46,0)</f>
        <v>0</v>
      </c>
      <c r="CL25" s="117">
        <f>VLOOKUP("Condenação",[2]Enel!$A$12:$CH$54,CL46,0)+VLOOKUP("Penalidades/Irregularidades",[2]Enel!$A$12:$CH$54,CL46,0)</f>
        <v>0</v>
      </c>
      <c r="CM25" s="117">
        <f>VLOOKUP("Condenação",[2]Enel!$A$12:$CH$54,CM46,0)+VLOOKUP("Penalidades/Irregularidades",[2]Enel!$A$12:$CH$54,CM46,0)</f>
        <v>0</v>
      </c>
      <c r="CN25" s="117">
        <f>VLOOKUP("Condenação",[2]Enel!$A$12:$CH$54,CN46,0)+VLOOKUP("Penalidades/Irregularidades",[2]Enel!$A$12:$CH$54,CN46,0)</f>
        <v>0</v>
      </c>
      <c r="CO25" s="117">
        <f>VLOOKUP("Condenação",[2]Enel!$A$12:$CH$54,CO46,0)+VLOOKUP("Penalidades/Irregularidades",[2]Enel!$A$12:$CH$54,CO46,0)</f>
        <v>0</v>
      </c>
      <c r="CP25">
        <f t="shared" si="6"/>
        <v>0</v>
      </c>
    </row>
    <row r="26" spans="1:94" x14ac:dyDescent="0.2">
      <c r="A26" s="408" t="s">
        <v>412</v>
      </c>
      <c r="B26" s="408" t="s">
        <v>412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s="54">
        <v>0</v>
      </c>
      <c r="Y26">
        <v>0</v>
      </c>
      <c r="Z26">
        <v>0</v>
      </c>
      <c r="AA26">
        <v>0</v>
      </c>
      <c r="AB26">
        <v>0</v>
      </c>
      <c r="AC26">
        <f t="shared" si="10"/>
        <v>0</v>
      </c>
      <c r="AD26">
        <v>0</v>
      </c>
      <c r="AE26">
        <v>0</v>
      </c>
      <c r="AF26">
        <v>0</v>
      </c>
      <c r="AG26">
        <v>0</v>
      </c>
      <c r="AH26">
        <v>9993.1200000000008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12823.1</v>
      </c>
      <c r="AO26">
        <v>0</v>
      </c>
      <c r="AP26">
        <f t="shared" si="7"/>
        <v>22816.22</v>
      </c>
      <c r="AQ26" s="117">
        <v>0</v>
      </c>
      <c r="AR26" s="117">
        <v>0</v>
      </c>
      <c r="AS26" s="117">
        <v>0</v>
      </c>
      <c r="AT26" s="117">
        <v>0</v>
      </c>
      <c r="AU26" s="117">
        <v>0</v>
      </c>
      <c r="AV26" s="117">
        <v>0</v>
      </c>
      <c r="AW26" s="117">
        <v>0</v>
      </c>
      <c r="AX26" s="117">
        <v>0</v>
      </c>
      <c r="AY26" s="117">
        <v>0</v>
      </c>
      <c r="AZ26" s="117">
        <v>0</v>
      </c>
      <c r="BA26" s="117">
        <v>0</v>
      </c>
      <c r="BB26" s="117">
        <v>0</v>
      </c>
      <c r="BC26">
        <f t="shared" si="8"/>
        <v>0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117">
        <v>0</v>
      </c>
      <c r="BJ26" s="117">
        <v>0</v>
      </c>
      <c r="BK26" s="117">
        <v>0</v>
      </c>
      <c r="BL26" s="117">
        <v>0</v>
      </c>
      <c r="BM26" s="117">
        <v>0</v>
      </c>
      <c r="BN26" s="117">
        <v>0</v>
      </c>
      <c r="BO26" s="117">
        <v>0</v>
      </c>
      <c r="BP26">
        <f t="shared" si="9"/>
        <v>0</v>
      </c>
      <c r="BQ26" s="117">
        <v>675.71</v>
      </c>
      <c r="BR26" s="117">
        <v>222.52</v>
      </c>
      <c r="BS26" s="117">
        <v>0</v>
      </c>
      <c r="BT26" s="117">
        <v>0</v>
      </c>
      <c r="BU26" s="117">
        <v>0</v>
      </c>
      <c r="BV26" s="117">
        <v>0</v>
      </c>
      <c r="BW26" s="117">
        <v>82.59</v>
      </c>
      <c r="BX26" s="117">
        <v>548.64</v>
      </c>
      <c r="BY26" s="117">
        <v>0</v>
      </c>
      <c r="BZ26" s="117">
        <v>0</v>
      </c>
      <c r="CA26" s="117">
        <v>0</v>
      </c>
      <c r="CB26" s="117">
        <v>0</v>
      </c>
      <c r="CC26">
        <f t="shared" si="11"/>
        <v>1529.46</v>
      </c>
      <c r="CD26" s="117">
        <f>VLOOKUP("Condenação",[2]Itaú!$A$11:$CH$49,CD46,0)+VLOOKUP("Penalidades/Irregularidades",[2]Itaú!$A$11:$CH$49,CD46,0)+VLOOKUP("Condenação",[2]Itaú!$A$65:$CH$101,CD46,0)+VLOOKUP("Penalidades/Irregularidades",[2]Itaú!$A$65:$CH$101,CD46,0)+VLOOKUP("Condenação",[2]Itaú!$A$117:$CH$153,CD46,0)+VLOOKUP("Penalidades/Irregularidades",[2]Itaú!$A$117:$CH$153,CD46,0)</f>
        <v>0</v>
      </c>
      <c r="CE26" s="117">
        <f>VLOOKUP("Condenação",[2]Itaú!$A$11:$CH$49,CE46,0)+VLOOKUP("Penalidades/Irregularidades",[2]Itaú!$A$11:$CH$49,CE46,0)+VLOOKUP("Condenação",[2]Itaú!$A$65:$CH$101,CE46,0)+VLOOKUP("Penalidades/Irregularidades",[2]Itaú!$A$65:$CH$101,CE46,0)+VLOOKUP("Condenação",[2]Itaú!$A$117:$CH$153,CE46,0)+VLOOKUP("Penalidades/Irregularidades",[2]Itaú!$A$117:$CH$153,CE46,0)</f>
        <v>0</v>
      </c>
      <c r="CF26" s="117">
        <f>VLOOKUP("Condenação",[2]Itaú!$A$11:$CH$49,CF46,0)+VLOOKUP("Penalidades/Irregularidades",[2]Itaú!$A$11:$CH$49,CF46,0)+VLOOKUP("Condenação",[2]Itaú!$A$65:$CH$101,CF46,0)+VLOOKUP("Penalidades/Irregularidades",[2]Itaú!$A$65:$CH$101,CF46,0)+VLOOKUP("Condenação",[2]Itaú!$A$117:$CH$153,CF46,0)+VLOOKUP("Penalidades/Irregularidades",[2]Itaú!$A$117:$CH$153,CF46,0)</f>
        <v>0</v>
      </c>
      <c r="CG26" s="117">
        <f>VLOOKUP("Condenação",[2]Itaú!$A$11:$CH$49,CG46,0)+VLOOKUP("Penalidades/Irregularidades",[2]Itaú!$A$11:$CH$49,CG46,0)+VLOOKUP("Condenação",[2]Itaú!$A$65:$CH$101,CG46,0)+VLOOKUP("Penalidades/Irregularidades",[2]Itaú!$A$65:$CH$101,CG46,0)+VLOOKUP("Condenação",[2]Itaú!$A$117:$CH$153,CG46,0)+VLOOKUP("Penalidades/Irregularidades",[2]Itaú!$A$117:$CH$153,CG46,0)</f>
        <v>0</v>
      </c>
      <c r="CH26" s="117">
        <f>VLOOKUP("Condenação",[2]Itaú!$A$11:$CH$49,CH46,0)+VLOOKUP("Penalidades/Irregularidades",[2]Itaú!$A$11:$CH$49,CH46,0)+VLOOKUP("Condenação",[2]Itaú!$A$65:$CH$101,CH46,0)+VLOOKUP("Penalidades/Irregularidades",[2]Itaú!$A$65:$CH$101,CH46,0)+VLOOKUP("Condenação",[2]Itaú!$A$117:$CH$153,CH46,0)+VLOOKUP("Penalidades/Irregularidades",[2]Itaú!$A$117:$CH$153,CH46,0)</f>
        <v>0</v>
      </c>
      <c r="CI26" s="117">
        <f>VLOOKUP("Condenação",[2]Itaú!$A$11:$CH$49,CI46,0)+VLOOKUP("Penalidades/Irregularidades",[2]Itaú!$A$11:$CH$49,CI46,0)+VLOOKUP("Condenação",[2]Itaú!$A$65:$CH$101,CI46,0)+VLOOKUP("Penalidades/Irregularidades",[2]Itaú!$A$65:$CH$101,CI46,0)+VLOOKUP("Condenação",[2]Itaú!$A$117:$CH$153,CI46,0)+VLOOKUP("Penalidades/Irregularidades",[2]Itaú!$A$117:$CH$153,CI46,0)</f>
        <v>0</v>
      </c>
      <c r="CJ26" s="117">
        <f>VLOOKUP("Condenação",[2]Itaú!$A$11:$CH$49,CJ46,0)+VLOOKUP("Penalidades/Irregularidades",[2]Itaú!$A$11:$CH$49,CJ46,0)+VLOOKUP("Condenação",[2]Itaú!$A$65:$CH$101,CJ46,0)+VLOOKUP("Penalidades/Irregularidades",[2]Itaú!$A$65:$CH$101,CJ46,0)+VLOOKUP("Condenação",[2]Itaú!$A$117:$CH$153,CJ46,0)+VLOOKUP("Penalidades/Irregularidades",[2]Itaú!$A$117:$CH$153,CJ46,0)</f>
        <v>0</v>
      </c>
      <c r="CK26" s="117">
        <f>VLOOKUP("Condenação",[2]Itaú!$A$11:$CH$49,CK46,0)+VLOOKUP("Penalidades/Irregularidades",[2]Itaú!$A$11:$CH$49,CK46,0)+VLOOKUP("Condenação",[2]Itaú!$A$65:$CH$101,CK46,0)+VLOOKUP("Penalidades/Irregularidades",[2]Itaú!$A$65:$CH$101,CK46,0)+VLOOKUP("Condenação",[2]Itaú!$A$117:$CH$153,CK46,0)+VLOOKUP("Penalidades/Irregularidades",[2]Itaú!$A$117:$CH$153,CK46,0)</f>
        <v>0</v>
      </c>
      <c r="CL26" s="117">
        <f>VLOOKUP("Condenação",[2]Itaú!$A$11:$CH$49,CL46,0)+VLOOKUP("Penalidades/Irregularidades",[2]Itaú!$A$11:$CH$49,CL46,0)+VLOOKUP("Condenação",[2]Itaú!$A$65:$CH$101,CL46,0)+VLOOKUP("Penalidades/Irregularidades",[2]Itaú!$A$65:$CH$101,CL46,0)+VLOOKUP("Condenação",[2]Itaú!$A$117:$CH$153,CL46,0)+VLOOKUP("Penalidades/Irregularidades",[2]Itaú!$A$117:$CH$153,CL46,0)</f>
        <v>0</v>
      </c>
      <c r="CM26" s="117">
        <f>VLOOKUP("Condenação",[2]Itaú!$A$11:$CH$49,CM46,0)+VLOOKUP("Penalidades/Irregularidades",[2]Itaú!$A$11:$CH$49,CM46,0)+VLOOKUP("Condenação",[2]Itaú!$A$65:$CH$101,CM46,0)+VLOOKUP("Penalidades/Irregularidades",[2]Itaú!$A$65:$CH$101,CM46,0)+VLOOKUP("Condenação",[2]Itaú!$A$117:$CH$153,CM46,0)+VLOOKUP("Penalidades/Irregularidades",[2]Itaú!$A$117:$CH$153,CM46,0)</f>
        <v>0</v>
      </c>
      <c r="CN26" s="117">
        <f>VLOOKUP("Condenação",[2]Itaú!$A$11:$CH$49,CN46,0)+VLOOKUP("Penalidades/Irregularidades",[2]Itaú!$A$11:$CH$49,CN46,0)+VLOOKUP("Condenação",[2]Itaú!$A$65:$CH$101,CN46,0)+VLOOKUP("Penalidades/Irregularidades",[2]Itaú!$A$65:$CH$101,CN46,0)+VLOOKUP("Condenação",[2]Itaú!$A$117:$CH$153,CN46,0)+VLOOKUP("Penalidades/Irregularidades",[2]Itaú!$A$117:$CH$153,CN46,0)</f>
        <v>0</v>
      </c>
      <c r="CO26" s="117">
        <f>VLOOKUP("Condenação",[2]Itaú!$A$11:$CH$49,CO46,0)+VLOOKUP("Penalidades/Irregularidades",[2]Itaú!$A$11:$CH$49,CO46,0)+VLOOKUP("Condenação",[2]Itaú!$A$65:$CH$101,CO46,0)+VLOOKUP("Penalidades/Irregularidades",[2]Itaú!$A$65:$CH$101,CO46,0)+VLOOKUP("Condenação",[2]Itaú!$A$117:$CH$153,CO46,0)+VLOOKUP("Penalidades/Irregularidades",[2]Itaú!$A$117:$CH$153,CO46,0)</f>
        <v>0</v>
      </c>
      <c r="CP26">
        <f t="shared" si="6"/>
        <v>0</v>
      </c>
    </row>
    <row r="27" spans="1:94" x14ac:dyDescent="0.2">
      <c r="A27" s="408" t="s">
        <v>419</v>
      </c>
      <c r="B27" s="408" t="s">
        <v>419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10"/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f t="shared" si="7"/>
        <v>0</v>
      </c>
      <c r="AQ27" s="117">
        <v>0</v>
      </c>
      <c r="AR27" s="117">
        <v>0</v>
      </c>
      <c r="AS27" s="117">
        <v>0</v>
      </c>
      <c r="AT27" s="117">
        <v>0</v>
      </c>
      <c r="AU27" s="117">
        <v>0</v>
      </c>
      <c r="AV27" s="117">
        <v>0</v>
      </c>
      <c r="AW27" s="117">
        <v>0</v>
      </c>
      <c r="AX27" s="117">
        <v>0</v>
      </c>
      <c r="AY27" s="117">
        <v>0</v>
      </c>
      <c r="AZ27" s="117">
        <v>0</v>
      </c>
      <c r="BA27" s="117">
        <v>0</v>
      </c>
      <c r="BB27" s="117">
        <v>0</v>
      </c>
      <c r="BC27">
        <f t="shared" si="8"/>
        <v>0</v>
      </c>
      <c r="BD27" s="117">
        <v>0</v>
      </c>
      <c r="BE27" s="117">
        <v>0</v>
      </c>
      <c r="BF27" s="117">
        <v>0</v>
      </c>
      <c r="BG27" s="117">
        <v>0</v>
      </c>
      <c r="BH27" s="117">
        <v>0</v>
      </c>
      <c r="BI27" s="117">
        <v>0</v>
      </c>
      <c r="BJ27" s="117">
        <v>0</v>
      </c>
      <c r="BK27" s="117">
        <v>0</v>
      </c>
      <c r="BL27" s="117">
        <v>0</v>
      </c>
      <c r="BM27" s="117">
        <v>21281.66</v>
      </c>
      <c r="BN27" s="117">
        <v>0</v>
      </c>
      <c r="BO27" s="117">
        <v>0</v>
      </c>
      <c r="BP27">
        <f t="shared" si="9"/>
        <v>21281.66</v>
      </c>
      <c r="BQ27" s="117">
        <v>0</v>
      </c>
      <c r="BR27" s="117">
        <v>0</v>
      </c>
      <c r="BS27" s="117">
        <v>0</v>
      </c>
      <c r="BT27" s="117">
        <v>0</v>
      </c>
      <c r="BU27" s="117">
        <v>0</v>
      </c>
      <c r="BV27" s="117">
        <v>0</v>
      </c>
      <c r="BW27" s="117">
        <v>0</v>
      </c>
      <c r="BX27" s="117">
        <v>0</v>
      </c>
      <c r="BY27" s="117">
        <v>0</v>
      </c>
      <c r="BZ27" s="117">
        <v>0</v>
      </c>
      <c r="CA27" s="117">
        <v>0</v>
      </c>
      <c r="CB27" s="117">
        <v>0</v>
      </c>
      <c r="CC27">
        <f t="shared" si="11"/>
        <v>0</v>
      </c>
      <c r="CD27" s="117">
        <f>VLOOKUP("Condenação",[2]MadeiraMadeira!$A$11:$CH$80,CD46,0)+VLOOKUP("Penalidades/Irregularidades",[2]MadeiraMadeira!$A$11:$CH$80,CD46,0)</f>
        <v>0</v>
      </c>
      <c r="CE27" s="117">
        <f>VLOOKUP("Condenação",[2]MadeiraMadeira!$A$11:$CH$80,CE46,0)+VLOOKUP("Penalidades/Irregularidades",[2]MadeiraMadeira!$A$11:$CH$80,CE46,0)</f>
        <v>0</v>
      </c>
      <c r="CF27" s="117">
        <f>VLOOKUP("Condenação",[2]MadeiraMadeira!$A$11:$CH$80,CF46,0)+VLOOKUP("Penalidades/Irregularidades",[2]MadeiraMadeira!$A$11:$CH$80,CF46,0)</f>
        <v>0</v>
      </c>
      <c r="CG27" s="117">
        <f>VLOOKUP("Condenação",[2]MadeiraMadeira!$A$11:$CH$80,CG46,0)+VLOOKUP("Penalidades/Irregularidades",[2]MadeiraMadeira!$A$11:$CH$80,CG46,0)</f>
        <v>0</v>
      </c>
      <c r="CH27" s="117">
        <f>VLOOKUP("Condenação",[2]MadeiraMadeira!$A$11:$CH$80,CH46,0)+VLOOKUP("Penalidades/Irregularidades",[2]MadeiraMadeira!$A$11:$CH$80,CH46,0)</f>
        <v>0</v>
      </c>
      <c r="CI27" s="117">
        <f>VLOOKUP("Condenação",[2]MadeiraMadeira!$A$11:$CH$80,CI46,0)+VLOOKUP("Penalidades/Irregularidades",[2]MadeiraMadeira!$A$11:$CH$80,CI46,0)</f>
        <v>0</v>
      </c>
      <c r="CJ27" s="117">
        <f>VLOOKUP("Condenação",[2]MadeiraMadeira!$A$11:$CH$80,CJ46,0)+VLOOKUP("Penalidades/Irregularidades",[2]MadeiraMadeira!$A$11:$CH$80,CJ46,0)</f>
        <v>0</v>
      </c>
      <c r="CK27" s="117">
        <f>VLOOKUP("Condenação",[2]MadeiraMadeira!$A$11:$CH$80,CK46,0)+VLOOKUP("Penalidades/Irregularidades",[2]MadeiraMadeira!$A$11:$CH$80,CK46,0)</f>
        <v>0</v>
      </c>
      <c r="CL27" s="117">
        <f>VLOOKUP("Condenação",[2]MadeiraMadeira!$A$11:$CH$80,CL46,0)+VLOOKUP("Penalidades/Irregularidades",[2]MadeiraMadeira!$A$11:$CH$80,CL46,0)</f>
        <v>0</v>
      </c>
      <c r="CM27" s="117">
        <f>VLOOKUP("Condenação",[2]MadeiraMadeira!$A$11:$CH$80,CM46,0)+VLOOKUP("Penalidades/Irregularidades",[2]MadeiraMadeira!$A$11:$CH$80,CM46,0)</f>
        <v>0</v>
      </c>
      <c r="CN27" s="117">
        <f>VLOOKUP("Condenação",[2]MadeiraMadeira!$A$11:$CH$80,CN46,0)+VLOOKUP("Penalidades/Irregularidades",[2]MadeiraMadeira!$A$11:$CH$80,CN46,0)</f>
        <v>0</v>
      </c>
      <c r="CO27" s="117">
        <f>VLOOKUP("Condenação",[2]MadeiraMadeira!$A$11:$CH$80,CO46,0)+VLOOKUP("Penalidades/Irregularidades",[2]MadeiraMadeira!$A$11:$CH$80,CO46,0)</f>
        <v>0</v>
      </c>
      <c r="CP27">
        <f t="shared" si="6"/>
        <v>0</v>
      </c>
    </row>
    <row r="28" spans="1:94" x14ac:dyDescent="0.2">
      <c r="A28" s="408" t="s">
        <v>423</v>
      </c>
      <c r="B28" s="408" t="s">
        <v>423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10"/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f t="shared" si="7"/>
        <v>0</v>
      </c>
      <c r="AQ28" s="117">
        <v>0</v>
      </c>
      <c r="AR28" s="117">
        <v>0</v>
      </c>
      <c r="AS28" s="117">
        <v>0</v>
      </c>
      <c r="AT28" s="117">
        <v>0</v>
      </c>
      <c r="AU28" s="117">
        <v>0</v>
      </c>
      <c r="AV28" s="117">
        <v>0</v>
      </c>
      <c r="AW28" s="117">
        <v>0</v>
      </c>
      <c r="AX28" s="117">
        <v>0</v>
      </c>
      <c r="AY28" s="117">
        <v>0</v>
      </c>
      <c r="AZ28" s="117">
        <v>0</v>
      </c>
      <c r="BA28" s="117">
        <v>0</v>
      </c>
      <c r="BB28" s="117">
        <v>0</v>
      </c>
      <c r="BC28">
        <f t="shared" si="8"/>
        <v>0</v>
      </c>
      <c r="BD28" s="117">
        <v>0</v>
      </c>
      <c r="BE28" s="117">
        <v>0</v>
      </c>
      <c r="BF28" s="117">
        <v>0</v>
      </c>
      <c r="BG28" s="117">
        <v>0</v>
      </c>
      <c r="BH28" s="117">
        <v>0</v>
      </c>
      <c r="BI28" s="117">
        <v>0</v>
      </c>
      <c r="BJ28" s="117">
        <v>0</v>
      </c>
      <c r="BK28" s="117">
        <v>0</v>
      </c>
      <c r="BL28" s="117">
        <v>0</v>
      </c>
      <c r="BM28" s="117">
        <v>0</v>
      </c>
      <c r="BN28" s="117">
        <v>0</v>
      </c>
      <c r="BO28" s="117">
        <v>0</v>
      </c>
      <c r="BP28">
        <f t="shared" si="9"/>
        <v>0</v>
      </c>
      <c r="BQ28" s="117">
        <v>0</v>
      </c>
      <c r="BR28" s="117">
        <v>0</v>
      </c>
      <c r="BS28" s="117">
        <v>0</v>
      </c>
      <c r="BT28" s="117">
        <v>0</v>
      </c>
      <c r="BU28" s="117">
        <v>0</v>
      </c>
      <c r="BV28" s="117">
        <v>0</v>
      </c>
      <c r="BW28" s="117">
        <v>0</v>
      </c>
      <c r="BX28" s="117">
        <v>0</v>
      </c>
      <c r="BY28" s="117">
        <v>0</v>
      </c>
      <c r="BZ28" s="117">
        <v>0</v>
      </c>
      <c r="CA28" s="117">
        <v>0</v>
      </c>
      <c r="CB28" s="117">
        <v>0</v>
      </c>
      <c r="CC28">
        <f t="shared" si="11"/>
        <v>0</v>
      </c>
      <c r="CD28" s="117">
        <f>VLOOKUP("Condenação",[2]Naturgy!$A$11:$CH$80,CD46,0)+VLOOKUP("Penalidades/Irregularidades",[2]Naturgy!$A$11:$CH$80,CD46,0)</f>
        <v>0</v>
      </c>
      <c r="CE28" s="117">
        <f>VLOOKUP("Condenação",[2]Naturgy!$A$11:$CH$80,CE46,0)+VLOOKUP("Penalidades/Irregularidades",[2]Naturgy!$A$11:$CH$80,CE46,0)</f>
        <v>0</v>
      </c>
      <c r="CF28" s="117">
        <f>VLOOKUP("Condenação",[2]Naturgy!$A$11:$CH$80,CF46,0)+VLOOKUP("Penalidades/Irregularidades",[2]Naturgy!$A$11:$CH$80,CF46,0)</f>
        <v>0</v>
      </c>
      <c r="CG28" s="117">
        <f>VLOOKUP("Condenação",[2]Naturgy!$A$11:$CH$80,CG46,0)+VLOOKUP("Penalidades/Irregularidades",[2]Naturgy!$A$11:$CH$80,CG46,0)</f>
        <v>0</v>
      </c>
      <c r="CH28" s="117">
        <f>VLOOKUP("Condenação",[2]Naturgy!$A$11:$CH$80,CH46,0)+VLOOKUP("Penalidades/Irregularidades",[2]Naturgy!$A$11:$CH$80,CH46,0)</f>
        <v>0</v>
      </c>
      <c r="CI28" s="117">
        <f>VLOOKUP("Condenação",[2]Naturgy!$A$11:$CH$80,CI46,0)+VLOOKUP("Penalidades/Irregularidades",[2]Naturgy!$A$11:$CH$80,CI46,0)</f>
        <v>0</v>
      </c>
      <c r="CJ28" s="117">
        <f>VLOOKUP("Condenação",[2]Naturgy!$A$11:$CH$80,CJ46,0)+VLOOKUP("Penalidades/Irregularidades",[2]Naturgy!$A$11:$CH$80,CJ46,0)</f>
        <v>0</v>
      </c>
      <c r="CK28" s="117">
        <f>VLOOKUP("Condenação",[2]Naturgy!$A$11:$CH$80,CK46,0)+VLOOKUP("Penalidades/Irregularidades",[2]Naturgy!$A$11:$CH$80,CK46,0)</f>
        <v>0</v>
      </c>
      <c r="CL28" s="117">
        <f>VLOOKUP("Condenação",[2]Naturgy!$A$11:$CH$80,CL46,0)+VLOOKUP("Penalidades/Irregularidades",[2]Naturgy!$A$11:$CH$80,CL46,0)</f>
        <v>0</v>
      </c>
      <c r="CM28" s="117">
        <f>VLOOKUP("Condenação",[2]Naturgy!$A$11:$CH$80,CM46,0)+VLOOKUP("Penalidades/Irregularidades",[2]Naturgy!$A$11:$CH$80,CM46,0)</f>
        <v>0</v>
      </c>
      <c r="CN28" s="117">
        <f>VLOOKUP("Condenação",[2]Naturgy!$A$11:$CH$80,CN46,0)+VLOOKUP("Penalidades/Irregularidades",[2]Naturgy!$A$11:$CH$80,CN46,0)</f>
        <v>0</v>
      </c>
      <c r="CO28" s="117">
        <f>VLOOKUP("Condenação",[2]Naturgy!$A$11:$CH$80,CO46,0)+VLOOKUP("Penalidades/Irregularidades",[2]Naturgy!$A$11:$CH$80,CO46,0)</f>
        <v>0</v>
      </c>
      <c r="CP28">
        <f t="shared" si="6"/>
        <v>0</v>
      </c>
    </row>
    <row r="29" spans="1:94" x14ac:dyDescent="0.2">
      <c r="A29" s="408" t="s">
        <v>623</v>
      </c>
      <c r="B29" s="408" t="s">
        <v>623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10"/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f t="shared" si="7"/>
        <v>0</v>
      </c>
      <c r="AQ29" s="117">
        <v>0</v>
      </c>
      <c r="AR29" s="117">
        <v>0</v>
      </c>
      <c r="AS29" s="117">
        <v>0</v>
      </c>
      <c r="AT29" s="117">
        <v>0</v>
      </c>
      <c r="AU29" s="117">
        <v>0</v>
      </c>
      <c r="AV29" s="117">
        <v>0</v>
      </c>
      <c r="AW29" s="117">
        <v>0</v>
      </c>
      <c r="AX29" s="117">
        <v>0</v>
      </c>
      <c r="AY29" s="117">
        <v>0</v>
      </c>
      <c r="AZ29" s="117">
        <v>0</v>
      </c>
      <c r="BA29" s="117">
        <v>0</v>
      </c>
      <c r="BB29" s="117">
        <v>0</v>
      </c>
      <c r="BC29">
        <f t="shared" si="8"/>
        <v>0</v>
      </c>
      <c r="BD29" s="117">
        <v>0</v>
      </c>
      <c r="BE29" s="117">
        <v>0</v>
      </c>
      <c r="BF29" s="117">
        <v>0</v>
      </c>
      <c r="BG29" s="117">
        <v>0</v>
      </c>
      <c r="BH29" s="117">
        <v>0</v>
      </c>
      <c r="BI29" s="117">
        <v>0</v>
      </c>
      <c r="BJ29" s="117">
        <v>0</v>
      </c>
      <c r="BK29" s="117">
        <v>0</v>
      </c>
      <c r="BL29" s="117">
        <v>0</v>
      </c>
      <c r="BM29" s="117">
        <v>0</v>
      </c>
      <c r="BN29" s="117">
        <v>0</v>
      </c>
      <c r="BO29" s="117">
        <v>0</v>
      </c>
      <c r="BP29">
        <f t="shared" si="9"/>
        <v>0</v>
      </c>
      <c r="BQ29" s="90">
        <v>0</v>
      </c>
      <c r="BR29" s="90">
        <v>0</v>
      </c>
      <c r="BS29" s="90">
        <v>0</v>
      </c>
      <c r="BT29" s="90">
        <v>0</v>
      </c>
      <c r="BU29" s="90">
        <v>0</v>
      </c>
      <c r="BV29" s="90">
        <v>0</v>
      </c>
      <c r="BW29" s="90">
        <v>0</v>
      </c>
      <c r="BX29" s="90">
        <v>0</v>
      </c>
      <c r="BY29" s="90">
        <v>0</v>
      </c>
      <c r="BZ29" s="90">
        <v>0</v>
      </c>
      <c r="CA29" s="90">
        <v>0</v>
      </c>
      <c r="CB29" s="90">
        <v>0</v>
      </c>
      <c r="CC29">
        <f t="shared" si="11"/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0</v>
      </c>
      <c r="CI29" s="90">
        <v>0</v>
      </c>
      <c r="CJ29" s="90">
        <v>0</v>
      </c>
      <c r="CK29" s="90">
        <v>0</v>
      </c>
      <c r="CL29" s="90">
        <v>0</v>
      </c>
      <c r="CM29" s="90">
        <v>0</v>
      </c>
      <c r="CN29" s="90">
        <v>0</v>
      </c>
      <c r="CO29" s="90">
        <v>0</v>
      </c>
      <c r="CP29">
        <f t="shared" si="6"/>
        <v>0</v>
      </c>
    </row>
    <row r="30" spans="1:94" x14ac:dyDescent="0.2">
      <c r="A30" s="408" t="s">
        <v>420</v>
      </c>
      <c r="B30" s="408" t="s">
        <v>420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10"/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f t="shared" si="7"/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f t="shared" si="8"/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f t="shared" si="9"/>
        <v>0</v>
      </c>
      <c r="BQ30" s="117">
        <v>0</v>
      </c>
      <c r="BR30" s="117">
        <v>0</v>
      </c>
      <c r="BS30" s="117">
        <v>0</v>
      </c>
      <c r="BT30" s="117">
        <v>0</v>
      </c>
      <c r="BU30" s="117">
        <v>0</v>
      </c>
      <c r="BV30" s="117">
        <v>0</v>
      </c>
      <c r="BW30" s="117">
        <v>0</v>
      </c>
      <c r="BX30" s="117">
        <v>0</v>
      </c>
      <c r="BY30" s="117">
        <v>0</v>
      </c>
      <c r="BZ30" s="117">
        <v>0</v>
      </c>
      <c r="CA30" s="117">
        <v>0</v>
      </c>
      <c r="CB30" s="117">
        <v>0</v>
      </c>
      <c r="CC30">
        <f t="shared" si="11"/>
        <v>0</v>
      </c>
      <c r="CD30" s="117">
        <f>VLOOKUP("Condenação",[2]MRS!$A$11:$CH$80,CD46,0)+VLOOKUP("Penalidades/Irregularidades",[2]MRS!$A$11:$CH$80,CD46,0)</f>
        <v>0</v>
      </c>
      <c r="CE30" s="117">
        <f>VLOOKUP("Condenação",[2]MRS!$A$11:$CH$80,CE46,0)+VLOOKUP("Penalidades/Irregularidades",[2]MRS!$A$11:$CH$80,CE46,0)</f>
        <v>0</v>
      </c>
      <c r="CF30" s="117">
        <f>VLOOKUP("Condenação",[2]MRS!$A$11:$CH$80,CF46,0)+VLOOKUP("Penalidades/Irregularidades",[2]MRS!$A$11:$CH$80,CF46,0)</f>
        <v>0</v>
      </c>
      <c r="CG30" s="117">
        <f>VLOOKUP("Condenação",[2]MRS!$A$11:$CH$80,CG46,0)+VLOOKUP("Penalidades/Irregularidades",[2]MRS!$A$11:$CH$80,CG46,0)</f>
        <v>0</v>
      </c>
      <c r="CH30" s="117">
        <f>VLOOKUP("Condenação",[2]MRS!$A$11:$CH$80,CH46,0)+VLOOKUP("Penalidades/Irregularidades",[2]MRS!$A$11:$CH$80,CH46,0)</f>
        <v>0</v>
      </c>
      <c r="CI30" s="117">
        <f>VLOOKUP("Condenação",[2]MRS!$A$11:$CH$80,CI46,0)+VLOOKUP("Penalidades/Irregularidades",[2]MRS!$A$11:$CH$80,CI46,0)</f>
        <v>0</v>
      </c>
      <c r="CJ30" s="117">
        <f>VLOOKUP("Condenação",[2]MRS!$A$11:$CH$80,CJ46,0)+VLOOKUP("Penalidades/Irregularidades",[2]MRS!$A$11:$CH$80,CJ46,0)</f>
        <v>0</v>
      </c>
      <c r="CK30" s="117">
        <f>VLOOKUP("Condenação",[2]MRS!$A$11:$CH$80,CK46,0)+VLOOKUP("Penalidades/Irregularidades",[2]MRS!$A$11:$CH$80,CK46,0)</f>
        <v>0</v>
      </c>
      <c r="CL30" s="117">
        <f>VLOOKUP("Condenação",[2]MRS!$A$11:$CH$80,CL46,0)+VLOOKUP("Penalidades/Irregularidades",[2]MRS!$A$11:$CH$80,CL46,0)</f>
        <v>0</v>
      </c>
      <c r="CM30" s="117">
        <f>VLOOKUP("Condenação",[2]MRS!$A$11:$CH$80,CM46,0)+VLOOKUP("Penalidades/Irregularidades",[2]MRS!$A$11:$CH$80,CM46,0)</f>
        <v>0</v>
      </c>
      <c r="CN30" s="117">
        <f>VLOOKUP("Condenação",[2]MRS!$A$11:$CH$80,CN46,0)+VLOOKUP("Penalidades/Irregularidades",[2]MRS!$A$11:$CH$80,CN46,0)</f>
        <v>0</v>
      </c>
      <c r="CO30" s="117">
        <f>VLOOKUP("Condenação",[2]MRS!$A$11:$CH$80,CO46,0)+VLOOKUP("Penalidades/Irregularidades",[2]MRS!$A$11:$CH$80,CO46,0)</f>
        <v>0</v>
      </c>
      <c r="CP30">
        <f t="shared" si="6"/>
        <v>0</v>
      </c>
    </row>
    <row r="31" spans="1:94" x14ac:dyDescent="0.2">
      <c r="A31" s="408" t="s">
        <v>624</v>
      </c>
      <c r="B31" s="408" t="s">
        <v>624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f t="shared" si="10"/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f t="shared" si="7"/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f t="shared" si="8"/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f t="shared" si="9"/>
        <v>0</v>
      </c>
      <c r="BQ31" s="117">
        <v>0</v>
      </c>
      <c r="BR31" s="117">
        <v>0</v>
      </c>
      <c r="BS31" s="117">
        <v>0</v>
      </c>
      <c r="BT31" s="117">
        <v>0</v>
      </c>
      <c r="BU31" s="117">
        <v>0</v>
      </c>
      <c r="BV31" s="117">
        <v>0</v>
      </c>
      <c r="BW31" s="117">
        <v>0</v>
      </c>
      <c r="BX31" s="117">
        <v>0</v>
      </c>
      <c r="BY31" s="117">
        <v>0</v>
      </c>
      <c r="BZ31" s="117">
        <v>0</v>
      </c>
      <c r="CA31" s="117">
        <v>0</v>
      </c>
      <c r="CB31" s="117">
        <v>0</v>
      </c>
      <c r="CC31">
        <f t="shared" si="11"/>
        <v>0</v>
      </c>
      <c r="CD31" s="117">
        <f>VLOOKUP("Condenação",[2]XS4!$A$11:$CH$80,CD46,0)+VLOOKUP("Penalidades/Irregularidades",[2]XS4!$A$11:$CH$80,CD46,0)</f>
        <v>0</v>
      </c>
      <c r="CE31" s="117">
        <f>VLOOKUP("Condenação",[2]XS4!$A$11:$CH$80,CE46,0)+VLOOKUP("Penalidades/Irregularidades",[2]XS4!$A$11:$CH$80,CE46,0)</f>
        <v>0</v>
      </c>
      <c r="CF31" s="117">
        <f>VLOOKUP("Condenação",[2]XS4!$A$11:$CH$80,CF46,0)+VLOOKUP("Penalidades/Irregularidades",[2]XS4!$A$11:$CH$80,CF46,0)</f>
        <v>0</v>
      </c>
      <c r="CG31" s="117">
        <f>VLOOKUP("Condenação",[2]XS4!$A$11:$CH$80,CG46,0)+VLOOKUP("Penalidades/Irregularidades",[2]XS4!$A$11:$CH$80,CG46,0)</f>
        <v>0</v>
      </c>
      <c r="CH31" s="117">
        <f>VLOOKUP("Condenação",[2]XS4!$A$11:$CH$80,CH46,0)+VLOOKUP("Penalidades/Irregularidades",[2]XS4!$A$11:$CH$80,CH46,0)</f>
        <v>0</v>
      </c>
      <c r="CI31" s="117">
        <f>VLOOKUP("Condenação",[2]XS4!$A$11:$CH$80,CI46,0)+VLOOKUP("Penalidades/Irregularidades",[2]XS4!$A$11:$CH$80,CI46,0)</f>
        <v>0</v>
      </c>
      <c r="CJ31" s="117">
        <f>VLOOKUP("Condenação",[2]XS4!$A$11:$CH$80,CJ46,0)+VLOOKUP("Penalidades/Irregularidades",[2]XS4!$A$11:$CH$80,CJ46,0)</f>
        <v>0</v>
      </c>
      <c r="CK31" s="117">
        <f>VLOOKUP("Condenação",[2]XS4!$A$11:$CH$80,CK46,0)+VLOOKUP("Penalidades/Irregularidades",[2]XS4!$A$11:$CH$80,CK46,0)</f>
        <v>0</v>
      </c>
      <c r="CL31" s="117">
        <f>VLOOKUP("Condenação",[2]XS4!$A$11:$CH$80,CL46,0)+VLOOKUP("Penalidades/Irregularidades",[2]XS4!$A$11:$CH$80,CL46,0)</f>
        <v>0</v>
      </c>
      <c r="CM31" s="117">
        <f>VLOOKUP("Condenação",[2]XS4!$A$11:$CH$80,CM46,0)+VLOOKUP("Penalidades/Irregularidades",[2]XS4!$A$11:$CH$80,CM46,0)</f>
        <v>0</v>
      </c>
      <c r="CN31" s="117">
        <f>VLOOKUP("Condenação",[2]XS4!$A$11:$CH$80,CN46,0)+VLOOKUP("Penalidades/Irregularidades",[2]XS4!$A$11:$CH$80,CN46,0)</f>
        <v>0</v>
      </c>
      <c r="CO31" s="117">
        <f>VLOOKUP("Condenação",[2]XS4!$A$11:$CH$80,CO46,0)+VLOOKUP("Penalidades/Irregularidades",[2]XS4!$A$11:$CH$80,CO46,0)</f>
        <v>0</v>
      </c>
      <c r="CP31">
        <f t="shared" si="6"/>
        <v>0</v>
      </c>
    </row>
    <row r="32" spans="1:94" x14ac:dyDescent="0.2">
      <c r="A32" s="408" t="s">
        <v>625</v>
      </c>
      <c r="B32" s="408" t="s">
        <v>625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10"/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f t="shared" si="7"/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f t="shared" si="8"/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f t="shared" si="9"/>
        <v>0</v>
      </c>
      <c r="BQ32" s="117">
        <v>0</v>
      </c>
      <c r="BR32" s="117">
        <v>0</v>
      </c>
      <c r="BS32" s="117">
        <v>0</v>
      </c>
      <c r="BT32" s="117">
        <v>0</v>
      </c>
      <c r="BU32" s="117">
        <v>0</v>
      </c>
      <c r="BV32" s="117">
        <v>0</v>
      </c>
      <c r="BW32" s="117">
        <v>0</v>
      </c>
      <c r="BX32" s="117">
        <v>0</v>
      </c>
      <c r="BY32" s="117">
        <v>0</v>
      </c>
      <c r="BZ32" s="117">
        <v>0</v>
      </c>
      <c r="CA32" s="117">
        <v>0</v>
      </c>
      <c r="CB32" s="117">
        <v>0</v>
      </c>
      <c r="CC32">
        <f t="shared" si="11"/>
        <v>0</v>
      </c>
      <c r="CD32" s="117">
        <f>VLOOKUP("Condenação",'[2]Banco PAN'!$A$11:$CH$80,CD46,0)+VLOOKUP("Penalidades/Irregularidades",'[2]Banco PAN'!$A$11:$CH$80,CD46,0)</f>
        <v>0</v>
      </c>
      <c r="CE32" s="117">
        <f>VLOOKUP("Condenação",'[2]Banco PAN'!$A$11:$CH$80,CE46,0)+VLOOKUP("Penalidades/Irregularidades",'[2]Banco PAN'!$A$11:$CH$80,CE46,0)</f>
        <v>0</v>
      </c>
      <c r="CF32" s="117">
        <f>VLOOKUP("Condenação",'[2]Banco PAN'!$A$11:$CH$80,CF46,0)+VLOOKUP("Penalidades/Irregularidades",'[2]Banco PAN'!$A$11:$CH$80,CF46,0)</f>
        <v>0</v>
      </c>
      <c r="CG32" s="117">
        <f>VLOOKUP("Condenação",'[2]Banco PAN'!$A$11:$CH$80,CG46,0)+VLOOKUP("Penalidades/Irregularidades",'[2]Banco PAN'!$A$11:$CH$80,CG46,0)</f>
        <v>0</v>
      </c>
      <c r="CH32" s="117">
        <f>VLOOKUP("Condenação",'[2]Banco PAN'!$A$11:$CH$80,CH46,0)+VLOOKUP("Penalidades/Irregularidades",'[2]Banco PAN'!$A$11:$CH$80,CH46,0)</f>
        <v>0</v>
      </c>
      <c r="CI32" s="117">
        <f>VLOOKUP("Condenação",'[2]Banco PAN'!$A$11:$CH$80,CI46,0)+VLOOKUP("Penalidades/Irregularidades",'[2]Banco PAN'!$A$11:$CH$80,CI46,0)</f>
        <v>0</v>
      </c>
      <c r="CJ32" s="117">
        <f>VLOOKUP("Condenação",'[2]Banco PAN'!$A$11:$CH$80,CJ46,0)+VLOOKUP("Penalidades/Irregularidades",'[2]Banco PAN'!$A$11:$CH$80,CJ46,0)</f>
        <v>0</v>
      </c>
      <c r="CK32" s="117">
        <f>VLOOKUP("Condenação",'[2]Banco PAN'!$A$11:$CH$80,CK46,0)+VLOOKUP("Penalidades/Irregularidades",'[2]Banco PAN'!$A$11:$CH$80,CK46,0)</f>
        <v>0</v>
      </c>
      <c r="CL32" s="117">
        <f>VLOOKUP("Condenação",'[2]Banco PAN'!$A$11:$CH$80,CL46,0)+VLOOKUP("Penalidades/Irregularidades",'[2]Banco PAN'!$A$11:$CH$80,CL46,0)</f>
        <v>0</v>
      </c>
      <c r="CM32" s="117">
        <f>VLOOKUP("Condenação",'[2]Banco PAN'!$A$11:$CH$80,CM46,0)+VLOOKUP("Penalidades/Irregularidades",'[2]Banco PAN'!$A$11:$CH$80,CM46,0)</f>
        <v>0</v>
      </c>
      <c r="CN32" s="117">
        <f>VLOOKUP("Condenação",'[2]Banco PAN'!$A$11:$CH$80,CN46,0)+VLOOKUP("Penalidades/Irregularidades",'[2]Banco PAN'!$A$11:$CH$80,CN46,0)</f>
        <v>0</v>
      </c>
      <c r="CO32" s="117">
        <f>VLOOKUP("Condenação",'[2]Banco PAN'!$A$11:$CH$80,CO46,0)+VLOOKUP("Penalidades/Irregularidades",'[2]Banco PAN'!$A$11:$CH$80,CO46,0)</f>
        <v>0</v>
      </c>
      <c r="CP32">
        <f t="shared" si="6"/>
        <v>0</v>
      </c>
    </row>
    <row r="33" spans="1:94" x14ac:dyDescent="0.2">
      <c r="A33" s="408" t="s">
        <v>613</v>
      </c>
      <c r="B33" s="408" t="s">
        <v>613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10"/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f t="shared" si="7"/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f t="shared" si="8"/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f t="shared" si="9"/>
        <v>0</v>
      </c>
      <c r="BQ33" s="117">
        <v>0</v>
      </c>
      <c r="BR33" s="117">
        <v>0</v>
      </c>
      <c r="BS33" s="117">
        <v>0</v>
      </c>
      <c r="BT33" s="117">
        <v>0</v>
      </c>
      <c r="BU33" s="117">
        <v>0</v>
      </c>
      <c r="BV33" s="117">
        <v>0</v>
      </c>
      <c r="BW33" s="117">
        <v>0</v>
      </c>
      <c r="BX33" s="117">
        <v>0</v>
      </c>
      <c r="BY33" s="117">
        <v>0</v>
      </c>
      <c r="BZ33" s="117">
        <v>0</v>
      </c>
      <c r="CA33" s="117">
        <v>0</v>
      </c>
      <c r="CB33" s="117">
        <v>0</v>
      </c>
      <c r="CC33">
        <f t="shared" si="11"/>
        <v>0</v>
      </c>
      <c r="CD33" s="117">
        <f>VLOOKUP("Condenação",[2]NIO!$A$11:$CH$80,CD46,0)+VLOOKUP("Penalidades/Irregularidades",[2]NIO!$A$11:$CH$80,CD46,0)</f>
        <v>0</v>
      </c>
      <c r="CE33" s="117">
        <f>VLOOKUP("Condenação",[2]NIO!$A$11:$CH$80,CE46,0)+VLOOKUP("Penalidades/Irregularidades",[2]NIO!$A$11:$CH$80,CE46,0)</f>
        <v>0</v>
      </c>
      <c r="CF33" s="117">
        <f>VLOOKUP("Condenação",[2]NIO!$A$11:$CH$80,CF46,0)+VLOOKUP("Penalidades/Irregularidades",[2]NIO!$A$11:$CH$80,CF46,0)</f>
        <v>0</v>
      </c>
      <c r="CG33" s="117">
        <f>VLOOKUP("Condenação",[2]NIO!$A$11:$CH$80,CG46,0)+VLOOKUP("Penalidades/Irregularidades",[2]NIO!$A$11:$CH$80,CG46,0)</f>
        <v>0</v>
      </c>
      <c r="CH33" s="117">
        <f>VLOOKUP("Condenação",[2]NIO!$A$11:$CH$80,CH46,0)+VLOOKUP("Penalidades/Irregularidades",[2]NIO!$A$11:$CH$80,CH46,0)</f>
        <v>0</v>
      </c>
      <c r="CI33" s="117">
        <f>VLOOKUP("Condenação",[2]NIO!$A$11:$CH$80,CI46,0)+VLOOKUP("Penalidades/Irregularidades",[2]NIO!$A$11:$CH$80,CI46,0)</f>
        <v>0</v>
      </c>
      <c r="CJ33" s="117">
        <f>VLOOKUP("Condenação",[2]NIO!$A$11:$CH$80,CJ46,0)+VLOOKUP("Penalidades/Irregularidades",[2]NIO!$A$11:$CH$80,CJ46,0)</f>
        <v>0</v>
      </c>
      <c r="CK33" s="117">
        <f>VLOOKUP("Condenação",[2]NIO!$A$11:$CH$80,CK46,0)+VLOOKUP("Penalidades/Irregularidades",[2]NIO!$A$11:$CH$80,CK46,0)</f>
        <v>0</v>
      </c>
      <c r="CL33" s="117">
        <f>VLOOKUP("Condenação",[2]NIO!$A$11:$CH$80,CL46,0)+VLOOKUP("Penalidades/Irregularidades",[2]NIO!$A$11:$CH$80,CL46,0)</f>
        <v>0</v>
      </c>
      <c r="CM33" s="117">
        <f>VLOOKUP("Condenação",[2]NIO!$A$11:$CH$80,CM46,0)+VLOOKUP("Penalidades/Irregularidades",[2]NIO!$A$11:$CH$80,CM46,0)</f>
        <v>0</v>
      </c>
      <c r="CN33" s="117">
        <f>VLOOKUP("Condenação",[2]NIO!$A$11:$CH$80,CN46,0)+VLOOKUP("Penalidades/Irregularidades",[2]NIO!$A$11:$CH$80,CN46,0)</f>
        <v>0</v>
      </c>
      <c r="CO33" s="117">
        <f>VLOOKUP("Condenação",[2]NIO!$A$11:$CH$80,CO46,0)+VLOOKUP("Penalidades/Irregularidades",[2]NIO!$A$11:$CH$80,CO46,0)</f>
        <v>0</v>
      </c>
      <c r="CP33">
        <f t="shared" si="6"/>
        <v>0</v>
      </c>
    </row>
    <row r="34" spans="1:94" x14ac:dyDescent="0.2">
      <c r="A34" s="408" t="s">
        <v>411</v>
      </c>
      <c r="B34" s="408" t="s">
        <v>411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10"/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f t="shared" si="7"/>
        <v>0</v>
      </c>
      <c r="AQ34" s="117">
        <v>0</v>
      </c>
      <c r="AR34" s="117">
        <v>0</v>
      </c>
      <c r="AS34" s="117">
        <v>0</v>
      </c>
      <c r="AT34" s="117">
        <v>0</v>
      </c>
      <c r="AU34" s="117">
        <v>0</v>
      </c>
      <c r="AV34" s="117">
        <v>0</v>
      </c>
      <c r="AW34" s="117">
        <v>0</v>
      </c>
      <c r="AX34" s="117">
        <v>0</v>
      </c>
      <c r="AY34" s="117">
        <v>1313.56</v>
      </c>
      <c r="AZ34" s="117">
        <v>494.38</v>
      </c>
      <c r="BA34" s="117">
        <v>0</v>
      </c>
      <c r="BB34" s="117">
        <v>10536.11</v>
      </c>
      <c r="BC34">
        <f t="shared" si="8"/>
        <v>12344.050000000001</v>
      </c>
      <c r="BD34" s="117">
        <v>535.17999999999995</v>
      </c>
      <c r="BE34" s="117">
        <v>0</v>
      </c>
      <c r="BF34" s="117">
        <v>0</v>
      </c>
      <c r="BG34" s="117">
        <v>0</v>
      </c>
      <c r="BH34" s="117">
        <v>3944.87</v>
      </c>
      <c r="BI34" s="117">
        <v>0</v>
      </c>
      <c r="BJ34" s="117">
        <v>0</v>
      </c>
      <c r="BK34" s="117">
        <v>0</v>
      </c>
      <c r="BL34" s="117">
        <v>390</v>
      </c>
      <c r="BM34" s="117">
        <v>0</v>
      </c>
      <c r="BN34" s="117">
        <v>480</v>
      </c>
      <c r="BO34" s="117">
        <v>0</v>
      </c>
      <c r="BP34">
        <f t="shared" si="9"/>
        <v>5350.05</v>
      </c>
      <c r="BQ34" s="117">
        <v>387.8</v>
      </c>
      <c r="BR34" s="117">
        <v>1841.9099999999999</v>
      </c>
      <c r="BS34" s="117">
        <v>1700</v>
      </c>
      <c r="BT34" s="117">
        <v>5767.92</v>
      </c>
      <c r="BU34" s="117">
        <v>0</v>
      </c>
      <c r="BV34" s="117">
        <v>0</v>
      </c>
      <c r="BW34" s="117">
        <v>220</v>
      </c>
      <c r="BX34" s="117">
        <v>400</v>
      </c>
      <c r="BY34" s="117">
        <v>0</v>
      </c>
      <c r="BZ34" s="117">
        <v>0</v>
      </c>
      <c r="CA34" s="117">
        <v>0</v>
      </c>
      <c r="CB34" s="117">
        <v>2066.5100000000002</v>
      </c>
      <c r="CC34">
        <f t="shared" si="11"/>
        <v>12384.140000000001</v>
      </c>
      <c r="CD34" s="117">
        <f>VLOOKUP("Condenação",[2]Vivo!$A$11:$CH$80,CD46,0)+VLOOKUP("Penalidades/Irregularidades",[2]Vivo!$A$11:$CH$80,CD46,0)</f>
        <v>0</v>
      </c>
      <c r="CE34" s="117">
        <f>VLOOKUP("Condenação",[2]Vivo!$A$11:$CH$80,CE46,0)+VLOOKUP("Penalidades/Irregularidades",[2]Vivo!$A$11:$CH$80,CE46,0)</f>
        <v>1530</v>
      </c>
      <c r="CF34" s="117">
        <f>VLOOKUP("Condenação",[2]Vivo!$A$11:$CH$80,CF46,0)+VLOOKUP("Penalidades/Irregularidades",[2]Vivo!$A$11:$CH$80,CF46,0)</f>
        <v>0</v>
      </c>
      <c r="CG34" s="117">
        <f>VLOOKUP("Condenação",[2]Vivo!$A$11:$CH$80,CG46,0)+VLOOKUP("Penalidades/Irregularidades",[2]Vivo!$A$11:$CH$80,CG46,0)</f>
        <v>0</v>
      </c>
      <c r="CH34" s="117">
        <f>VLOOKUP("Condenação",[2]Vivo!$A$11:$CH$80,CH46,0)+VLOOKUP("Penalidades/Irregularidades",[2]Vivo!$A$11:$CH$80,CH46,0)</f>
        <v>0</v>
      </c>
      <c r="CI34" s="117">
        <f>VLOOKUP("Condenação",[2]Vivo!$A$11:$CH$80,CI46,0)+VLOOKUP("Penalidades/Irregularidades",[2]Vivo!$A$11:$CH$80,CI46,0)</f>
        <v>0</v>
      </c>
      <c r="CJ34" s="117">
        <f>VLOOKUP("Condenação",[2]Vivo!$A$11:$CH$80,CJ46,0)+VLOOKUP("Penalidades/Irregularidades",[2]Vivo!$A$11:$CH$80,CJ46,0)</f>
        <v>0</v>
      </c>
      <c r="CK34" s="117">
        <f>VLOOKUP("Condenação",[2]Vivo!$A$11:$CH$80,CK46,0)+VLOOKUP("Penalidades/Irregularidades",[2]Vivo!$A$11:$CH$80,CK46,0)</f>
        <v>0</v>
      </c>
      <c r="CL34" s="117">
        <f>VLOOKUP("Condenação",[2]Vivo!$A$11:$CH$80,CL46,0)+VLOOKUP("Penalidades/Irregularidades",[2]Vivo!$A$11:$CH$80,CL46,0)</f>
        <v>0</v>
      </c>
      <c r="CM34" s="117">
        <f>VLOOKUP("Condenação",[2]Vivo!$A$11:$CH$80,CM46,0)+VLOOKUP("Penalidades/Irregularidades",[2]Vivo!$A$11:$CH$80,CM46,0)</f>
        <v>0</v>
      </c>
      <c r="CN34" s="117">
        <f>VLOOKUP("Condenação",[2]Vivo!$A$11:$CH$80,CN46,0)+VLOOKUP("Penalidades/Irregularidades",[2]Vivo!$A$11:$CH$80,CN46,0)</f>
        <v>0</v>
      </c>
      <c r="CO34" s="117">
        <f>VLOOKUP("Condenação",[2]Vivo!$A$11:$CH$80,CO46,0)+VLOOKUP("Penalidades/Irregularidades",[2]Vivo!$A$11:$CH$80,CO46,0)</f>
        <v>0</v>
      </c>
      <c r="CP34">
        <f t="shared" si="6"/>
        <v>1530</v>
      </c>
    </row>
    <row r="35" spans="1:94" x14ac:dyDescent="0.2">
      <c r="A35" s="408" t="s">
        <v>639</v>
      </c>
      <c r="B35" s="408" t="s">
        <v>639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 s="117">
        <v>0</v>
      </c>
      <c r="BR35" s="117">
        <v>0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>
        <v>0</v>
      </c>
      <c r="BZ35" s="117">
        <v>0</v>
      </c>
      <c r="CA35" s="117">
        <v>0</v>
      </c>
      <c r="CB35" s="117">
        <v>0</v>
      </c>
      <c r="CC35">
        <f t="shared" si="11"/>
        <v>0</v>
      </c>
      <c r="CD35" s="117">
        <f>VLOOKUP("Condenação",'[2]Outros Clientes'!$A$11:$CH$51,CD46,0)+VLOOKUP("Penalidades/Irregularidades",'[2]Outros Clientes'!$A$11:$CH$51,CD46,0)</f>
        <v>0</v>
      </c>
      <c r="CE35" s="117">
        <f>VLOOKUP("Condenação",'[2]Outros Clientes'!$A$11:$CH$51,CE46,0)+VLOOKUP("Penalidades/Irregularidades",'[2]Outros Clientes'!$A$11:$CH$51,CE46,0)</f>
        <v>0</v>
      </c>
      <c r="CF35" s="117">
        <f>VLOOKUP("Condenação",'[2]Outros Clientes'!$A$11:$CH$51,CF46,0)+VLOOKUP("Penalidades/Irregularidades",'[2]Outros Clientes'!$A$11:$CH$51,CF46,0)</f>
        <v>0</v>
      </c>
      <c r="CG35" s="117">
        <f>VLOOKUP("Condenação",'[2]Outros Clientes'!$A$11:$CH$51,CG46,0)+VLOOKUP("Penalidades/Irregularidades",'[2]Outros Clientes'!$A$11:$CH$51,CG46,0)</f>
        <v>0</v>
      </c>
      <c r="CH35" s="117">
        <f>VLOOKUP("Condenação",'[2]Outros Clientes'!$A$11:$CH$51,CH46,0)+VLOOKUP("Penalidades/Irregularidades",'[2]Outros Clientes'!$A$11:$CH$51,CH46,0)</f>
        <v>0</v>
      </c>
      <c r="CI35" s="117">
        <f>VLOOKUP("Condenação",'[2]Outros Clientes'!$A$11:$CH$51,CI46,0)+VLOOKUP("Penalidades/Irregularidades",'[2]Outros Clientes'!$A$11:$CH$51,CI46,0)</f>
        <v>0</v>
      </c>
      <c r="CJ35" s="117">
        <f>VLOOKUP("Condenação",'[2]Outros Clientes'!$A$11:$CH$51,CJ46,0)+VLOOKUP("Penalidades/Irregularidades",'[2]Outros Clientes'!$A$11:$CH$51,CJ46,0)</f>
        <v>0</v>
      </c>
      <c r="CK35" s="117">
        <f>VLOOKUP("Condenação",'[2]Outros Clientes'!$A$11:$CH$51,CK46,0)+VLOOKUP("Penalidades/Irregularidades",'[2]Outros Clientes'!$A$11:$CH$51,CK46,0)</f>
        <v>0</v>
      </c>
      <c r="CL35" s="117">
        <f>VLOOKUP("Condenação",'[2]Outros Clientes'!$A$11:$CH$51,CL46,0)+VLOOKUP("Penalidades/Irregularidades",'[2]Outros Clientes'!$A$11:$CH$51,CL46,0)</f>
        <v>0</v>
      </c>
      <c r="CM35" s="117">
        <f>VLOOKUP("Condenação",'[2]Outros Clientes'!$A$11:$CH$51,CM46,0)+VLOOKUP("Penalidades/Irregularidades",'[2]Outros Clientes'!$A$11:$CH$51,CM46,0)</f>
        <v>0</v>
      </c>
      <c r="CN35" s="117">
        <f>VLOOKUP("Condenação",'[2]Outros Clientes'!$A$11:$CH$51,CN46,0)+VLOOKUP("Penalidades/Irregularidades",'[2]Outros Clientes'!$A$11:$CH$51,CN46,0)</f>
        <v>0</v>
      </c>
      <c r="CO35" s="117">
        <f>VLOOKUP("Condenação",'[2]Outros Clientes'!$A$11:$CH$51,CO46,0)+VLOOKUP("Penalidades/Irregularidades",'[2]Outros Clientes'!$A$11:$CH$51,CO46,0)</f>
        <v>0</v>
      </c>
      <c r="CP35">
        <f t="shared" si="6"/>
        <v>0</v>
      </c>
    </row>
    <row r="36" spans="1:94" x14ac:dyDescent="0.2">
      <c r="A36" s="408" t="s">
        <v>643</v>
      </c>
      <c r="B36" s="408" t="s">
        <v>643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s="117">
        <v>0</v>
      </c>
      <c r="BE36" s="117">
        <v>0</v>
      </c>
      <c r="BF36" s="117">
        <v>0</v>
      </c>
      <c r="BG36" s="117">
        <v>0</v>
      </c>
      <c r="BH36" s="117">
        <v>0</v>
      </c>
      <c r="BI36" s="117">
        <v>0</v>
      </c>
      <c r="BJ36" s="117">
        <v>0</v>
      </c>
      <c r="BK36" s="117">
        <v>0</v>
      </c>
      <c r="BL36" s="117">
        <v>0</v>
      </c>
      <c r="BM36" s="117">
        <v>42.86</v>
      </c>
      <c r="BN36" s="117">
        <v>0</v>
      </c>
      <c r="BO36" s="117">
        <v>-42.86</v>
      </c>
      <c r="BP36">
        <f t="shared" si="9"/>
        <v>0</v>
      </c>
      <c r="BQ36" s="117">
        <v>0</v>
      </c>
      <c r="BR36" s="117">
        <v>0</v>
      </c>
      <c r="BS36" s="117">
        <v>0</v>
      </c>
      <c r="BT36" s="117">
        <v>0</v>
      </c>
      <c r="BU36" s="117">
        <v>0</v>
      </c>
      <c r="BV36" s="117">
        <v>0</v>
      </c>
      <c r="BW36" s="117">
        <v>0</v>
      </c>
      <c r="BX36" s="117">
        <v>0</v>
      </c>
      <c r="BY36" s="117">
        <v>0</v>
      </c>
      <c r="BZ36" s="117">
        <v>0</v>
      </c>
      <c r="CA36" s="117">
        <v>0</v>
      </c>
      <c r="CB36" s="117">
        <v>0</v>
      </c>
      <c r="CC36">
        <f t="shared" si="11"/>
        <v>0</v>
      </c>
      <c r="CD36" s="117">
        <f>VLOOKUP("Condenação",[2]Recupera!$A$11:$CI$53,CD46,0)+VLOOKUP("Penalidades/Irregularidades",[2]Recupera!$A$11:$CI$53,CD46,0)+VLOOKUP("Condenação",[2]Recupera!$A$67:$CI$109,CD46,0)+VLOOKUP("Penalidades/Irregularidades",[2]Recupera!$A$67:$CI$109,CD46,0)+VLOOKUP("Condenação",[2]Recupera!$A$123:$CI$165,CD46,0)+VLOOKUP("Penalidades/Irregularidades",[2]Recupera!$A$123:$CI$165,CD46,0)</f>
        <v>0</v>
      </c>
      <c r="CE36" s="117">
        <f>VLOOKUP("Condenação",[2]Recupera!$A$11:$CI$53,CE46,0)+VLOOKUP("Penalidades/Irregularidades",[2]Recupera!$A$11:$CI$53,CE46,0)+VLOOKUP("Condenação",[2]Recupera!$A$67:$CI$109,CE46,0)+VLOOKUP("Penalidades/Irregularidades",[2]Recupera!$A$67:$CI$109,CE46,0)+VLOOKUP("Condenação",[2]Recupera!$A$123:$CI$165,CE46,0)+VLOOKUP("Penalidades/Irregularidades",[2]Recupera!$A$123:$CI$165,CE46,0)</f>
        <v>0</v>
      </c>
      <c r="CF36" s="117">
        <f>VLOOKUP("Condenação",[2]Recupera!$A$11:$CI$53,CF46,0)+VLOOKUP("Penalidades/Irregularidades",[2]Recupera!$A$11:$CI$53,CF46,0)+VLOOKUP("Condenação",[2]Recupera!$A$67:$CI$109,CF46,0)+VLOOKUP("Penalidades/Irregularidades",[2]Recupera!$A$67:$CI$109,CF46,0)+VLOOKUP("Condenação",[2]Recupera!$A$123:$CI$165,CF46,0)+VLOOKUP("Penalidades/Irregularidades",[2]Recupera!$A$123:$CI$165,CF46,0)</f>
        <v>31308.160000000003</v>
      </c>
      <c r="CG36" s="117">
        <f>VLOOKUP("Condenação",[2]Recupera!$A$11:$CI$53,CG46,0)+VLOOKUP("Penalidades/Irregularidades",[2]Recupera!$A$11:$CI$53,CG46,0)+VLOOKUP("Condenação",[2]Recupera!$A$67:$CI$109,CG46,0)+VLOOKUP("Penalidades/Irregularidades",[2]Recupera!$A$67:$CI$109,CG46,0)+VLOOKUP("Condenação",[2]Recupera!$A$123:$CI$165,CG46,0)+VLOOKUP("Penalidades/Irregularidades",[2]Recupera!$A$123:$CI$165,CG46,0)</f>
        <v>0</v>
      </c>
      <c r="CH36" s="117">
        <f>VLOOKUP("Condenação",[2]Recupera!$A$11:$CI$53,CH46,0)+VLOOKUP("Penalidades/Irregularidades",[2]Recupera!$A$11:$CI$53,CH46,0)+VLOOKUP("Condenação",[2]Recupera!$A$67:$CI$109,CH46,0)+VLOOKUP("Penalidades/Irregularidades",[2]Recupera!$A$67:$CI$109,CH46,0)+VLOOKUP("Condenação",[2]Recupera!$A$123:$CI$165,CH46,0)+VLOOKUP("Penalidades/Irregularidades",[2]Recupera!$A$123:$CI$165,CH46,0)</f>
        <v>0</v>
      </c>
      <c r="CI36" s="117">
        <f>VLOOKUP("Condenação",[2]Recupera!$A$11:$CI$53,CI46,0)+VLOOKUP("Penalidades/Irregularidades",[2]Recupera!$A$11:$CI$53,CI46,0)+VLOOKUP("Condenação",[2]Recupera!$A$67:$CI$109,CI46,0)+VLOOKUP("Penalidades/Irregularidades",[2]Recupera!$A$67:$CI$109,CI46,0)+VLOOKUP("Condenação",[2]Recupera!$A$123:$CI$165,CI46,0)+VLOOKUP("Penalidades/Irregularidades",[2]Recupera!$A$123:$CI$165,CI46,0)</f>
        <v>0</v>
      </c>
      <c r="CJ36" s="117">
        <f>VLOOKUP("Condenação",[2]Recupera!$A$11:$CI$53,CJ46,0)+VLOOKUP("Penalidades/Irregularidades",[2]Recupera!$A$11:$CI$53,CJ46,0)+VLOOKUP("Condenação",[2]Recupera!$A$67:$CI$109,CJ46,0)+VLOOKUP("Penalidades/Irregularidades",[2]Recupera!$A$67:$CI$109,CJ46,0)+VLOOKUP("Condenação",[2]Recupera!$A$123:$CI$165,CJ46,0)+VLOOKUP("Penalidades/Irregularidades",[2]Recupera!$A$123:$CI$165,CJ46,0)</f>
        <v>0</v>
      </c>
      <c r="CK36" s="117">
        <f>VLOOKUP("Condenação",[2]Recupera!$A$11:$CI$53,CK46,0)+VLOOKUP("Penalidades/Irregularidades",[2]Recupera!$A$11:$CI$53,CK46,0)+VLOOKUP("Condenação",[2]Recupera!$A$67:$CI$109,CK46,0)+VLOOKUP("Penalidades/Irregularidades",[2]Recupera!$A$67:$CI$109,CK46,0)+VLOOKUP("Condenação",[2]Recupera!$A$123:$CI$165,CK46,0)+VLOOKUP("Penalidades/Irregularidades",[2]Recupera!$A$123:$CI$165,CK46,0)</f>
        <v>0</v>
      </c>
      <c r="CL36" s="117">
        <f>VLOOKUP("Condenação",[2]Recupera!$A$11:$CI$53,CL46,0)+VLOOKUP("Penalidades/Irregularidades",[2]Recupera!$A$11:$CI$53,CL46,0)+VLOOKUP("Condenação",[2]Recupera!$A$67:$CI$109,CL46,0)+VLOOKUP("Penalidades/Irregularidades",[2]Recupera!$A$67:$CI$109,CL46,0)+VLOOKUP("Condenação",[2]Recupera!$A$123:$CI$165,CL46,0)+VLOOKUP("Penalidades/Irregularidades",[2]Recupera!$A$123:$CI$165,CL46,0)</f>
        <v>0</v>
      </c>
      <c r="CM36" s="117">
        <f>VLOOKUP("Condenação",[2]Recupera!$A$11:$CI$53,CM46,0)+VLOOKUP("Penalidades/Irregularidades",[2]Recupera!$A$11:$CI$53,CM46,0)+VLOOKUP("Condenação",[2]Recupera!$A$67:$CI$109,CM46,0)+VLOOKUP("Penalidades/Irregularidades",[2]Recupera!$A$67:$CI$109,CM46,0)+VLOOKUP("Condenação",[2]Recupera!$A$123:$CI$165,CM46,0)+VLOOKUP("Penalidades/Irregularidades",[2]Recupera!$A$123:$CI$165,CM46,0)</f>
        <v>0</v>
      </c>
      <c r="CN36" s="117">
        <f>VLOOKUP("Condenação",[2]Recupera!$A$11:$CI$53,CN46,0)+VLOOKUP("Penalidades/Irregularidades",[2]Recupera!$A$11:$CI$53,CN46,0)+VLOOKUP("Condenação",[2]Recupera!$A$67:$CI$109,CN46,0)+VLOOKUP("Penalidades/Irregularidades",[2]Recupera!$A$67:$CI$109,CN46,0)+VLOOKUP("Condenação",[2]Recupera!$A$123:$CI$165,CN46,0)+VLOOKUP("Penalidades/Irregularidades",[2]Recupera!$A$123:$CI$165,CN46,0)</f>
        <v>0</v>
      </c>
      <c r="CO36" s="117">
        <f>VLOOKUP("Condenação",[2]Recupera!$A$11:$CI$53,CO46,0)+VLOOKUP("Penalidades/Irregularidades",[2]Recupera!$A$11:$CI$53,CO46,0)+VLOOKUP("Condenação",[2]Recupera!$A$67:$CI$109,CO46,0)+VLOOKUP("Penalidades/Irregularidades",[2]Recupera!$A$67:$CI$109,CO46,0)+VLOOKUP("Condenação",[2]Recupera!$A$123:$CI$165,CO46,0)+VLOOKUP("Penalidades/Irregularidades",[2]Recupera!$A$123:$CI$165,CO46,0)</f>
        <v>0</v>
      </c>
      <c r="CP36">
        <f t="shared" si="6"/>
        <v>31308.160000000003</v>
      </c>
    </row>
    <row r="37" spans="1:94" x14ac:dyDescent="0.2">
      <c r="A37" s="408" t="s">
        <v>626</v>
      </c>
      <c r="B37" s="408" t="s">
        <v>626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0"/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10"/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6520.5</v>
      </c>
      <c r="AN37">
        <v>0</v>
      </c>
      <c r="AO37">
        <v>0</v>
      </c>
      <c r="AP37">
        <f t="shared" si="7"/>
        <v>6520.5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f t="shared" si="8"/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f t="shared" si="9"/>
        <v>0</v>
      </c>
      <c r="BQ37" s="90">
        <v>0</v>
      </c>
      <c r="BR37" s="90">
        <v>0</v>
      </c>
      <c r="BS37" s="90">
        <v>0</v>
      </c>
      <c r="BT37" s="90">
        <v>0</v>
      </c>
      <c r="BU37" s="90">
        <v>0</v>
      </c>
      <c r="BV37" s="90">
        <v>0</v>
      </c>
      <c r="BW37" s="90">
        <v>0</v>
      </c>
      <c r="BX37" s="90">
        <v>0</v>
      </c>
      <c r="BY37" s="90">
        <v>0</v>
      </c>
      <c r="BZ37" s="90">
        <v>0</v>
      </c>
      <c r="CA37" s="90">
        <v>0</v>
      </c>
      <c r="CB37" s="90">
        <v>0</v>
      </c>
      <c r="CC37">
        <f t="shared" si="11"/>
        <v>0</v>
      </c>
      <c r="CD37" s="90">
        <v>0</v>
      </c>
      <c r="CE37" s="90">
        <v>0</v>
      </c>
      <c r="CF37" s="90">
        <v>0</v>
      </c>
      <c r="CG37" s="90">
        <v>0</v>
      </c>
      <c r="CH37" s="90">
        <v>0</v>
      </c>
      <c r="CI37" s="90">
        <v>0</v>
      </c>
      <c r="CJ37" s="90">
        <v>0</v>
      </c>
      <c r="CK37" s="90">
        <v>0</v>
      </c>
      <c r="CL37" s="90">
        <v>0</v>
      </c>
      <c r="CM37" s="90">
        <v>0</v>
      </c>
      <c r="CN37" s="90">
        <v>0</v>
      </c>
      <c r="CO37" s="90">
        <v>0</v>
      </c>
      <c r="CP37">
        <f t="shared" si="6"/>
        <v>0</v>
      </c>
    </row>
    <row r="38" spans="1:94" x14ac:dyDescent="0.2">
      <c r="A38" s="408" t="s">
        <v>645</v>
      </c>
      <c r="B38" s="408" t="s">
        <v>645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s="117">
        <f>VLOOKUP("Condenação",[2]Criminal!$A$11:$CE$53,CD46,0)+VLOOKUP("Penalidades/Irregularidades",[2]Criminal!$A$21:$CE$53,CD46,0)</f>
        <v>0</v>
      </c>
      <c r="CE38" s="117">
        <f>VLOOKUP("Condenação",[2]Criminal!$A$11:$CE$53,CE46,0)+VLOOKUP("Penalidades/Irregularidades",[2]Criminal!$A$21:$CE$53,CE46,0)</f>
        <v>0</v>
      </c>
      <c r="CF38" s="117">
        <f>VLOOKUP("Condenação",[2]Criminal!$A$11:$CE$53,CF46,0)+VLOOKUP("Penalidades/Irregularidades",[2]Criminal!$A$21:$CE$53,CF46,0)</f>
        <v>0</v>
      </c>
      <c r="CG38" s="117">
        <f>VLOOKUP("Condenação",[2]Criminal!$A$11:$CE$53,CG46,0)+VLOOKUP("Penalidades/Irregularidades",[2]Criminal!$A$21:$CE$53,CG46,0)</f>
        <v>0</v>
      </c>
      <c r="CH38" s="117">
        <f>VLOOKUP("Condenação",[2]Criminal!$A$11:$CE$53,CH46,0)+VLOOKUP("Penalidades/Irregularidades",[2]Criminal!$A$21:$CE$53,CH46,0)</f>
        <v>0</v>
      </c>
      <c r="CI38" s="117">
        <f>VLOOKUP("Condenação",[2]Criminal!$A$11:$CE$53,CI46,0)+VLOOKUP("Penalidades/Irregularidades",[2]Criminal!$A$21:$CE$53,CI46,0)</f>
        <v>0</v>
      </c>
      <c r="CJ38" s="117">
        <f>VLOOKUP("Condenação",[2]Criminal!$A$11:$CE$53,CJ46,0)+VLOOKUP("Penalidades/Irregularidades",[2]Criminal!$A$21:$CE$53,CJ46,0)</f>
        <v>0</v>
      </c>
      <c r="CK38" s="117">
        <f>VLOOKUP("Condenação",[2]Criminal!$A$11:$CE$53,CK46,0)+VLOOKUP("Penalidades/Irregularidades",[2]Criminal!$A$21:$CE$53,CK46,0)</f>
        <v>0</v>
      </c>
      <c r="CL38" s="117">
        <f>VLOOKUP("Condenação",[2]Criminal!$A$11:$CE$53,CL46,0)+VLOOKUP("Penalidades/Irregularidades",[2]Criminal!$A$21:$CE$53,CL46,0)</f>
        <v>0</v>
      </c>
      <c r="CM38" s="117">
        <f>VLOOKUP("Condenação",[2]Criminal!$A$11:$CE$53,CM46,0)+VLOOKUP("Penalidades/Irregularidades",[2]Criminal!$A$21:$CE$53,CM46,0)</f>
        <v>0</v>
      </c>
      <c r="CN38" s="117">
        <f>VLOOKUP("Condenação",[2]Criminal!$A$11:$CE$53,CN46,0)+VLOOKUP("Penalidades/Irregularidades",[2]Criminal!$A$21:$CE$53,CN46,0)</f>
        <v>0</v>
      </c>
      <c r="CO38" s="117">
        <f>VLOOKUP("Condenação",[2]Criminal!$A$11:$CE$53,CO46,0)+VLOOKUP("Penalidades/Irregularidades",[2]Criminal!$A$21:$CE$53,CO46,0)</f>
        <v>0</v>
      </c>
    </row>
    <row r="39" spans="1:94" x14ac:dyDescent="0.2">
      <c r="A39" s="408" t="s">
        <v>644</v>
      </c>
      <c r="B39" s="408" t="s">
        <v>644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f>VLOOKUP("Condenação",[2]Vero!$A$11:$CE$53,CD46,0)+VLOOKUP("Penalidades/Irregularidades",[2]Vero!$A$21:$CE$53,CD46,0)</f>
        <v>0</v>
      </c>
      <c r="CE39">
        <f>VLOOKUP("Condenação",[2]Vero!$A$11:$CE$53,CE46,0)+VLOOKUP("Penalidades/Irregularidades",[2]Vero!$A$21:$CE$53,CE46,0)</f>
        <v>0</v>
      </c>
      <c r="CF39">
        <f>VLOOKUP("Condenação",[2]Vero!$A$11:$CE$53,CF46,0)+VLOOKUP("Penalidades/Irregularidades",[2]Vero!$A$21:$CE$53,CF46,0)</f>
        <v>0</v>
      </c>
      <c r="CG39">
        <f>VLOOKUP("Condenação",[2]Vero!$A$11:$CE$53,CG46,0)+VLOOKUP("Penalidades/Irregularidades",[2]Vero!$A$21:$CE$53,CG46,0)</f>
        <v>0</v>
      </c>
      <c r="CH39">
        <f>VLOOKUP("Condenação",[2]Vero!$A$11:$CE$53,CH46,0)+VLOOKUP("Penalidades/Irregularidades",[2]Vero!$A$21:$CE$53,CH46,0)</f>
        <v>0</v>
      </c>
      <c r="CI39">
        <f>VLOOKUP("Condenação",[2]Vero!$A$11:$CE$53,CI46,0)+VLOOKUP("Penalidades/Irregularidades",[2]Vero!$A$21:$CE$53,CI46,0)</f>
        <v>0</v>
      </c>
      <c r="CJ39">
        <f>VLOOKUP("Condenação",[2]Vero!$A$11:$CE$53,CJ46,0)+VLOOKUP("Penalidades/Irregularidades",[2]Vero!$A$21:$CE$53,CJ46,0)</f>
        <v>0</v>
      </c>
      <c r="CK39">
        <f>VLOOKUP("Condenação",[2]Vero!$A$11:$CE$53,CK46,0)+VLOOKUP("Penalidades/Irregularidades",[2]Vero!$A$21:$CE$53,CK46,0)</f>
        <v>0</v>
      </c>
      <c r="CL39">
        <f>VLOOKUP("Condenação",[2]Vero!$A$11:$CE$53,CL46,0)+VLOOKUP("Penalidades/Irregularidades",[2]Vero!$A$21:$CE$53,CL46,0)</f>
        <v>0</v>
      </c>
      <c r="CM39">
        <f>VLOOKUP("Condenação",[2]Vero!$A$11:$CE$53,CM46,0)+VLOOKUP("Penalidades/Irregularidades",[2]Vero!$A$21:$CE$53,CM46,0)</f>
        <v>0</v>
      </c>
      <c r="CN39">
        <f>VLOOKUP("Condenação",[2]Vero!$A$11:$CE$53,CN46,0)+VLOOKUP("Penalidades/Irregularidades",[2]Vero!$A$21:$CE$53,CN46,0)</f>
        <v>0</v>
      </c>
      <c r="CO39">
        <f>VLOOKUP("Condenação",[2]Vero!$A$11:$CE$53,CO46,0)+VLOOKUP("Penalidades/Irregularidades",[2]Vero!$A$21:$CE$53,CO46,0)</f>
        <v>0</v>
      </c>
    </row>
    <row r="40" spans="1:94" x14ac:dyDescent="0.2">
      <c r="A40" s="408" t="s">
        <v>627</v>
      </c>
      <c r="B40" s="408" t="s">
        <v>627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10"/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f t="shared" si="7"/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f t="shared" si="8"/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f t="shared" si="9"/>
        <v>0</v>
      </c>
      <c r="BQ40" s="117">
        <v>0</v>
      </c>
      <c r="BR40" s="117">
        <v>0</v>
      </c>
      <c r="BS40" s="117">
        <v>0</v>
      </c>
      <c r="BT40" s="117">
        <v>0</v>
      </c>
      <c r="BU40" s="117">
        <v>0</v>
      </c>
      <c r="BV40" s="117">
        <v>0</v>
      </c>
      <c r="BW40" s="117">
        <v>0</v>
      </c>
      <c r="BX40" s="117">
        <v>0</v>
      </c>
      <c r="BY40" s="117">
        <v>0</v>
      </c>
      <c r="BZ40" s="117">
        <v>0</v>
      </c>
      <c r="CA40" s="117">
        <v>0</v>
      </c>
      <c r="CB40" s="117">
        <v>0</v>
      </c>
      <c r="CD40" s="117">
        <f>VLOOKUP("Condenação",'[2]Quinto Andar'!$A$11:$CH$53,CD46,0)+VLOOKUP("Penalidades/Irregularidades",'[2]Quinto Andar'!$A$11:$CH$53,CD46,0)</f>
        <v>0</v>
      </c>
      <c r="CE40" s="117">
        <f>VLOOKUP("Condenação",'[2]Quinto Andar'!$A$11:$CH$53,CE46,0)+VLOOKUP("Penalidades/Irregularidades",'[2]Quinto Andar'!$A$11:$CH$53,CE46,0)</f>
        <v>0</v>
      </c>
      <c r="CF40" s="117">
        <f>VLOOKUP("Condenação",'[2]Quinto Andar'!$A$11:$CH$53,CF46,0)+VLOOKUP("Penalidades/Irregularidades",'[2]Quinto Andar'!$A$11:$CH$53,CF46,0)</f>
        <v>0</v>
      </c>
      <c r="CG40" s="117">
        <f>VLOOKUP("Condenação",'[2]Quinto Andar'!$A$11:$CH$53,CG46,0)+VLOOKUP("Penalidades/Irregularidades",'[2]Quinto Andar'!$A$11:$CH$53,CG46,0)</f>
        <v>0</v>
      </c>
      <c r="CH40" s="117">
        <f>VLOOKUP("Condenação",'[2]Quinto Andar'!$A$11:$CH$53,CH46,0)+VLOOKUP("Penalidades/Irregularidades",'[2]Quinto Andar'!$A$11:$CH$53,CH46,0)</f>
        <v>0</v>
      </c>
      <c r="CI40" s="117">
        <f>VLOOKUP("Condenação",'[2]Quinto Andar'!$A$11:$CH$53,CI46,0)+VLOOKUP("Penalidades/Irregularidades",'[2]Quinto Andar'!$A$11:$CH$53,CI46,0)</f>
        <v>0</v>
      </c>
      <c r="CJ40" s="117">
        <f>VLOOKUP("Condenação",'[2]Quinto Andar'!$A$11:$CH$53,CJ46,0)+VLOOKUP("Penalidades/Irregularidades",'[2]Quinto Andar'!$A$11:$CH$53,CJ46,0)</f>
        <v>0</v>
      </c>
      <c r="CK40" s="117">
        <f>VLOOKUP("Condenação",'[2]Quinto Andar'!$A$11:$CH$53,CK46,0)+VLOOKUP("Penalidades/Irregularidades",'[2]Quinto Andar'!$A$11:$CH$53,CK46,0)</f>
        <v>0</v>
      </c>
      <c r="CL40" s="117">
        <f>VLOOKUP("Condenação",'[2]Quinto Andar'!$A$11:$CH$53,CL46,0)+VLOOKUP("Penalidades/Irregularidades",'[2]Quinto Andar'!$A$11:$CH$53,CL46,0)</f>
        <v>0</v>
      </c>
      <c r="CM40" s="117">
        <f>VLOOKUP("Condenação",'[2]Quinto Andar'!$A$11:$CH$53,CM46,0)+VLOOKUP("Penalidades/Irregularidades",'[2]Quinto Andar'!$A$11:$CH$53,CM46,0)</f>
        <v>0</v>
      </c>
      <c r="CN40" s="117">
        <f>VLOOKUP("Condenação",'[2]Quinto Andar'!$A$11:$CH$53,CN46,0)+VLOOKUP("Penalidades/Irregularidades",'[2]Quinto Andar'!$A$11:$CH$53,CN46,0)</f>
        <v>0</v>
      </c>
      <c r="CO40" s="117">
        <f>VLOOKUP("Condenação",'[2]Quinto Andar'!$A$11:$CH$53,CO46,0)+VLOOKUP("Penalidades/Irregularidades",'[2]Quinto Andar'!$A$11:$CH$53,CO46,0)</f>
        <v>0</v>
      </c>
      <c r="CP40">
        <f t="shared" si="6"/>
        <v>0</v>
      </c>
    </row>
    <row r="41" spans="1:94" x14ac:dyDescent="0.2">
      <c r="A41" s="408" t="s">
        <v>418</v>
      </c>
      <c r="B41" s="408" t="s">
        <v>418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0"/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54">
        <v>0</v>
      </c>
      <c r="Y41">
        <v>0</v>
      </c>
      <c r="Z41">
        <v>206.1</v>
      </c>
      <c r="AA41">
        <v>0</v>
      </c>
      <c r="AB41">
        <v>0</v>
      </c>
      <c r="AC41">
        <f t="shared" si="10"/>
        <v>206.1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51.26</v>
      </c>
      <c r="AN41">
        <v>0</v>
      </c>
      <c r="AO41">
        <v>0</v>
      </c>
      <c r="AP41">
        <f t="shared" si="7"/>
        <v>51.26</v>
      </c>
      <c r="AQ41" s="117">
        <v>0</v>
      </c>
      <c r="AR41" s="117">
        <v>0</v>
      </c>
      <c r="AS41" s="117">
        <v>0</v>
      </c>
      <c r="AT41" s="117">
        <v>0</v>
      </c>
      <c r="AU41" s="117">
        <v>4732.62</v>
      </c>
      <c r="AV41" s="117">
        <v>0</v>
      </c>
      <c r="AW41" s="117">
        <v>0</v>
      </c>
      <c r="AX41" s="117">
        <v>1598.29</v>
      </c>
      <c r="AY41" s="117">
        <v>0</v>
      </c>
      <c r="AZ41" s="117">
        <v>87.83</v>
      </c>
      <c r="BA41" s="117">
        <v>4732.62</v>
      </c>
      <c r="BB41" s="117">
        <v>0</v>
      </c>
      <c r="BC41">
        <f t="shared" si="8"/>
        <v>11151.36</v>
      </c>
      <c r="BD41" s="117">
        <v>2457.1999999999998</v>
      </c>
      <c r="BE41" s="117">
        <v>0</v>
      </c>
      <c r="BF41" s="117">
        <v>0</v>
      </c>
      <c r="BG41" s="117">
        <v>1382.47</v>
      </c>
      <c r="BH41" s="117">
        <v>0</v>
      </c>
      <c r="BI41" s="117">
        <v>0</v>
      </c>
      <c r="BJ41" s="117">
        <v>0</v>
      </c>
      <c r="BK41" s="117">
        <v>0</v>
      </c>
      <c r="BL41" s="117">
        <v>0</v>
      </c>
      <c r="BM41" s="117">
        <v>3510.42</v>
      </c>
      <c r="BN41" s="117">
        <v>0</v>
      </c>
      <c r="BO41" s="117">
        <v>8321.17</v>
      </c>
      <c r="BP41">
        <f t="shared" si="9"/>
        <v>15671.26</v>
      </c>
      <c r="BQ41" s="117">
        <v>9455.15</v>
      </c>
      <c r="BR41" s="117">
        <v>2999.99</v>
      </c>
      <c r="BS41" s="117">
        <v>5578.97</v>
      </c>
      <c r="BT41" s="117">
        <v>18374.259999999998</v>
      </c>
      <c r="BU41" s="117">
        <v>7444.01</v>
      </c>
      <c r="BV41" s="117">
        <v>5121.74</v>
      </c>
      <c r="BW41" s="117">
        <v>5121.75</v>
      </c>
      <c r="BX41" s="117">
        <v>0</v>
      </c>
      <c r="BY41" s="117">
        <v>232219.08</v>
      </c>
      <c r="BZ41" s="117">
        <v>15692.86</v>
      </c>
      <c r="CA41" s="117">
        <v>18316.920000000002</v>
      </c>
      <c r="CB41" s="117">
        <v>6888.45</v>
      </c>
      <c r="CC41">
        <f t="shared" si="11"/>
        <v>327213.17999999993</v>
      </c>
      <c r="CD41" s="117">
        <f>VLOOKUP("Condenação",[2]Daycoval!$A$11:$CH$80,CD46,0)+VLOOKUP("Penalidades/Irregularidades",[2]Daycoval!$A$11:$CH$80,CD46,0)</f>
        <v>3782.04</v>
      </c>
      <c r="CE41" s="117">
        <f>VLOOKUP("Condenação",[2]Daycoval!$A$11:$CH$80,CE46,0)+VLOOKUP("Penalidades/Irregularidades",[2]Daycoval!$A$11:$CH$80,CE46,0)</f>
        <v>3782.05</v>
      </c>
      <c r="CF41" s="117">
        <f>VLOOKUP("Condenação",[2]Daycoval!$A$11:$CH$80,CF46,0)+VLOOKUP("Penalidades/Irregularidades",[2]Daycoval!$A$11:$CH$80,CF46,0)</f>
        <v>0</v>
      </c>
      <c r="CG41" s="117">
        <f>VLOOKUP("Condenação",[2]Daycoval!$A$11:$CH$80,CG46,0)+VLOOKUP("Penalidades/Irregularidades",[2]Daycoval!$A$11:$CH$80,CG46,0)</f>
        <v>0</v>
      </c>
      <c r="CH41" s="117">
        <f>VLOOKUP("Condenação",[2]Daycoval!$A$11:$CH$80,CH46,0)+VLOOKUP("Penalidades/Irregularidades",[2]Daycoval!$A$11:$CH$80,CH46,0)</f>
        <v>0</v>
      </c>
      <c r="CI41" s="117">
        <f>VLOOKUP("Condenação",[2]Daycoval!$A$11:$CH$80,CI46,0)+VLOOKUP("Penalidades/Irregularidades",[2]Daycoval!$A$11:$CH$80,CI46,0)</f>
        <v>0</v>
      </c>
      <c r="CJ41" s="117">
        <f>VLOOKUP("Condenação",[2]Daycoval!$A$11:$CH$80,CJ46,0)+VLOOKUP("Penalidades/Irregularidades",[2]Daycoval!$A$11:$CH$80,CJ46,0)</f>
        <v>0</v>
      </c>
      <c r="CK41" s="117">
        <f>VLOOKUP("Condenação",[2]Daycoval!$A$11:$CH$80,CK46,0)+VLOOKUP("Penalidades/Irregularidades",[2]Daycoval!$A$11:$CH$80,CK46,0)</f>
        <v>0</v>
      </c>
      <c r="CL41" s="117">
        <f>VLOOKUP("Condenação",[2]Daycoval!$A$11:$CH$80,CL46,0)+VLOOKUP("Penalidades/Irregularidades",[2]Daycoval!$A$11:$CH$80,CL46,0)</f>
        <v>0</v>
      </c>
      <c r="CM41" s="117">
        <f>VLOOKUP("Condenação",[2]Daycoval!$A$11:$CH$80,CM46,0)+VLOOKUP("Penalidades/Irregularidades",[2]Daycoval!$A$11:$CH$80,CM46,0)</f>
        <v>0</v>
      </c>
      <c r="CN41" s="117">
        <f>VLOOKUP("Condenação",[2]Daycoval!$A$11:$CH$80,CN46,0)+VLOOKUP("Penalidades/Irregularidades",[2]Daycoval!$A$11:$CH$80,CN46,0)</f>
        <v>0</v>
      </c>
      <c r="CO41" s="117">
        <f>VLOOKUP("Condenação",[2]Daycoval!$A$11:$CH$80,CO46,0)+VLOOKUP("Penalidades/Irregularidades",[2]Daycoval!$A$11:$CH$80,CO46,0)</f>
        <v>0</v>
      </c>
      <c r="CP41">
        <f t="shared" si="6"/>
        <v>7564.09</v>
      </c>
    </row>
    <row r="43" spans="1:94" x14ac:dyDescent="0.2">
      <c r="C43" s="117">
        <f t="shared" ref="C43:AO43" si="12">SUM(C2:C42)</f>
        <v>111120.34</v>
      </c>
      <c r="D43" s="117">
        <f t="shared" si="12"/>
        <v>15818.67</v>
      </c>
      <c r="E43" s="117">
        <f t="shared" si="12"/>
        <v>19856.419999999998</v>
      </c>
      <c r="F43" s="117">
        <f t="shared" si="12"/>
        <v>27171.63</v>
      </c>
      <c r="G43" s="117">
        <f t="shared" si="12"/>
        <v>300</v>
      </c>
      <c r="H43" s="117">
        <f t="shared" si="12"/>
        <v>5304.7999999999993</v>
      </c>
      <c r="I43" s="117">
        <f t="shared" si="12"/>
        <v>1476.66</v>
      </c>
      <c r="J43" s="117">
        <f t="shared" si="12"/>
        <v>8208.94</v>
      </c>
      <c r="K43" s="117">
        <f t="shared" si="12"/>
        <v>608.23</v>
      </c>
      <c r="L43" s="117">
        <f t="shared" si="12"/>
        <v>4276.55</v>
      </c>
      <c r="M43" s="117">
        <f t="shared" si="12"/>
        <v>7719.49</v>
      </c>
      <c r="N43" s="117">
        <f t="shared" si="12"/>
        <v>56314.59</v>
      </c>
      <c r="O43" s="117">
        <f t="shared" si="12"/>
        <v>11300</v>
      </c>
      <c r="P43" s="117">
        <f t="shared" si="12"/>
        <v>158355.98000000001</v>
      </c>
      <c r="Q43" s="117">
        <f t="shared" si="12"/>
        <v>0</v>
      </c>
      <c r="R43" s="117">
        <f t="shared" si="12"/>
        <v>0</v>
      </c>
      <c r="S43" s="117">
        <f t="shared" si="12"/>
        <v>0</v>
      </c>
      <c r="T43" s="117">
        <f t="shared" si="12"/>
        <v>3331.13</v>
      </c>
      <c r="U43" s="117">
        <f t="shared" si="12"/>
        <v>5311.54</v>
      </c>
      <c r="V43" s="117">
        <f t="shared" si="12"/>
        <v>6512.89</v>
      </c>
      <c r="W43" s="117">
        <f t="shared" si="12"/>
        <v>3779.88</v>
      </c>
      <c r="X43" s="117">
        <f t="shared" si="12"/>
        <v>35269.799999999996</v>
      </c>
      <c r="Y43" s="117">
        <f t="shared" si="12"/>
        <v>25874.19</v>
      </c>
      <c r="Z43" s="117">
        <f t="shared" si="12"/>
        <v>21889.69</v>
      </c>
      <c r="AA43" s="117">
        <f t="shared" si="12"/>
        <v>25793.59</v>
      </c>
      <c r="AB43" s="117">
        <f t="shared" si="12"/>
        <v>13816.28</v>
      </c>
      <c r="AC43" s="117">
        <f t="shared" si="12"/>
        <v>141578.99000000002</v>
      </c>
      <c r="AD43" s="117">
        <f t="shared" si="12"/>
        <v>11747.12</v>
      </c>
      <c r="AE43" s="117">
        <f t="shared" si="12"/>
        <v>5696.7300000000005</v>
      </c>
      <c r="AF43" s="117">
        <f t="shared" si="12"/>
        <v>5693.35</v>
      </c>
      <c r="AG43" s="117">
        <f t="shared" si="12"/>
        <v>7446.7</v>
      </c>
      <c r="AH43" s="117">
        <f t="shared" si="12"/>
        <v>14391.150000000001</v>
      </c>
      <c r="AI43" s="117">
        <f t="shared" si="12"/>
        <v>14336.19</v>
      </c>
      <c r="AJ43" s="117">
        <f t="shared" si="12"/>
        <v>2040.76</v>
      </c>
      <c r="AK43" s="117">
        <f t="shared" si="12"/>
        <v>5100.3500000000004</v>
      </c>
      <c r="AL43" s="117">
        <f t="shared" si="12"/>
        <v>6902.7800000000007</v>
      </c>
      <c r="AM43" s="117">
        <f t="shared" si="12"/>
        <v>14970.92</v>
      </c>
      <c r="AN43" s="117">
        <f t="shared" si="12"/>
        <v>13723.560000000001</v>
      </c>
      <c r="AO43" s="117">
        <f t="shared" si="12"/>
        <v>176797.66</v>
      </c>
      <c r="AQ43" s="117">
        <f t="shared" ref="AQ43:BB43" si="13">SUM(AQ2:AQ42)</f>
        <v>17170.8</v>
      </c>
      <c r="AR43" s="117">
        <f t="shared" si="13"/>
        <v>22510</v>
      </c>
      <c r="AS43" s="117">
        <f t="shared" si="13"/>
        <v>32443.95</v>
      </c>
      <c r="AT43" s="117">
        <f t="shared" si="13"/>
        <v>17170.8</v>
      </c>
      <c r="AU43" s="117">
        <f t="shared" si="13"/>
        <v>28040.829999999998</v>
      </c>
      <c r="AV43" s="117">
        <f t="shared" si="13"/>
        <v>65037.659999999996</v>
      </c>
      <c r="AW43" s="117">
        <f t="shared" si="13"/>
        <v>21614.62</v>
      </c>
      <c r="AX43" s="117">
        <f t="shared" si="13"/>
        <v>22194.29</v>
      </c>
      <c r="AY43" s="117">
        <f t="shared" si="13"/>
        <v>23943.87</v>
      </c>
      <c r="AZ43" s="117">
        <f t="shared" si="13"/>
        <v>32073.500000000004</v>
      </c>
      <c r="BA43" s="117">
        <f t="shared" si="13"/>
        <v>41254.85</v>
      </c>
      <c r="BB43" s="117">
        <f t="shared" si="13"/>
        <v>32755.25</v>
      </c>
      <c r="BD43" s="117">
        <f t="shared" ref="BD43:BO43" si="14">SUM(BD2:BD42)</f>
        <v>22436.780000000002</v>
      </c>
      <c r="BE43" s="117">
        <f t="shared" si="14"/>
        <v>37827.72</v>
      </c>
      <c r="BF43" s="117">
        <f t="shared" si="14"/>
        <v>13762.51</v>
      </c>
      <c r="BG43" s="117">
        <f t="shared" si="14"/>
        <v>36048.9</v>
      </c>
      <c r="BH43" s="117">
        <f t="shared" si="14"/>
        <v>69000.39</v>
      </c>
      <c r="BI43" s="117">
        <f t="shared" si="14"/>
        <v>43713.200000000004</v>
      </c>
      <c r="BJ43" s="117">
        <f t="shared" si="14"/>
        <v>150696.85</v>
      </c>
      <c r="BK43" s="117">
        <f t="shared" si="14"/>
        <v>78157.039999999994</v>
      </c>
      <c r="BL43" s="117">
        <f t="shared" si="14"/>
        <v>45044.93</v>
      </c>
      <c r="BM43" s="117">
        <f t="shared" si="14"/>
        <v>101567.28</v>
      </c>
      <c r="BN43" s="117">
        <f t="shared" si="14"/>
        <v>40923.06</v>
      </c>
      <c r="BO43" s="117">
        <f t="shared" si="14"/>
        <v>48676.609999999993</v>
      </c>
      <c r="BQ43" s="117">
        <f t="shared" ref="BQ43:CD43" si="15">SUM(BQ2:BQ42)</f>
        <v>28380.25</v>
      </c>
      <c r="BR43" s="117">
        <f t="shared" si="15"/>
        <v>46323.669999999991</v>
      </c>
      <c r="BS43" s="117">
        <f t="shared" si="15"/>
        <v>30467.120000000003</v>
      </c>
      <c r="BT43" s="471">
        <f t="shared" si="15"/>
        <v>47814.81</v>
      </c>
      <c r="BU43" s="117">
        <f t="shared" si="15"/>
        <v>-25621.879999999997</v>
      </c>
      <c r="BV43" s="117">
        <f t="shared" si="15"/>
        <v>140845.76999999999</v>
      </c>
      <c r="BW43" s="117">
        <f t="shared" si="15"/>
        <v>36171.729999999996</v>
      </c>
      <c r="BX43" s="117">
        <f t="shared" si="15"/>
        <v>21721.530000000006</v>
      </c>
      <c r="BY43" s="117">
        <f t="shared" si="15"/>
        <v>252293.12</v>
      </c>
      <c r="BZ43" s="117">
        <f t="shared" si="15"/>
        <v>31609.760000000002</v>
      </c>
      <c r="CA43" s="117">
        <f t="shared" si="15"/>
        <v>63494.05</v>
      </c>
      <c r="CB43" s="117">
        <f t="shared" si="15"/>
        <v>21560.920000000002</v>
      </c>
      <c r="CD43" s="117">
        <f t="shared" si="15"/>
        <v>9114.0400000000009</v>
      </c>
      <c r="CE43" s="117">
        <f t="shared" ref="CE43:CO43" si="16">SUM(CE2:CE42)</f>
        <v>23550.57</v>
      </c>
      <c r="CF43" s="117">
        <f t="shared" si="16"/>
        <v>31308.160000000003</v>
      </c>
      <c r="CG43" s="117">
        <f t="shared" si="16"/>
        <v>0</v>
      </c>
      <c r="CH43" s="117">
        <f t="shared" si="16"/>
        <v>0</v>
      </c>
      <c r="CI43" s="117">
        <f t="shared" si="16"/>
        <v>0</v>
      </c>
      <c r="CJ43" s="117">
        <f t="shared" si="16"/>
        <v>0</v>
      </c>
      <c r="CK43" s="117">
        <f t="shared" si="16"/>
        <v>0</v>
      </c>
      <c r="CL43" s="117">
        <f t="shared" si="16"/>
        <v>0</v>
      </c>
      <c r="CM43" s="117">
        <f t="shared" si="16"/>
        <v>0</v>
      </c>
      <c r="CN43" s="117">
        <f t="shared" si="16"/>
        <v>0</v>
      </c>
      <c r="CO43" s="117">
        <f t="shared" si="16"/>
        <v>0</v>
      </c>
    </row>
    <row r="46" spans="1:94" x14ac:dyDescent="0.2">
      <c r="AQ46">
        <v>6</v>
      </c>
      <c r="AR46">
        <f>AQ46+7</f>
        <v>13</v>
      </c>
      <c r="AS46">
        <f t="shared" ref="AS46:BB46" si="17">AR46+7</f>
        <v>20</v>
      </c>
      <c r="AT46">
        <f t="shared" si="17"/>
        <v>27</v>
      </c>
      <c r="AU46">
        <f t="shared" si="17"/>
        <v>34</v>
      </c>
      <c r="AV46">
        <f t="shared" si="17"/>
        <v>41</v>
      </c>
      <c r="AW46">
        <f t="shared" si="17"/>
        <v>48</v>
      </c>
      <c r="AX46">
        <f t="shared" si="17"/>
        <v>55</v>
      </c>
      <c r="AY46">
        <f t="shared" si="17"/>
        <v>62</v>
      </c>
      <c r="AZ46">
        <f t="shared" si="17"/>
        <v>69</v>
      </c>
      <c r="BA46">
        <f t="shared" si="17"/>
        <v>76</v>
      </c>
      <c r="BB46">
        <f t="shared" si="17"/>
        <v>83</v>
      </c>
      <c r="BD46">
        <v>6</v>
      </c>
      <c r="BE46">
        <f>BD46+7</f>
        <v>13</v>
      </c>
      <c r="BF46">
        <f t="shared" ref="BF46" si="18">BE46+7</f>
        <v>20</v>
      </c>
      <c r="BG46">
        <f t="shared" ref="BG46" si="19">BF46+7</f>
        <v>27</v>
      </c>
      <c r="BH46">
        <f t="shared" ref="BH46" si="20">BG46+7</f>
        <v>34</v>
      </c>
      <c r="BI46">
        <f t="shared" ref="BI46" si="21">BH46+7</f>
        <v>41</v>
      </c>
      <c r="BJ46">
        <f t="shared" ref="BJ46" si="22">BI46+7</f>
        <v>48</v>
      </c>
      <c r="BK46">
        <f t="shared" ref="BK46" si="23">BJ46+7</f>
        <v>55</v>
      </c>
      <c r="BL46">
        <f t="shared" ref="BL46" si="24">BK46+7</f>
        <v>62</v>
      </c>
      <c r="BM46">
        <f t="shared" ref="BM46" si="25">BL46+7</f>
        <v>69</v>
      </c>
      <c r="BN46">
        <f t="shared" ref="BN46" si="26">BM46+7</f>
        <v>76</v>
      </c>
      <c r="BO46">
        <f t="shared" ref="BO46" si="27">BN46+7</f>
        <v>83</v>
      </c>
      <c r="BQ46">
        <v>6</v>
      </c>
      <c r="BR46">
        <f>BQ46+7</f>
        <v>13</v>
      </c>
      <c r="BS46">
        <f t="shared" ref="BS46" si="28">BR46+7</f>
        <v>20</v>
      </c>
      <c r="BT46">
        <f t="shared" ref="BT46" si="29">BS46+7</f>
        <v>27</v>
      </c>
      <c r="BU46">
        <f t="shared" ref="BU46" si="30">BT46+7</f>
        <v>34</v>
      </c>
      <c r="BV46">
        <f t="shared" ref="BV46" si="31">BU46+7</f>
        <v>41</v>
      </c>
      <c r="BW46">
        <f t="shared" ref="BW46" si="32">BV46+7</f>
        <v>48</v>
      </c>
      <c r="BX46">
        <f t="shared" ref="BX46" si="33">BW46+7</f>
        <v>55</v>
      </c>
      <c r="BY46">
        <f t="shared" ref="BY46" si="34">BX46+7</f>
        <v>62</v>
      </c>
      <c r="BZ46">
        <f t="shared" ref="BZ46" si="35">BY46+7</f>
        <v>69</v>
      </c>
      <c r="CA46">
        <f t="shared" ref="CA46" si="36">BZ46+7</f>
        <v>76</v>
      </c>
      <c r="CB46">
        <f t="shared" ref="CB46" si="37">CA46+7</f>
        <v>83</v>
      </c>
      <c r="CD46">
        <v>6</v>
      </c>
      <c r="CE46">
        <f>CD46+7</f>
        <v>13</v>
      </c>
      <c r="CF46">
        <f t="shared" ref="CF46" si="38">CE46+7</f>
        <v>20</v>
      </c>
      <c r="CG46">
        <f t="shared" ref="CG46" si="39">CF46+7</f>
        <v>27</v>
      </c>
      <c r="CH46">
        <f t="shared" ref="CH46" si="40">CG46+7</f>
        <v>34</v>
      </c>
      <c r="CI46">
        <f t="shared" ref="CI46" si="41">CH46+7</f>
        <v>41</v>
      </c>
      <c r="CJ46">
        <f t="shared" ref="CJ46" si="42">CI46+7</f>
        <v>48</v>
      </c>
      <c r="CK46">
        <f t="shared" ref="CK46" si="43">CJ46+7</f>
        <v>55</v>
      </c>
      <c r="CL46">
        <f t="shared" ref="CL46" si="44">CK46+7</f>
        <v>62</v>
      </c>
      <c r="CM46">
        <f t="shared" ref="CM46" si="45">CL46+7</f>
        <v>69</v>
      </c>
      <c r="CN46">
        <f t="shared" ref="CN46" si="46">CM46+7</f>
        <v>76</v>
      </c>
      <c r="CO46">
        <f t="shared" ref="CO46" si="47">CN46+7</f>
        <v>83</v>
      </c>
    </row>
  </sheetData>
  <autoFilter ref="A1:CC41" xr:uid="{44E85AFE-DA7C-4E1D-8DEB-836770735B26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16A2-F606-4A42-9303-CB0CE6D9418D}">
  <sheetPr codeName="Planilha22">
    <tabColor rgb="FF00B050"/>
  </sheetPr>
  <dimension ref="A1:CS11"/>
  <sheetViews>
    <sheetView zoomScale="130" zoomScaleNormal="13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CJ2" sqref="CJ2"/>
    </sheetView>
  </sheetViews>
  <sheetFormatPr defaultRowHeight="12.75" x14ac:dyDescent="0.2"/>
  <cols>
    <col min="1" max="1" width="17.5703125" style="49" bestFit="1" customWidth="1"/>
    <col min="2" max="2" width="9.5703125" style="49" customWidth="1"/>
    <col min="3" max="4" width="9.5703125" customWidth="1"/>
    <col min="5" max="6" width="8.5703125" customWidth="1"/>
    <col min="7" max="18" width="9.5703125" customWidth="1"/>
    <col min="19" max="19" width="8.5703125" customWidth="1"/>
    <col min="20" max="25" width="9.5703125" customWidth="1"/>
    <col min="26" max="49" width="10" customWidth="1"/>
    <col min="50" max="50" width="10" bestFit="1" customWidth="1"/>
    <col min="51" max="51" width="9" bestFit="1" customWidth="1"/>
    <col min="52" max="52" width="10" bestFit="1" customWidth="1"/>
    <col min="62" max="62" width="10.5703125" bestFit="1" customWidth="1"/>
    <col min="74" max="85" width="10" bestFit="1" customWidth="1"/>
  </cols>
  <sheetData>
    <row r="1" spans="1:97" x14ac:dyDescent="0.2">
      <c r="A1" s="45" t="s">
        <v>87</v>
      </c>
      <c r="B1" s="120">
        <v>43466</v>
      </c>
      <c r="C1" s="77">
        <v>43497</v>
      </c>
      <c r="D1" s="77">
        <v>43525</v>
      </c>
      <c r="E1" s="120">
        <v>43556</v>
      </c>
      <c r="F1" s="77">
        <v>43586</v>
      </c>
      <c r="G1" s="77">
        <v>43617</v>
      </c>
      <c r="H1" s="120">
        <v>43647</v>
      </c>
      <c r="I1" s="77">
        <v>43678</v>
      </c>
      <c r="J1" s="77">
        <v>43709</v>
      </c>
      <c r="K1" s="120">
        <v>43739</v>
      </c>
      <c r="L1" s="77">
        <v>43770</v>
      </c>
      <c r="M1" s="77">
        <v>43800</v>
      </c>
      <c r="N1" s="120">
        <v>43831</v>
      </c>
      <c r="O1" s="77">
        <v>43862</v>
      </c>
      <c r="P1" s="77">
        <v>43891</v>
      </c>
      <c r="Q1" s="120">
        <v>43922</v>
      </c>
      <c r="R1" s="77">
        <v>43952</v>
      </c>
      <c r="S1" s="77">
        <v>43983</v>
      </c>
      <c r="T1" s="120">
        <v>44013</v>
      </c>
      <c r="U1" s="77">
        <v>44044</v>
      </c>
      <c r="V1" s="77">
        <v>44075</v>
      </c>
      <c r="W1" s="120">
        <v>44105</v>
      </c>
      <c r="X1" s="77">
        <v>44136</v>
      </c>
      <c r="Y1" s="77">
        <v>44166</v>
      </c>
      <c r="Z1" s="120">
        <v>44197</v>
      </c>
      <c r="AA1" s="77">
        <v>44228</v>
      </c>
      <c r="AB1" s="77">
        <v>44256</v>
      </c>
      <c r="AC1" s="120">
        <v>44287</v>
      </c>
      <c r="AD1" s="77">
        <v>44317</v>
      </c>
      <c r="AE1" s="77">
        <v>44348</v>
      </c>
      <c r="AF1" s="120">
        <v>44378</v>
      </c>
      <c r="AG1" s="77">
        <v>44409</v>
      </c>
      <c r="AH1" s="77">
        <v>44440</v>
      </c>
      <c r="AI1" s="120">
        <v>44470</v>
      </c>
      <c r="AJ1" s="77">
        <v>44501</v>
      </c>
      <c r="AK1" s="77">
        <v>44531</v>
      </c>
      <c r="AL1" s="120">
        <v>44562</v>
      </c>
      <c r="AM1" s="77">
        <v>44593</v>
      </c>
      <c r="AN1" s="77">
        <v>44621</v>
      </c>
      <c r="AO1" s="120">
        <v>44652</v>
      </c>
      <c r="AP1" s="77">
        <v>44682</v>
      </c>
      <c r="AQ1" s="77">
        <v>44713</v>
      </c>
      <c r="AR1" s="120">
        <v>44743</v>
      </c>
      <c r="AS1" s="77">
        <v>44774</v>
      </c>
      <c r="AT1" s="77">
        <v>44805</v>
      </c>
      <c r="AU1" s="120">
        <v>44835</v>
      </c>
      <c r="AV1" s="77">
        <v>44866</v>
      </c>
      <c r="AW1" s="77">
        <v>44896</v>
      </c>
      <c r="AX1" s="120">
        <v>44927</v>
      </c>
      <c r="AY1" s="77">
        <v>44958</v>
      </c>
      <c r="AZ1" s="77">
        <v>44986</v>
      </c>
      <c r="BA1" s="120">
        <v>45017</v>
      </c>
      <c r="BB1" s="77">
        <v>45047</v>
      </c>
      <c r="BC1" s="77">
        <v>45078</v>
      </c>
      <c r="BD1" s="120">
        <v>45108</v>
      </c>
      <c r="BE1" s="77">
        <v>45139</v>
      </c>
      <c r="BF1" s="77">
        <v>45170</v>
      </c>
      <c r="BG1" s="120">
        <v>45200</v>
      </c>
      <c r="BH1" s="77">
        <v>45231</v>
      </c>
      <c r="BI1" s="77">
        <v>45261</v>
      </c>
      <c r="BJ1" s="77">
        <v>45292</v>
      </c>
      <c r="BK1" s="77">
        <v>45323</v>
      </c>
      <c r="BL1" s="77">
        <v>45352</v>
      </c>
      <c r="BM1" s="77">
        <v>45383</v>
      </c>
      <c r="BN1" s="77">
        <v>45413</v>
      </c>
      <c r="BO1" s="77">
        <v>45444</v>
      </c>
      <c r="BP1" s="77">
        <v>45474</v>
      </c>
      <c r="BQ1" s="77">
        <v>45505</v>
      </c>
      <c r="BR1" s="77">
        <v>45536</v>
      </c>
      <c r="BS1" s="77">
        <v>45566</v>
      </c>
      <c r="BT1" s="77">
        <v>45597</v>
      </c>
      <c r="BU1" s="77">
        <v>45627</v>
      </c>
      <c r="BV1" s="77">
        <v>45658</v>
      </c>
      <c r="BW1" s="77">
        <v>45689</v>
      </c>
      <c r="BX1" s="77">
        <v>45717</v>
      </c>
      <c r="BY1" s="77">
        <v>45748</v>
      </c>
      <c r="BZ1" s="77">
        <v>45778</v>
      </c>
      <c r="CA1" s="77">
        <v>45809</v>
      </c>
      <c r="CB1" s="77">
        <v>45839</v>
      </c>
      <c r="CC1" s="77">
        <v>45870</v>
      </c>
      <c r="CD1" s="77">
        <v>45901</v>
      </c>
      <c r="CE1" s="77">
        <v>45931</v>
      </c>
      <c r="CF1" s="77">
        <v>45962</v>
      </c>
      <c r="CG1" s="77">
        <v>45992</v>
      </c>
      <c r="CH1" s="77">
        <v>46023</v>
      </c>
      <c r="CI1" s="77">
        <v>46054</v>
      </c>
      <c r="CJ1" s="77">
        <v>46082</v>
      </c>
      <c r="CK1" s="77">
        <v>46113</v>
      </c>
      <c r="CL1" s="77">
        <v>46143</v>
      </c>
      <c r="CM1" s="77">
        <v>46174</v>
      </c>
      <c r="CN1" s="77">
        <v>46204</v>
      </c>
      <c r="CO1" s="77">
        <v>46235</v>
      </c>
      <c r="CP1" s="77">
        <v>46266</v>
      </c>
      <c r="CQ1" s="77">
        <v>46296</v>
      </c>
      <c r="CR1" s="77">
        <v>46327</v>
      </c>
      <c r="CS1" s="77">
        <v>46357</v>
      </c>
    </row>
    <row r="2" spans="1:97" x14ac:dyDescent="0.2">
      <c r="A2" s="46" t="s">
        <v>78</v>
      </c>
      <c r="B2" s="47">
        <v>0</v>
      </c>
      <c r="C2" s="47">
        <v>90.05</v>
      </c>
      <c r="D2" s="47">
        <v>0</v>
      </c>
      <c r="E2" s="47">
        <v>0</v>
      </c>
      <c r="F2" s="47">
        <v>0</v>
      </c>
      <c r="G2" s="47">
        <v>0</v>
      </c>
      <c r="H2" s="47">
        <v>0</v>
      </c>
      <c r="I2" s="47">
        <v>0</v>
      </c>
      <c r="J2" s="47">
        <v>0</v>
      </c>
      <c r="K2" s="47">
        <v>0</v>
      </c>
      <c r="L2" s="47">
        <v>0</v>
      </c>
      <c r="M2" s="47">
        <v>0</v>
      </c>
      <c r="N2" s="47">
        <v>0</v>
      </c>
      <c r="O2" s="47">
        <v>31.68</v>
      </c>
      <c r="P2" s="47">
        <v>30.18</v>
      </c>
      <c r="Q2" s="47">
        <v>0</v>
      </c>
      <c r="R2" s="47">
        <v>183.16</v>
      </c>
      <c r="S2" s="47">
        <v>205.01</v>
      </c>
      <c r="T2" s="47">
        <v>473.11</v>
      </c>
      <c r="U2" s="47">
        <v>0</v>
      </c>
      <c r="V2" s="47">
        <v>66.349999999999994</v>
      </c>
      <c r="W2" s="47">
        <v>224.98</v>
      </c>
      <c r="X2" s="47">
        <v>520.59</v>
      </c>
      <c r="Y2" s="47">
        <v>483.49</v>
      </c>
      <c r="Z2" s="48">
        <v>0</v>
      </c>
      <c r="AA2" s="48">
        <v>0</v>
      </c>
      <c r="AB2" s="48">
        <v>1751.61</v>
      </c>
      <c r="AC2" s="48">
        <v>815.93</v>
      </c>
      <c r="AD2" s="48">
        <v>1389.37</v>
      </c>
      <c r="AE2" s="48">
        <v>648.61</v>
      </c>
      <c r="AF2" s="48">
        <v>60.31</v>
      </c>
      <c r="AG2" s="48">
        <v>1882.23</v>
      </c>
      <c r="AH2" s="48">
        <v>953.14</v>
      </c>
      <c r="AI2" s="48">
        <v>2004.78</v>
      </c>
      <c r="AJ2" s="48">
        <v>880.27</v>
      </c>
      <c r="AK2" s="48">
        <v>612.5</v>
      </c>
      <c r="AL2" s="48">
        <v>0</v>
      </c>
      <c r="AM2" s="48">
        <v>4714.99</v>
      </c>
      <c r="AN2" s="49">
        <v>786.11</v>
      </c>
      <c r="AO2" s="49">
        <v>1435.71</v>
      </c>
      <c r="AP2" s="49">
        <v>2808.71</v>
      </c>
      <c r="AQ2" s="49">
        <v>0</v>
      </c>
      <c r="AR2" s="49">
        <v>3407.85</v>
      </c>
      <c r="AS2" s="49">
        <v>652.19000000000005</v>
      </c>
      <c r="AT2" s="49">
        <v>4019.58</v>
      </c>
      <c r="AU2" s="49">
        <v>1774.8</v>
      </c>
      <c r="AV2" s="49">
        <v>2220.62</v>
      </c>
      <c r="AW2" s="49">
        <v>5257.37</v>
      </c>
      <c r="AX2" s="49">
        <v>5802.58</v>
      </c>
      <c r="AY2" s="49">
        <v>0</v>
      </c>
      <c r="AZ2" s="49">
        <v>1169.0999999999999</v>
      </c>
      <c r="BA2" s="49">
        <v>577.66</v>
      </c>
      <c r="BB2" s="49">
        <v>1117.3900000000001</v>
      </c>
      <c r="BC2" s="49">
        <v>488.32</v>
      </c>
      <c r="BD2" s="49">
        <v>2522.7800000000002</v>
      </c>
      <c r="BE2" s="49">
        <v>2563.69</v>
      </c>
      <c r="BF2" s="49">
        <v>4028.37</v>
      </c>
      <c r="BG2" s="49">
        <v>7879.5</v>
      </c>
      <c r="BH2" s="49">
        <v>4100.37</v>
      </c>
      <c r="BI2" s="49">
        <v>1392.42</v>
      </c>
      <c r="BJ2">
        <v>7930.23</v>
      </c>
      <c r="BK2">
        <v>1996.89</v>
      </c>
      <c r="BL2">
        <v>0</v>
      </c>
      <c r="BM2">
        <v>157.5</v>
      </c>
      <c r="BN2">
        <v>0</v>
      </c>
      <c r="BO2">
        <v>2616.23</v>
      </c>
      <c r="BP2">
        <v>5808.17</v>
      </c>
      <c r="BQ2">
        <v>9665.48</v>
      </c>
      <c r="BR2">
        <v>9227.7000000000007</v>
      </c>
      <c r="BS2">
        <v>12230.3</v>
      </c>
      <c r="BT2">
        <v>22085.29</v>
      </c>
      <c r="BU2">
        <v>4550.8</v>
      </c>
      <c r="BV2">
        <v>28518.45</v>
      </c>
      <c r="BW2">
        <v>13238.13</v>
      </c>
      <c r="BX2">
        <v>6479.99</v>
      </c>
      <c r="BY2">
        <v>17366.11</v>
      </c>
      <c r="BZ2">
        <v>7885.72</v>
      </c>
      <c r="CA2">
        <v>16076.11</v>
      </c>
      <c r="CB2">
        <v>8048.22</v>
      </c>
      <c r="CC2">
        <v>5763.49</v>
      </c>
      <c r="CD2">
        <v>22696.350681</v>
      </c>
      <c r="CE2">
        <v>32431.438997000001</v>
      </c>
      <c r="CF2">
        <v>13221.23</v>
      </c>
      <c r="CG2">
        <v>10103.58</v>
      </c>
      <c r="CH2">
        <f>[2]Impostos!C4</f>
        <v>16946.330000000002</v>
      </c>
      <c r="CI2">
        <f>[2]Impostos!D4</f>
        <v>0</v>
      </c>
      <c r="CJ2">
        <f>[2]Impostos!E4</f>
        <v>24363.39</v>
      </c>
      <c r="CK2">
        <f>[2]Impostos!F4</f>
        <v>0</v>
      </c>
      <c r="CL2">
        <f>[2]Impostos!G4</f>
        <v>0</v>
      </c>
      <c r="CM2">
        <f>[2]Impostos!H4</f>
        <v>0</v>
      </c>
      <c r="CN2">
        <f>[2]Impostos!I4</f>
        <v>0</v>
      </c>
      <c r="CO2">
        <f>[2]Impostos!J4</f>
        <v>0</v>
      </c>
      <c r="CP2">
        <f>[2]Impostos!K4</f>
        <v>0</v>
      </c>
      <c r="CQ2">
        <f>[2]Impostos!L4</f>
        <v>0</v>
      </c>
      <c r="CR2">
        <f>[2]Impostos!M4</f>
        <v>0</v>
      </c>
      <c r="CS2">
        <f>[2]Impostos!N4</f>
        <v>0</v>
      </c>
    </row>
    <row r="3" spans="1:97" x14ac:dyDescent="0.2">
      <c r="A3" s="46" t="s">
        <v>79</v>
      </c>
      <c r="B3" s="47">
        <v>30516.43</v>
      </c>
      <c r="C3" s="47">
        <v>30621.97</v>
      </c>
      <c r="D3" s="47">
        <v>30770.53</v>
      </c>
      <c r="E3" s="47">
        <v>21608.560000000001</v>
      </c>
      <c r="F3" s="47">
        <v>21824.639999999999</v>
      </c>
      <c r="G3" s="47">
        <v>21941.33</v>
      </c>
      <c r="H3" s="47">
        <v>30645.24</v>
      </c>
      <c r="I3" s="47">
        <v>30951.69</v>
      </c>
      <c r="J3" s="47">
        <v>31104.91</v>
      </c>
      <c r="K3" s="47">
        <v>29966.34</v>
      </c>
      <c r="L3" s="47">
        <v>30266</v>
      </c>
      <c r="M3" s="47">
        <v>30379.87</v>
      </c>
      <c r="N3" s="47">
        <v>35221.68</v>
      </c>
      <c r="O3" s="47">
        <v>35573.89</v>
      </c>
      <c r="P3" s="47">
        <v>0</v>
      </c>
      <c r="Q3" s="47">
        <v>0</v>
      </c>
      <c r="R3" s="47">
        <v>2734.23</v>
      </c>
      <c r="S3" s="47">
        <v>0</v>
      </c>
      <c r="T3" s="47">
        <v>33470.29</v>
      </c>
      <c r="U3" s="47">
        <v>36577.49</v>
      </c>
      <c r="V3" s="47">
        <v>36500.199999999997</v>
      </c>
      <c r="W3" s="47">
        <v>43207.35</v>
      </c>
      <c r="X3" s="47">
        <v>40806.92</v>
      </c>
      <c r="Y3" s="47">
        <v>43657.22</v>
      </c>
      <c r="Z3" s="48">
        <v>44673.81</v>
      </c>
      <c r="AA3" s="48">
        <v>45096.71</v>
      </c>
      <c r="AB3" s="48">
        <v>47565.53</v>
      </c>
      <c r="AC3" s="48">
        <v>31765.9</v>
      </c>
      <c r="AD3" s="48">
        <v>31656.15</v>
      </c>
      <c r="AE3" s="48">
        <v>31740.639999999999</v>
      </c>
      <c r="AF3" s="48">
        <v>42008.69</v>
      </c>
      <c r="AG3" s="48">
        <v>42410.32</v>
      </c>
      <c r="AH3" s="48">
        <v>42590.559999999998</v>
      </c>
      <c r="AI3" s="48">
        <v>45522.38</v>
      </c>
      <c r="AJ3" s="48">
        <v>45962.37</v>
      </c>
      <c r="AK3" s="48">
        <v>46230.2</v>
      </c>
      <c r="AL3" s="48">
        <v>44703.38</v>
      </c>
      <c r="AM3" s="48">
        <v>45141.24</v>
      </c>
      <c r="AN3" s="49">
        <v>45479.619999999995</v>
      </c>
      <c r="AO3" s="49">
        <v>39625.629999999997</v>
      </c>
      <c r="AP3" s="49">
        <v>40014.990000000005</v>
      </c>
      <c r="AQ3" s="49">
        <v>42329.5</v>
      </c>
      <c r="AR3" s="49">
        <v>45263.03</v>
      </c>
      <c r="AS3" s="49">
        <v>45713.24</v>
      </c>
      <c r="AT3" s="49">
        <v>46239.03</v>
      </c>
      <c r="AU3" s="49">
        <v>43232.98</v>
      </c>
      <c r="AV3" s="49">
        <v>43661.72</v>
      </c>
      <c r="AW3" s="49">
        <v>44098.48</v>
      </c>
      <c r="AX3" s="49">
        <v>3233.77</v>
      </c>
      <c r="AY3" s="49">
        <v>3264.39</v>
      </c>
      <c r="AZ3" s="49">
        <v>3289.55</v>
      </c>
      <c r="BA3" s="49">
        <v>39835.840000000004</v>
      </c>
      <c r="BB3" s="49">
        <v>40226.130000000005</v>
      </c>
      <c r="BC3" s="49">
        <v>40060.9</v>
      </c>
      <c r="BD3" s="49">
        <v>50985.89</v>
      </c>
      <c r="BE3" s="49">
        <v>51531.25</v>
      </c>
      <c r="BF3" s="49">
        <v>52148.2</v>
      </c>
      <c r="BG3" s="49">
        <v>57728.71</v>
      </c>
      <c r="BH3" s="49">
        <v>58335.43</v>
      </c>
      <c r="BI3" s="49">
        <v>58893.599999999999</v>
      </c>
      <c r="BJ3">
        <v>58433.25</v>
      </c>
      <c r="BK3">
        <v>58508.639999999999</v>
      </c>
      <c r="BL3">
        <v>59550.05</v>
      </c>
      <c r="BM3">
        <v>48308.54</v>
      </c>
      <c r="BN3">
        <v>45424.83</v>
      </c>
      <c r="BO3">
        <v>45798.12</v>
      </c>
      <c r="BP3">
        <v>67192.460000000006</v>
      </c>
      <c r="BQ3">
        <v>67127.12</v>
      </c>
      <c r="BR3">
        <v>67705.34</v>
      </c>
      <c r="BS3">
        <v>74586.89</v>
      </c>
      <c r="BT3">
        <v>75332.75</v>
      </c>
      <c r="BU3">
        <v>98648.61</v>
      </c>
      <c r="BV3">
        <v>92138.91</v>
      </c>
      <c r="BW3">
        <v>93060.29</v>
      </c>
      <c r="BX3">
        <v>93972.47</v>
      </c>
      <c r="BY3">
        <v>68239.289999999994</v>
      </c>
      <c r="BZ3">
        <v>68921.66</v>
      </c>
      <c r="CA3">
        <v>69699.59</v>
      </c>
      <c r="CB3">
        <v>90109.98</v>
      </c>
      <c r="CC3">
        <v>91011.06</v>
      </c>
      <c r="CD3">
        <v>92428.339588000003</v>
      </c>
      <c r="CE3">
        <v>85634.73</v>
      </c>
      <c r="CF3">
        <v>86491.05</v>
      </c>
      <c r="CG3">
        <v>87390.22</v>
      </c>
      <c r="CH3">
        <f>[2]Impostos!C5</f>
        <v>97595.01</v>
      </c>
      <c r="CI3">
        <f>[2]Impostos!D5</f>
        <v>119937.809909</v>
      </c>
      <c r="CJ3">
        <f>[2]Impostos!E5</f>
        <v>99546.91</v>
      </c>
      <c r="CK3">
        <f>[2]Impostos!F5</f>
        <v>0</v>
      </c>
      <c r="CL3">
        <f>[2]Impostos!G5</f>
        <v>0</v>
      </c>
      <c r="CM3">
        <f>[2]Impostos!H5</f>
        <v>0</v>
      </c>
      <c r="CN3">
        <f>[2]Impostos!I5</f>
        <v>0</v>
      </c>
      <c r="CO3">
        <f>[2]Impostos!J5</f>
        <v>0</v>
      </c>
      <c r="CP3">
        <f>[2]Impostos!K5</f>
        <v>0</v>
      </c>
      <c r="CQ3">
        <f>[2]Impostos!L5</f>
        <v>0</v>
      </c>
      <c r="CR3">
        <f>[2]Impostos!M5</f>
        <v>0</v>
      </c>
      <c r="CS3">
        <f>[2]Impostos!N5</f>
        <v>0</v>
      </c>
    </row>
    <row r="4" spans="1:97" x14ac:dyDescent="0.2">
      <c r="A4" s="46" t="s">
        <v>80</v>
      </c>
      <c r="B4" s="47">
        <v>38991.56</v>
      </c>
      <c r="C4" s="47">
        <v>9062.7900000000009</v>
      </c>
      <c r="D4" s="47">
        <v>33802.26</v>
      </c>
      <c r="E4" s="47">
        <v>50979.6</v>
      </c>
      <c r="F4" s="47">
        <v>18032.189999999999</v>
      </c>
      <c r="G4" s="47">
        <v>52918.52</v>
      </c>
      <c r="H4" s="47">
        <v>41475.32</v>
      </c>
      <c r="I4" s="47">
        <v>47302.21</v>
      </c>
      <c r="J4" s="47">
        <v>43067.86</v>
      </c>
      <c r="K4" s="47">
        <v>28750.7</v>
      </c>
      <c r="L4" s="47">
        <v>60284.77</v>
      </c>
      <c r="M4" s="47">
        <v>43056.94</v>
      </c>
      <c r="N4" s="47">
        <v>65116.44</v>
      </c>
      <c r="O4" s="47">
        <v>56316.93</v>
      </c>
      <c r="P4" s="47">
        <v>50842.12</v>
      </c>
      <c r="Q4" s="47">
        <v>0</v>
      </c>
      <c r="R4" s="47">
        <v>0</v>
      </c>
      <c r="S4" s="47">
        <v>0</v>
      </c>
      <c r="T4" s="47">
        <v>52406.520000000004</v>
      </c>
      <c r="U4" s="47">
        <v>60126.909999999996</v>
      </c>
      <c r="V4" s="47">
        <v>56907.83</v>
      </c>
      <c r="W4" s="47">
        <v>90536.28</v>
      </c>
      <c r="X4" s="47">
        <v>90211.54</v>
      </c>
      <c r="Y4" s="47">
        <v>62367.89</v>
      </c>
      <c r="Z4" s="48">
        <v>34736.89</v>
      </c>
      <c r="AA4" s="48">
        <v>31466.1</v>
      </c>
      <c r="AB4" s="48">
        <v>26539.97</v>
      </c>
      <c r="AC4" s="48">
        <v>0</v>
      </c>
      <c r="AD4" s="48">
        <v>0</v>
      </c>
      <c r="AE4" s="48">
        <v>0</v>
      </c>
      <c r="AF4" s="48">
        <v>50590.17</v>
      </c>
      <c r="AG4" s="48">
        <v>48348.23</v>
      </c>
      <c r="AH4" s="48">
        <v>85524.57</v>
      </c>
      <c r="AI4" s="48">
        <v>88400.27</v>
      </c>
      <c r="AJ4" s="48">
        <v>74718.77</v>
      </c>
      <c r="AK4" s="48">
        <v>75100.62</v>
      </c>
      <c r="AL4" s="48">
        <v>46679.24</v>
      </c>
      <c r="AM4" s="48">
        <v>46712.89</v>
      </c>
      <c r="AN4" s="49">
        <v>44798.78</v>
      </c>
      <c r="AO4" s="49">
        <v>40851.589999999997</v>
      </c>
      <c r="AP4" s="49">
        <v>61505.2</v>
      </c>
      <c r="AQ4" s="49">
        <v>54546.5</v>
      </c>
      <c r="AR4" s="49">
        <v>58951.46</v>
      </c>
      <c r="AS4" s="49">
        <v>58525.71</v>
      </c>
      <c r="AT4" s="49">
        <v>60171.53</v>
      </c>
      <c r="AU4" s="49">
        <v>60232.480000000003</v>
      </c>
      <c r="AV4" s="49">
        <v>59326.86</v>
      </c>
      <c r="AW4" s="49">
        <v>67136.539999999994</v>
      </c>
      <c r="AX4" s="49">
        <v>68613.350000000006</v>
      </c>
      <c r="AY4" s="49">
        <v>52242.38</v>
      </c>
      <c r="AZ4" s="49">
        <v>76206.239999999991</v>
      </c>
      <c r="BA4" s="49">
        <v>74163.88</v>
      </c>
      <c r="BB4" s="49">
        <v>76009.39</v>
      </c>
      <c r="BC4" s="49">
        <v>65971.429999999993</v>
      </c>
      <c r="BD4" s="49">
        <v>109784.82</v>
      </c>
      <c r="BE4" s="49">
        <v>91959.89</v>
      </c>
      <c r="BF4" s="49">
        <v>87017.33</v>
      </c>
      <c r="BG4" s="49">
        <v>123250.38</v>
      </c>
      <c r="BH4" s="49">
        <v>117181.37</v>
      </c>
      <c r="BI4" s="49">
        <v>142646.34999999998</v>
      </c>
      <c r="BJ4" s="27">
        <v>180525.97</v>
      </c>
      <c r="BK4">
        <v>96987.43</v>
      </c>
      <c r="BL4">
        <v>147949.14000000001</v>
      </c>
      <c r="BM4">
        <v>110136.22</v>
      </c>
      <c r="BN4">
        <v>77376.649999999994</v>
      </c>
      <c r="BO4">
        <v>110181</v>
      </c>
      <c r="BP4">
        <v>119745.35</v>
      </c>
      <c r="BQ4">
        <v>106490</v>
      </c>
      <c r="BR4">
        <v>82945.48</v>
      </c>
      <c r="BS4">
        <v>112666.7</v>
      </c>
      <c r="BT4">
        <v>98586.67</v>
      </c>
      <c r="BU4">
        <v>179033.23</v>
      </c>
      <c r="BV4">
        <v>285443.07</v>
      </c>
      <c r="BW4">
        <v>97621.11</v>
      </c>
      <c r="BX4">
        <v>151733.51999999999</v>
      </c>
      <c r="BY4">
        <v>121768.54</v>
      </c>
      <c r="BZ4">
        <v>119760.11</v>
      </c>
      <c r="CA4">
        <v>108454.55</v>
      </c>
      <c r="CB4">
        <v>130515.63</v>
      </c>
      <c r="CC4">
        <v>128701.34</v>
      </c>
      <c r="CD4">
        <v>184283.14</v>
      </c>
      <c r="CE4">
        <v>115288.85</v>
      </c>
      <c r="CF4">
        <v>214972.4</v>
      </c>
      <c r="CG4">
        <v>254324.55</v>
      </c>
      <c r="CH4">
        <f>[2]Impostos!C6</f>
        <v>97807.56</v>
      </c>
      <c r="CI4">
        <f>[2]Impostos!D6</f>
        <v>27148.89</v>
      </c>
      <c r="CJ4">
        <f>[2]Impostos!E6</f>
        <v>12031.93</v>
      </c>
      <c r="CK4">
        <f>[2]Impostos!F6</f>
        <v>0</v>
      </c>
      <c r="CL4">
        <f>[2]Impostos!G6</f>
        <v>0</v>
      </c>
      <c r="CM4">
        <f>[2]Impostos!H6</f>
        <v>0</v>
      </c>
      <c r="CN4">
        <f>[2]Impostos!I6</f>
        <v>0</v>
      </c>
      <c r="CO4">
        <f>[2]Impostos!J6</f>
        <v>0</v>
      </c>
      <c r="CP4">
        <f>[2]Impostos!K6</f>
        <v>0</v>
      </c>
      <c r="CQ4">
        <f>[2]Impostos!L6</f>
        <v>0</v>
      </c>
      <c r="CR4">
        <f>[2]Impostos!M6</f>
        <v>0</v>
      </c>
      <c r="CS4">
        <f>[2]Impostos!N6</f>
        <v>0</v>
      </c>
    </row>
    <row r="5" spans="1:97" x14ac:dyDescent="0.2">
      <c r="A5" s="46" t="s">
        <v>81</v>
      </c>
      <c r="B5" s="47">
        <v>103380.25</v>
      </c>
      <c r="C5" s="47">
        <v>103853.36</v>
      </c>
      <c r="D5" s="47">
        <v>104357.2</v>
      </c>
      <c r="E5" s="47">
        <v>72691.39</v>
      </c>
      <c r="F5" s="47">
        <v>73418.3</v>
      </c>
      <c r="G5" s="47">
        <v>73810.83</v>
      </c>
      <c r="H5" s="47">
        <v>103953.89</v>
      </c>
      <c r="I5" s="47">
        <v>104993.42</v>
      </c>
      <c r="J5" s="47">
        <v>105513.19</v>
      </c>
      <c r="K5" s="47">
        <v>101606.69</v>
      </c>
      <c r="L5" s="47">
        <v>102622.75</v>
      </c>
      <c r="M5" s="47">
        <v>103008.86</v>
      </c>
      <c r="N5" s="47">
        <v>119776.68</v>
      </c>
      <c r="O5" s="47">
        <v>120974.44</v>
      </c>
      <c r="P5" s="47">
        <v>0</v>
      </c>
      <c r="Q5" s="47">
        <v>0</v>
      </c>
      <c r="R5" s="47">
        <v>0</v>
      </c>
      <c r="S5" s="47">
        <v>0</v>
      </c>
      <c r="T5" s="47">
        <v>113534.26</v>
      </c>
      <c r="U5" s="47">
        <v>124090.62000000001</v>
      </c>
      <c r="V5" s="47">
        <v>123819.63</v>
      </c>
      <c r="W5" s="47">
        <v>147255.16999999998</v>
      </c>
      <c r="X5" s="47">
        <v>139102.81</v>
      </c>
      <c r="Y5" s="47">
        <v>148788.82999999999</v>
      </c>
      <c r="Z5" s="48">
        <v>152117.12</v>
      </c>
      <c r="AA5" s="48">
        <v>153557.26999999999</v>
      </c>
      <c r="AB5" s="48">
        <v>153817.68</v>
      </c>
      <c r="AC5" s="48">
        <v>105716.82</v>
      </c>
      <c r="AD5" s="48">
        <v>106698.1</v>
      </c>
      <c r="AE5" s="48">
        <v>106982.87</v>
      </c>
      <c r="AF5" s="48">
        <v>142617.89000000001</v>
      </c>
      <c r="AG5" s="48">
        <v>143981.39000000001</v>
      </c>
      <c r="AH5" s="48">
        <v>144593.26</v>
      </c>
      <c r="AI5" s="48">
        <v>154168.11000000002</v>
      </c>
      <c r="AJ5" s="48">
        <v>155658.04999999999</v>
      </c>
      <c r="AK5" s="48">
        <v>156565.06</v>
      </c>
      <c r="AL5" s="48">
        <v>151926.82</v>
      </c>
      <c r="AM5" s="48">
        <v>153414.93</v>
      </c>
      <c r="AN5" s="49">
        <v>154564.95000000001</v>
      </c>
      <c r="AO5" s="49">
        <v>133312.16999999998</v>
      </c>
      <c r="AP5" s="49">
        <v>134621.17000000001</v>
      </c>
      <c r="AQ5" s="49">
        <v>135985.72</v>
      </c>
      <c r="AR5" s="49">
        <v>152548.97</v>
      </c>
      <c r="AS5" s="49">
        <v>154066.23999999999</v>
      </c>
      <c r="AT5" s="49">
        <v>155838.19</v>
      </c>
      <c r="AU5" s="49">
        <v>145886.23000000001</v>
      </c>
      <c r="AV5" s="49">
        <v>147332.90999999997</v>
      </c>
      <c r="AW5" s="49">
        <v>148806.62</v>
      </c>
      <c r="AX5" s="49">
        <v>10988.4</v>
      </c>
      <c r="AY5" s="49">
        <v>11092.46</v>
      </c>
      <c r="AZ5" s="49">
        <v>11177.94</v>
      </c>
      <c r="BA5" s="49">
        <v>135152.52000000002</v>
      </c>
      <c r="BB5" s="49">
        <v>136476.65</v>
      </c>
      <c r="BC5" s="49">
        <v>136021.31</v>
      </c>
      <c r="BD5" s="49">
        <v>173150.71</v>
      </c>
      <c r="BE5" s="49">
        <v>174850.16</v>
      </c>
      <c r="BF5" s="49">
        <v>176782.78</v>
      </c>
      <c r="BG5" s="49">
        <v>193766.09</v>
      </c>
      <c r="BH5" s="49">
        <v>195665.61</v>
      </c>
      <c r="BI5" s="49">
        <v>197413.18000000002</v>
      </c>
      <c r="BJ5">
        <v>196020.74</v>
      </c>
      <c r="BK5">
        <v>197435.89</v>
      </c>
      <c r="BL5">
        <v>200855.80000000002</v>
      </c>
      <c r="BM5">
        <v>163151.72</v>
      </c>
      <c r="BN5">
        <v>154560.28</v>
      </c>
      <c r="BO5">
        <v>155830.43</v>
      </c>
      <c r="BP5">
        <v>225959.79</v>
      </c>
      <c r="BQ5">
        <v>228219.38</v>
      </c>
      <c r="BR5">
        <v>230185.23</v>
      </c>
      <c r="BS5">
        <v>249110.96</v>
      </c>
      <c r="BT5">
        <v>251602.07</v>
      </c>
      <c r="BU5">
        <v>253570.05</v>
      </c>
      <c r="BV5">
        <v>304569.49</v>
      </c>
      <c r="BW5">
        <v>307615.18</v>
      </c>
      <c r="BX5">
        <v>310630.42</v>
      </c>
      <c r="BY5">
        <v>225849.64</v>
      </c>
      <c r="BZ5">
        <v>228108.12</v>
      </c>
      <c r="CA5">
        <v>230682.81</v>
      </c>
      <c r="CB5">
        <v>271385.43</v>
      </c>
      <c r="CC5">
        <v>274031.24</v>
      </c>
      <c r="CD5">
        <v>270799.63031499996</v>
      </c>
      <c r="CE5">
        <v>279098.39</v>
      </c>
      <c r="CF5">
        <v>281889.36</v>
      </c>
      <c r="CG5">
        <v>284819.89</v>
      </c>
      <c r="CH5">
        <f>[2]Impostos!C7</f>
        <v>318073.24</v>
      </c>
      <c r="CI5">
        <f>[2]Impostos!D7</f>
        <v>321186.05</v>
      </c>
      <c r="CJ5">
        <f>[2]Impostos!E7</f>
        <v>317507.59999999998</v>
      </c>
      <c r="CK5">
        <f>[2]Impostos!F7</f>
        <v>0</v>
      </c>
      <c r="CL5">
        <f>[2]Impostos!G7</f>
        <v>0</v>
      </c>
      <c r="CM5">
        <f>[2]Impostos!H7</f>
        <v>0</v>
      </c>
      <c r="CN5">
        <f>[2]Impostos!I7</f>
        <v>0</v>
      </c>
      <c r="CO5">
        <f>[2]Impostos!J7</f>
        <v>0</v>
      </c>
      <c r="CP5">
        <f>[2]Impostos!K7</f>
        <v>0</v>
      </c>
      <c r="CQ5">
        <f>[2]Impostos!L7</f>
        <v>0</v>
      </c>
      <c r="CR5">
        <f>[2]Impostos!M7</f>
        <v>0</v>
      </c>
      <c r="CS5">
        <f>[2]Impostos!N7</f>
        <v>0</v>
      </c>
    </row>
    <row r="6" spans="1:97" x14ac:dyDescent="0.2">
      <c r="A6" s="46" t="s">
        <v>82</v>
      </c>
      <c r="B6" s="47">
        <v>0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  <c r="K6" s="47">
        <v>0</v>
      </c>
      <c r="L6" s="47">
        <v>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9290.9500000000007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>
        <v>0</v>
      </c>
      <c r="Y6" s="47">
        <v>0</v>
      </c>
      <c r="Z6" s="48">
        <v>0</v>
      </c>
      <c r="AA6" s="48">
        <v>0</v>
      </c>
      <c r="AB6" s="48">
        <v>709.45</v>
      </c>
      <c r="AC6" s="48">
        <v>120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f>[2]Impostos!C8</f>
        <v>0</v>
      </c>
      <c r="CI6">
        <f>[2]Impostos!D8</f>
        <v>0</v>
      </c>
      <c r="CJ6">
        <f>[2]Impostos!E8</f>
        <v>0</v>
      </c>
      <c r="CK6">
        <f>[2]Impostos!F8</f>
        <v>0</v>
      </c>
      <c r="CL6">
        <f>[2]Impostos!G8</f>
        <v>0</v>
      </c>
      <c r="CM6">
        <f>[2]Impostos!H8</f>
        <v>0</v>
      </c>
      <c r="CN6">
        <f>[2]Impostos!I8</f>
        <v>0</v>
      </c>
      <c r="CO6">
        <f>[2]Impostos!J8</f>
        <v>0</v>
      </c>
      <c r="CP6">
        <f>[2]Impostos!K8</f>
        <v>0</v>
      </c>
      <c r="CQ6">
        <f>[2]Impostos!L8</f>
        <v>0</v>
      </c>
      <c r="CR6">
        <f>[2]Impostos!M8</f>
        <v>0</v>
      </c>
      <c r="CS6">
        <f>[2]Impostos!N8</f>
        <v>0</v>
      </c>
    </row>
    <row r="7" spans="1:97" x14ac:dyDescent="0.2">
      <c r="A7" s="46" t="s">
        <v>83</v>
      </c>
      <c r="B7" s="47">
        <v>20802.55</v>
      </c>
      <c r="C7" s="47">
        <v>21605.63</v>
      </c>
      <c r="D7" s="47">
        <v>21605.63</v>
      </c>
      <c r="E7" s="47">
        <v>21605.63</v>
      </c>
      <c r="F7" s="47">
        <v>21605.63</v>
      </c>
      <c r="G7" s="47">
        <v>21605.63</v>
      </c>
      <c r="H7" s="47">
        <v>21605.63</v>
      </c>
      <c r="I7" s="47">
        <v>21605.63</v>
      </c>
      <c r="J7" s="47">
        <v>21605.63</v>
      </c>
      <c r="K7" s="47">
        <v>21605.63</v>
      </c>
      <c r="L7" s="47">
        <v>21605.63</v>
      </c>
      <c r="M7" s="47">
        <v>21605.63</v>
      </c>
      <c r="N7" s="47">
        <v>21605.63</v>
      </c>
      <c r="O7" s="47">
        <v>0</v>
      </c>
      <c r="P7" s="47">
        <v>23448.11</v>
      </c>
      <c r="Q7" s="47">
        <v>359.22</v>
      </c>
      <c r="R7" s="47">
        <v>362.81</v>
      </c>
      <c r="S7" s="47">
        <v>23176.03</v>
      </c>
      <c r="T7" s="47">
        <v>49001.16</v>
      </c>
      <c r="U7" s="47">
        <v>23190.39</v>
      </c>
      <c r="V7" s="47">
        <v>23197.57</v>
      </c>
      <c r="W7" s="47">
        <v>23204.75</v>
      </c>
      <c r="X7" s="47">
        <v>49136.55</v>
      </c>
      <c r="Y7" s="47">
        <v>49143.73</v>
      </c>
      <c r="Z7" s="48">
        <v>48916.480000000003</v>
      </c>
      <c r="AA7" s="48">
        <v>50958.9</v>
      </c>
      <c r="AB7" s="48">
        <v>50966.39</v>
      </c>
      <c r="AC7" s="48">
        <v>50973.87</v>
      </c>
      <c r="AD7" s="48">
        <v>50981.39</v>
      </c>
      <c r="AE7" s="48">
        <v>50988.88</v>
      </c>
      <c r="AF7" s="48">
        <v>53503.53</v>
      </c>
      <c r="AG7" s="48">
        <v>53511.02</v>
      </c>
      <c r="AH7" s="48">
        <v>53503.49</v>
      </c>
      <c r="AI7" s="48">
        <v>53518.5</v>
      </c>
      <c r="AJ7" s="48">
        <v>53463.17</v>
      </c>
      <c r="AK7" s="48">
        <v>53091.66</v>
      </c>
      <c r="AL7" s="48">
        <v>53560.34</v>
      </c>
      <c r="AM7" s="48">
        <v>59054.73</v>
      </c>
      <c r="AN7" s="49">
        <v>59063</v>
      </c>
      <c r="AO7" s="49">
        <v>59071.26</v>
      </c>
      <c r="AP7" s="49">
        <v>59079.53</v>
      </c>
      <c r="AQ7" s="49">
        <v>59087.83</v>
      </c>
      <c r="AR7" s="49">
        <v>59096.1</v>
      </c>
      <c r="AS7" s="49">
        <v>73561.38</v>
      </c>
      <c r="AT7" s="49">
        <v>73569.649999999994</v>
      </c>
      <c r="AU7" s="49">
        <v>73577.959999999992</v>
      </c>
      <c r="AV7" s="49">
        <v>73586.22</v>
      </c>
      <c r="AW7" s="49">
        <v>73902.079999999987</v>
      </c>
      <c r="AX7" s="49">
        <v>73662.37999999999</v>
      </c>
      <c r="AY7" s="49">
        <v>77954.080000000002</v>
      </c>
      <c r="AZ7" s="49">
        <v>77962.83</v>
      </c>
      <c r="BA7" s="49">
        <v>77971.58</v>
      </c>
      <c r="BB7" s="49">
        <v>77980.38</v>
      </c>
      <c r="BC7" s="49">
        <v>77989.13</v>
      </c>
      <c r="BD7" s="49">
        <v>78975.12</v>
      </c>
      <c r="BE7" s="49">
        <v>78006.679999999993</v>
      </c>
      <c r="BF7" s="49">
        <v>78015.48</v>
      </c>
      <c r="BG7" s="49">
        <v>78024.23</v>
      </c>
      <c r="BH7" s="49">
        <v>78032.98</v>
      </c>
      <c r="BI7" s="49">
        <v>78041.73</v>
      </c>
      <c r="BJ7">
        <v>78105.97</v>
      </c>
      <c r="BK7">
        <v>97470.02</v>
      </c>
      <c r="BL7">
        <v>105384.62999999999</v>
      </c>
      <c r="BM7">
        <v>99456.349999999991</v>
      </c>
      <c r="BN7">
        <v>93312.04</v>
      </c>
      <c r="BO7">
        <v>97401.7</v>
      </c>
      <c r="BP7">
        <v>92385.38</v>
      </c>
      <c r="BQ7">
        <v>86781.62999999999</v>
      </c>
      <c r="BR7">
        <v>76029.359999999986</v>
      </c>
      <c r="BS7">
        <v>86019.39</v>
      </c>
      <c r="BT7">
        <v>77547.89</v>
      </c>
      <c r="BU7">
        <v>80598.179999999993</v>
      </c>
      <c r="BV7">
        <v>80034.92</v>
      </c>
      <c r="BW7">
        <v>83801.899999999994</v>
      </c>
      <c r="BX7">
        <v>106164.46</v>
      </c>
      <c r="BY7">
        <v>101541.53</v>
      </c>
      <c r="BZ7">
        <v>100805.94</v>
      </c>
      <c r="CA7">
        <v>93301.43</v>
      </c>
      <c r="CB7">
        <v>102044.51</v>
      </c>
      <c r="CC7">
        <v>102919.67</v>
      </c>
      <c r="CD7">
        <v>115852.94</v>
      </c>
      <c r="CE7">
        <v>97414.05</v>
      </c>
      <c r="CF7">
        <v>140805.56</v>
      </c>
      <c r="CG7">
        <v>154661.1</v>
      </c>
      <c r="CH7">
        <f>[2]Impostos!C9</f>
        <v>116848.13</v>
      </c>
      <c r="CI7">
        <f>[2]Impostos!D9</f>
        <v>104440.97</v>
      </c>
      <c r="CJ7">
        <f>[2]Impostos!E9</f>
        <v>95340.9</v>
      </c>
      <c r="CK7">
        <f>[2]Impostos!F9</f>
        <v>0</v>
      </c>
      <c r="CL7">
        <f>[2]Impostos!G9</f>
        <v>0</v>
      </c>
      <c r="CM7">
        <f>[2]Impostos!H9</f>
        <v>0</v>
      </c>
      <c r="CN7">
        <f>[2]Impostos!I9</f>
        <v>0</v>
      </c>
      <c r="CO7">
        <f>[2]Impostos!J9</f>
        <v>0</v>
      </c>
      <c r="CP7">
        <f>[2]Impostos!K9</f>
        <v>0</v>
      </c>
      <c r="CQ7">
        <f>[2]Impostos!L9</f>
        <v>0</v>
      </c>
      <c r="CR7">
        <f>[2]Impostos!M9</f>
        <v>0</v>
      </c>
      <c r="CS7">
        <f>[2]Impostos!N9</f>
        <v>0</v>
      </c>
    </row>
    <row r="8" spans="1:97" x14ac:dyDescent="0.2">
      <c r="A8" s="46" t="s">
        <v>88</v>
      </c>
      <c r="B8" s="47">
        <v>0</v>
      </c>
      <c r="C8" s="47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0</v>
      </c>
      <c r="K8" s="47">
        <v>0</v>
      </c>
      <c r="L8" s="47">
        <v>0</v>
      </c>
      <c r="M8" s="47">
        <v>0</v>
      </c>
      <c r="N8" s="47">
        <v>997.7</v>
      </c>
      <c r="O8" s="47">
        <v>997.7</v>
      </c>
      <c r="P8" s="47">
        <v>0</v>
      </c>
      <c r="Q8" s="47">
        <v>367.1</v>
      </c>
      <c r="R8" s="47">
        <v>367.1</v>
      </c>
      <c r="S8" s="47">
        <v>367.1</v>
      </c>
      <c r="T8" s="47">
        <v>367.1</v>
      </c>
      <c r="U8" s="47">
        <v>367.1</v>
      </c>
      <c r="V8" s="47">
        <v>367.1</v>
      </c>
      <c r="W8" s="47">
        <v>367.1</v>
      </c>
      <c r="X8" s="47">
        <v>367.1</v>
      </c>
      <c r="Y8" s="47">
        <v>367.1</v>
      </c>
      <c r="Z8" s="48">
        <v>382.63</v>
      </c>
      <c r="AA8" s="48">
        <v>382.63</v>
      </c>
      <c r="AB8" s="48">
        <v>382.63</v>
      </c>
      <c r="AC8" s="48">
        <v>382.63</v>
      </c>
      <c r="AD8" s="48">
        <v>382.63</v>
      </c>
      <c r="AE8" s="48">
        <v>382.63</v>
      </c>
      <c r="AF8" s="48">
        <v>382.63</v>
      </c>
      <c r="AG8" s="48">
        <v>382.63</v>
      </c>
      <c r="AH8" s="48">
        <v>382.63</v>
      </c>
      <c r="AI8" s="48">
        <v>382.63</v>
      </c>
      <c r="AJ8" s="48">
        <v>382.63</v>
      </c>
      <c r="AK8" s="48">
        <v>382.63</v>
      </c>
      <c r="AL8" s="48">
        <v>422.5</v>
      </c>
      <c r="AM8" s="48">
        <v>422.5</v>
      </c>
      <c r="AN8" s="49">
        <v>422.5</v>
      </c>
      <c r="AO8" s="49">
        <v>422.5</v>
      </c>
      <c r="AP8" s="49">
        <v>422.5</v>
      </c>
      <c r="AQ8" s="49">
        <v>422.5</v>
      </c>
      <c r="AR8" s="49">
        <v>422.5</v>
      </c>
      <c r="AS8" s="49">
        <v>422.5</v>
      </c>
      <c r="AT8" s="49">
        <v>422.5</v>
      </c>
      <c r="AU8" s="49">
        <v>422.5</v>
      </c>
      <c r="AV8" s="49">
        <v>422.5</v>
      </c>
      <c r="AW8" s="49">
        <v>422.5</v>
      </c>
      <c r="AX8" s="49">
        <v>447.42</v>
      </c>
      <c r="AY8" s="49">
        <v>447.42</v>
      </c>
      <c r="AZ8" s="49">
        <v>447.42</v>
      </c>
      <c r="BA8" s="49">
        <v>447.42</v>
      </c>
      <c r="BB8" s="49">
        <v>447.42</v>
      </c>
      <c r="BC8" s="49">
        <v>447.42</v>
      </c>
      <c r="BD8" s="49">
        <v>447.42</v>
      </c>
      <c r="BE8" s="49">
        <v>447.42</v>
      </c>
      <c r="BF8" s="49">
        <v>447.42</v>
      </c>
      <c r="BG8" s="49">
        <v>447.42</v>
      </c>
      <c r="BH8" s="49">
        <v>0</v>
      </c>
      <c r="BI8" s="49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2">
      <c r="A9" s="46" t="s">
        <v>84</v>
      </c>
      <c r="B9" s="47">
        <v>0</v>
      </c>
      <c r="C9" s="47">
        <v>19.739999999999998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0</v>
      </c>
      <c r="P9" s="47">
        <v>14.17</v>
      </c>
      <c r="Q9" s="47">
        <v>0</v>
      </c>
      <c r="R9" s="47">
        <v>40.090000000000003</v>
      </c>
      <c r="S9" s="47">
        <v>44.74</v>
      </c>
      <c r="T9" s="47">
        <v>102.9</v>
      </c>
      <c r="U9" s="47">
        <v>0</v>
      </c>
      <c r="V9" s="47">
        <v>14.76</v>
      </c>
      <c r="W9" s="47">
        <v>40.090000000000003</v>
      </c>
      <c r="X9" s="47">
        <v>122.99</v>
      </c>
      <c r="Y9" s="47">
        <v>105.11</v>
      </c>
      <c r="Z9" s="48">
        <v>0</v>
      </c>
      <c r="AA9" s="48">
        <v>0</v>
      </c>
      <c r="AB9" s="48">
        <v>379.86</v>
      </c>
      <c r="AC9" s="48">
        <v>177.11</v>
      </c>
      <c r="AD9" s="48">
        <v>301.48</v>
      </c>
      <c r="AE9" s="48">
        <v>141.09</v>
      </c>
      <c r="AF9" s="48">
        <v>13.42</v>
      </c>
      <c r="AG9" s="48">
        <v>408.33</v>
      </c>
      <c r="AH9" s="48">
        <v>207.03</v>
      </c>
      <c r="AI9" s="48">
        <v>434.84</v>
      </c>
      <c r="AJ9" s="48">
        <v>191.1</v>
      </c>
      <c r="AK9" s="48">
        <v>133.13999999999999</v>
      </c>
      <c r="AL9" s="48">
        <v>0</v>
      </c>
      <c r="AM9" s="48">
        <v>1027.32</v>
      </c>
      <c r="AN9" s="49">
        <v>170.75</v>
      </c>
      <c r="AO9" s="49">
        <v>311.86</v>
      </c>
      <c r="AP9" s="49">
        <v>609.07000000000005</v>
      </c>
      <c r="AQ9" s="49">
        <v>410.49</v>
      </c>
      <c r="AR9" s="49">
        <v>738.83</v>
      </c>
      <c r="AS9" s="49">
        <v>141.74</v>
      </c>
      <c r="AT9" s="49">
        <v>871.33</v>
      </c>
      <c r="AU9" s="49">
        <v>385.02</v>
      </c>
      <c r="AV9" s="49">
        <v>481.5</v>
      </c>
      <c r="AW9" s="49">
        <v>1139.52</v>
      </c>
      <c r="AX9" s="49">
        <v>1257.71</v>
      </c>
      <c r="AY9" s="49">
        <v>0</v>
      </c>
      <c r="AZ9" s="49">
        <v>253.65</v>
      </c>
      <c r="BA9" s="49">
        <v>125.53</v>
      </c>
      <c r="BB9" s="49">
        <v>242.98</v>
      </c>
      <c r="BC9" s="49">
        <v>106.29</v>
      </c>
      <c r="BD9" s="49">
        <v>565.46</v>
      </c>
      <c r="BE9" s="49">
        <v>555.99</v>
      </c>
      <c r="BF9" s="49">
        <v>873.25</v>
      </c>
      <c r="BG9" s="49">
        <v>1707.65</v>
      </c>
      <c r="BH9" s="49">
        <v>889.02</v>
      </c>
      <c r="BI9" s="49">
        <v>302.32</v>
      </c>
      <c r="BJ9">
        <v>1718.94</v>
      </c>
      <c r="BK9">
        <v>433.3</v>
      </c>
      <c r="BL9">
        <v>0</v>
      </c>
      <c r="BM9">
        <v>34.659999999999997</v>
      </c>
      <c r="BN9">
        <v>0</v>
      </c>
      <c r="BO9">
        <v>566.76</v>
      </c>
      <c r="BP9">
        <v>1258.3599999999999</v>
      </c>
      <c r="BQ9">
        <v>2094.06</v>
      </c>
      <c r="BR9">
        <v>1999.3</v>
      </c>
      <c r="BS9">
        <v>2649.84</v>
      </c>
      <c r="BT9">
        <v>4785.12</v>
      </c>
      <c r="BU9">
        <v>985.91</v>
      </c>
      <c r="BV9">
        <v>6178.91</v>
      </c>
      <c r="BW9">
        <v>2868.19</v>
      </c>
      <c r="BX9">
        <v>1403.88</v>
      </c>
      <c r="BY9">
        <v>3762.55</v>
      </c>
      <c r="BZ9">
        <v>1708.48</v>
      </c>
      <c r="CA9">
        <v>3483.06</v>
      </c>
      <c r="CB9">
        <v>1743.65</v>
      </c>
      <c r="CC9">
        <v>1248.6600000000001</v>
      </c>
      <c r="CD9">
        <v>4917.4694180000006</v>
      </c>
      <c r="CE9">
        <v>3439.0910039999999</v>
      </c>
      <c r="CF9">
        <v>2864.52</v>
      </c>
      <c r="CG9">
        <v>2189.0500000000002</v>
      </c>
      <c r="CH9">
        <f>[2]Impostos!C10</f>
        <v>3671.59</v>
      </c>
      <c r="CI9">
        <f>[2]Impostos!D10</f>
        <v>0</v>
      </c>
      <c r="CJ9">
        <f>[2]Impostos!E10</f>
        <v>5278.59</v>
      </c>
      <c r="CK9">
        <f>[2]Impostos!F10</f>
        <v>0</v>
      </c>
      <c r="CL9">
        <f>[2]Impostos!G10</f>
        <v>0</v>
      </c>
      <c r="CM9">
        <f>[2]Impostos!H10</f>
        <v>0</v>
      </c>
      <c r="CN9">
        <f>[2]Impostos!I10</f>
        <v>0</v>
      </c>
      <c r="CO9">
        <f>[2]Impostos!J10</f>
        <v>0</v>
      </c>
      <c r="CP9">
        <f>[2]Impostos!K10</f>
        <v>0</v>
      </c>
      <c r="CQ9">
        <f>[2]Impostos!L10</f>
        <v>0</v>
      </c>
      <c r="CR9">
        <f>[2]Impostos!M10</f>
        <v>0</v>
      </c>
      <c r="CS9">
        <f>[2]Impostos!N10</f>
        <v>0</v>
      </c>
    </row>
    <row r="10" spans="1:97" x14ac:dyDescent="0.2">
      <c r="A10" s="46" t="s">
        <v>85</v>
      </c>
      <c r="B10" s="47">
        <v>0</v>
      </c>
      <c r="C10" s="47">
        <v>0</v>
      </c>
      <c r="D10" s="47">
        <v>0</v>
      </c>
      <c r="E10" s="47">
        <v>0</v>
      </c>
      <c r="F10" s="47">
        <v>0</v>
      </c>
      <c r="G10" s="47">
        <v>0</v>
      </c>
      <c r="H10" s="47">
        <v>0</v>
      </c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7055.23</v>
      </c>
      <c r="O10" s="47">
        <v>7077.02</v>
      </c>
      <c r="P10" s="47">
        <v>7093.65</v>
      </c>
      <c r="Q10" s="47">
        <v>7113.15</v>
      </c>
      <c r="R10" s="47">
        <v>1667.45</v>
      </c>
      <c r="S10" s="47">
        <v>1670.07</v>
      </c>
      <c r="T10" s="47">
        <v>1672.35</v>
      </c>
      <c r="U10" s="47">
        <v>12657.44</v>
      </c>
      <c r="V10" s="47">
        <v>7175.11</v>
      </c>
      <c r="W10" s="47">
        <v>12690.68</v>
      </c>
      <c r="X10" s="47">
        <v>7193.46</v>
      </c>
      <c r="Y10" s="47">
        <v>12722.849999999999</v>
      </c>
      <c r="Z10" s="48">
        <v>7211.24</v>
      </c>
      <c r="AA10" s="48">
        <v>7219.84</v>
      </c>
      <c r="AB10" s="48">
        <v>7227.31</v>
      </c>
      <c r="AC10" s="48">
        <v>7238.77</v>
      </c>
      <c r="AD10" s="48">
        <v>7250.82</v>
      </c>
      <c r="AE10" s="48">
        <v>7266.3099999999995</v>
      </c>
      <c r="AF10" s="48">
        <v>7284.09</v>
      </c>
      <c r="AG10" s="48">
        <v>7304.73</v>
      </c>
      <c r="AH10" s="48">
        <v>7329.4</v>
      </c>
      <c r="AI10" s="48">
        <v>7354.65</v>
      </c>
      <c r="AJ10" s="48">
        <v>7382.75</v>
      </c>
      <c r="AK10" s="48">
        <v>7416.59</v>
      </c>
      <c r="AL10" s="48">
        <v>7460.76</v>
      </c>
      <c r="AM10" s="48">
        <v>7502.6300000000047</v>
      </c>
      <c r="AN10" s="49">
        <v>7546.23</v>
      </c>
      <c r="AO10" s="49">
        <v>7599.5699999999924</v>
      </c>
      <c r="AP10" s="49">
        <v>7647.17</v>
      </c>
      <c r="AQ10" s="49">
        <v>7706.26</v>
      </c>
      <c r="AR10" s="49">
        <v>7764.7699999999895</v>
      </c>
      <c r="AS10" s="49">
        <v>7823.85</v>
      </c>
      <c r="AT10" s="49">
        <v>7890.9500000000007</v>
      </c>
      <c r="AU10" s="49">
        <v>7952.33</v>
      </c>
      <c r="AV10" s="49">
        <v>8010.84</v>
      </c>
      <c r="AW10" s="49">
        <v>8069.34</v>
      </c>
      <c r="AX10" s="49">
        <v>8133.6</v>
      </c>
      <c r="AY10" s="49">
        <v>8197.83</v>
      </c>
      <c r="AZ10" s="49">
        <v>20189.550000000003</v>
      </c>
      <c r="BA10" s="49">
        <v>20376.03</v>
      </c>
      <c r="BB10" s="49">
        <v>20538.66</v>
      </c>
      <c r="BC10" s="49">
        <v>23288.22</v>
      </c>
      <c r="BD10" s="49">
        <v>23478.26</v>
      </c>
      <c r="BE10" s="49">
        <v>23668.31</v>
      </c>
      <c r="BF10" s="49">
        <v>23870.780000000002</v>
      </c>
      <c r="BG10" s="49">
        <v>24043.06</v>
      </c>
      <c r="BH10" s="49">
        <v>24220.68</v>
      </c>
      <c r="BI10" s="49">
        <v>24384.09</v>
      </c>
      <c r="BJ10">
        <v>12410.039999999999</v>
      </c>
      <c r="BK10">
        <v>25752.78</v>
      </c>
      <c r="BL10">
        <v>25916.06</v>
      </c>
      <c r="BM10">
        <v>25003.94</v>
      </c>
      <c r="BN10">
        <v>39990.270000000004</v>
      </c>
      <c r="BO10">
        <v>40245.94</v>
      </c>
      <c r="BP10">
        <v>40489.74</v>
      </c>
      <c r="BQ10">
        <v>40769.21</v>
      </c>
      <c r="BR10">
        <v>41036.770000000004</v>
      </c>
      <c r="BS10">
        <v>41295.43</v>
      </c>
      <c r="BT10">
        <v>41580.81</v>
      </c>
      <c r="BU10">
        <v>41824.639999999999</v>
      </c>
      <c r="BV10">
        <v>39629.279999999999</v>
      </c>
      <c r="BW10">
        <v>42482.75</v>
      </c>
      <c r="BX10">
        <v>42786.41</v>
      </c>
      <c r="BY10">
        <v>43081.120000000003</v>
      </c>
      <c r="BZ10">
        <v>25971.45</v>
      </c>
      <c r="CA10">
        <v>26182.54</v>
      </c>
      <c r="CB10">
        <v>26386.61</v>
      </c>
      <c r="CC10">
        <v>26622.43</v>
      </c>
      <c r="CD10">
        <v>26837.119999999999</v>
      </c>
      <c r="CE10">
        <v>27062.35</v>
      </c>
      <c r="CF10">
        <v>26506.06</v>
      </c>
      <c r="CG10">
        <v>26696.45</v>
      </c>
      <c r="CH10">
        <f>[2]Impostos!C11</f>
        <v>26948.5</v>
      </c>
      <c r="CI10">
        <f>[2]Impostos!D11</f>
        <v>27158.59</v>
      </c>
      <c r="CJ10">
        <f>[2]Impostos!E11</f>
        <v>27340.36</v>
      </c>
      <c r="CK10">
        <f>[2]Impostos!F11</f>
        <v>0</v>
      </c>
      <c r="CL10">
        <f>[2]Impostos!G11</f>
        <v>0</v>
      </c>
      <c r="CM10">
        <f>[2]Impostos!H11</f>
        <v>0</v>
      </c>
      <c r="CN10">
        <f>[2]Impostos!I11</f>
        <v>0</v>
      </c>
      <c r="CO10">
        <f>[2]Impostos!J11</f>
        <v>0</v>
      </c>
      <c r="CP10">
        <f>[2]Impostos!K11</f>
        <v>0</v>
      </c>
      <c r="CQ10">
        <f>[2]Impostos!L11</f>
        <v>0</v>
      </c>
      <c r="CR10">
        <f>[2]Impostos!M11</f>
        <v>0</v>
      </c>
      <c r="CS10">
        <f>[2]Impostos!N11</f>
        <v>0</v>
      </c>
    </row>
    <row r="11" spans="1:97" x14ac:dyDescent="0.2">
      <c r="A11" s="44" t="s">
        <v>86</v>
      </c>
      <c r="B11" s="47">
        <v>77520.690344988601</v>
      </c>
      <c r="C11" s="47">
        <v>66168.546239987481</v>
      </c>
      <c r="D11" s="47">
        <v>69573.95</v>
      </c>
      <c r="E11" s="47">
        <v>72145.6667150008</v>
      </c>
      <c r="F11" s="47">
        <v>97609.771914977813</v>
      </c>
      <c r="G11" s="47">
        <v>121924.73373197904</v>
      </c>
      <c r="H11" s="47">
        <v>116444.00135496659</v>
      </c>
      <c r="I11" s="47">
        <v>110070.3819349664</v>
      </c>
      <c r="J11" s="47">
        <v>109661.16377497418</v>
      </c>
      <c r="K11" s="47">
        <v>85999.195579956518</v>
      </c>
      <c r="L11" s="47">
        <v>128773.38847178919</v>
      </c>
      <c r="M11" s="47">
        <v>99692.17741315905</v>
      </c>
      <c r="N11" s="47">
        <v>113042.13913245709</v>
      </c>
      <c r="O11" s="47">
        <v>81506.076429998968</v>
      </c>
      <c r="P11" s="47">
        <v>138998.55399489449</v>
      </c>
      <c r="Q11" s="47">
        <v>117160.41231195</v>
      </c>
      <c r="R11" s="47">
        <v>104571.09292694996</v>
      </c>
      <c r="S11" s="47">
        <v>99798.284201964503</v>
      </c>
      <c r="T11" s="47">
        <v>129302.12</v>
      </c>
      <c r="U11" s="47">
        <v>88354.81</v>
      </c>
      <c r="V11" s="47">
        <v>146786.89000000013</v>
      </c>
      <c r="W11" s="47">
        <v>97632.29</v>
      </c>
      <c r="X11" s="47">
        <v>160958.73000000001</v>
      </c>
      <c r="Y11" s="47">
        <v>144202.1</v>
      </c>
      <c r="Z11" s="48">
        <v>117766.74000000022</v>
      </c>
      <c r="AA11" s="48">
        <v>94436.289999999295</v>
      </c>
      <c r="AB11" s="48">
        <v>78355.949999998993</v>
      </c>
      <c r="AC11" s="48">
        <v>124383.63</v>
      </c>
      <c r="AD11" s="48">
        <v>149085.49</v>
      </c>
      <c r="AE11" s="48">
        <v>113676.88</v>
      </c>
      <c r="AF11" s="48">
        <v>123678.31000000201</v>
      </c>
      <c r="AG11" s="48">
        <v>119639.860000001</v>
      </c>
      <c r="AH11" s="48">
        <v>112599.46000000101</v>
      </c>
      <c r="AI11" s="48">
        <v>127625.70999999996</v>
      </c>
      <c r="AJ11" s="48">
        <v>137986.43</v>
      </c>
      <c r="AK11" s="48">
        <v>156896.81999999998</v>
      </c>
      <c r="AL11" s="48">
        <v>119008.85</v>
      </c>
      <c r="AM11" s="48">
        <v>78366.48</v>
      </c>
      <c r="AN11" s="49">
        <v>105536.639999999</v>
      </c>
      <c r="AO11" s="49">
        <v>142981.31999999983</v>
      </c>
      <c r="AP11" s="49">
        <v>171486.91000000099</v>
      </c>
      <c r="AQ11" s="49">
        <v>122758.99000000022</v>
      </c>
      <c r="AR11" s="49">
        <v>136247.07999999999</v>
      </c>
      <c r="AS11" s="49">
        <v>104293.73</v>
      </c>
      <c r="AT11" s="49">
        <v>126319.12</v>
      </c>
      <c r="AU11" s="49">
        <v>130498.75999999931</v>
      </c>
      <c r="AV11" s="49">
        <v>132235.3200000003</v>
      </c>
      <c r="AW11" s="49">
        <v>133600.150000002</v>
      </c>
      <c r="AX11" s="49">
        <v>151943.47999999998</v>
      </c>
      <c r="AY11" s="49">
        <v>103914.09999999986</v>
      </c>
      <c r="AZ11" s="49">
        <v>113472.1799999997</v>
      </c>
      <c r="BA11" s="49">
        <v>160869.88</v>
      </c>
      <c r="BB11" s="49">
        <v>144245.81000000041</v>
      </c>
      <c r="BC11" s="49">
        <v>126675.15999999963</v>
      </c>
      <c r="BD11" s="49">
        <v>141784.079999999</v>
      </c>
      <c r="BE11" s="49">
        <v>174504.38</v>
      </c>
      <c r="BF11" s="49">
        <v>120939.29</v>
      </c>
      <c r="BG11" s="49">
        <v>144609.71999999823</v>
      </c>
      <c r="BH11" s="49">
        <v>164600.82</v>
      </c>
      <c r="BI11" s="49">
        <v>215167.6600000019</v>
      </c>
      <c r="BJ11">
        <v>145046.36000000039</v>
      </c>
      <c r="BK11">
        <v>152083.03999999978</v>
      </c>
      <c r="BL11">
        <v>110495.65000000061</v>
      </c>
      <c r="BM11">
        <v>106642.79999999983</v>
      </c>
      <c r="BN11">
        <v>165768.84</v>
      </c>
      <c r="BO11">
        <v>200839.04999999996</v>
      </c>
      <c r="BP11">
        <v>217214.83</v>
      </c>
      <c r="BQ11">
        <v>152998.13999999998</v>
      </c>
      <c r="BR11">
        <v>206261.20999999988</v>
      </c>
      <c r="BS11">
        <v>207841.8</v>
      </c>
      <c r="BT11">
        <v>283258.96999999997</v>
      </c>
      <c r="BU11">
        <v>194131.24</v>
      </c>
      <c r="BV11">
        <v>204134.38</v>
      </c>
      <c r="BW11">
        <v>198673.46000000002</v>
      </c>
      <c r="BX11">
        <v>195732.17</v>
      </c>
      <c r="BY11">
        <v>192391.36000000004</v>
      </c>
      <c r="BZ11">
        <v>159509.92000000004</v>
      </c>
      <c r="CA11">
        <v>223001.11</v>
      </c>
      <c r="CB11">
        <v>246883.3300000001</v>
      </c>
      <c r="CC11">
        <v>218240.87001300001</v>
      </c>
      <c r="CD11">
        <v>216145.87999999998</v>
      </c>
      <c r="CE11">
        <v>201568.34</v>
      </c>
      <c r="CF11">
        <v>233669.05</v>
      </c>
      <c r="CG11">
        <v>401095.77</v>
      </c>
      <c r="CH11">
        <f>[2]Impostos!C15</f>
        <v>204949.16</v>
      </c>
      <c r="CI11">
        <f>[2]Impostos!D15</f>
        <v>195642.45</v>
      </c>
      <c r="CJ11">
        <f>[2]Impostos!E15</f>
        <v>252702.91438500001</v>
      </c>
      <c r="CK11">
        <f>[2]Impostos!F15</f>
        <v>0</v>
      </c>
      <c r="CL11">
        <f>[2]Impostos!G15</f>
        <v>0</v>
      </c>
      <c r="CM11">
        <f>[2]Impostos!H15</f>
        <v>0</v>
      </c>
      <c r="CN11">
        <f>[2]Impostos!I15</f>
        <v>0</v>
      </c>
      <c r="CO11">
        <f>[2]Impostos!J15</f>
        <v>0</v>
      </c>
      <c r="CP11">
        <f>[2]Impostos!K15</f>
        <v>0</v>
      </c>
      <c r="CQ11">
        <f>[2]Impostos!L15</f>
        <v>0</v>
      </c>
      <c r="CR11">
        <f>[2]Impostos!M15</f>
        <v>0</v>
      </c>
      <c r="CS11">
        <f>[2]Impostos!N15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38FD-F849-4120-8345-0918CA9EB6EF}">
  <sheetPr>
    <tabColor rgb="FFC00000"/>
  </sheetPr>
  <dimension ref="A1:C41"/>
  <sheetViews>
    <sheetView workbookViewId="0">
      <selection activeCell="C32" sqref="C32"/>
    </sheetView>
  </sheetViews>
  <sheetFormatPr defaultRowHeight="12.75" x14ac:dyDescent="0.2"/>
  <cols>
    <col min="1" max="1" width="16.7109375" bestFit="1" customWidth="1"/>
    <col min="2" max="2" width="14.85546875" bestFit="1" customWidth="1"/>
    <col min="3" max="3" width="16.7109375" bestFit="1" customWidth="1"/>
  </cols>
  <sheetData>
    <row r="1" spans="1:3" x14ac:dyDescent="0.2">
      <c r="A1" s="2" t="s">
        <v>515</v>
      </c>
      <c r="B1" t="s">
        <v>608</v>
      </c>
      <c r="C1" s="2" t="s">
        <v>614</v>
      </c>
    </row>
    <row r="2" spans="1:3" x14ac:dyDescent="0.2">
      <c r="A2" t="s">
        <v>609</v>
      </c>
      <c r="B2" t="s">
        <v>69</v>
      </c>
      <c r="C2">
        <v>677682.34</v>
      </c>
    </row>
    <row r="3" spans="1:3" x14ac:dyDescent="0.2">
      <c r="A3" t="s">
        <v>609</v>
      </c>
      <c r="B3" t="s">
        <v>64</v>
      </c>
      <c r="C3">
        <v>653876.92000000004</v>
      </c>
    </row>
    <row r="4" spans="1:3" x14ac:dyDescent="0.2">
      <c r="A4" t="s">
        <v>609</v>
      </c>
      <c r="B4" t="s">
        <v>451</v>
      </c>
      <c r="C4">
        <v>527207.81000000006</v>
      </c>
    </row>
    <row r="5" spans="1:3" x14ac:dyDescent="0.2">
      <c r="A5" t="s">
        <v>609</v>
      </c>
      <c r="B5" t="s">
        <v>315</v>
      </c>
      <c r="C5">
        <v>523432.46</v>
      </c>
    </row>
    <row r="6" spans="1:3" x14ac:dyDescent="0.2">
      <c r="A6" t="s">
        <v>609</v>
      </c>
      <c r="B6" t="s">
        <v>242</v>
      </c>
      <c r="C6">
        <v>360105.85</v>
      </c>
    </row>
    <row r="7" spans="1:3" x14ac:dyDescent="0.2">
      <c r="A7" t="s">
        <v>609</v>
      </c>
      <c r="B7" t="s">
        <v>101</v>
      </c>
      <c r="C7">
        <v>194149.91</v>
      </c>
    </row>
    <row r="8" spans="1:3" x14ac:dyDescent="0.2">
      <c r="A8" t="s">
        <v>609</v>
      </c>
      <c r="B8" t="s">
        <v>276</v>
      </c>
      <c r="C8">
        <v>131952.70000000001</v>
      </c>
    </row>
    <row r="9" spans="1:3" x14ac:dyDescent="0.2">
      <c r="A9" t="s">
        <v>609</v>
      </c>
      <c r="B9" t="s">
        <v>314</v>
      </c>
      <c r="C9">
        <v>128722.86</v>
      </c>
    </row>
    <row r="10" spans="1:3" x14ac:dyDescent="0.2">
      <c r="A10" t="s">
        <v>609</v>
      </c>
      <c r="B10" t="s">
        <v>420</v>
      </c>
      <c r="C10">
        <v>20605.23</v>
      </c>
    </row>
    <row r="11" spans="1:3" x14ac:dyDescent="0.2">
      <c r="A11" t="s">
        <v>609</v>
      </c>
      <c r="B11" t="s">
        <v>241</v>
      </c>
      <c r="C11">
        <v>11871.8</v>
      </c>
    </row>
    <row r="12" spans="1:3" x14ac:dyDescent="0.2">
      <c r="A12" t="s">
        <v>609</v>
      </c>
      <c r="B12" t="s">
        <v>611</v>
      </c>
      <c r="C12">
        <v>1989.12</v>
      </c>
    </row>
    <row r="13" spans="1:3" x14ac:dyDescent="0.2">
      <c r="A13" t="s">
        <v>609</v>
      </c>
      <c r="B13" t="s">
        <v>240</v>
      </c>
      <c r="C13">
        <v>-20353.41</v>
      </c>
    </row>
    <row r="14" spans="1:3" x14ac:dyDescent="0.2">
      <c r="A14" t="s">
        <v>609</v>
      </c>
      <c r="B14" t="s">
        <v>612</v>
      </c>
      <c r="C14">
        <v>-26624.43</v>
      </c>
    </row>
    <row r="15" spans="1:3" x14ac:dyDescent="0.2">
      <c r="A15" t="s">
        <v>609</v>
      </c>
      <c r="B15" t="s">
        <v>67</v>
      </c>
      <c r="C15">
        <v>-36765.96</v>
      </c>
    </row>
    <row r="16" spans="1:3" x14ac:dyDescent="0.2">
      <c r="A16" t="s">
        <v>609</v>
      </c>
      <c r="B16" t="s">
        <v>65</v>
      </c>
      <c r="C16">
        <v>-37667.67</v>
      </c>
    </row>
    <row r="17" spans="1:3" x14ac:dyDescent="0.2">
      <c r="A17" t="s">
        <v>609</v>
      </c>
      <c r="B17" t="s">
        <v>96</v>
      </c>
      <c r="C17">
        <v>-46634.75</v>
      </c>
    </row>
    <row r="18" spans="1:3" x14ac:dyDescent="0.2">
      <c r="A18" t="s">
        <v>609</v>
      </c>
      <c r="B18" t="s">
        <v>613</v>
      </c>
      <c r="C18">
        <v>-72286.58</v>
      </c>
    </row>
    <row r="19" spans="1:3" x14ac:dyDescent="0.2">
      <c r="A19" t="s">
        <v>609</v>
      </c>
      <c r="B19" t="s">
        <v>537</v>
      </c>
      <c r="C19">
        <v>-114815.98</v>
      </c>
    </row>
    <row r="20" spans="1:3" x14ac:dyDescent="0.2">
      <c r="A20" t="s">
        <v>609</v>
      </c>
      <c r="B20" t="s">
        <v>66</v>
      </c>
      <c r="C20">
        <v>-116326.46</v>
      </c>
    </row>
    <row r="21" spans="1:3" x14ac:dyDescent="0.2">
      <c r="A21" t="s">
        <v>609</v>
      </c>
      <c r="B21" t="s">
        <v>316</v>
      </c>
      <c r="C21">
        <v>-815204.38</v>
      </c>
    </row>
    <row r="22" spans="1:3" x14ac:dyDescent="0.2">
      <c r="A22" t="s">
        <v>610</v>
      </c>
      <c r="B22" t="s">
        <v>69</v>
      </c>
      <c r="C22">
        <v>964960.33786840946</v>
      </c>
    </row>
    <row r="23" spans="1:3" x14ac:dyDescent="0.2">
      <c r="A23" t="s">
        <v>610</v>
      </c>
      <c r="B23" t="s">
        <v>64</v>
      </c>
      <c r="C23">
        <v>918441.56095864496</v>
      </c>
    </row>
    <row r="24" spans="1:3" x14ac:dyDescent="0.2">
      <c r="A24" t="s">
        <v>610</v>
      </c>
      <c r="B24" t="s">
        <v>451</v>
      </c>
      <c r="C24">
        <v>585117.42826496111</v>
      </c>
    </row>
    <row r="25" spans="1:3" x14ac:dyDescent="0.2">
      <c r="A25" t="s">
        <v>610</v>
      </c>
      <c r="B25" t="s">
        <v>315</v>
      </c>
      <c r="C25">
        <v>624064.71528870007</v>
      </c>
    </row>
    <row r="26" spans="1:3" x14ac:dyDescent="0.2">
      <c r="A26" t="s">
        <v>610</v>
      </c>
      <c r="B26" t="s">
        <v>242</v>
      </c>
      <c r="C26">
        <v>512060.23996579833</v>
      </c>
    </row>
    <row r="27" spans="1:3" x14ac:dyDescent="0.2">
      <c r="A27" t="s">
        <v>610</v>
      </c>
      <c r="B27" t="s">
        <v>101</v>
      </c>
      <c r="C27">
        <v>274525.05659591407</v>
      </c>
    </row>
    <row r="28" spans="1:3" x14ac:dyDescent="0.2">
      <c r="A28" t="s">
        <v>610</v>
      </c>
      <c r="B28" t="s">
        <v>276</v>
      </c>
      <c r="C28">
        <v>156191.38461879699</v>
      </c>
    </row>
    <row r="29" spans="1:3" x14ac:dyDescent="0.2">
      <c r="A29" t="s">
        <v>610</v>
      </c>
      <c r="B29" t="s">
        <v>314</v>
      </c>
      <c r="C29">
        <v>276040.3517482999</v>
      </c>
    </row>
    <row r="30" spans="1:3" x14ac:dyDescent="0.2">
      <c r="A30" t="s">
        <v>610</v>
      </c>
      <c r="B30" t="s">
        <v>420</v>
      </c>
      <c r="C30">
        <v>38582.278391784814</v>
      </c>
    </row>
    <row r="31" spans="1:3" x14ac:dyDescent="0.2">
      <c r="A31" t="s">
        <v>610</v>
      </c>
      <c r="B31" t="s">
        <v>241</v>
      </c>
      <c r="C31">
        <v>14442.758457564465</v>
      </c>
    </row>
    <row r="32" spans="1:3" x14ac:dyDescent="0.2">
      <c r="A32" t="s">
        <v>610</v>
      </c>
      <c r="B32" t="s">
        <v>611</v>
      </c>
      <c r="C32">
        <v>2497.7200853528489</v>
      </c>
    </row>
    <row r="33" spans="1:3" x14ac:dyDescent="0.2">
      <c r="A33" t="s">
        <v>610</v>
      </c>
      <c r="B33" t="s">
        <v>240</v>
      </c>
      <c r="C33">
        <v>-4884.1191514167513</v>
      </c>
    </row>
    <row r="34" spans="1:3" x14ac:dyDescent="0.2">
      <c r="A34" t="s">
        <v>610</v>
      </c>
      <c r="B34" t="s">
        <v>612</v>
      </c>
      <c r="C34">
        <v>125249.96616516076</v>
      </c>
    </row>
    <row r="35" spans="1:3" x14ac:dyDescent="0.2">
      <c r="A35" t="s">
        <v>610</v>
      </c>
      <c r="B35" t="s">
        <v>67</v>
      </c>
      <c r="C35">
        <v>-25679.011246301401</v>
      </c>
    </row>
    <row r="36" spans="1:3" x14ac:dyDescent="0.2">
      <c r="A36" t="s">
        <v>610</v>
      </c>
      <c r="B36" t="s">
        <v>65</v>
      </c>
      <c r="C36">
        <v>18701.104244459799</v>
      </c>
    </row>
    <row r="37" spans="1:3" x14ac:dyDescent="0.2">
      <c r="A37" t="s">
        <v>610</v>
      </c>
      <c r="B37" t="s">
        <v>96</v>
      </c>
      <c r="C37">
        <v>-9080.5033883406286</v>
      </c>
    </row>
    <row r="38" spans="1:3" x14ac:dyDescent="0.2">
      <c r="A38" t="s">
        <v>610</v>
      </c>
      <c r="B38" t="s">
        <v>613</v>
      </c>
      <c r="C38">
        <v>-69987.539902602526</v>
      </c>
    </row>
    <row r="39" spans="1:3" x14ac:dyDescent="0.2">
      <c r="A39" t="s">
        <v>610</v>
      </c>
      <c r="B39" t="s">
        <v>537</v>
      </c>
      <c r="C39">
        <v>-105060.2825381229</v>
      </c>
    </row>
    <row r="40" spans="1:3" x14ac:dyDescent="0.2">
      <c r="A40" t="s">
        <v>610</v>
      </c>
      <c r="B40" t="s">
        <v>66</v>
      </c>
      <c r="C40">
        <v>-81098.105172109455</v>
      </c>
    </row>
    <row r="41" spans="1:3" x14ac:dyDescent="0.2">
      <c r="A41" t="s">
        <v>610</v>
      </c>
      <c r="B41" t="s">
        <v>316</v>
      </c>
      <c r="C41">
        <v>-670167.96107091685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138-B50F-4856-A22C-FD646637C3BC}">
  <sheetPr>
    <tabColor rgb="FFFFFF00"/>
  </sheetPr>
  <dimension ref="A1:D40"/>
  <sheetViews>
    <sheetView topLeftCell="A19" workbookViewId="0">
      <selection activeCell="H56" sqref="H56"/>
    </sheetView>
  </sheetViews>
  <sheetFormatPr defaultRowHeight="12.75" x14ac:dyDescent="0.2"/>
  <sheetData>
    <row r="1" spans="1:4" x14ac:dyDescent="0.2">
      <c r="A1" s="1" t="s">
        <v>9</v>
      </c>
      <c r="B1" s="1" t="s">
        <v>605</v>
      </c>
      <c r="C1" t="s">
        <v>34</v>
      </c>
      <c r="D1" t="s">
        <v>469</v>
      </c>
    </row>
    <row r="2" spans="1:4" x14ac:dyDescent="0.2">
      <c r="A2" s="5">
        <v>44927</v>
      </c>
      <c r="B2" s="1">
        <v>16589.650000000001</v>
      </c>
    </row>
    <row r="3" spans="1:4" x14ac:dyDescent="0.2">
      <c r="A3" s="5">
        <v>44958</v>
      </c>
      <c r="B3" s="1">
        <v>17224.61</v>
      </c>
      <c r="C3">
        <f>B3-B2</f>
        <v>634.95999999999913</v>
      </c>
      <c r="D3" s="460">
        <f>B3/B2-1</f>
        <v>3.8274466308813038E-2</v>
      </c>
    </row>
    <row r="4" spans="1:4" x14ac:dyDescent="0.2">
      <c r="A4" s="5">
        <v>44986</v>
      </c>
      <c r="B4" s="1">
        <v>16802.189999999999</v>
      </c>
      <c r="C4">
        <f t="shared" ref="C4:C40" si="0">B4-B3</f>
        <v>-422.42000000000189</v>
      </c>
      <c r="D4" s="460">
        <f t="shared" ref="D4:D40" si="1">B4/B3-1</f>
        <v>-2.4524212739795104E-2</v>
      </c>
    </row>
    <row r="5" spans="1:4" x14ac:dyDescent="0.2">
      <c r="A5" s="5">
        <v>45017</v>
      </c>
      <c r="B5" s="1">
        <v>17625.669999999998</v>
      </c>
      <c r="C5">
        <f t="shared" si="0"/>
        <v>823.47999999999956</v>
      </c>
      <c r="D5" s="460">
        <f t="shared" si="1"/>
        <v>4.901027782687839E-2</v>
      </c>
    </row>
    <row r="6" spans="1:4" x14ac:dyDescent="0.2">
      <c r="A6" s="5">
        <v>45047</v>
      </c>
      <c r="B6" s="1">
        <v>17969.13</v>
      </c>
      <c r="C6">
        <f t="shared" si="0"/>
        <v>343.46000000000276</v>
      </c>
      <c r="D6" s="460">
        <f t="shared" si="1"/>
        <v>1.9486351440824778E-2</v>
      </c>
    </row>
    <row r="7" spans="1:4" x14ac:dyDescent="0.2">
      <c r="A7" s="5">
        <v>45078</v>
      </c>
      <c r="B7" s="1">
        <v>18272.669999999998</v>
      </c>
      <c r="C7">
        <f t="shared" si="0"/>
        <v>303.53999999999724</v>
      </c>
      <c r="D7" s="460">
        <f t="shared" si="1"/>
        <v>1.6892303634065575E-2</v>
      </c>
    </row>
    <row r="8" spans="1:4" x14ac:dyDescent="0.2">
      <c r="A8" s="5">
        <v>45108</v>
      </c>
      <c r="B8" s="1">
        <v>18547.68</v>
      </c>
      <c r="C8">
        <f t="shared" si="0"/>
        <v>275.01000000000204</v>
      </c>
      <c r="D8" s="460">
        <f t="shared" si="1"/>
        <v>1.5050345680188038E-2</v>
      </c>
    </row>
    <row r="9" spans="1:4" x14ac:dyDescent="0.2">
      <c r="A9" s="5">
        <v>45139</v>
      </c>
      <c r="B9" s="1">
        <v>18543.23</v>
      </c>
      <c r="C9">
        <f t="shared" si="0"/>
        <v>-4.4500000000007276</v>
      </c>
      <c r="D9" s="460">
        <f t="shared" si="1"/>
        <v>-2.3992218972945789E-4</v>
      </c>
    </row>
    <row r="10" spans="1:4" x14ac:dyDescent="0.2">
      <c r="A10" s="5">
        <v>45170</v>
      </c>
      <c r="B10" s="1">
        <v>18952.330000000002</v>
      </c>
      <c r="C10">
        <f t="shared" si="0"/>
        <v>409.10000000000218</v>
      </c>
      <c r="D10" s="460">
        <f t="shared" si="1"/>
        <v>2.2061960079231113E-2</v>
      </c>
    </row>
    <row r="11" spans="1:4" x14ac:dyDescent="0.2">
      <c r="A11" s="5">
        <v>45200</v>
      </c>
      <c r="B11" s="1">
        <v>19412.77</v>
      </c>
      <c r="C11">
        <f t="shared" si="0"/>
        <v>460.43999999999869</v>
      </c>
      <c r="D11" s="460">
        <f t="shared" si="1"/>
        <v>2.4294638179052308E-2</v>
      </c>
    </row>
    <row r="12" spans="1:4" x14ac:dyDescent="0.2">
      <c r="A12" s="5">
        <v>45231</v>
      </c>
      <c r="B12" s="1">
        <v>19587.5</v>
      </c>
      <c r="C12">
        <f t="shared" si="0"/>
        <v>174.72999999999956</v>
      </c>
      <c r="D12" s="460">
        <f t="shared" si="1"/>
        <v>9.0007762931307855E-3</v>
      </c>
    </row>
    <row r="13" spans="1:4" x14ac:dyDescent="0.2">
      <c r="A13" s="5">
        <v>45261</v>
      </c>
      <c r="B13" s="1">
        <v>19743.61</v>
      </c>
      <c r="C13">
        <f t="shared" si="0"/>
        <v>156.11000000000058</v>
      </c>
      <c r="D13" s="460">
        <f t="shared" si="1"/>
        <v>7.9698787492024081E-3</v>
      </c>
    </row>
    <row r="14" spans="1:4" x14ac:dyDescent="0.2">
      <c r="A14" s="5">
        <v>45292</v>
      </c>
      <c r="B14" s="1">
        <v>20643.29</v>
      </c>
      <c r="C14">
        <f t="shared" si="0"/>
        <v>899.68000000000029</v>
      </c>
      <c r="D14" s="460">
        <f t="shared" si="1"/>
        <v>4.5568161040458133E-2</v>
      </c>
    </row>
    <row r="15" spans="1:4" x14ac:dyDescent="0.2">
      <c r="A15" s="5">
        <v>45323</v>
      </c>
      <c r="B15" s="1">
        <v>20453.72</v>
      </c>
      <c r="C15">
        <f t="shared" si="0"/>
        <v>-189.56999999999971</v>
      </c>
      <c r="D15" s="460">
        <f t="shared" si="1"/>
        <v>-9.1831292395737618E-3</v>
      </c>
    </row>
    <row r="16" spans="1:4" x14ac:dyDescent="0.2">
      <c r="A16" s="5">
        <v>45352</v>
      </c>
      <c r="B16" s="1">
        <v>21031.84</v>
      </c>
      <c r="C16">
        <f t="shared" si="0"/>
        <v>578.11999999999898</v>
      </c>
      <c r="D16" s="460">
        <f t="shared" si="1"/>
        <v>2.8264785085549082E-2</v>
      </c>
    </row>
    <row r="17" spans="1:4" x14ac:dyDescent="0.2">
      <c r="A17" s="5">
        <v>45383</v>
      </c>
      <c r="B17" s="1">
        <v>21262.67</v>
      </c>
      <c r="C17">
        <f t="shared" si="0"/>
        <v>230.82999999999811</v>
      </c>
      <c r="D17" s="460">
        <f t="shared" si="1"/>
        <v>1.0975264170895116E-2</v>
      </c>
    </row>
    <row r="18" spans="1:4" x14ac:dyDescent="0.2">
      <c r="A18" s="5">
        <v>45413</v>
      </c>
      <c r="B18" s="1">
        <v>21178.87</v>
      </c>
      <c r="C18">
        <f t="shared" si="0"/>
        <v>-83.799999999999272</v>
      </c>
      <c r="D18" s="460">
        <f t="shared" si="1"/>
        <v>-3.9411795414215911E-3</v>
      </c>
    </row>
    <row r="19" spans="1:4" x14ac:dyDescent="0.2">
      <c r="A19" s="5">
        <v>45444</v>
      </c>
      <c r="B19" s="1">
        <v>21504.83</v>
      </c>
      <c r="C19">
        <f t="shared" si="0"/>
        <v>325.96000000000276</v>
      </c>
      <c r="D19" s="460">
        <f t="shared" si="1"/>
        <v>1.5390811691086581E-2</v>
      </c>
    </row>
    <row r="20" spans="1:4" x14ac:dyDescent="0.2">
      <c r="A20" s="5">
        <v>45474</v>
      </c>
      <c r="B20" s="1">
        <v>21676.29</v>
      </c>
      <c r="C20">
        <f t="shared" si="0"/>
        <v>171.45999999999913</v>
      </c>
      <c r="D20" s="460">
        <f t="shared" si="1"/>
        <v>7.9730925564163169E-3</v>
      </c>
    </row>
    <row r="21" spans="1:4" x14ac:dyDescent="0.2">
      <c r="A21" s="5">
        <v>45505</v>
      </c>
      <c r="B21" s="1">
        <v>22085.16</v>
      </c>
      <c r="C21">
        <f t="shared" si="0"/>
        <v>408.86999999999898</v>
      </c>
      <c r="D21" s="460">
        <f t="shared" si="1"/>
        <v>1.8862545204922032E-2</v>
      </c>
    </row>
    <row r="22" spans="1:4" x14ac:dyDescent="0.2">
      <c r="A22" s="5">
        <v>45536</v>
      </c>
      <c r="B22" s="1">
        <v>22490.83</v>
      </c>
      <c r="C22">
        <f t="shared" si="0"/>
        <v>405.67000000000189</v>
      </c>
      <c r="D22" s="460">
        <f t="shared" si="1"/>
        <v>1.8368442882007674E-2</v>
      </c>
    </row>
    <row r="23" spans="1:4" x14ac:dyDescent="0.2">
      <c r="A23" s="5">
        <v>45566</v>
      </c>
      <c r="B23" s="1">
        <v>22853.48</v>
      </c>
      <c r="C23">
        <f t="shared" si="0"/>
        <v>362.64999999999782</v>
      </c>
      <c r="D23" s="460">
        <f t="shared" si="1"/>
        <v>1.612434934593332E-2</v>
      </c>
    </row>
    <row r="24" spans="1:4" x14ac:dyDescent="0.2">
      <c r="A24" s="5">
        <v>45597</v>
      </c>
      <c r="B24" s="1">
        <v>23568.17</v>
      </c>
      <c r="C24">
        <f t="shared" si="0"/>
        <v>714.68999999999869</v>
      </c>
      <c r="D24" s="460">
        <f t="shared" si="1"/>
        <v>3.1272698950006728E-2</v>
      </c>
    </row>
    <row r="25" spans="1:4" x14ac:dyDescent="0.2">
      <c r="A25" s="5">
        <v>45627</v>
      </c>
      <c r="B25" s="1">
        <v>23541.13</v>
      </c>
      <c r="C25">
        <f t="shared" si="0"/>
        <v>-27.039999999997235</v>
      </c>
      <c r="D25" s="460">
        <f t="shared" si="1"/>
        <v>-1.1473101220840221E-3</v>
      </c>
    </row>
    <row r="26" spans="1:4" x14ac:dyDescent="0.2">
      <c r="A26" s="5">
        <v>45658</v>
      </c>
      <c r="B26" s="1">
        <v>24068.387096774193</v>
      </c>
      <c r="C26">
        <f t="shared" si="0"/>
        <v>527.25709677419218</v>
      </c>
      <c r="D26" s="460">
        <f t="shared" si="1"/>
        <v>2.239727221141008E-2</v>
      </c>
    </row>
    <row r="27" spans="1:4" x14ac:dyDescent="0.2">
      <c r="A27" s="5">
        <v>45689</v>
      </c>
      <c r="B27" s="1">
        <v>25059.321428571428</v>
      </c>
      <c r="C27">
        <f t="shared" si="0"/>
        <v>990.93433179723434</v>
      </c>
      <c r="D27" s="460">
        <f t="shared" si="1"/>
        <v>4.1171613528272033E-2</v>
      </c>
    </row>
    <row r="28" spans="1:4" x14ac:dyDescent="0.2">
      <c r="A28" s="5">
        <v>45717</v>
      </c>
      <c r="B28" s="1">
        <v>25639.42</v>
      </c>
      <c r="C28">
        <f t="shared" si="0"/>
        <v>580.09857142857072</v>
      </c>
      <c r="D28" s="460">
        <f t="shared" si="1"/>
        <v>2.3149013554978781E-2</v>
      </c>
    </row>
    <row r="29" spans="1:4" x14ac:dyDescent="0.2">
      <c r="A29" s="5">
        <v>45748</v>
      </c>
      <c r="B29" s="1">
        <v>27089.166666666664</v>
      </c>
      <c r="C29">
        <f t="shared" si="0"/>
        <v>1449.746666666666</v>
      </c>
      <c r="D29" s="460">
        <f t="shared" si="1"/>
        <v>5.6543660764037051E-2</v>
      </c>
    </row>
    <row r="30" spans="1:4" x14ac:dyDescent="0.2">
      <c r="A30" s="5">
        <v>45778</v>
      </c>
      <c r="B30" s="29">
        <v>27369.9</v>
      </c>
      <c r="C30">
        <f t="shared" si="0"/>
        <v>280.73333333333721</v>
      </c>
      <c r="D30" s="460">
        <f t="shared" si="1"/>
        <v>1.036330636478322E-2</v>
      </c>
    </row>
    <row r="31" spans="1:4" x14ac:dyDescent="0.2">
      <c r="A31" s="5">
        <v>45809</v>
      </c>
      <c r="B31" s="1">
        <v>27995.83</v>
      </c>
      <c r="C31">
        <f t="shared" si="0"/>
        <v>625.93000000000029</v>
      </c>
      <c r="D31" s="460">
        <f t="shared" si="1"/>
        <v>2.2869283409877372E-2</v>
      </c>
    </row>
    <row r="32" spans="1:4" x14ac:dyDescent="0.2">
      <c r="A32" s="5">
        <v>45839</v>
      </c>
      <c r="B32" s="29">
        <v>28075</v>
      </c>
      <c r="C32">
        <f t="shared" si="0"/>
        <v>79.169999999998254</v>
      </c>
      <c r="D32" s="460">
        <f t="shared" si="1"/>
        <v>2.8279211582582509E-3</v>
      </c>
    </row>
    <row r="33" spans="1:4" x14ac:dyDescent="0.2">
      <c r="A33" s="5">
        <v>45870</v>
      </c>
      <c r="B33" s="1">
        <v>28080.65</v>
      </c>
      <c r="C33">
        <f t="shared" si="0"/>
        <v>5.6500000000014552</v>
      </c>
      <c r="D33" s="460">
        <f t="shared" si="1"/>
        <v>2.0124666073018105E-4</v>
      </c>
    </row>
    <row r="34" spans="1:4" x14ac:dyDescent="0.2">
      <c r="A34" s="5">
        <v>45901</v>
      </c>
      <c r="B34">
        <v>28248.67</v>
      </c>
      <c r="C34">
        <f t="shared" si="0"/>
        <v>168.0199999999968</v>
      </c>
      <c r="D34" s="460">
        <f t="shared" si="1"/>
        <v>5.9834797271429707E-3</v>
      </c>
    </row>
    <row r="35" spans="1:4" x14ac:dyDescent="0.2">
      <c r="A35" s="77">
        <v>45931</v>
      </c>
      <c r="B35">
        <v>28800.87</v>
      </c>
      <c r="C35">
        <f t="shared" si="0"/>
        <v>552.20000000000073</v>
      </c>
      <c r="D35" s="460">
        <f t="shared" si="1"/>
        <v>1.9547822959452565E-2</v>
      </c>
    </row>
    <row r="36" spans="1:4" x14ac:dyDescent="0.2">
      <c r="A36" s="77">
        <v>45962</v>
      </c>
      <c r="B36">
        <v>29089.83</v>
      </c>
      <c r="C36">
        <f t="shared" si="0"/>
        <v>288.96000000000276</v>
      </c>
      <c r="D36" s="460">
        <f t="shared" si="1"/>
        <v>1.0033030252211139E-2</v>
      </c>
    </row>
    <row r="37" spans="1:4" x14ac:dyDescent="0.2">
      <c r="A37" s="77">
        <v>45992</v>
      </c>
      <c r="B37">
        <v>29982.65</v>
      </c>
      <c r="C37">
        <f t="shared" si="0"/>
        <v>892.81999999999971</v>
      </c>
      <c r="D37" s="460">
        <f t="shared" si="1"/>
        <v>3.0691825974919817E-2</v>
      </c>
    </row>
    <row r="38" spans="1:4" x14ac:dyDescent="0.2">
      <c r="A38" s="77">
        <v>46023</v>
      </c>
      <c r="B38">
        <v>31431.26</v>
      </c>
      <c r="C38">
        <f t="shared" si="0"/>
        <v>1448.6099999999969</v>
      </c>
      <c r="D38" s="460">
        <f t="shared" si="1"/>
        <v>4.8314942141538308E-2</v>
      </c>
    </row>
    <row r="39" spans="1:4" x14ac:dyDescent="0.2">
      <c r="A39" s="77">
        <v>46054</v>
      </c>
      <c r="B39">
        <v>31474.75</v>
      </c>
      <c r="C39">
        <f t="shared" si="0"/>
        <v>43.490000000001601</v>
      </c>
      <c r="D39" s="460">
        <f t="shared" si="1"/>
        <v>1.3836543619314412E-3</v>
      </c>
    </row>
    <row r="40" spans="1:4" x14ac:dyDescent="0.2">
      <c r="A40" s="77">
        <v>46082</v>
      </c>
      <c r="B40">
        <v>31681.81</v>
      </c>
      <c r="C40">
        <f t="shared" si="0"/>
        <v>207.06000000000131</v>
      </c>
      <c r="D40" s="460">
        <f t="shared" si="1"/>
        <v>6.5786066608948257E-3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1BDB-2CDC-47ED-8A1D-9F97C284388C}">
  <sheetPr codeName="Planilha40">
    <tabColor rgb="FFFFFF00"/>
  </sheetPr>
  <dimension ref="A1:U12"/>
  <sheetViews>
    <sheetView workbookViewId="0">
      <selection activeCell="J1" sqref="J1"/>
    </sheetView>
  </sheetViews>
  <sheetFormatPr defaultRowHeight="12.75" x14ac:dyDescent="0.2"/>
  <cols>
    <col min="1" max="1" width="19.5703125" bestFit="1" customWidth="1"/>
    <col min="2" max="2" width="10.85546875" bestFit="1" customWidth="1"/>
    <col min="13" max="13" width="10.28515625" bestFit="1" customWidth="1"/>
    <col min="14" max="17" width="5" bestFit="1" customWidth="1"/>
    <col min="18" max="19" width="6.140625" bestFit="1" customWidth="1"/>
    <col min="20" max="20" width="5" bestFit="1" customWidth="1"/>
  </cols>
  <sheetData>
    <row r="1" spans="1:21" x14ac:dyDescent="0.2">
      <c r="A1" t="s">
        <v>515</v>
      </c>
      <c r="B1" s="12" t="s">
        <v>239</v>
      </c>
      <c r="C1" s="12">
        <v>2019</v>
      </c>
      <c r="D1" s="12">
        <v>2020</v>
      </c>
      <c r="E1" s="12">
        <v>2021</v>
      </c>
      <c r="F1" s="12">
        <v>2022</v>
      </c>
      <c r="G1" s="12">
        <v>2023</v>
      </c>
      <c r="H1" s="58">
        <v>2024</v>
      </c>
      <c r="I1" s="58">
        <v>2025</v>
      </c>
      <c r="J1" s="43">
        <v>2026</v>
      </c>
      <c r="K1" s="43"/>
      <c r="M1" s="3" t="s">
        <v>239</v>
      </c>
      <c r="N1" s="19">
        <v>2019</v>
      </c>
      <c r="O1" s="19">
        <v>2020</v>
      </c>
      <c r="P1" s="19">
        <v>2021</v>
      </c>
      <c r="Q1" s="19">
        <v>2022</v>
      </c>
      <c r="R1" s="19">
        <v>2023</v>
      </c>
      <c r="S1" s="19">
        <v>2024</v>
      </c>
      <c r="T1" s="19">
        <v>2025</v>
      </c>
      <c r="U1" s="151">
        <v>2026</v>
      </c>
    </row>
    <row r="2" spans="1:21" x14ac:dyDescent="0.2">
      <c r="A2" t="s">
        <v>73</v>
      </c>
      <c r="B2" s="12" t="s">
        <v>72</v>
      </c>
      <c r="C2" s="19">
        <f>4+178+1+7+0</f>
        <v>190</v>
      </c>
      <c r="D2" s="19">
        <f>3+201+1+11+0</f>
        <v>216</v>
      </c>
      <c r="E2" s="19">
        <f>3+244+1+11+1</f>
        <v>260</v>
      </c>
      <c r="F2" s="19">
        <v>269</v>
      </c>
      <c r="G2" s="19">
        <v>310</v>
      </c>
      <c r="H2" s="19">
        <v>355</v>
      </c>
      <c r="I2" s="50">
        <v>437</v>
      </c>
      <c r="J2" s="472">
        <v>438</v>
      </c>
      <c r="K2" s="472"/>
      <c r="M2" s="19" t="s">
        <v>72</v>
      </c>
      <c r="N2" s="19"/>
      <c r="O2" s="19"/>
      <c r="P2" s="19"/>
      <c r="Q2" s="19"/>
      <c r="R2" s="19">
        <v>37</v>
      </c>
      <c r="S2" s="19">
        <v>46</v>
      </c>
      <c r="T2" s="19">
        <v>59</v>
      </c>
    </row>
    <row r="3" spans="1:21" x14ac:dyDescent="0.2">
      <c r="A3" t="s">
        <v>73</v>
      </c>
      <c r="B3" s="12" t="s">
        <v>142</v>
      </c>
      <c r="C3" s="19">
        <f>53</f>
        <v>53</v>
      </c>
      <c r="D3" s="19">
        <f>55</f>
        <v>55</v>
      </c>
      <c r="E3" s="19">
        <f>78</f>
        <v>78</v>
      </c>
      <c r="F3" s="19">
        <v>91</v>
      </c>
      <c r="G3" s="19">
        <v>107</v>
      </c>
      <c r="H3" s="19">
        <v>107</v>
      </c>
      <c r="I3" s="50">
        <v>124</v>
      </c>
      <c r="J3" s="472">
        <v>123</v>
      </c>
      <c r="K3" s="472"/>
      <c r="M3" s="19" t="s">
        <v>142</v>
      </c>
      <c r="N3" s="19"/>
      <c r="O3" s="19"/>
      <c r="P3" s="19"/>
      <c r="Q3" s="19"/>
      <c r="R3" s="19">
        <v>51</v>
      </c>
      <c r="S3" s="19">
        <v>54</v>
      </c>
      <c r="T3" s="19">
        <v>65</v>
      </c>
    </row>
    <row r="4" spans="1:21" x14ac:dyDescent="0.2">
      <c r="A4" t="s">
        <v>73</v>
      </c>
      <c r="B4" s="12" t="s">
        <v>238</v>
      </c>
      <c r="C4" s="19">
        <f>23+2</f>
        <v>25</v>
      </c>
      <c r="D4" s="19">
        <f>23+3</f>
        <v>26</v>
      </c>
      <c r="E4" s="19">
        <f>27+2</f>
        <v>29</v>
      </c>
      <c r="F4" s="19">
        <f>30+1</f>
        <v>31</v>
      </c>
      <c r="G4" s="19">
        <v>44</v>
      </c>
      <c r="H4" s="19">
        <v>37</v>
      </c>
      <c r="I4" s="50">
        <v>35</v>
      </c>
      <c r="J4" s="472">
        <v>32</v>
      </c>
      <c r="K4" s="472"/>
      <c r="M4" s="19" t="s">
        <v>238</v>
      </c>
      <c r="N4" s="19"/>
      <c r="O4" s="19"/>
      <c r="P4" s="19"/>
      <c r="Q4" s="19"/>
      <c r="R4" s="19">
        <v>7</v>
      </c>
      <c r="S4" s="19">
        <v>11</v>
      </c>
      <c r="T4" s="19">
        <v>11</v>
      </c>
    </row>
    <row r="5" spans="1:21" x14ac:dyDescent="0.2">
      <c r="A5" t="s">
        <v>73</v>
      </c>
      <c r="B5" s="12" t="s">
        <v>73</v>
      </c>
      <c r="C5" s="19">
        <f t="shared" ref="C5:J5" si="0">C2+C3+C4*0.5</f>
        <v>255.5</v>
      </c>
      <c r="D5" s="19">
        <f t="shared" si="0"/>
        <v>284</v>
      </c>
      <c r="E5" s="19">
        <f t="shared" si="0"/>
        <v>352.5</v>
      </c>
      <c r="F5" s="19">
        <f t="shared" si="0"/>
        <v>375.5</v>
      </c>
      <c r="G5" s="19">
        <f t="shared" si="0"/>
        <v>439</v>
      </c>
      <c r="H5" s="19">
        <f t="shared" si="0"/>
        <v>480.5</v>
      </c>
      <c r="I5" s="19">
        <f t="shared" si="0"/>
        <v>578.5</v>
      </c>
      <c r="J5" s="19">
        <f t="shared" si="0"/>
        <v>577</v>
      </c>
      <c r="K5" s="1"/>
    </row>
    <row r="6" spans="1:21" x14ac:dyDescent="0.2">
      <c r="A6" t="s">
        <v>73</v>
      </c>
      <c r="B6" s="12" t="s">
        <v>248</v>
      </c>
      <c r="C6" s="19">
        <v>56316</v>
      </c>
      <c r="D6" s="19">
        <v>69272</v>
      </c>
      <c r="E6" s="19">
        <v>84832</v>
      </c>
      <c r="F6" s="19">
        <v>103779</v>
      </c>
      <c r="G6" s="19">
        <v>119211</v>
      </c>
      <c r="H6" s="19">
        <v>117977</v>
      </c>
      <c r="I6" s="136">
        <v>113619</v>
      </c>
      <c r="J6" s="136">
        <v>116095</v>
      </c>
      <c r="K6" s="473"/>
    </row>
    <row r="7" spans="1:21" x14ac:dyDescent="0.2">
      <c r="A7" t="s">
        <v>641</v>
      </c>
      <c r="B7" s="12" t="s">
        <v>239</v>
      </c>
      <c r="C7" s="12"/>
      <c r="D7" s="12"/>
      <c r="E7" s="12">
        <v>2021</v>
      </c>
      <c r="F7" s="12">
        <v>2022</v>
      </c>
      <c r="G7" s="12">
        <v>2023</v>
      </c>
      <c r="H7" s="58">
        <v>2024</v>
      </c>
      <c r="I7" s="58">
        <v>2025</v>
      </c>
      <c r="J7" s="43">
        <v>2026</v>
      </c>
      <c r="K7" s="43"/>
    </row>
    <row r="8" spans="1:21" x14ac:dyDescent="0.2">
      <c r="A8" t="s">
        <v>641</v>
      </c>
      <c r="B8" s="12" t="s">
        <v>72</v>
      </c>
      <c r="C8" s="470"/>
      <c r="D8" s="470"/>
      <c r="E8" s="470">
        <v>216</v>
      </c>
      <c r="F8" s="470">
        <v>229</v>
      </c>
      <c r="G8" s="470">
        <v>273</v>
      </c>
      <c r="H8" s="470">
        <v>309</v>
      </c>
      <c r="I8" s="470">
        <v>376</v>
      </c>
      <c r="J8" s="474">
        <v>375</v>
      </c>
      <c r="K8" s="474"/>
    </row>
    <row r="9" spans="1:21" x14ac:dyDescent="0.2">
      <c r="A9" t="s">
        <v>641</v>
      </c>
      <c r="B9" s="12" t="s">
        <v>142</v>
      </c>
      <c r="C9" s="470"/>
      <c r="D9" s="470"/>
      <c r="E9" s="470">
        <v>28</v>
      </c>
      <c r="F9" s="470">
        <v>42</v>
      </c>
      <c r="G9" s="470">
        <v>56</v>
      </c>
      <c r="H9" s="470">
        <v>53</v>
      </c>
      <c r="I9" s="470">
        <v>59</v>
      </c>
      <c r="J9" s="474">
        <v>60</v>
      </c>
      <c r="K9" s="474"/>
    </row>
    <row r="10" spans="1:21" x14ac:dyDescent="0.2">
      <c r="A10" t="s">
        <v>641</v>
      </c>
      <c r="B10" s="12" t="s">
        <v>238</v>
      </c>
      <c r="C10" s="470"/>
      <c r="D10" s="470"/>
      <c r="E10" s="470">
        <v>23</v>
      </c>
      <c r="F10" s="470">
        <v>34</v>
      </c>
      <c r="G10" s="470">
        <v>37</v>
      </c>
      <c r="H10" s="470">
        <v>26</v>
      </c>
      <c r="I10" s="470">
        <v>23</v>
      </c>
      <c r="J10" s="474">
        <v>22</v>
      </c>
      <c r="K10" s="474"/>
    </row>
    <row r="11" spans="1:21" x14ac:dyDescent="0.2">
      <c r="A11" t="s">
        <v>641</v>
      </c>
      <c r="B11" s="12" t="s">
        <v>73</v>
      </c>
      <c r="C11" s="19"/>
      <c r="D11" s="19"/>
      <c r="E11" s="19">
        <f t="shared" ref="E11:J11" si="1">E8+E9+E10*0.5</f>
        <v>255.5</v>
      </c>
      <c r="F11" s="19">
        <f t="shared" si="1"/>
        <v>288</v>
      </c>
      <c r="G11" s="19">
        <f t="shared" si="1"/>
        <v>347.5</v>
      </c>
      <c r="H11" s="19">
        <f t="shared" si="1"/>
        <v>375</v>
      </c>
      <c r="I11" s="19">
        <f t="shared" si="1"/>
        <v>446.5</v>
      </c>
      <c r="J11" s="19">
        <f t="shared" si="1"/>
        <v>446</v>
      </c>
      <c r="K11" s="1"/>
    </row>
    <row r="12" spans="1:21" x14ac:dyDescent="0.2">
      <c r="A12" t="s">
        <v>641</v>
      </c>
      <c r="B12" s="12" t="s">
        <v>248</v>
      </c>
      <c r="C12" s="19"/>
      <c r="D12" s="19"/>
      <c r="E12" s="19">
        <v>84832</v>
      </c>
      <c r="F12" s="19">
        <v>103779</v>
      </c>
      <c r="G12" s="19">
        <v>119211</v>
      </c>
      <c r="H12" s="19">
        <v>117977</v>
      </c>
      <c r="I12" s="136">
        <v>113619</v>
      </c>
      <c r="J12" s="136">
        <v>116095</v>
      </c>
      <c r="K12" s="473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D5BA-8BAA-449B-98D0-C373D38C93E2}">
  <sheetPr codeName="Planilha41">
    <tabColor rgb="FFFFFF00"/>
  </sheetPr>
  <dimension ref="A1:AW53"/>
  <sheetViews>
    <sheetView topLeftCell="B1" zoomScale="85" zoomScaleNormal="85" workbookViewId="0">
      <pane xSplit="3" ySplit="1" topLeftCell="AS2" activePane="bottomRight" state="frozen"/>
      <selection activeCell="K39" sqref="K39"/>
      <selection pane="topRight" activeCell="K39" sqref="K39"/>
      <selection pane="bottomLeft" activeCell="K39" sqref="K39"/>
      <selection pane="bottomRight" activeCell="D18" sqref="D18"/>
    </sheetView>
  </sheetViews>
  <sheetFormatPr defaultColWidth="15.7109375" defaultRowHeight="12.75" x14ac:dyDescent="0.2"/>
  <cols>
    <col min="1" max="1" width="35.7109375" style="437" customWidth="1"/>
    <col min="2" max="2" width="20.7109375" customWidth="1"/>
    <col min="3" max="3" width="8.85546875" bestFit="1" customWidth="1"/>
    <col min="4" max="4" width="55.140625" bestFit="1" customWidth="1"/>
    <col min="5" max="5" width="18.140625" bestFit="1" customWidth="1"/>
    <col min="6" max="6" width="18" bestFit="1" customWidth="1"/>
    <col min="7" max="7" width="18.140625" bestFit="1" customWidth="1"/>
    <col min="8" max="8" width="21.42578125" bestFit="1" customWidth="1"/>
    <col min="9" max="9" width="18.140625" bestFit="1" customWidth="1"/>
    <col min="10" max="10" width="23.7109375" bestFit="1" customWidth="1"/>
    <col min="11" max="11" width="18.140625" bestFit="1" customWidth="1"/>
    <col min="12" max="12" width="22.140625" bestFit="1" customWidth="1"/>
    <col min="13" max="13" width="18.140625" bestFit="1" customWidth="1"/>
    <col min="14" max="14" width="21.42578125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22" bestFit="1" customWidth="1"/>
    <col min="19" max="19" width="18.140625" bestFit="1" customWidth="1"/>
    <col min="20" max="20" width="22" bestFit="1" customWidth="1"/>
    <col min="21" max="21" width="20.140625" bestFit="1" customWidth="1"/>
    <col min="22" max="22" width="29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18.140625" bestFit="1" customWidth="1"/>
    <col min="30" max="30" width="24.7109375" bestFit="1" customWidth="1"/>
    <col min="31" max="31" width="18.140625" bestFit="1" customWidth="1"/>
    <col min="32" max="32" width="24.85546875" bestFit="1" customWidth="1"/>
    <col min="33" max="33" width="18.140625" bestFit="1" customWidth="1"/>
    <col min="34" max="34" width="24.5703125" bestFit="1" customWidth="1"/>
    <col min="35" max="35" width="18.140625" customWidth="1"/>
    <col min="36" max="36" width="23.7109375" bestFit="1" customWidth="1"/>
    <col min="37" max="37" width="18.140625" customWidth="1"/>
    <col min="38" max="38" width="25.140625" bestFit="1" customWidth="1"/>
    <col min="39" max="39" width="18.140625" customWidth="1"/>
    <col min="40" max="40" width="24.5703125" bestFit="1" customWidth="1"/>
    <col min="41" max="41" width="18.140625" customWidth="1"/>
    <col min="42" max="42" width="24.7109375" bestFit="1" customWidth="1"/>
    <col min="43" max="43" width="18.140625" customWidth="1"/>
    <col min="44" max="44" width="25" bestFit="1" customWidth="1"/>
    <col min="45" max="45" width="18.140625" customWidth="1"/>
    <col min="46" max="46" width="25" bestFit="1" customWidth="1"/>
    <col min="47" max="47" width="16.28515625" bestFit="1" customWidth="1"/>
    <col min="48" max="48" width="16.85546875" bestFit="1" customWidth="1"/>
    <col min="49" max="49" width="18.28515625" bestFit="1" customWidth="1"/>
  </cols>
  <sheetData>
    <row r="1" spans="1:49" ht="30" x14ac:dyDescent="0.2">
      <c r="A1" s="437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541</v>
      </c>
      <c r="G1" s="345">
        <v>45444</v>
      </c>
      <c r="H1" s="249" t="s">
        <v>540</v>
      </c>
      <c r="I1" s="345">
        <v>45474</v>
      </c>
      <c r="J1" s="249" t="s">
        <v>543</v>
      </c>
      <c r="K1" s="345">
        <v>45505</v>
      </c>
      <c r="L1" s="249" t="s">
        <v>544</v>
      </c>
      <c r="M1" s="345">
        <v>45536</v>
      </c>
      <c r="N1" s="249" t="s">
        <v>545</v>
      </c>
      <c r="O1" s="345">
        <v>45566</v>
      </c>
      <c r="P1" s="249" t="s">
        <v>546</v>
      </c>
      <c r="Q1" s="345">
        <v>45597</v>
      </c>
      <c r="R1" s="249" t="s">
        <v>547</v>
      </c>
      <c r="S1" s="345">
        <v>45627</v>
      </c>
      <c r="T1" s="249" t="s">
        <v>548</v>
      </c>
      <c r="U1" s="249" t="s">
        <v>396</v>
      </c>
      <c r="V1" s="249" t="s">
        <v>559</v>
      </c>
      <c r="W1" s="412">
        <v>45658</v>
      </c>
      <c r="X1" s="249" t="s">
        <v>549</v>
      </c>
      <c r="Y1" s="412">
        <v>45689</v>
      </c>
      <c r="Z1" s="418" t="s">
        <v>550</v>
      </c>
      <c r="AA1" s="412">
        <v>45717</v>
      </c>
      <c r="AB1" s="418" t="s">
        <v>551</v>
      </c>
      <c r="AC1" s="412">
        <v>45748</v>
      </c>
      <c r="AD1" s="249" t="s">
        <v>552</v>
      </c>
      <c r="AE1" s="412">
        <v>45778</v>
      </c>
      <c r="AF1" s="249" t="s">
        <v>539</v>
      </c>
      <c r="AG1" s="412">
        <v>45809</v>
      </c>
      <c r="AH1" s="249" t="s">
        <v>553</v>
      </c>
      <c r="AI1" s="412">
        <v>45839</v>
      </c>
      <c r="AJ1" s="249" t="s">
        <v>542</v>
      </c>
      <c r="AK1" s="412">
        <v>45870</v>
      </c>
      <c r="AL1" s="249" t="s">
        <v>554</v>
      </c>
      <c r="AM1" s="412">
        <v>45901</v>
      </c>
      <c r="AN1" s="249" t="s">
        <v>555</v>
      </c>
      <c r="AO1" s="412">
        <v>45931</v>
      </c>
      <c r="AP1" s="249" t="s">
        <v>556</v>
      </c>
      <c r="AQ1" s="412">
        <v>45962</v>
      </c>
      <c r="AR1" s="249" t="s">
        <v>557</v>
      </c>
      <c r="AS1" s="412">
        <v>45992</v>
      </c>
      <c r="AT1" s="249" t="s">
        <v>558</v>
      </c>
      <c r="AU1" s="412" t="s">
        <v>538</v>
      </c>
      <c r="AV1" s="418" t="s">
        <v>381</v>
      </c>
      <c r="AW1" s="249" t="s">
        <v>382</v>
      </c>
    </row>
    <row r="2" spans="1:49" ht="14.25" x14ac:dyDescent="0.2">
      <c r="A2" s="437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</v>
      </c>
      <c r="Y2" s="354">
        <v>4086254.2800000003</v>
      </c>
      <c r="AA2" s="354">
        <v>4048194.34</v>
      </c>
      <c r="AC2" s="354">
        <v>3939627.5</v>
      </c>
      <c r="AE2" s="354">
        <v>3548210.88</v>
      </c>
      <c r="AG2" s="354">
        <v>4304516.2699640002</v>
      </c>
      <c r="AI2" s="354">
        <v>4526009.38</v>
      </c>
      <c r="AK2" s="354">
        <v>4828600.7084499998</v>
      </c>
      <c r="AM2" s="354">
        <v>4420476.6128320005</v>
      </c>
      <c r="AO2" s="354">
        <v>4300330.28</v>
      </c>
      <c r="AQ2" s="354">
        <v>4681796.72</v>
      </c>
      <c r="AS2" s="354">
        <v>7347433.0200000014</v>
      </c>
      <c r="AU2" s="344">
        <f>W2+Y2+AA2+AC2+AE2+AG2+AI2+AK2+AM2+AO2+AQ2+AS2</f>
        <v>54434103.931252003</v>
      </c>
      <c r="AV2" s="332"/>
      <c r="AW2" s="332">
        <v>0.56936181970754207</v>
      </c>
    </row>
    <row r="3" spans="1:49" x14ac:dyDescent="0.2">
      <c r="A3" s="437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0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57">
        <v>-211344.97999999998</v>
      </c>
      <c r="AD3" s="332">
        <f>AD4+AD5</f>
        <v>1</v>
      </c>
      <c r="AE3" s="357">
        <v>-165020.36000000002</v>
      </c>
      <c r="AF3" s="332">
        <f>AF4+AF5</f>
        <v>1</v>
      </c>
      <c r="AG3" s="357">
        <v>-232285.09</v>
      </c>
      <c r="AH3" s="332">
        <f>AH4+AH5</f>
        <v>0.99999999999999989</v>
      </c>
      <c r="AI3" s="357">
        <v>-252123.91999999998</v>
      </c>
      <c r="AJ3" s="332">
        <f>AJ4+AJ5</f>
        <v>1</v>
      </c>
      <c r="AK3" s="357">
        <v>-219001.12001300001</v>
      </c>
      <c r="AL3" s="332">
        <f>AL4+AL5</f>
        <v>1</v>
      </c>
      <c r="AM3" s="357">
        <v>-220555.45999999996</v>
      </c>
      <c r="AN3" s="332">
        <f>AN4+AN5</f>
        <v>1</v>
      </c>
      <c r="AO3" s="357">
        <v>-210641.86</v>
      </c>
      <c r="AP3" s="332">
        <f>AP4+AP5</f>
        <v>1</v>
      </c>
      <c r="AQ3" s="357">
        <v>-258689.86</v>
      </c>
      <c r="AR3" s="332">
        <f>AR4+AR5</f>
        <v>1</v>
      </c>
      <c r="AS3" s="357">
        <v>-452319.84500000003</v>
      </c>
      <c r="AT3" s="332">
        <f>AT4+AT5</f>
        <v>1</v>
      </c>
      <c r="AU3" s="344">
        <f t="shared" ref="AU3:AU53" si="1">W3+Y3+AA3+AC3+AE3+AG3+AI3+AK3+AM3+AO3+AQ3+AS3</f>
        <v>-2844575.0750130001</v>
      </c>
      <c r="AV3" s="332">
        <f>AV4+AV5</f>
        <v>1</v>
      </c>
      <c r="AW3" s="332">
        <v>0.74850241520869831</v>
      </c>
    </row>
    <row r="4" spans="1:49" x14ac:dyDescent="0.2">
      <c r="A4" s="437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57">
        <v>-192391.36</v>
      </c>
      <c r="AD4" s="332">
        <f>AC4/AC3</f>
        <v>0.91031904330067359</v>
      </c>
      <c r="AE4" s="357">
        <v>-159509.92000000001</v>
      </c>
      <c r="AF4" s="332">
        <f>AE4/AE3</f>
        <v>0.96660751436974202</v>
      </c>
      <c r="AG4" s="357">
        <v>-223001.11</v>
      </c>
      <c r="AH4" s="332">
        <f>AG4/AG3</f>
        <v>0.96003195900348137</v>
      </c>
      <c r="AI4" s="357">
        <v>-246883.33</v>
      </c>
      <c r="AJ4" s="332">
        <f>AI4/AI3</f>
        <v>0.97921422925678769</v>
      </c>
      <c r="AK4" s="357">
        <v>-218240.87001300001</v>
      </c>
      <c r="AL4" s="332">
        <f>AK4/AK3</f>
        <v>0.99652855656649209</v>
      </c>
      <c r="AM4" s="357">
        <v>-216145.87999999998</v>
      </c>
      <c r="AN4" s="332">
        <f>AM4/AM3</f>
        <v>0.98000693340350775</v>
      </c>
      <c r="AO4" s="357">
        <v>-201568.34</v>
      </c>
      <c r="AP4" s="332">
        <f>AO4/AO3</f>
        <v>0.95692442138518907</v>
      </c>
      <c r="AQ4" s="357">
        <v>-233669.05</v>
      </c>
      <c r="AR4" s="332">
        <f>AQ4/AQ3</f>
        <v>0.90327873694005634</v>
      </c>
      <c r="AS4" s="357">
        <v>-401095.77</v>
      </c>
      <c r="AT4" s="332">
        <f>AS4/AS3</f>
        <v>0.88675253680280153</v>
      </c>
      <c r="AU4" s="344">
        <f t="shared" si="1"/>
        <v>-2691045.640013</v>
      </c>
      <c r="AV4" s="332">
        <f>AU4/AU3</f>
        <v>0.94602728669437619</v>
      </c>
      <c r="AW4" s="332">
        <v>0.7165121782281394</v>
      </c>
    </row>
    <row r="5" spans="1:49" x14ac:dyDescent="0.2">
      <c r="A5" s="437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57">
        <v>-18953.62</v>
      </c>
      <c r="AD5" s="332">
        <f>SUM(AD6:AD9)</f>
        <v>8.9680956699326395E-2</v>
      </c>
      <c r="AE5" s="357">
        <v>-5510.44</v>
      </c>
      <c r="AF5" s="332">
        <f>SUM(AF6:AF9)</f>
        <v>3.3392485630257977E-2</v>
      </c>
      <c r="AG5" s="357">
        <v>-9283.98</v>
      </c>
      <c r="AH5" s="332">
        <f>SUM(AH6:AH9)</f>
        <v>3.9968040996518552E-2</v>
      </c>
      <c r="AI5" s="357">
        <v>-5240.59</v>
      </c>
      <c r="AJ5" s="332">
        <f>SUM(AJ6:AJ9)</f>
        <v>2.0785770743212306E-2</v>
      </c>
      <c r="AK5" s="357">
        <v>-760.25</v>
      </c>
      <c r="AL5" s="332">
        <f>SUM(AL6:AL9)</f>
        <v>3.47144343350788E-3</v>
      </c>
      <c r="AM5" s="357">
        <v>-4409.5800000000008</v>
      </c>
      <c r="AN5" s="332">
        <f>SUM(AN6:AN9)</f>
        <v>1.9993066596492335E-2</v>
      </c>
      <c r="AO5" s="357">
        <v>-9073.5199999999986</v>
      </c>
      <c r="AP5" s="332">
        <f>SUM(AP6:AP9)</f>
        <v>4.3075578614810935E-2</v>
      </c>
      <c r="AQ5" s="357">
        <v>-25020.809999999998</v>
      </c>
      <c r="AR5" s="332">
        <f>SUM(AR6:AR9)</f>
        <v>9.6721263059943663E-2</v>
      </c>
      <c r="AS5" s="357">
        <v>-51224.075000000004</v>
      </c>
      <c r="AT5" s="332">
        <f>SUM(AT6:AT9)</f>
        <v>0.11324746319719843</v>
      </c>
      <c r="AU5" s="344">
        <f t="shared" si="1"/>
        <v>-153529.435</v>
      </c>
      <c r="AV5" s="332">
        <f>SUM(AV6:AV9)</f>
        <v>5.397271330562381E-2</v>
      </c>
      <c r="AW5" s="332">
        <v>1.0472588617235017</v>
      </c>
    </row>
    <row r="6" spans="1:49" x14ac:dyDescent="0.2">
      <c r="A6" s="437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58">
        <v>-18374.259999999998</v>
      </c>
      <c r="AD6" s="333">
        <f>AC6/AC3</f>
        <v>8.693965666939428E-2</v>
      </c>
      <c r="AE6" s="358">
        <v>-5121.7299999999996</v>
      </c>
      <c r="AF6" s="333">
        <f>AE6/AE3</f>
        <v>3.1036958106260337E-2</v>
      </c>
      <c r="AG6" s="358">
        <v>-9252.07</v>
      </c>
      <c r="AH6" s="333">
        <f>AG6/AG3</f>
        <v>3.9830666703575338E-2</v>
      </c>
      <c r="AI6" s="358">
        <v>-5240.53</v>
      </c>
      <c r="AJ6" s="333">
        <f>AI6/AI3</f>
        <v>2.0785532764999053E-2</v>
      </c>
      <c r="AK6" s="358">
        <v>-756.69</v>
      </c>
      <c r="AL6" s="333">
        <f>AK6/AK3</f>
        <v>3.455187808880076E-3</v>
      </c>
      <c r="AM6" s="358">
        <v>-4409.5600000000004</v>
      </c>
      <c r="AN6" s="333">
        <f>AM6/AM3</f>
        <v>1.9992975916352292E-2</v>
      </c>
      <c r="AO6" s="358">
        <v>-9073.56</v>
      </c>
      <c r="AP6" s="333">
        <f>AO6/AO3</f>
        <v>4.3075768510589488E-2</v>
      </c>
      <c r="AQ6" s="358">
        <v>-25020.85</v>
      </c>
      <c r="AR6" s="333">
        <f>AQ6/AQ3</f>
        <v>9.6721417685254454E-2</v>
      </c>
      <c r="AS6" s="358">
        <v>-10477.135</v>
      </c>
      <c r="AT6" s="333">
        <f>AS6/AS3</f>
        <v>2.3163111492488241E-2</v>
      </c>
      <c r="AU6" s="344">
        <f t="shared" si="1"/>
        <v>-106658.72499999999</v>
      </c>
      <c r="AV6" s="333">
        <f>AU6/AU3</f>
        <v>3.7495486034768322E-2</v>
      </c>
      <c r="AW6" s="332">
        <v>-0.58126382596914172</v>
      </c>
    </row>
    <row r="7" spans="1:49" x14ac:dyDescent="0.2">
      <c r="A7" s="43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2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3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58">
        <v>-566.15</v>
      </c>
      <c r="AD7" s="333">
        <f>AC7/AC3</f>
        <v>2.6787955881421932E-3</v>
      </c>
      <c r="AE7" s="358">
        <v>-379.74</v>
      </c>
      <c r="AF7" s="333">
        <f>AE7/AE3</f>
        <v>2.3011705949496169E-3</v>
      </c>
      <c r="AG7" s="358">
        <v>-31.5</v>
      </c>
      <c r="AH7" s="333">
        <f>AG7/AG3</f>
        <v>1.3560922054876618E-4</v>
      </c>
      <c r="AI7" s="358">
        <v>0</v>
      </c>
      <c r="AJ7" s="333">
        <f>AI7/AI3</f>
        <v>0</v>
      </c>
      <c r="AK7" s="358">
        <v>0</v>
      </c>
      <c r="AL7" s="333">
        <f>AK7/AK3</f>
        <v>0</v>
      </c>
      <c r="AM7" s="358">
        <v>0</v>
      </c>
      <c r="AN7" s="333">
        <f>AM7/AM3</f>
        <v>0</v>
      </c>
      <c r="AO7" s="358">
        <v>0</v>
      </c>
      <c r="AP7" s="333">
        <f>AO7/AO3</f>
        <v>0</v>
      </c>
      <c r="AQ7" s="358">
        <v>0</v>
      </c>
      <c r="AR7" s="333">
        <f>AQ7/AQ3</f>
        <v>0</v>
      </c>
      <c r="AS7" s="358">
        <v>0</v>
      </c>
      <c r="AT7" s="333">
        <f>AS7/AS3</f>
        <v>0</v>
      </c>
      <c r="AU7" s="344">
        <f t="shared" si="1"/>
        <v>-977.39</v>
      </c>
      <c r="AV7" s="333">
        <f>AU7/AU3</f>
        <v>3.43597892207339E-4</v>
      </c>
      <c r="AW7" s="332"/>
    </row>
    <row r="8" spans="1:49" x14ac:dyDescent="0.2">
      <c r="A8" s="437">
        <v>7</v>
      </c>
      <c r="B8" s="2" t="s">
        <v>97</v>
      </c>
      <c r="C8" s="2"/>
      <c r="D8" s="430" t="s">
        <v>565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2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3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58">
        <v>0</v>
      </c>
      <c r="AD8" s="333">
        <f>AC8/AC3</f>
        <v>0</v>
      </c>
      <c r="AE8" s="358">
        <v>0</v>
      </c>
      <c r="AF8" s="333">
        <f>AE8/AE3</f>
        <v>0</v>
      </c>
      <c r="AG8" s="358">
        <v>0</v>
      </c>
      <c r="AH8" s="333">
        <f>AG8/AG3</f>
        <v>0</v>
      </c>
      <c r="AI8" s="358">
        <v>0</v>
      </c>
      <c r="AJ8" s="333">
        <f>AI8/AI3</f>
        <v>0</v>
      </c>
      <c r="AK8" s="358">
        <v>0</v>
      </c>
      <c r="AL8" s="333">
        <f>AK8/AK3</f>
        <v>0</v>
      </c>
      <c r="AM8" s="358">
        <v>0</v>
      </c>
      <c r="AN8" s="333">
        <f>AM8/AM3</f>
        <v>0</v>
      </c>
      <c r="AO8" s="358">
        <v>0</v>
      </c>
      <c r="AP8" s="333">
        <f>AO8/AO3</f>
        <v>0</v>
      </c>
      <c r="AQ8" s="358">
        <v>0</v>
      </c>
      <c r="AR8" s="333">
        <f>AQ8/AQ3</f>
        <v>0</v>
      </c>
      <c r="AS8" s="358">
        <v>-40746.93</v>
      </c>
      <c r="AT8" s="333">
        <f>AS8/AS3</f>
        <v>9.0084329596460663E-2</v>
      </c>
      <c r="AU8" s="344">
        <f t="shared" si="1"/>
        <v>-45189.14</v>
      </c>
      <c r="AV8" s="333">
        <f>AU8/AU3</f>
        <v>1.5886077466172512E-2</v>
      </c>
      <c r="AW8" s="332"/>
    </row>
    <row r="9" spans="1:49" x14ac:dyDescent="0.2">
      <c r="A9" s="437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2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3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58">
        <v>-13.21</v>
      </c>
      <c r="AD9" s="333">
        <f>AC9/AC3</f>
        <v>6.2504441789911467E-5</v>
      </c>
      <c r="AE9" s="358">
        <v>-8.9700000000000006</v>
      </c>
      <c r="AF9" s="333">
        <f>AE9/AE3</f>
        <v>5.4356929048027772E-5</v>
      </c>
      <c r="AG9" s="358">
        <v>-0.41</v>
      </c>
      <c r="AH9" s="333">
        <f>AG9/AG3</f>
        <v>1.7650723944442581E-6</v>
      </c>
      <c r="AI9" s="358">
        <v>-0.06</v>
      </c>
      <c r="AJ9" s="333">
        <f>AI9/AI3</f>
        <v>2.379782132532288E-7</v>
      </c>
      <c r="AK9" s="358">
        <v>-3.56</v>
      </c>
      <c r="AL9" s="333">
        <f>AK9/AK3</f>
        <v>1.6255624627804079E-5</v>
      </c>
      <c r="AM9" s="358">
        <v>-0.02</v>
      </c>
      <c r="AN9" s="333">
        <f>AM9/AM3</f>
        <v>9.06801400427811E-8</v>
      </c>
      <c r="AO9" s="358">
        <v>0.04</v>
      </c>
      <c r="AP9" s="333">
        <f>AO9/AO3</f>
        <v>-1.8989577855037931E-7</v>
      </c>
      <c r="AQ9" s="358">
        <v>0.04</v>
      </c>
      <c r="AR9" s="333">
        <f>AQ9/AQ3</f>
        <v>-1.5462531078721062E-7</v>
      </c>
      <c r="AS9" s="358">
        <v>-0.01</v>
      </c>
      <c r="AT9" s="333">
        <f>AS9/AS3</f>
        <v>2.210824952860514E-8</v>
      </c>
      <c r="AU9" s="344">
        <f t="shared" si="1"/>
        <v>-704.18</v>
      </c>
      <c r="AV9" s="333">
        <f>AU9/AU3</f>
        <v>2.4755191247563811E-4</v>
      </c>
      <c r="AW9" s="332">
        <v>-1.25</v>
      </c>
    </row>
    <row r="10" spans="1:49" ht="15" x14ac:dyDescent="0.25">
      <c r="A10" s="437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2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3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58"/>
      <c r="AD10" s="333">
        <f>AC10/AC3</f>
        <v>0</v>
      </c>
      <c r="AE10" s="358"/>
      <c r="AF10" s="333">
        <f>AE10/AE3</f>
        <v>0</v>
      </c>
      <c r="AG10" s="358"/>
      <c r="AH10" s="333">
        <f>AG10/AG3</f>
        <v>0</v>
      </c>
      <c r="AI10" s="358"/>
      <c r="AJ10" s="333">
        <f>AI10/AI3</f>
        <v>0</v>
      </c>
      <c r="AK10" s="358"/>
      <c r="AL10" s="333">
        <f>AK10/AK3</f>
        <v>0</v>
      </c>
      <c r="AM10" s="358"/>
      <c r="AN10" s="333">
        <f>AM10/AM3</f>
        <v>0</v>
      </c>
      <c r="AO10" s="358"/>
      <c r="AP10" s="333">
        <f>AO10/AO3</f>
        <v>0</v>
      </c>
      <c r="AQ10" s="358"/>
      <c r="AR10" s="333">
        <f>AQ10/AQ3</f>
        <v>0</v>
      </c>
      <c r="AS10" s="358"/>
      <c r="AT10" s="333">
        <f>AS10/AS3</f>
        <v>0</v>
      </c>
      <c r="AU10" s="344">
        <f t="shared" si="1"/>
        <v>0</v>
      </c>
      <c r="AV10" s="333">
        <f>AU10/AU3</f>
        <v>0</v>
      </c>
      <c r="AW10" s="332"/>
    </row>
    <row r="11" spans="1:49" ht="15" x14ac:dyDescent="0.2">
      <c r="A11" s="437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4187254.5300000003</v>
      </c>
      <c r="X11" s="330">
        <f>SUM(X12:X18)</f>
        <v>1</v>
      </c>
      <c r="Y11" s="361">
        <v>3929711.1700000004</v>
      </c>
      <c r="Z11" s="330">
        <f>SUM(Z12:Z18)</f>
        <v>0.99999999999999989</v>
      </c>
      <c r="AA11" s="361">
        <v>3502462.1700000004</v>
      </c>
      <c r="AB11" s="330">
        <f>SUM(AB12:AB18)</f>
        <v>0.99999999999999989</v>
      </c>
      <c r="AC11" s="361">
        <v>3428282.6599999997</v>
      </c>
      <c r="AD11" s="330">
        <f>SUM(AD12:AD18)</f>
        <v>1.0000000000000002</v>
      </c>
      <c r="AE11" s="361">
        <v>3183190.6799999997</v>
      </c>
      <c r="AF11" s="330">
        <f>SUM(AF12:AF18)</f>
        <v>1</v>
      </c>
      <c r="AG11" s="361">
        <v>3719415.95</v>
      </c>
      <c r="AH11" s="330">
        <f>SUM(AH12:AH18)</f>
        <v>1</v>
      </c>
      <c r="AI11" s="361">
        <v>4273888.6900000004</v>
      </c>
      <c r="AJ11" s="330">
        <f>SUM(AJ12:AJ18)</f>
        <v>0.99999999999999978</v>
      </c>
      <c r="AK11" s="361">
        <v>4609599.7399999993</v>
      </c>
      <c r="AL11" s="330">
        <f>SUM(AL12:AL18)</f>
        <v>1</v>
      </c>
      <c r="AM11" s="361">
        <v>4201923.1099999994</v>
      </c>
      <c r="AN11" s="330">
        <f>SUM(AN12:AN18)</f>
        <v>1</v>
      </c>
      <c r="AO11" s="361">
        <v>4089688.42</v>
      </c>
      <c r="AP11" s="330">
        <f>SUM(AP12:AP18)</f>
        <v>1</v>
      </c>
      <c r="AQ11" s="361">
        <v>4387475.8999999994</v>
      </c>
      <c r="AR11" s="330">
        <f>SUM(AR12:AR18)</f>
        <v>1</v>
      </c>
      <c r="AS11" s="361">
        <v>6899702.6100000003</v>
      </c>
      <c r="AT11" s="330">
        <f>SUM(AT12:AT18)</f>
        <v>1</v>
      </c>
      <c r="AU11" s="344">
        <f t="shared" si="1"/>
        <v>50412595.630000003</v>
      </c>
      <c r="AV11" s="330">
        <f>SUM(AV12:AV18)</f>
        <v>1</v>
      </c>
      <c r="AW11" s="332">
        <v>0.5725904294995674</v>
      </c>
    </row>
    <row r="12" spans="1:49" x14ac:dyDescent="0.2">
      <c r="A12" s="437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4">U12/$U$11</f>
        <v>0.86959633725144703</v>
      </c>
      <c r="W12" s="363">
        <v>3803079.12</v>
      </c>
      <c r="X12" s="329">
        <f>W12/W11</f>
        <v>0.90825124022255221</v>
      </c>
      <c r="Y12" s="363">
        <v>3511184.91</v>
      </c>
      <c r="Z12" s="329">
        <f>Y12/Y11</f>
        <v>0.89349694115051204</v>
      </c>
      <c r="AA12" s="363">
        <v>3100368.47</v>
      </c>
      <c r="AB12" s="329">
        <f>AA12/AA11</f>
        <v>0.88519684710827296</v>
      </c>
      <c r="AC12" s="363">
        <v>3072786.69</v>
      </c>
      <c r="AD12" s="329">
        <f>AC12/AC11</f>
        <v>0.89630494178680131</v>
      </c>
      <c r="AE12" s="363">
        <v>2666159.36</v>
      </c>
      <c r="AF12" s="329">
        <f>AE12/AE11</f>
        <v>0.83757450559009561</v>
      </c>
      <c r="AG12" s="363">
        <v>3454392.33</v>
      </c>
      <c r="AH12" s="329">
        <f>AG12/AG11</f>
        <v>0.9287459043132833</v>
      </c>
      <c r="AI12" s="363">
        <v>4153085.78</v>
      </c>
      <c r="AJ12" s="329">
        <f>AI12/AI11</f>
        <v>0.97173466162498479</v>
      </c>
      <c r="AK12" s="363">
        <v>4015316.61</v>
      </c>
      <c r="AL12" s="329">
        <f>AK12/AK11</f>
        <v>0.87107706449150413</v>
      </c>
      <c r="AM12" s="363">
        <v>3801030.48</v>
      </c>
      <c r="AN12" s="329">
        <f>AM12/AM11</f>
        <v>0.90459305905766574</v>
      </c>
      <c r="AO12" s="363">
        <v>3646062.61</v>
      </c>
      <c r="AP12" s="329">
        <f>AO12/AO11</f>
        <v>0.89152576811707329</v>
      </c>
      <c r="AQ12" s="363">
        <v>4129354.36</v>
      </c>
      <c r="AR12" s="329">
        <f>AQ12/AQ11</f>
        <v>0.94116855661816867</v>
      </c>
      <c r="AS12" s="363">
        <v>6386309.2800000003</v>
      </c>
      <c r="AT12" s="329">
        <f>AS12/AS11</f>
        <v>0.92559196257880449</v>
      </c>
      <c r="AU12" s="344">
        <f t="shared" si="1"/>
        <v>45739130</v>
      </c>
      <c r="AV12" s="329">
        <f>AU12/AU11</f>
        <v>0.90729567538437017</v>
      </c>
      <c r="AW12" s="332">
        <v>0.54656363277091113</v>
      </c>
    </row>
    <row r="13" spans="1:49" x14ac:dyDescent="0.2">
      <c r="A13" s="437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4"/>
        <v>9.7008600994122535E-2</v>
      </c>
      <c r="W13" s="363">
        <v>367038.29</v>
      </c>
      <c r="X13" s="329">
        <f>W13/W11</f>
        <v>8.7656073298223877E-2</v>
      </c>
      <c r="Y13" s="363">
        <v>389371.93</v>
      </c>
      <c r="Z13" s="329">
        <f>Y13/Y11</f>
        <v>9.9084109023717379E-2</v>
      </c>
      <c r="AA13" s="363">
        <v>397295.7</v>
      </c>
      <c r="AB13" s="329">
        <f>AA13/AA11</f>
        <v>0.11343325943760299</v>
      </c>
      <c r="AC13" s="363">
        <v>321630.05</v>
      </c>
      <c r="AD13" s="329">
        <f>AC13/AC11</f>
        <v>9.3816666213864641E-2</v>
      </c>
      <c r="AE13" s="363">
        <v>513933.32</v>
      </c>
      <c r="AF13" s="329">
        <f>AE13/AE11</f>
        <v>0.16145225707936542</v>
      </c>
      <c r="AG13" s="363">
        <v>233201.97000000003</v>
      </c>
      <c r="AH13" s="329">
        <f>AG13/AG11</f>
        <v>6.2698545453083843E-2</v>
      </c>
      <c r="AI13" s="363">
        <v>112779.26000000001</v>
      </c>
      <c r="AJ13" s="329">
        <f>AI13/AI11</f>
        <v>2.6387973150512722E-2</v>
      </c>
      <c r="AK13" s="363">
        <v>579410.41</v>
      </c>
      <c r="AL13" s="329">
        <f>AK13/AK11</f>
        <v>0.12569646882182445</v>
      </c>
      <c r="AM13" s="363">
        <v>387892.36</v>
      </c>
      <c r="AN13" s="329">
        <f>AM13/AM11</f>
        <v>9.2313055200098609E-2</v>
      </c>
      <c r="AO13" s="363">
        <v>426678.55</v>
      </c>
      <c r="AP13" s="329">
        <f>AO13/AO11</f>
        <v>0.10433033184469344</v>
      </c>
      <c r="AQ13" s="363">
        <v>247509.19</v>
      </c>
      <c r="AR13" s="329">
        <f>AQ13/AQ11</f>
        <v>5.6412660864986183E-2</v>
      </c>
      <c r="AS13" s="363">
        <v>501699.87</v>
      </c>
      <c r="AT13" s="329">
        <f>AS13/AS11</f>
        <v>7.2713260028463747E-2</v>
      </c>
      <c r="AU13" s="344">
        <f t="shared" si="1"/>
        <v>4478440.9000000004</v>
      </c>
      <c r="AV13" s="329">
        <f>AU13/AU11</f>
        <v>8.8835753129420839E-2</v>
      </c>
      <c r="AW13" s="332">
        <v>1.0269949168352093</v>
      </c>
    </row>
    <row r="14" spans="1:49" x14ac:dyDescent="0.2">
      <c r="A14" s="437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4"/>
        <v>1.0143197662702793E-3</v>
      </c>
      <c r="W14" s="363">
        <v>5150</v>
      </c>
      <c r="X14" s="329">
        <f>W14/W11</f>
        <v>1.2299228439786294E-3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63">
        <v>0</v>
      </c>
      <c r="AD14" s="329">
        <f>AC14/AC11</f>
        <v>0</v>
      </c>
      <c r="AE14" s="363">
        <v>0</v>
      </c>
      <c r="AF14" s="329">
        <f>AE14/AE11</f>
        <v>0</v>
      </c>
      <c r="AG14" s="363">
        <v>20700</v>
      </c>
      <c r="AH14" s="329">
        <f>AG14/AG11</f>
        <v>5.5653899102088861E-3</v>
      </c>
      <c r="AI14" s="363">
        <v>0</v>
      </c>
      <c r="AJ14" s="329">
        <f>AI14/AI11</f>
        <v>0</v>
      </c>
      <c r="AK14" s="363">
        <v>0</v>
      </c>
      <c r="AL14" s="329">
        <f>AK14/AK11</f>
        <v>0</v>
      </c>
      <c r="AM14" s="363">
        <v>6400</v>
      </c>
      <c r="AN14" s="329">
        <f>AM14/AM11</f>
        <v>1.5231121161567377E-3</v>
      </c>
      <c r="AO14" s="363">
        <v>10346.99</v>
      </c>
      <c r="AP14" s="329">
        <f>AO14/AO11</f>
        <v>2.5300191450770716E-3</v>
      </c>
      <c r="AQ14" s="363">
        <v>4012.08</v>
      </c>
      <c r="AR14" s="329">
        <f>AQ14/AQ11</f>
        <v>9.144392109367485E-4</v>
      </c>
      <c r="AS14" s="363">
        <v>3026.68</v>
      </c>
      <c r="AT14" s="329">
        <f>AS14/AS11</f>
        <v>4.3866818196096129E-4</v>
      </c>
      <c r="AU14" s="344">
        <f t="shared" si="1"/>
        <v>49635.75</v>
      </c>
      <c r="AV14" s="329">
        <f>AU14/AU11</f>
        <v>9.8459024733220228E-4</v>
      </c>
      <c r="AW14" s="332">
        <v>-0.24560826304560235</v>
      </c>
    </row>
    <row r="15" spans="1:49" x14ac:dyDescent="0.2">
      <c r="A15" s="437">
        <v>14</v>
      </c>
      <c r="B15" s="110"/>
      <c r="C15" s="110"/>
      <c r="D15" s="432" t="s">
        <v>562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4"/>
        <v>2.6232407748369289E-2</v>
      </c>
      <c r="W15" s="363">
        <v>0</v>
      </c>
      <c r="X15" s="329">
        <f>W15/W11</f>
        <v>0</v>
      </c>
      <c r="Y15" s="363">
        <v>0</v>
      </c>
      <c r="Z15" s="329">
        <f>Y15/Y11</f>
        <v>0</v>
      </c>
      <c r="AA15" s="363">
        <v>0</v>
      </c>
      <c r="AB15" s="329">
        <f>AA15/AA11</f>
        <v>0</v>
      </c>
      <c r="AC15" s="363">
        <v>0</v>
      </c>
      <c r="AD15" s="329">
        <f>AC15/AC11</f>
        <v>0</v>
      </c>
      <c r="AE15" s="363">
        <v>0</v>
      </c>
      <c r="AF15" s="329">
        <f>AE15/AE11</f>
        <v>0</v>
      </c>
      <c r="AG15" s="363">
        <v>0</v>
      </c>
      <c r="AH15" s="329">
        <f>AG15/AG11</f>
        <v>0</v>
      </c>
      <c r="AI15" s="363">
        <v>0</v>
      </c>
      <c r="AJ15" s="329">
        <f>AI15/AI11</f>
        <v>0</v>
      </c>
      <c r="AK15" s="363">
        <v>0</v>
      </c>
      <c r="AL15" s="329">
        <f>AK15/AK11</f>
        <v>0</v>
      </c>
      <c r="AM15" s="363">
        <v>0</v>
      </c>
      <c r="AN15" s="329">
        <f>AM15/AM11</f>
        <v>0</v>
      </c>
      <c r="AO15" s="363">
        <v>0</v>
      </c>
      <c r="AP15" s="329">
        <f>AO15/AO11</f>
        <v>0</v>
      </c>
      <c r="AQ15" s="363">
        <v>0</v>
      </c>
      <c r="AR15" s="329">
        <f>AQ15/AQ11</f>
        <v>0</v>
      </c>
      <c r="AS15" s="363">
        <v>0</v>
      </c>
      <c r="AT15" s="329">
        <f>AS15/AS11</f>
        <v>0</v>
      </c>
      <c r="AU15" s="344">
        <f t="shared" si="1"/>
        <v>0</v>
      </c>
      <c r="AV15" s="329">
        <f>AU15/AU11</f>
        <v>0</v>
      </c>
      <c r="AW15" s="332"/>
    </row>
    <row r="16" spans="1:49" x14ac:dyDescent="0.2">
      <c r="A16" s="437">
        <v>15</v>
      </c>
      <c r="B16" s="110"/>
      <c r="C16" s="110"/>
      <c r="D16" s="432" t="s">
        <v>646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4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63">
        <v>0</v>
      </c>
      <c r="AD16" s="329">
        <f>AC16/AC11</f>
        <v>0</v>
      </c>
      <c r="AE16" s="363">
        <v>0</v>
      </c>
      <c r="AF16" s="329">
        <f>AE16/AE11</f>
        <v>0</v>
      </c>
      <c r="AG16" s="363">
        <v>0</v>
      </c>
      <c r="AH16" s="329">
        <f>AG16/AG11</f>
        <v>0</v>
      </c>
      <c r="AI16" s="363">
        <v>0</v>
      </c>
      <c r="AJ16" s="329">
        <f>AI16/AI11</f>
        <v>0</v>
      </c>
      <c r="AK16" s="363">
        <v>0</v>
      </c>
      <c r="AL16" s="329">
        <f>AK16/AK11</f>
        <v>0</v>
      </c>
      <c r="AM16" s="363">
        <v>0</v>
      </c>
      <c r="AN16" s="329">
        <f>AM16/AM11</f>
        <v>0</v>
      </c>
      <c r="AO16" s="363">
        <v>0</v>
      </c>
      <c r="AP16" s="329">
        <f>AO16/AO11</f>
        <v>0</v>
      </c>
      <c r="AQ16" s="363">
        <v>0</v>
      </c>
      <c r="AR16" s="329">
        <f>AQ16/AQ11</f>
        <v>0</v>
      </c>
      <c r="AS16" s="363">
        <v>0</v>
      </c>
      <c r="AT16" s="329">
        <f>AS16/AS11</f>
        <v>0</v>
      </c>
      <c r="AU16" s="344">
        <f t="shared" si="1"/>
        <v>0</v>
      </c>
      <c r="AV16" s="329">
        <f>AU16/AU11</f>
        <v>0</v>
      </c>
      <c r="AW16" s="332"/>
    </row>
    <row r="17" spans="1:49" x14ac:dyDescent="0.2">
      <c r="A17" s="437">
        <v>16</v>
      </c>
      <c r="B17" s="110"/>
      <c r="C17" s="110"/>
      <c r="D17" s="432" t="s">
        <v>647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4"/>
        <v>1.1101211023097181E-3</v>
      </c>
      <c r="W17" s="363">
        <v>8889.1200000000008</v>
      </c>
      <c r="X17" s="329">
        <f>W17/W11</f>
        <v>2.1228993691004496E-3</v>
      </c>
      <c r="Y17" s="363">
        <v>24806.33</v>
      </c>
      <c r="Z17" s="329">
        <f>Y17/Y11</f>
        <v>6.312507186119737E-3</v>
      </c>
      <c r="AA17" s="363">
        <v>0</v>
      </c>
      <c r="AB17" s="329">
        <f>AA17/AA11</f>
        <v>0</v>
      </c>
      <c r="AC17" s="363">
        <v>25000</v>
      </c>
      <c r="AD17" s="329">
        <f>AC17/AC11</f>
        <v>7.2922808529446055E-3</v>
      </c>
      <c r="AE17" s="363">
        <v>0</v>
      </c>
      <c r="AF17" s="329">
        <f>AE17/AE11</f>
        <v>0</v>
      </c>
      <c r="AG17" s="363">
        <v>0</v>
      </c>
      <c r="AH17" s="329">
        <f>AG17/AG11</f>
        <v>0</v>
      </c>
      <c r="AI17" s="363">
        <v>0</v>
      </c>
      <c r="AJ17" s="329">
        <f>AI17/AI11</f>
        <v>0</v>
      </c>
      <c r="AK17" s="363">
        <v>0</v>
      </c>
      <c r="AL17" s="329">
        <f>AK17/AK11</f>
        <v>0</v>
      </c>
      <c r="AM17" s="363">
        <v>0</v>
      </c>
      <c r="AN17" s="329">
        <f>AM17/AM11</f>
        <v>0</v>
      </c>
      <c r="AO17" s="363">
        <v>0</v>
      </c>
      <c r="AP17" s="329">
        <f>AO17/AO11</f>
        <v>0</v>
      </c>
      <c r="AQ17" s="363">
        <v>0</v>
      </c>
      <c r="AR17" s="329">
        <f>AQ17/AQ11</f>
        <v>0</v>
      </c>
      <c r="AS17" s="363">
        <v>0</v>
      </c>
      <c r="AT17" s="329">
        <f>AS17/AS11</f>
        <v>0</v>
      </c>
      <c r="AU17" s="344">
        <f t="shared" si="1"/>
        <v>58695.450000000004</v>
      </c>
      <c r="AV17" s="329">
        <f>AU17/AU11</f>
        <v>1.1643012875351922E-3</v>
      </c>
      <c r="AW17" s="332"/>
    </row>
    <row r="18" spans="1:49" x14ac:dyDescent="0.2">
      <c r="A18" s="437">
        <v>17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4"/>
        <v>5.0382131374812431E-3</v>
      </c>
      <c r="W18" s="363">
        <v>3098</v>
      </c>
      <c r="X18" s="329">
        <f>W18/W11</f>
        <v>7.3986426614481443E-4</v>
      </c>
      <c r="Y18" s="363">
        <v>4348</v>
      </c>
      <c r="Z18" s="329">
        <f>Y18/Y11</f>
        <v>1.1064426396507913E-3</v>
      </c>
      <c r="AA18" s="363">
        <v>4798</v>
      </c>
      <c r="AB18" s="329">
        <f>AA18/AA11</f>
        <v>1.3698934541240169E-3</v>
      </c>
      <c r="AC18" s="363">
        <v>8865.92</v>
      </c>
      <c r="AD18" s="329">
        <f>AC18/AC11</f>
        <v>2.5861111463895458E-3</v>
      </c>
      <c r="AE18" s="363">
        <v>3098</v>
      </c>
      <c r="AF18" s="329">
        <f>AE18/AE11</f>
        <v>9.7323733053905528E-4</v>
      </c>
      <c r="AG18" s="363">
        <v>11121.65</v>
      </c>
      <c r="AH18" s="329">
        <f>AG18/AG11</f>
        <v>2.9901603234238966E-3</v>
      </c>
      <c r="AI18" s="363">
        <v>8023.65</v>
      </c>
      <c r="AJ18" s="329">
        <f>AI18/AI11</f>
        <v>1.877365224502372E-3</v>
      </c>
      <c r="AK18" s="363">
        <v>14872.720000000007</v>
      </c>
      <c r="AL18" s="329">
        <f>AK18/AK11</f>
        <v>3.2264666866715871E-3</v>
      </c>
      <c r="AM18" s="363">
        <v>6600.27</v>
      </c>
      <c r="AN18" s="329">
        <f>AM18/AM11</f>
        <v>1.5707736260790364E-3</v>
      </c>
      <c r="AO18" s="363">
        <v>6600.27</v>
      </c>
      <c r="AP18" s="329">
        <f>AO18/AO11</f>
        <v>1.6138808931561589E-3</v>
      </c>
      <c r="AQ18" s="363">
        <v>6600.27</v>
      </c>
      <c r="AR18" s="329">
        <f>AQ18/AQ11</f>
        <v>1.5043433059085296E-3</v>
      </c>
      <c r="AS18" s="363">
        <v>8666.7800000000007</v>
      </c>
      <c r="AT18" s="329">
        <f>AS18/AS11</f>
        <v>1.2561092107707525E-3</v>
      </c>
      <c r="AU18" s="344">
        <f t="shared" si="1"/>
        <v>86693.530000000013</v>
      </c>
      <c r="AV18" s="329">
        <f>AU18/AU11</f>
        <v>1.7196799513415574E-3</v>
      </c>
      <c r="AW18" s="332">
        <v>0.31309476733527575</v>
      </c>
    </row>
    <row r="19" spans="1:49" ht="14.25" x14ac:dyDescent="0.2">
      <c r="A19" s="437">
        <v>18</v>
      </c>
      <c r="B19" s="110"/>
      <c r="C19" s="110"/>
      <c r="D19" s="423" t="s">
        <v>338</v>
      </c>
      <c r="E19" s="272">
        <v>-1565135.04</v>
      </c>
      <c r="F19" s="342">
        <f>SUM(F20:F23)</f>
        <v>0.95112748226504462</v>
      </c>
      <c r="G19" s="272">
        <v>-1492450.0903999999</v>
      </c>
      <c r="H19" s="342">
        <f>SUM(H20:H23)</f>
        <v>1</v>
      </c>
      <c r="I19" s="272">
        <v>-1637052.2888</v>
      </c>
      <c r="J19" s="342">
        <f>SUM(J20:J23)</f>
        <v>1</v>
      </c>
      <c r="K19" s="272">
        <v>-1570621.0914000003</v>
      </c>
      <c r="L19" s="342">
        <f>SUM(L20:L23)</f>
        <v>0.99999999999999989</v>
      </c>
      <c r="M19" s="272">
        <v>-1612226.2650000001</v>
      </c>
      <c r="N19" s="342">
        <f>SUM(N20:N23)</f>
        <v>0.99999999999999989</v>
      </c>
      <c r="O19" s="364">
        <v>-1713951.5512000001</v>
      </c>
      <c r="P19" s="342">
        <f>SUM(P20:P23)</f>
        <v>1</v>
      </c>
      <c r="Q19" s="364">
        <v>-1715154.4735999997</v>
      </c>
      <c r="R19" s="342">
        <f>SUM(R20:R23)</f>
        <v>1</v>
      </c>
      <c r="S19" s="364">
        <v>-1702156.0195000002</v>
      </c>
      <c r="T19" s="342">
        <f>SUM(T20:T23)</f>
        <v>0.99999999999999989</v>
      </c>
      <c r="U19" s="344">
        <f t="shared" si="0"/>
        <v>-13008746.819900002</v>
      </c>
      <c r="V19" s="342">
        <f>SUM(V20:V23)</f>
        <v>0.99411994936491588</v>
      </c>
      <c r="W19" s="364">
        <v>-1668331.1248000001</v>
      </c>
      <c r="X19" s="342">
        <f>SUM(X20:X23)</f>
        <v>1</v>
      </c>
      <c r="Y19" s="364">
        <v>-1655218.0781999996</v>
      </c>
      <c r="Z19" s="342">
        <f>SUM(Z20:Z23)</f>
        <v>1</v>
      </c>
      <c r="AA19" s="364">
        <v>-1624745.6620999998</v>
      </c>
      <c r="AB19" s="342">
        <f>SUM(AB20:AB23)</f>
        <v>1</v>
      </c>
      <c r="AC19" s="364">
        <v>-1783445.9315999998</v>
      </c>
      <c r="AD19" s="342">
        <f>SUM(AD20:AD23)</f>
        <v>1</v>
      </c>
      <c r="AE19" s="364">
        <v>-1812291.371</v>
      </c>
      <c r="AF19" s="342">
        <f>SUM(AF20:AF23)</f>
        <v>1</v>
      </c>
      <c r="AG19" s="364">
        <v>-1997302.9500000002</v>
      </c>
      <c r="AH19" s="342">
        <f>SUM(AH20:AH23)</f>
        <v>1</v>
      </c>
      <c r="AI19" s="364">
        <v>-1890421.5499999998</v>
      </c>
      <c r="AJ19" s="342">
        <f>SUM(AJ20:AJ23)</f>
        <v>1</v>
      </c>
      <c r="AK19" s="364">
        <v>-1887948.1597999996</v>
      </c>
      <c r="AL19" s="342">
        <f>SUM(AL20:AL23)</f>
        <v>0.99999999999999989</v>
      </c>
      <c r="AM19" s="364">
        <v>-2122887.1912999991</v>
      </c>
      <c r="AN19" s="342">
        <f>SUM(AN20:AN23)</f>
        <v>1</v>
      </c>
      <c r="AO19" s="364">
        <v>-1935758.3967999995</v>
      </c>
      <c r="AP19" s="342">
        <f>SUM(AP20:AP23)</f>
        <v>1</v>
      </c>
      <c r="AQ19" s="364">
        <v>-2019919.6299999997</v>
      </c>
      <c r="AR19" s="342">
        <f>SUM(AR20:AR23)</f>
        <v>1</v>
      </c>
      <c r="AS19" s="364">
        <v>-2005996.6343999996</v>
      </c>
      <c r="AT19" s="342">
        <f>SUM(AT20:AT23)</f>
        <v>1</v>
      </c>
      <c r="AU19" s="344">
        <f t="shared" si="1"/>
        <v>-22404266.679999996</v>
      </c>
      <c r="AV19" s="342">
        <f>SUM(AV20:AV23)</f>
        <v>1</v>
      </c>
      <c r="AW19" s="332">
        <v>-6.8928463257719175E-3</v>
      </c>
    </row>
    <row r="20" spans="1:49" x14ac:dyDescent="0.2">
      <c r="A20" s="437">
        <v>19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-24888.149000000001</v>
      </c>
      <c r="AB20" s="341">
        <f>AA20/AA19</f>
        <v>1.5318181534845167E-2</v>
      </c>
      <c r="AC20" s="358">
        <v>-29440.554</v>
      </c>
      <c r="AD20" s="341">
        <f>AC20/AC19</f>
        <v>1.6507679587229044E-2</v>
      </c>
      <c r="AE20" s="358">
        <v>30743.61</v>
      </c>
      <c r="AF20" s="341">
        <f>AE20/AE19</f>
        <v>-1.6963944370068956E-2</v>
      </c>
      <c r="AG20" s="358">
        <v>-131593.70000000001</v>
      </c>
      <c r="AH20" s="341">
        <f>AG20/AG19</f>
        <v>6.5885698511585336E-2</v>
      </c>
      <c r="AI20" s="358">
        <v>-30931.199999999997</v>
      </c>
      <c r="AJ20" s="341">
        <f>AI20/AI19</f>
        <v>1.6362064852677966E-2</v>
      </c>
      <c r="AK20" s="358">
        <v>-20964.84</v>
      </c>
      <c r="AL20" s="341">
        <f>AK20/AK19</f>
        <v>1.1104563380713228E-2</v>
      </c>
      <c r="AM20" s="358">
        <v>-247883.56</v>
      </c>
      <c r="AN20" s="341">
        <f>AM20/AM19</f>
        <v>0.11676718434021111</v>
      </c>
      <c r="AO20" s="358">
        <v>-22536.2</v>
      </c>
      <c r="AP20" s="341">
        <f>AO20/AO19</f>
        <v>1.164205204391962E-2</v>
      </c>
      <c r="AQ20" s="358">
        <v>-38473.199999999997</v>
      </c>
      <c r="AR20" s="341">
        <f>AQ20/AQ19</f>
        <v>1.9046896435181437E-2</v>
      </c>
      <c r="AS20" s="358">
        <v>-11083.78</v>
      </c>
      <c r="AT20" s="341">
        <f>AS20/AS19</f>
        <v>5.5253233280300081E-3</v>
      </c>
      <c r="AU20" s="344">
        <f t="shared" si="1"/>
        <v>-588402.12300000002</v>
      </c>
      <c r="AV20" s="341">
        <f>AU20/AU19</f>
        <v>2.6262949437450639E-2</v>
      </c>
      <c r="AW20" s="332">
        <v>-0.71190906917022756</v>
      </c>
    </row>
    <row r="21" spans="1:49" x14ac:dyDescent="0.2">
      <c r="A21" s="437">
        <v>20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3" si="5">E21/$E$19</f>
        <v>8.830077052009519E-2</v>
      </c>
      <c r="G21" s="257">
        <v>-165444.51</v>
      </c>
      <c r="H21" s="341">
        <f t="shared" ref="H21:H23" si="6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3" si="7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7.8769097825800563E-2</v>
      </c>
      <c r="AC21" s="414">
        <v>-227020.69</v>
      </c>
      <c r="AD21" s="341">
        <f>AC21/AC19</f>
        <v>0.12729328429728776</v>
      </c>
      <c r="AE21" s="414">
        <v>-197541.58</v>
      </c>
      <c r="AF21" s="341">
        <f>AE21/AE19</f>
        <v>0.10900100456307915</v>
      </c>
      <c r="AG21" s="414">
        <v>-195387.87</v>
      </c>
      <c r="AH21" s="341">
        <f>AG21/AG19</f>
        <v>9.7825855611939072E-2</v>
      </c>
      <c r="AI21" s="414">
        <v>-196590.73</v>
      </c>
      <c r="AJ21" s="341">
        <f>AI21/AI19</f>
        <v>0.10399306440407434</v>
      </c>
      <c r="AK21" s="414">
        <v>-173444.26</v>
      </c>
      <c r="AL21" s="341">
        <f>AK21/AK19</f>
        <v>9.1869185655168564E-2</v>
      </c>
      <c r="AM21" s="414">
        <v>-188176.32</v>
      </c>
      <c r="AN21" s="341">
        <f>AM21/AM19</f>
        <v>8.8641695503737947E-2</v>
      </c>
      <c r="AO21" s="414">
        <v>-191160.75</v>
      </c>
      <c r="AP21" s="341">
        <f>AO21/AO19</f>
        <v>9.8752380625602695E-2</v>
      </c>
      <c r="AQ21" s="414">
        <v>-197274.26</v>
      </c>
      <c r="AR21" s="341">
        <f>AQ21/AQ19</f>
        <v>9.7664410538948046E-2</v>
      </c>
      <c r="AS21" s="414">
        <v>-201028.6</v>
      </c>
      <c r="AT21" s="341">
        <f>AS21/AS19</f>
        <v>0.10021382715835331</v>
      </c>
      <c r="AU21" s="344">
        <f t="shared" si="1"/>
        <v>-2265027.27</v>
      </c>
      <c r="AV21" s="341">
        <f>AU21/AU19</f>
        <v>0.10109803201110622</v>
      </c>
      <c r="AW21" s="332">
        <v>1.9031068726350853E-2</v>
      </c>
    </row>
    <row r="22" spans="1:49" x14ac:dyDescent="0.2">
      <c r="A22" s="437">
        <v>21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5"/>
        <v>0.80569337965879284</v>
      </c>
      <c r="G22" s="257">
        <v>-1247698.2404</v>
      </c>
      <c r="H22" s="341">
        <f t="shared" si="6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7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0.87426003111407224</v>
      </c>
      <c r="AC22" s="414">
        <v>-1483785.7775999999</v>
      </c>
      <c r="AD22" s="341">
        <f>AC22/AC19</f>
        <v>0.83197687763308703</v>
      </c>
      <c r="AE22" s="414">
        <v>-1575153.351</v>
      </c>
      <c r="AF22" s="341">
        <f>AE22/AE19</f>
        <v>0.86915016878927687</v>
      </c>
      <c r="AG22" s="414">
        <v>-1596757.1</v>
      </c>
      <c r="AH22" s="341">
        <f>AG22/AG19</f>
        <v>0.79945663726176341</v>
      </c>
      <c r="AI22" s="414">
        <v>-1594773.16</v>
      </c>
      <c r="AJ22" s="341">
        <f>AI22/AI19</f>
        <v>0.84360716264581304</v>
      </c>
      <c r="AK22" s="414">
        <v>-1598716.6397999995</v>
      </c>
      <c r="AL22" s="341">
        <f>AK22/AK19</f>
        <v>0.846801132489443</v>
      </c>
      <c r="AM22" s="414">
        <v>-1618700.8512999993</v>
      </c>
      <c r="AN22" s="341">
        <f>AM22/AM19</f>
        <v>0.76249970226102792</v>
      </c>
      <c r="AO22" s="414">
        <v>-1632905.1767999995</v>
      </c>
      <c r="AP22" s="341">
        <f>AO22/AO19</f>
        <v>0.84354802722248479</v>
      </c>
      <c r="AQ22" s="414">
        <v>-1653420.7499999998</v>
      </c>
      <c r="AR22" s="341">
        <f>AQ22/AQ19</f>
        <v>0.81855769182261973</v>
      </c>
      <c r="AS22" s="414">
        <v>-1708820.5143999998</v>
      </c>
      <c r="AT22" s="341">
        <f>AS22/AS19</f>
        <v>0.85185612233647323</v>
      </c>
      <c r="AU22" s="344">
        <f t="shared" si="1"/>
        <v>-18677200.356999993</v>
      </c>
      <c r="AV22" s="341">
        <f>AU22/AU19</f>
        <v>0.83364479738463804</v>
      </c>
      <c r="AW22" s="332">
        <v>3.3506150445976823E-2</v>
      </c>
    </row>
    <row r="23" spans="1:49" x14ac:dyDescent="0.2">
      <c r="A23" s="437">
        <v>22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5"/>
        <v>1.3047430079899046E-2</v>
      </c>
      <c r="G23" s="257">
        <v>-35594.14</v>
      </c>
      <c r="H23" s="341">
        <f t="shared" si="6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7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3.1652689525281982E-2</v>
      </c>
      <c r="AC23" s="414">
        <v>-43198.91</v>
      </c>
      <c r="AD23" s="341">
        <f>AC23/AC19</f>
        <v>2.4222158482396242E-2</v>
      </c>
      <c r="AE23" s="414">
        <v>-70340.05</v>
      </c>
      <c r="AF23" s="341">
        <f>AE23/AE19</f>
        <v>3.881277101771291E-2</v>
      </c>
      <c r="AG23" s="414">
        <v>-73564.28</v>
      </c>
      <c r="AH23" s="341">
        <f>AG23/AG19</f>
        <v>3.683180861471215E-2</v>
      </c>
      <c r="AI23" s="414">
        <v>-68126.460000000006</v>
      </c>
      <c r="AJ23" s="341">
        <f>AI23/AI19</f>
        <v>3.603770809743468E-2</v>
      </c>
      <c r="AK23" s="414">
        <v>-94822.42</v>
      </c>
      <c r="AL23" s="341">
        <f>AK23/AK19</f>
        <v>5.0225118474675194E-2</v>
      </c>
      <c r="AM23" s="414">
        <v>-68126.460000000006</v>
      </c>
      <c r="AN23" s="341">
        <f>AM23/AM19</f>
        <v>3.2091417895023046E-2</v>
      </c>
      <c r="AO23" s="414">
        <v>-89156.27</v>
      </c>
      <c r="AP23" s="341">
        <f>AO23/AO19</f>
        <v>4.6057540107992893E-2</v>
      </c>
      <c r="AQ23" s="414">
        <v>-130751.42</v>
      </c>
      <c r="AR23" s="341">
        <f>AQ23/AQ19</f>
        <v>6.4731001203250857E-2</v>
      </c>
      <c r="AS23" s="414">
        <v>-85063.74</v>
      </c>
      <c r="AT23" s="341">
        <f>AS23/AS19</f>
        <v>4.2404727177143477E-2</v>
      </c>
      <c r="AU23" s="344">
        <f t="shared" si="1"/>
        <v>-873636.93</v>
      </c>
      <c r="AV23" s="341">
        <f>AU23/AU19</f>
        <v>3.899422116680501E-2</v>
      </c>
      <c r="AW23" s="332">
        <v>-0.34942396801503184</v>
      </c>
    </row>
    <row r="24" spans="1:49" ht="14.25" x14ac:dyDescent="0.2">
      <c r="A24" s="437">
        <v>23</v>
      </c>
      <c r="B24" s="110"/>
      <c r="C24" s="110"/>
      <c r="D24" s="427" t="s">
        <v>345</v>
      </c>
      <c r="E24" s="324">
        <v>1858006.7599999998</v>
      </c>
      <c r="F24" s="343">
        <f>E24/E2</f>
        <v>0.51184918141605351</v>
      </c>
      <c r="G24" s="324">
        <v>2343130.3596000001</v>
      </c>
      <c r="H24" s="343">
        <f>G24/G2</f>
        <v>0.57597317350287724</v>
      </c>
      <c r="I24" s="324">
        <v>2748352.3312030006</v>
      </c>
      <c r="J24" s="343">
        <f>I24/I2</f>
        <v>0.5922858577845147</v>
      </c>
      <c r="K24" s="324">
        <v>1698092.3585999999</v>
      </c>
      <c r="L24" s="343">
        <f>K24/K2</f>
        <v>0.49160079246717009</v>
      </c>
      <c r="M24" s="324">
        <v>2403215.7349960008</v>
      </c>
      <c r="N24" s="343">
        <f>M24/M2</f>
        <v>0.56504547180204101</v>
      </c>
      <c r="O24" s="365">
        <v>2704620.5187999993</v>
      </c>
      <c r="P24" s="343">
        <f>O24/O2</f>
        <v>0.58062233633387117</v>
      </c>
      <c r="Q24" s="365">
        <v>4140841.3664000002</v>
      </c>
      <c r="R24" s="343">
        <f>Q24/Q2</f>
        <v>0.67392788165547701</v>
      </c>
      <c r="S24" s="365">
        <v>3403701.0804999992</v>
      </c>
      <c r="T24" s="343">
        <f>S24/S2</f>
        <v>0.64074420544650201</v>
      </c>
      <c r="U24" s="344">
        <f t="shared" si="0"/>
        <v>21299960.510099001</v>
      </c>
      <c r="V24" s="343">
        <f>U24/U2</f>
        <v>0.58904282871619806</v>
      </c>
      <c r="W24" s="365">
        <v>2518923.4051999999</v>
      </c>
      <c r="X24" s="343">
        <f>W24/W2</f>
        <v>0.57213749695633975</v>
      </c>
      <c r="Y24" s="365">
        <v>2274493.0918000005</v>
      </c>
      <c r="Z24" s="343">
        <f>Y24/Y2</f>
        <v>0.55662054682509876</v>
      </c>
      <c r="AA24" s="365">
        <v>1877716.5079000005</v>
      </c>
      <c r="AB24" s="343">
        <f>AA24/AA2</f>
        <v>0.46384050522139719</v>
      </c>
      <c r="AC24" s="365">
        <v>1644836.7283999999</v>
      </c>
      <c r="AD24" s="343">
        <f>AC24/AC2</f>
        <v>0.41751072364075026</v>
      </c>
      <c r="AE24" s="365">
        <v>1370899.3089999997</v>
      </c>
      <c r="AF24" s="343">
        <f>AE24/AE2</f>
        <v>0.38636353795296396</v>
      </c>
      <c r="AG24" s="365">
        <v>1722113</v>
      </c>
      <c r="AH24" s="343">
        <f>AG24/AG2</f>
        <v>0.40007120242907168</v>
      </c>
      <c r="AI24" s="365">
        <v>2383467.1400000006</v>
      </c>
      <c r="AJ24" s="343">
        <f>AI24/AI2</f>
        <v>0.5266155988390816</v>
      </c>
      <c r="AK24" s="365">
        <v>2721651.5801999997</v>
      </c>
      <c r="AL24" s="343">
        <f>AK24/AK2</f>
        <v>0.56365223478452842</v>
      </c>
      <c r="AM24" s="365">
        <v>2079035.9187000003</v>
      </c>
      <c r="AN24" s="343">
        <f>AM24/AM2</f>
        <v>0.47031940236146969</v>
      </c>
      <c r="AO24" s="365">
        <v>2153930.0232000006</v>
      </c>
      <c r="AP24" s="343">
        <f>AO24/AO2</f>
        <v>0.50087548698701356</v>
      </c>
      <c r="AQ24" s="365">
        <v>2367556.2699999996</v>
      </c>
      <c r="AR24" s="343">
        <f>AQ24/AQ2</f>
        <v>0.50569394862577455</v>
      </c>
      <c r="AS24" s="365">
        <v>4893705.9756000005</v>
      </c>
      <c r="AT24" s="343">
        <f>AS24/AS2</f>
        <v>0.66604295163755023</v>
      </c>
      <c r="AU24" s="344">
        <f t="shared" si="1"/>
        <v>28008328.950000003</v>
      </c>
      <c r="AV24" s="343">
        <f>AU24/AU2</f>
        <v>0.51453641976679454</v>
      </c>
      <c r="AW24" s="332"/>
    </row>
    <row r="25" spans="1:49" ht="14.25" x14ac:dyDescent="0.2">
      <c r="A25" s="437">
        <v>24</v>
      </c>
      <c r="B25" s="110"/>
      <c r="C25" s="110"/>
      <c r="D25" s="423" t="s">
        <v>346</v>
      </c>
      <c r="E25" s="272">
        <v>-594460.91</v>
      </c>
      <c r="F25" s="342">
        <f>F35+F34+F33+F26</f>
        <v>1</v>
      </c>
      <c r="G25" s="272">
        <v>-646297.59</v>
      </c>
      <c r="H25" s="342">
        <f>H26+H33+H34+H35</f>
        <v>1</v>
      </c>
      <c r="I25" s="272">
        <v>-685485.38000000012</v>
      </c>
      <c r="J25" s="342">
        <f>J35+J34+J33+J26</f>
        <v>0.99999999999999989</v>
      </c>
      <c r="K25" s="272">
        <v>-695251.10000000009</v>
      </c>
      <c r="L25" s="342">
        <f>L35+L34+L33+L26</f>
        <v>0.99999999999999989</v>
      </c>
      <c r="M25" s="272">
        <v>-706999.54</v>
      </c>
      <c r="N25" s="342">
        <f>N35+N34+N33+N26</f>
        <v>1</v>
      </c>
      <c r="O25" s="364">
        <v>-861161.45</v>
      </c>
      <c r="P25" s="342">
        <f>P35+P34+P33+P26</f>
        <v>1</v>
      </c>
      <c r="Q25" s="364">
        <v>-837267.46999999986</v>
      </c>
      <c r="R25" s="342">
        <f>R35+R34+R33+R26</f>
        <v>1</v>
      </c>
      <c r="S25" s="364">
        <v>-887861.64999999991</v>
      </c>
      <c r="T25" s="342">
        <f>T35+T34+T33+T26</f>
        <v>1</v>
      </c>
      <c r="U25" s="344">
        <f t="shared" si="0"/>
        <v>-5914785.0899999999</v>
      </c>
      <c r="V25" s="342">
        <f>V26+V33+V34+V35</f>
        <v>1</v>
      </c>
      <c r="W25" s="364">
        <v>-748877.49880000006</v>
      </c>
      <c r="X25" s="342">
        <f>X35+X34+X33+X26</f>
        <v>0.99999999999999989</v>
      </c>
      <c r="Y25" s="364">
        <v>-824323.63699999999</v>
      </c>
      <c r="Z25" s="342">
        <f>Z35+Z34+Z33+Z26</f>
        <v>1</v>
      </c>
      <c r="AA25" s="364">
        <v>-843251.59349999996</v>
      </c>
      <c r="AB25" s="342">
        <f>AB35+AB34+AB33+AB26</f>
        <v>1</v>
      </c>
      <c r="AC25" s="364">
        <v>-842331.81440000003</v>
      </c>
      <c r="AD25" s="342">
        <f>AD35+AD34+AD33+AD26</f>
        <v>1</v>
      </c>
      <c r="AE25" s="364">
        <v>-856311.02</v>
      </c>
      <c r="AF25" s="342">
        <f>AF35+AF34+AF33+AF26</f>
        <v>1</v>
      </c>
      <c r="AG25" s="364">
        <v>-807805.05</v>
      </c>
      <c r="AH25" s="342">
        <f>AH35+AH34+AH33+AH26</f>
        <v>1</v>
      </c>
      <c r="AI25" s="364">
        <v>-884228.51500000001</v>
      </c>
      <c r="AJ25" s="342">
        <f>AJ35+AJ34+AJ33+AJ26</f>
        <v>1</v>
      </c>
      <c r="AK25" s="364">
        <v>-800815.43450000009</v>
      </c>
      <c r="AL25" s="342">
        <f>AL35+AL34+AL33+AL26</f>
        <v>1</v>
      </c>
      <c r="AM25" s="364">
        <v>-881286.3195000001</v>
      </c>
      <c r="AN25" s="342">
        <f>AN35+AN34+AN33+AN26</f>
        <v>1</v>
      </c>
      <c r="AO25" s="364">
        <v>-821074.83700000006</v>
      </c>
      <c r="AP25" s="342">
        <f>AP35+AP34+AP33+AP26</f>
        <v>0.99999999999999989</v>
      </c>
      <c r="AQ25" s="364">
        <v>-973085.07000000007</v>
      </c>
      <c r="AR25" s="342">
        <f>AR35+AR34+AR33+AR26</f>
        <v>1</v>
      </c>
      <c r="AS25" s="364">
        <v>-1177991.9000000001</v>
      </c>
      <c r="AT25" s="342">
        <f>AT35+AT34+AT33+AT26</f>
        <v>1</v>
      </c>
      <c r="AU25" s="344">
        <f t="shared" si="1"/>
        <v>-10461382.6897</v>
      </c>
      <c r="AV25" s="342">
        <f>AV35+AV34+AV33+AV26</f>
        <v>1</v>
      </c>
      <c r="AW25" s="332">
        <v>0.21057442593379849</v>
      </c>
    </row>
    <row r="26" spans="1:49" x14ac:dyDescent="0.2">
      <c r="A26" s="437">
        <v>25</v>
      </c>
      <c r="B26" s="110"/>
      <c r="C26" s="110"/>
      <c r="D26" s="425" t="s">
        <v>347</v>
      </c>
      <c r="E26" s="259">
        <v>-159350.01999999999</v>
      </c>
      <c r="F26" s="336">
        <f>SUM(F27:F32)</f>
        <v>0.2680580292487188</v>
      </c>
      <c r="G26" s="259">
        <v>-152360.52000000002</v>
      </c>
      <c r="H26" s="336">
        <f>SUM(H27:H32)</f>
        <v>0.23574359916768375</v>
      </c>
      <c r="I26" s="259">
        <v>-137491.99</v>
      </c>
      <c r="J26" s="336">
        <f>SUM(J27:J32)</f>
        <v>0.20057610856704189</v>
      </c>
      <c r="K26" s="259">
        <v>-134159.91</v>
      </c>
      <c r="L26" s="336">
        <f>SUM(L27:L32)</f>
        <v>0.19296612403777566</v>
      </c>
      <c r="M26" s="259">
        <v>-134726.97</v>
      </c>
      <c r="N26" s="336">
        <f>SUM(N27:N32)</f>
        <v>0.19056160913485176</v>
      </c>
      <c r="O26" s="366">
        <v>-273507.59000000003</v>
      </c>
      <c r="P26" s="336">
        <f>SUM(P27:P32)</f>
        <v>0.31760315095386593</v>
      </c>
      <c r="Q26" s="366">
        <v>-148715.63</v>
      </c>
      <c r="R26" s="336">
        <f>SUM(R27:R32)</f>
        <v>0.17762021734822686</v>
      </c>
      <c r="S26" s="366">
        <v>-183752.81</v>
      </c>
      <c r="T26" s="336">
        <f>SUM(T27:T32)</f>
        <v>0.20696108453383477</v>
      </c>
      <c r="U26" s="344">
        <f t="shared" si="0"/>
        <v>-1324065.44</v>
      </c>
      <c r="V26" s="336">
        <f>SUM(V27:V32)</f>
        <v>0.22385689756312005</v>
      </c>
      <c r="W26" s="366">
        <v>-168400.93</v>
      </c>
      <c r="X26" s="336">
        <f>SUM(X27:X32)</f>
        <v>0.22487113081891943</v>
      </c>
      <c r="Y26" s="366">
        <v>-266652.53999999998</v>
      </c>
      <c r="Z26" s="336">
        <f>SUM(Z27:Z32)</f>
        <v>0.32348040021082153</v>
      </c>
      <c r="AA26" s="366">
        <v>-252778.65999999997</v>
      </c>
      <c r="AB26" s="336">
        <f>SUM(AB27:AB32)</f>
        <v>0.2997665962904581</v>
      </c>
      <c r="AC26" s="366">
        <v>-245101.41800000003</v>
      </c>
      <c r="AD26" s="336">
        <f>SUM(AD27:AD32)</f>
        <v>0.29097965173568541</v>
      </c>
      <c r="AE26" s="366">
        <v>-222600.33000000002</v>
      </c>
      <c r="AF26" s="336">
        <f>SUM(AF27:AF32)</f>
        <v>0.25995266299387343</v>
      </c>
      <c r="AG26" s="366">
        <v>-184180.7</v>
      </c>
      <c r="AH26" s="336">
        <f>SUM(AH27:AH32)</f>
        <v>0.22800142187771663</v>
      </c>
      <c r="AI26" s="366">
        <v>-212716.87</v>
      </c>
      <c r="AJ26" s="336">
        <f>SUM(AJ27:AJ32)</f>
        <v>0.24056775640174871</v>
      </c>
      <c r="AK26" s="366">
        <v>-174431.74</v>
      </c>
      <c r="AL26" s="336">
        <f>SUM(AL27:AL32)</f>
        <v>0.21781765496179381</v>
      </c>
      <c r="AM26" s="366">
        <v>-204599.31</v>
      </c>
      <c r="AN26" s="336">
        <f>SUM(AN27:AN32)</f>
        <v>0.23215986163960867</v>
      </c>
      <c r="AO26" s="366">
        <v>-207743.44</v>
      </c>
      <c r="AP26" s="336">
        <f>SUM(AP27:AP32)</f>
        <v>0.25301401363003895</v>
      </c>
      <c r="AQ26" s="366">
        <v>-224878.85000000003</v>
      </c>
      <c r="AR26" s="336">
        <f>SUM(AR27:AR32)</f>
        <v>0.23109885963002186</v>
      </c>
      <c r="AS26" s="366">
        <v>-216488.39</v>
      </c>
      <c r="AT26" s="336">
        <f>SUM(AT27:AT32)</f>
        <v>0.18377748607609268</v>
      </c>
      <c r="AU26" s="344">
        <f t="shared" si="1"/>
        <v>-2580573.1780000003</v>
      </c>
      <c r="AV26" s="336">
        <f>SUM(AV27:AV32)</f>
        <v>0.2466761091285537</v>
      </c>
      <c r="AW26" s="332">
        <v>-3.7311023246517028E-2</v>
      </c>
    </row>
    <row r="27" spans="1:49" x14ac:dyDescent="0.2">
      <c r="A27" s="437">
        <v>26</v>
      </c>
      <c r="B27" s="2" t="s">
        <v>97</v>
      </c>
      <c r="C27" s="2"/>
      <c r="D27" s="433" t="s">
        <v>349</v>
      </c>
      <c r="E27" s="252">
        <v>-28028.559999999998</v>
      </c>
      <c r="F27" s="335">
        <f>E27/$E$25</f>
        <v>4.7149542599865812E-2</v>
      </c>
      <c r="G27" s="271">
        <v>-8354.27</v>
      </c>
      <c r="H27" s="335">
        <f>G27/$G$25</f>
        <v>1.2926351775503296E-2</v>
      </c>
      <c r="I27" s="271">
        <v>-45328.1</v>
      </c>
      <c r="J27" s="335">
        <f>I27/I25</f>
        <v>6.6125553253958511E-2</v>
      </c>
      <c r="K27" s="271">
        <v>-28179.51</v>
      </c>
      <c r="L27" s="335">
        <f>K27/K25</f>
        <v>4.0531413758280996E-2</v>
      </c>
      <c r="M27" s="271">
        <v>-28715.68</v>
      </c>
      <c r="N27" s="335">
        <f>M27/M25</f>
        <v>4.0616264050185945E-2</v>
      </c>
      <c r="O27" s="358">
        <v>-28290.78</v>
      </c>
      <c r="P27" s="335">
        <f>O27/O25</f>
        <v>3.2851888574436307E-2</v>
      </c>
      <c r="Q27" s="358">
        <v>-27886.19</v>
      </c>
      <c r="R27" s="335">
        <f>Q27/Q25</f>
        <v>3.3306190672856312E-2</v>
      </c>
      <c r="S27" s="358">
        <v>-25292.07</v>
      </c>
      <c r="T27" s="335">
        <f>S27/S25</f>
        <v>2.8486498994522404E-2</v>
      </c>
      <c r="U27" s="344">
        <f t="shared" si="0"/>
        <v>-220075.16</v>
      </c>
      <c r="V27" s="335">
        <f>U27/$U$25</f>
        <v>3.7207634199943516E-2</v>
      </c>
      <c r="W27" s="414">
        <v>-31228.29</v>
      </c>
      <c r="X27" s="335">
        <f>W27/W25</f>
        <v>4.1700131263177433E-2</v>
      </c>
      <c r="Y27" s="414">
        <v>-30476.55</v>
      </c>
      <c r="Z27" s="335">
        <f>Y27/Y25</f>
        <v>3.6971583286043753E-2</v>
      </c>
      <c r="AA27" s="414">
        <v>-29928.35</v>
      </c>
      <c r="AB27" s="335">
        <f>AA27/AA25</f>
        <v>3.5491602068345215E-2</v>
      </c>
      <c r="AC27" s="414">
        <v>-30332.78</v>
      </c>
      <c r="AD27" s="335">
        <f>AC27/AC25</f>
        <v>3.6010488362719972E-2</v>
      </c>
      <c r="AE27" s="414">
        <v>-32032.74</v>
      </c>
      <c r="AF27" s="335">
        <f>AE27/AE25</f>
        <v>3.7407833429493879E-2</v>
      </c>
      <c r="AG27" s="414">
        <v>-35458.79</v>
      </c>
      <c r="AH27" s="335">
        <f>AG27/AG25</f>
        <v>4.3895231900320505E-2</v>
      </c>
      <c r="AI27" s="414">
        <v>-34319.300000000003</v>
      </c>
      <c r="AJ27" s="335">
        <f>AI27/AI25</f>
        <v>3.8812704428560531E-2</v>
      </c>
      <c r="AK27" s="414">
        <v>-14345.43</v>
      </c>
      <c r="AL27" s="335">
        <f>AK27/AK25</f>
        <v>1.7913528363694392E-2</v>
      </c>
      <c r="AM27" s="414">
        <v>-54951.46</v>
      </c>
      <c r="AN27" s="335">
        <f>AM27/AM25</f>
        <v>6.2353696845285016E-2</v>
      </c>
      <c r="AO27" s="414">
        <v>-37318.82</v>
      </c>
      <c r="AP27" s="335">
        <f>AO27/AO25</f>
        <v>4.545117974428925E-2</v>
      </c>
      <c r="AQ27" s="414">
        <v>-32876.86</v>
      </c>
      <c r="AR27" s="335">
        <f>AQ27/AQ25</f>
        <v>3.3786213573290154E-2</v>
      </c>
      <c r="AS27" s="414">
        <v>-34309.64</v>
      </c>
      <c r="AT27" s="335">
        <f>AS27/AS25</f>
        <v>2.9125531338543155E-2</v>
      </c>
      <c r="AU27" s="344">
        <f t="shared" si="1"/>
        <v>-397579.01</v>
      </c>
      <c r="AV27" s="335">
        <f>AU27/AU25</f>
        <v>3.8004441840316747E-2</v>
      </c>
      <c r="AW27" s="332">
        <v>4.3580195918953235E-2</v>
      </c>
    </row>
    <row r="28" spans="1:49" x14ac:dyDescent="0.2">
      <c r="A28" s="437">
        <v>27</v>
      </c>
      <c r="B28" s="2" t="s">
        <v>97</v>
      </c>
      <c r="C28" s="2"/>
      <c r="D28" s="433" t="s">
        <v>350</v>
      </c>
      <c r="E28" s="252">
        <v>-11955.59</v>
      </c>
      <c r="F28" s="335">
        <f t="shared" ref="F28:F35" si="8">E28/$E$25</f>
        <v>2.0111650402715293E-2</v>
      </c>
      <c r="G28" s="257">
        <v>-13545.1</v>
      </c>
      <c r="H28" s="335">
        <f t="shared" ref="H28:H35" si="9">G28/$G$25</f>
        <v>2.0957992431938358E-2</v>
      </c>
      <c r="I28" s="257">
        <v>5548.51</v>
      </c>
      <c r="J28" s="335">
        <f>I28/I25</f>
        <v>-8.094279122335183E-3</v>
      </c>
      <c r="K28" s="257">
        <v>-10241.26</v>
      </c>
      <c r="L28" s="335">
        <f>K28/K25</f>
        <v>1.4730303914657595E-2</v>
      </c>
      <c r="M28" s="257">
        <v>-5992.55</v>
      </c>
      <c r="N28" s="335">
        <f>M28/M25</f>
        <v>8.4760309745038863E-3</v>
      </c>
      <c r="O28" s="358">
        <v>-13795.05</v>
      </c>
      <c r="P28" s="335">
        <f>O28/O25</f>
        <v>1.6019121617671113E-2</v>
      </c>
      <c r="Q28" s="358">
        <v>-1860.3</v>
      </c>
      <c r="R28" s="335">
        <f>Q28/Q25</f>
        <v>2.2218706287490189E-3</v>
      </c>
      <c r="S28" s="358">
        <v>-7664.7900000000009</v>
      </c>
      <c r="T28" s="335">
        <f>S28/S25</f>
        <v>8.6328652667901594E-3</v>
      </c>
      <c r="U28" s="344">
        <f t="shared" si="0"/>
        <v>-59506.130000000012</v>
      </c>
      <c r="V28" s="335">
        <f t="shared" ref="V28:V40" si="10">U28/$U$25</f>
        <v>1.0060573477235166E-2</v>
      </c>
      <c r="W28" s="414">
        <v>-1521.59</v>
      </c>
      <c r="X28" s="335">
        <f>W28/W25</f>
        <v>2.0318276386167202E-3</v>
      </c>
      <c r="Y28" s="414">
        <v>-9308.48</v>
      </c>
      <c r="Z28" s="335">
        <f>Y28/Y25</f>
        <v>1.1292263841756123E-2</v>
      </c>
      <c r="AA28" s="414">
        <v>-6626.51</v>
      </c>
      <c r="AB28" s="335">
        <f>AA28/AA25</f>
        <v>7.8582834009195395E-3</v>
      </c>
      <c r="AC28" s="414">
        <v>-13965.56</v>
      </c>
      <c r="AD28" s="335">
        <f>AC28/AC25</f>
        <v>1.6579642085521588E-2</v>
      </c>
      <c r="AE28" s="414">
        <v>-10636.71</v>
      </c>
      <c r="AF28" s="335">
        <f>AE28/AE25</f>
        <v>1.2421549824268288E-2</v>
      </c>
      <c r="AG28" s="414">
        <v>-8552.3700000000008</v>
      </c>
      <c r="AH28" s="335">
        <f>AG28/AG25</f>
        <v>1.058717075363666E-2</v>
      </c>
      <c r="AI28" s="414">
        <v>-10680.49</v>
      </c>
      <c r="AJ28" s="335">
        <f>AI28/AI25</f>
        <v>1.2078879858336167E-2</v>
      </c>
      <c r="AK28" s="414">
        <v>-13945.19</v>
      </c>
      <c r="AL28" s="335">
        <f>AK28/AK25</f>
        <v>1.7413737796783187E-2</v>
      </c>
      <c r="AM28" s="414">
        <v>-20066.419999999998</v>
      </c>
      <c r="AN28" s="335">
        <f>AM28/AM25</f>
        <v>2.2769467261655359E-2</v>
      </c>
      <c r="AO28" s="414">
        <v>-14131.07</v>
      </c>
      <c r="AP28" s="335">
        <f>AO28/AO25</f>
        <v>1.7210453131935401E-2</v>
      </c>
      <c r="AQ28" s="414">
        <v>-14821.91</v>
      </c>
      <c r="AR28" s="335">
        <f>AQ28/AQ25</f>
        <v>1.5231874845228073E-2</v>
      </c>
      <c r="AS28" s="414">
        <v>-20825.16</v>
      </c>
      <c r="AT28" s="335">
        <f>AS28/AS25</f>
        <v>1.767852563332566E-2</v>
      </c>
      <c r="AU28" s="344">
        <f t="shared" si="1"/>
        <v>-145081.46</v>
      </c>
      <c r="AV28" s="335">
        <f>AU28/AU25</f>
        <v>1.3868287233468989E-2</v>
      </c>
      <c r="AW28" s="332">
        <v>0.40502539821116179</v>
      </c>
    </row>
    <row r="29" spans="1:49" x14ac:dyDescent="0.2">
      <c r="A29" s="437">
        <v>28</v>
      </c>
      <c r="B29" s="2" t="s">
        <v>97</v>
      </c>
      <c r="C29" s="2"/>
      <c r="D29" s="433" t="s">
        <v>351</v>
      </c>
      <c r="E29" s="252">
        <v>-57562.549999999996</v>
      </c>
      <c r="F29" s="335">
        <f t="shared" si="8"/>
        <v>9.6831514119237863E-2</v>
      </c>
      <c r="G29" s="257">
        <v>-66297.600000000006</v>
      </c>
      <c r="H29" s="335">
        <f t="shared" si="9"/>
        <v>0.1025806084160085</v>
      </c>
      <c r="I29" s="257">
        <v>-37082.65</v>
      </c>
      <c r="J29" s="335">
        <f>I29/I25</f>
        <v>5.4096923263337864E-2</v>
      </c>
      <c r="K29" s="257">
        <v>-37925.609999999993</v>
      </c>
      <c r="L29" s="335">
        <f>K29/K25</f>
        <v>5.4549514556683172E-2</v>
      </c>
      <c r="M29" s="257">
        <v>-39556.859999999993</v>
      </c>
      <c r="N29" s="335">
        <f>M29/M25</f>
        <v>5.5950333433031643E-2</v>
      </c>
      <c r="O29" s="358">
        <v>-71752.91</v>
      </c>
      <c r="P29" s="335">
        <f>O29/O25</f>
        <v>8.33210892103914E-2</v>
      </c>
      <c r="Q29" s="358">
        <v>-35357.480000000003</v>
      </c>
      <c r="R29" s="335">
        <f>Q29/Q25</f>
        <v>4.2229611524259997E-2</v>
      </c>
      <c r="S29" s="358">
        <v>-82781.58</v>
      </c>
      <c r="T29" s="335">
        <f>S29/S25</f>
        <v>9.323702628669682E-2</v>
      </c>
      <c r="U29" s="344">
        <f t="shared" si="0"/>
        <v>-428317.23999999993</v>
      </c>
      <c r="V29" s="335">
        <f t="shared" si="10"/>
        <v>7.241467500216478E-2</v>
      </c>
      <c r="W29" s="414">
        <v>-48394.3</v>
      </c>
      <c r="X29" s="335">
        <f>W29/W25</f>
        <v>6.462245170611608E-2</v>
      </c>
      <c r="Y29" s="414">
        <v>-133784.15</v>
      </c>
      <c r="Z29" s="335">
        <f>Y29/Y25</f>
        <v>0.16229566155216291</v>
      </c>
      <c r="AA29" s="414">
        <v>-106129.56999999998</v>
      </c>
      <c r="AB29" s="335">
        <f>AA29/AA25</f>
        <v>0.12585753862557034</v>
      </c>
      <c r="AC29" s="414">
        <v>-87698.49</v>
      </c>
      <c r="AD29" s="335">
        <f>AC29/AC25</f>
        <v>0.10411394714144612</v>
      </c>
      <c r="AE29" s="414">
        <v>-73021.13</v>
      </c>
      <c r="AF29" s="335">
        <f>AE29/AE25</f>
        <v>8.5274074833230573E-2</v>
      </c>
      <c r="AG29" s="414">
        <v>-35093.229999999996</v>
      </c>
      <c r="AH29" s="335">
        <f>AG29/AG25</f>
        <v>4.344269697249354E-2</v>
      </c>
      <c r="AI29" s="414">
        <v>-63291.359999999993</v>
      </c>
      <c r="AJ29" s="335">
        <f>AI29/AI25</f>
        <v>7.157805807698929E-2</v>
      </c>
      <c r="AK29" s="414">
        <v>-43428.369999999995</v>
      </c>
      <c r="AL29" s="335">
        <f>AK29/AK25</f>
        <v>5.4230186044197666E-2</v>
      </c>
      <c r="AM29" s="414">
        <v>-31737.889999999989</v>
      </c>
      <c r="AN29" s="335">
        <f>AM29/AM25</f>
        <v>3.6013142718482861E-2</v>
      </c>
      <c r="AO29" s="414">
        <v>-59990.229999999989</v>
      </c>
      <c r="AP29" s="335">
        <f>AO29/AO25</f>
        <v>7.3063047723139499E-2</v>
      </c>
      <c r="AQ29" s="414">
        <v>-67344.960000000006</v>
      </c>
      <c r="AR29" s="335">
        <f>AQ29/AQ25</f>
        <v>6.9207679858863724E-2</v>
      </c>
      <c r="AS29" s="414">
        <v>-54501.75</v>
      </c>
      <c r="AT29" s="335">
        <f>AS29/AS25</f>
        <v>4.6266659388744517E-2</v>
      </c>
      <c r="AU29" s="344">
        <f t="shared" si="1"/>
        <v>-804415.42999999993</v>
      </c>
      <c r="AV29" s="335">
        <f>AU29/AU25</f>
        <v>7.6893796342237447E-2</v>
      </c>
      <c r="AW29" s="332">
        <v>-0.19070781243317991</v>
      </c>
    </row>
    <row r="30" spans="1:49" x14ac:dyDescent="0.2">
      <c r="A30" s="437">
        <v>29</v>
      </c>
      <c r="B30" s="2" t="s">
        <v>97</v>
      </c>
      <c r="C30" s="2"/>
      <c r="D30" s="433" t="s">
        <v>352</v>
      </c>
      <c r="E30" s="252">
        <v>-7231.5300000000007</v>
      </c>
      <c r="F30" s="335">
        <f t="shared" si="8"/>
        <v>1.2164853699127164E-2</v>
      </c>
      <c r="G30" s="257">
        <v>-5268.5</v>
      </c>
      <c r="H30" s="335">
        <f t="shared" si="9"/>
        <v>8.1518174932386795E-3</v>
      </c>
      <c r="I30" s="257">
        <v>-4922.4799999999996</v>
      </c>
      <c r="J30" s="335">
        <f>I30/I25</f>
        <v>7.1810138386904747E-3</v>
      </c>
      <c r="K30" s="257">
        <v>-4773.74</v>
      </c>
      <c r="L30" s="335">
        <f>K30/K25</f>
        <v>6.8662099204158025E-3</v>
      </c>
      <c r="M30" s="257">
        <v>-4733.74</v>
      </c>
      <c r="N30" s="335">
        <f>M30/M25</f>
        <v>6.6955347665431288E-3</v>
      </c>
      <c r="O30" s="358">
        <v>-5213.74</v>
      </c>
      <c r="P30" s="335">
        <f>O30/O25</f>
        <v>6.0543118830969503E-3</v>
      </c>
      <c r="Q30" s="358">
        <v>-5887.36</v>
      </c>
      <c r="R30" s="335">
        <f>Q30/Q25</f>
        <v>7.0316359000547352E-3</v>
      </c>
      <c r="S30" s="358">
        <v>-5727.88</v>
      </c>
      <c r="T30" s="335">
        <f>S30/S25</f>
        <v>6.4513204281320185E-3</v>
      </c>
      <c r="U30" s="344">
        <f t="shared" si="0"/>
        <v>-43758.969999999994</v>
      </c>
      <c r="V30" s="335">
        <f t="shared" si="10"/>
        <v>7.398234988111799E-3</v>
      </c>
      <c r="W30" s="414">
        <v>-8625.2900000000009</v>
      </c>
      <c r="X30" s="335">
        <f>W30/W25</f>
        <v>1.1517624730107595E-2</v>
      </c>
      <c r="Y30" s="414">
        <v>-8967.49</v>
      </c>
      <c r="Z30" s="335">
        <f>Y30/Y25</f>
        <v>1.0878603496844771E-2</v>
      </c>
      <c r="AA30" s="414">
        <v>-15225.14</v>
      </c>
      <c r="AB30" s="335">
        <f>AA30/AA25</f>
        <v>1.8055275693943888E-2</v>
      </c>
      <c r="AC30" s="414">
        <v>-10504.51</v>
      </c>
      <c r="AD30" s="335">
        <f>AC30/AC25</f>
        <v>1.2470750623947939E-2</v>
      </c>
      <c r="AE30" s="414">
        <v>-7660.46</v>
      </c>
      <c r="AF30" s="335">
        <f>AE30/AE25</f>
        <v>8.9458851060914765E-3</v>
      </c>
      <c r="AG30" s="414">
        <v>-6240.99</v>
      </c>
      <c r="AH30" s="335">
        <f>AG30/AG25</f>
        <v>7.7258615800928692E-3</v>
      </c>
      <c r="AI30" s="414">
        <v>-7958.13</v>
      </c>
      <c r="AJ30" s="335">
        <f>AI30/AI25</f>
        <v>9.0000829706334447E-3</v>
      </c>
      <c r="AK30" s="414">
        <v>-5897.39</v>
      </c>
      <c r="AL30" s="335">
        <f>AK30/AK25</f>
        <v>7.3642311897773489E-3</v>
      </c>
      <c r="AM30" s="414">
        <v>-6085.92</v>
      </c>
      <c r="AN30" s="335">
        <f>AM30/AM25</f>
        <v>6.9057239007781959E-3</v>
      </c>
      <c r="AO30" s="414">
        <v>-7944.2</v>
      </c>
      <c r="AP30" s="335">
        <f>AO30/AO25</f>
        <v>9.6753665342200704E-3</v>
      </c>
      <c r="AQ30" s="414">
        <v>-5678.95</v>
      </c>
      <c r="AR30" s="335">
        <f>AQ30/AQ25</f>
        <v>5.836026237664914E-3</v>
      </c>
      <c r="AS30" s="414">
        <v>-6292.98</v>
      </c>
      <c r="AT30" s="335">
        <f>AS30/AS25</f>
        <v>5.3421250180073383E-3</v>
      </c>
      <c r="AU30" s="344">
        <f t="shared" si="1"/>
        <v>-97081.449999999983</v>
      </c>
      <c r="AV30" s="335">
        <f>AU30/AU25</f>
        <v>9.2799826638197466E-3</v>
      </c>
      <c r="AW30" s="332">
        <v>0.10812386092499482</v>
      </c>
    </row>
    <row r="31" spans="1:49" x14ac:dyDescent="0.2">
      <c r="A31" s="437">
        <v>30</v>
      </c>
      <c r="B31" s="2" t="s">
        <v>97</v>
      </c>
      <c r="C31" s="2"/>
      <c r="D31" s="433" t="s">
        <v>353</v>
      </c>
      <c r="E31" s="252">
        <v>-37496.6</v>
      </c>
      <c r="F31" s="335">
        <f t="shared" si="8"/>
        <v>6.3076645359238168E-2</v>
      </c>
      <c r="G31" s="257">
        <v>-40796.76</v>
      </c>
      <c r="H31" s="335">
        <f t="shared" si="9"/>
        <v>6.3123800291441601E-2</v>
      </c>
      <c r="I31" s="257">
        <v>-36780.47</v>
      </c>
      <c r="J31" s="335">
        <f>I31/I25</f>
        <v>5.3656096939660468E-2</v>
      </c>
      <c r="K31" s="257">
        <v>-34695.78</v>
      </c>
      <c r="L31" s="335">
        <f>K31/K25</f>
        <v>4.9903955563680512E-2</v>
      </c>
      <c r="M31" s="257">
        <v>-37222.89</v>
      </c>
      <c r="N31" s="335">
        <f>M31/M25</f>
        <v>5.2649100733502596E-2</v>
      </c>
      <c r="O31" s="358">
        <v>-137704.1</v>
      </c>
      <c r="P31" s="335">
        <f>O31/O25</f>
        <v>0.1599050909675532</v>
      </c>
      <c r="Q31" s="358">
        <v>-43561.63</v>
      </c>
      <c r="R31" s="335">
        <f>Q31/Q25</f>
        <v>5.2028332117095157E-2</v>
      </c>
      <c r="S31" s="358">
        <v>-42967.49</v>
      </c>
      <c r="T31" s="335">
        <f>S31/S25</f>
        <v>4.839435288144274E-2</v>
      </c>
      <c r="U31" s="344">
        <f t="shared" si="0"/>
        <v>-411225.72</v>
      </c>
      <c r="V31" s="335">
        <f t="shared" si="10"/>
        <v>6.9525048457846836E-2</v>
      </c>
      <c r="W31" s="414">
        <v>-50914.1</v>
      </c>
      <c r="X31" s="335">
        <f>W31/W25</f>
        <v>6.7987220982850552E-2</v>
      </c>
      <c r="Y31" s="414">
        <v>-65071.91</v>
      </c>
      <c r="Z31" s="335">
        <f>Y31/Y25</f>
        <v>7.8939759918591298E-2</v>
      </c>
      <c r="AA31" s="414">
        <v>-62148.17</v>
      </c>
      <c r="AB31" s="335">
        <f>AA31/AA25</f>
        <v>7.3700625624729399E-2</v>
      </c>
      <c r="AC31" s="414">
        <v>-69780.524000000005</v>
      </c>
      <c r="AD31" s="335">
        <f>AC31/AC25</f>
        <v>8.2842085276934777E-2</v>
      </c>
      <c r="AE31" s="414">
        <v>-64244.51</v>
      </c>
      <c r="AF31" s="335">
        <f>AE31/AE25</f>
        <v>7.5024738091073503E-2</v>
      </c>
      <c r="AG31" s="414">
        <v>-65298.07</v>
      </c>
      <c r="AH31" s="335">
        <f>AG31/AG25</f>
        <v>8.0833946259682321E-2</v>
      </c>
      <c r="AI31" s="414">
        <v>-64024.160000000003</v>
      </c>
      <c r="AJ31" s="335">
        <f>AI31/AI25</f>
        <v>7.2406803121475904E-2</v>
      </c>
      <c r="AK31" s="414">
        <v>-64368.57</v>
      </c>
      <c r="AL31" s="335">
        <f>AK31/AK25</f>
        <v>8.0378782959133879E-2</v>
      </c>
      <c r="AM31" s="414">
        <v>-65033.29</v>
      </c>
      <c r="AN31" s="335">
        <f>AM31/AM25</f>
        <v>7.3793599833589602E-2</v>
      </c>
      <c r="AO31" s="414">
        <v>-65030.33</v>
      </c>
      <c r="AP31" s="335">
        <f>AO31/AO25</f>
        <v>7.920146504258295E-2</v>
      </c>
      <c r="AQ31" s="414">
        <v>-67681.41</v>
      </c>
      <c r="AR31" s="335">
        <f>AQ31/AQ25</f>
        <v>6.9553435857360346E-2</v>
      </c>
      <c r="AS31" s="414">
        <v>-63040.480000000003</v>
      </c>
      <c r="AT31" s="335">
        <f>AS31/AS25</f>
        <v>5.3515206683509453E-2</v>
      </c>
      <c r="AU31" s="344">
        <f t="shared" si="1"/>
        <v>-766635.52399999998</v>
      </c>
      <c r="AV31" s="335">
        <f>AU31/AU25</f>
        <v>7.3282428025007534E-2</v>
      </c>
      <c r="AW31" s="332">
        <v>-6.8570232209996806E-2</v>
      </c>
    </row>
    <row r="32" spans="1:49" x14ac:dyDescent="0.2">
      <c r="A32" s="437">
        <v>31</v>
      </c>
      <c r="B32" s="2" t="s">
        <v>97</v>
      </c>
      <c r="C32" s="2"/>
      <c r="D32" s="433" t="s">
        <v>354</v>
      </c>
      <c r="E32" s="252">
        <v>-17075.189999999999</v>
      </c>
      <c r="F32" s="335">
        <f t="shared" si="8"/>
        <v>2.8723823068534476E-2</v>
      </c>
      <c r="G32" s="257">
        <v>-18098.29</v>
      </c>
      <c r="H32" s="335">
        <f t="shared" si="9"/>
        <v>2.8003028759553322E-2</v>
      </c>
      <c r="I32" s="257">
        <v>-18926.8</v>
      </c>
      <c r="J32" s="335">
        <f>I32/I25</f>
        <v>2.7610800393729762E-2</v>
      </c>
      <c r="K32" s="257">
        <v>-18344.009999999998</v>
      </c>
      <c r="L32" s="335">
        <f>K32/K25</f>
        <v>2.638472632405759E-2</v>
      </c>
      <c r="M32" s="257">
        <v>-18505.25</v>
      </c>
      <c r="N32" s="335">
        <f>M32/M25</f>
        <v>2.6174345177084554E-2</v>
      </c>
      <c r="O32" s="358">
        <v>-16751.009999999998</v>
      </c>
      <c r="P32" s="335">
        <f>O32/O25</f>
        <v>1.945164870071692E-2</v>
      </c>
      <c r="Q32" s="358">
        <v>-34162.67</v>
      </c>
      <c r="R32" s="335">
        <f>Q32/Q25</f>
        <v>4.0802576505211657E-2</v>
      </c>
      <c r="S32" s="358">
        <v>-19319</v>
      </c>
      <c r="T32" s="335">
        <f>S32/S25</f>
        <v>2.1759020676250632E-2</v>
      </c>
      <c r="U32" s="344">
        <f t="shared" si="0"/>
        <v>-161182.21999999997</v>
      </c>
      <c r="V32" s="335">
        <f t="shared" si="10"/>
        <v>2.7250731437817966E-2</v>
      </c>
      <c r="W32" s="414">
        <v>-27717.360000000001</v>
      </c>
      <c r="X32" s="335">
        <f>W32/W25</f>
        <v>3.701187449805108E-2</v>
      </c>
      <c r="Y32" s="414">
        <v>-19043.96</v>
      </c>
      <c r="Z32" s="335">
        <f>Y32/Y25</f>
        <v>2.3102528115422703E-2</v>
      </c>
      <c r="AA32" s="414">
        <v>-32720.92</v>
      </c>
      <c r="AB32" s="335">
        <f>AA32/AA25</f>
        <v>3.8803270876949729E-2</v>
      </c>
      <c r="AC32" s="414">
        <v>-32819.553999999996</v>
      </c>
      <c r="AD32" s="335">
        <f>AC32/AC25</f>
        <v>3.8962738245115008E-2</v>
      </c>
      <c r="AE32" s="414">
        <v>-35004.78</v>
      </c>
      <c r="AF32" s="335">
        <f>AE32/AE25</f>
        <v>4.0878581709715707E-2</v>
      </c>
      <c r="AG32" s="414">
        <v>-33537.25</v>
      </c>
      <c r="AH32" s="335">
        <f>AG32/AG25</f>
        <v>4.1516514411490742E-2</v>
      </c>
      <c r="AI32" s="414">
        <v>-32443.43</v>
      </c>
      <c r="AJ32" s="335">
        <f>AI32/AI25</f>
        <v>3.6691227945753364E-2</v>
      </c>
      <c r="AK32" s="414">
        <v>-32446.79</v>
      </c>
      <c r="AL32" s="335">
        <f>AK32/AK25</f>
        <v>4.051718860820732E-2</v>
      </c>
      <c r="AM32" s="414">
        <v>-26724.33</v>
      </c>
      <c r="AN32" s="335">
        <f>AM32/AM25</f>
        <v>3.0324231079817639E-2</v>
      </c>
      <c r="AO32" s="414">
        <v>-23328.79</v>
      </c>
      <c r="AP32" s="335">
        <f>AO32/AO25</f>
        <v>2.8412501453871735E-2</v>
      </c>
      <c r="AQ32" s="414">
        <v>-36474.76</v>
      </c>
      <c r="AR32" s="335">
        <f>AQ32/AQ25</f>
        <v>3.7483629257614649E-2</v>
      </c>
      <c r="AS32" s="414">
        <v>-37518.379999999997</v>
      </c>
      <c r="AT32" s="335">
        <f>AS32/AS25</f>
        <v>3.1849438013962568E-2</v>
      </c>
      <c r="AU32" s="344">
        <f t="shared" si="1"/>
        <v>-369780.304</v>
      </c>
      <c r="AV32" s="335">
        <f>AU32/AU25</f>
        <v>3.534717302370325E-2</v>
      </c>
      <c r="AW32" s="332">
        <v>2.8612114240093467E-2</v>
      </c>
    </row>
    <row r="33" spans="1:49" x14ac:dyDescent="0.2">
      <c r="A33" s="437">
        <v>32</v>
      </c>
      <c r="B33" s="2" t="s">
        <v>97</v>
      </c>
      <c r="C33" s="2"/>
      <c r="D33" s="429" t="s">
        <v>355</v>
      </c>
      <c r="E33" s="260">
        <v>-52394.22</v>
      </c>
      <c r="F33" s="335">
        <f t="shared" si="8"/>
        <v>8.8137368023071525E-2</v>
      </c>
      <c r="G33" s="263">
        <v>-41642.620000000003</v>
      </c>
      <c r="H33" s="335">
        <f t="shared" si="9"/>
        <v>6.4432578187395076E-2</v>
      </c>
      <c r="I33" s="263">
        <v>-48085.99</v>
      </c>
      <c r="J33" s="335">
        <f>I33/I25</f>
        <v>7.0148819220622896E-2</v>
      </c>
      <c r="K33" s="263">
        <v>-53139.99</v>
      </c>
      <c r="L33" s="335">
        <f>K33/K25</f>
        <v>7.6432802479564563E-2</v>
      </c>
      <c r="M33" s="263">
        <v>-57899.24</v>
      </c>
      <c r="N33" s="335">
        <f>M33/M25</f>
        <v>8.1894310709169624E-2</v>
      </c>
      <c r="O33" s="357">
        <v>-60817.24</v>
      </c>
      <c r="P33" s="335">
        <f>O33/O25</f>
        <v>7.0622343812533642E-2</v>
      </c>
      <c r="Q33" s="357">
        <v>-81642.240000000005</v>
      </c>
      <c r="R33" s="335">
        <f>Q33/Q25</f>
        <v>9.7510345170821008E-2</v>
      </c>
      <c r="S33" s="357">
        <v>-82098.929999999993</v>
      </c>
      <c r="T33" s="335">
        <f>S33/S25</f>
        <v>9.246815649712993E-2</v>
      </c>
      <c r="U33" s="344">
        <f t="shared" si="0"/>
        <v>-477720.47</v>
      </c>
      <c r="V33" s="335">
        <f t="shared" si="10"/>
        <v>8.0767172894865055E-2</v>
      </c>
      <c r="W33" s="415">
        <v>-47101.599999999999</v>
      </c>
      <c r="X33" s="335">
        <f>W33/W25</f>
        <v>6.2896268182013104E-2</v>
      </c>
      <c r="Y33" s="415">
        <v>-78225.320000000007</v>
      </c>
      <c r="Z33" s="335">
        <f>Y33/Y25</f>
        <v>9.489636896096916E-2</v>
      </c>
      <c r="AA33" s="415">
        <v>-60110.36</v>
      </c>
      <c r="AB33" s="335">
        <f>AA33/AA25</f>
        <v>7.1284015901477218E-2</v>
      </c>
      <c r="AC33" s="415">
        <v>-50886.614000000001</v>
      </c>
      <c r="AD33" s="335">
        <f>AC33/AC25</f>
        <v>6.0411601615981893E-2</v>
      </c>
      <c r="AE33" s="415">
        <v>-77283.78</v>
      </c>
      <c r="AF33" s="335">
        <f>AE33/AE25</f>
        <v>9.0251997457652708E-2</v>
      </c>
      <c r="AG33" s="415">
        <v>-73052.55</v>
      </c>
      <c r="AH33" s="335">
        <f>AG33/AG25</f>
        <v>9.0433391076225625E-2</v>
      </c>
      <c r="AI33" s="415">
        <v>-79528.5</v>
      </c>
      <c r="AJ33" s="335">
        <f>AI33/AI25</f>
        <v>8.9941116635443491E-2</v>
      </c>
      <c r="AK33" s="415">
        <v>-58336.51</v>
      </c>
      <c r="AL33" s="335">
        <f>AK33/AK25</f>
        <v>7.2846385679895376E-2</v>
      </c>
      <c r="AM33" s="415">
        <v>-82813.67</v>
      </c>
      <c r="AN33" s="335">
        <f>AM33/AM25</f>
        <v>9.3969086059323526E-2</v>
      </c>
      <c r="AO33" s="415">
        <v>-85090.01</v>
      </c>
      <c r="AP33" s="335">
        <f>AO33/AO25</f>
        <v>0.10363246584306174</v>
      </c>
      <c r="AQ33" s="415">
        <v>-84249.94</v>
      </c>
      <c r="AR33" s="335">
        <f>AQ33/AQ25</f>
        <v>8.6580241129380398E-2</v>
      </c>
      <c r="AS33" s="415">
        <v>-83355.8</v>
      </c>
      <c r="AT33" s="335">
        <f>AS33/AS25</f>
        <v>7.0760927982611757E-2</v>
      </c>
      <c r="AU33" s="344">
        <f t="shared" si="1"/>
        <v>-860034.6540000001</v>
      </c>
      <c r="AV33" s="335">
        <f>AU33/AU25</f>
        <v>8.2210418977098257E-2</v>
      </c>
      <c r="AW33" s="332">
        <v>-1.0612945243640537E-2</v>
      </c>
    </row>
    <row r="34" spans="1:49" x14ac:dyDescent="0.2">
      <c r="A34" s="437">
        <v>33</v>
      </c>
      <c r="B34" s="2" t="s">
        <v>397</v>
      </c>
      <c r="C34" s="2">
        <v>1</v>
      </c>
      <c r="D34" s="429" t="s">
        <v>356</v>
      </c>
      <c r="E34" s="260">
        <v>-377876.51</v>
      </c>
      <c r="F34" s="335">
        <f t="shared" si="8"/>
        <v>0.63566250302311722</v>
      </c>
      <c r="G34" s="263">
        <v>-447513.51</v>
      </c>
      <c r="H34" s="335">
        <f t="shared" si="9"/>
        <v>0.6924263944725525</v>
      </c>
      <c r="I34" s="263">
        <v>-494827.37000000005</v>
      </c>
      <c r="J34" s="335">
        <f>I34/I25</f>
        <v>0.72186422123255201</v>
      </c>
      <c r="K34" s="263">
        <v>-502670.66000000003</v>
      </c>
      <c r="L34" s="335">
        <f>K34/K25</f>
        <v>0.72300591829340499</v>
      </c>
      <c r="M34" s="263">
        <v>-508838.19</v>
      </c>
      <c r="N34" s="335">
        <f>M34/M25</f>
        <v>0.71971502272830334</v>
      </c>
      <c r="O34" s="357">
        <v>-521239.39</v>
      </c>
      <c r="P34" s="335">
        <f>O34/O25</f>
        <v>0.60527487615707842</v>
      </c>
      <c r="Q34" s="357">
        <v>-600306.92999999982</v>
      </c>
      <c r="R34" s="335">
        <f>Q34/Q25</f>
        <v>0.7169834628831333</v>
      </c>
      <c r="S34" s="357">
        <v>-615099.82999999996</v>
      </c>
      <c r="T34" s="335">
        <f>S34/S25</f>
        <v>0.69278792478535367</v>
      </c>
      <c r="U34" s="344">
        <f t="shared" si="0"/>
        <v>-4068372.39</v>
      </c>
      <c r="V34" s="335">
        <f t="shared" si="10"/>
        <v>0.68783097409207816</v>
      </c>
      <c r="W34" s="415">
        <v>-526895.42879999999</v>
      </c>
      <c r="X34" s="335">
        <f>W34/W25</f>
        <v>0.70358026465516221</v>
      </c>
      <c r="Y34" s="415">
        <v>-475823.33700000006</v>
      </c>
      <c r="Z34" s="335">
        <f>Y34/Y25</f>
        <v>0.57722879175427555</v>
      </c>
      <c r="AA34" s="415">
        <v>-522863.83350000001</v>
      </c>
      <c r="AB34" s="335">
        <f>AA34/AA25</f>
        <v>0.62005673932948224</v>
      </c>
      <c r="AC34" s="415">
        <v>-540123.74239999999</v>
      </c>
      <c r="AD34" s="335">
        <f>AC34/AC25</f>
        <v>0.64122443574654087</v>
      </c>
      <c r="AE34" s="415">
        <v>-556426.91</v>
      </c>
      <c r="AF34" s="335">
        <f>AE34/AE25</f>
        <v>0.6497953395484739</v>
      </c>
      <c r="AG34" s="415">
        <v>-550571.80000000005</v>
      </c>
      <c r="AH34" s="335">
        <f>AG34/AG25</f>
        <v>0.68156518704605773</v>
      </c>
      <c r="AI34" s="415">
        <v>-591983.14500000002</v>
      </c>
      <c r="AJ34" s="335">
        <f>AI34/AI25</f>
        <v>0.66949112696280777</v>
      </c>
      <c r="AK34" s="415">
        <v>-568047.18450000009</v>
      </c>
      <c r="AL34" s="335">
        <f>AK34/AK25</f>
        <v>0.70933595935831084</v>
      </c>
      <c r="AM34" s="415">
        <v>-593873.33950000012</v>
      </c>
      <c r="AN34" s="335">
        <f>AM34/AM25</f>
        <v>0.67387105230106781</v>
      </c>
      <c r="AO34" s="415">
        <v>-528241.38699999999</v>
      </c>
      <c r="AP34" s="335">
        <f>AO34/AO25</f>
        <v>0.6433535205268992</v>
      </c>
      <c r="AQ34" s="415">
        <v>-663956.28</v>
      </c>
      <c r="AR34" s="335">
        <f>AQ34/AQ25</f>
        <v>0.68232089924059769</v>
      </c>
      <c r="AS34" s="415">
        <v>-878147.71000000008</v>
      </c>
      <c r="AT34" s="335">
        <f>AS34/AS25</f>
        <v>0.74546158594129552</v>
      </c>
      <c r="AU34" s="344">
        <f t="shared" si="1"/>
        <v>-6996954.0977000007</v>
      </c>
      <c r="AV34" s="335">
        <f>AU34/AU25</f>
        <v>0.66883645357788279</v>
      </c>
      <c r="AW34" s="332">
        <v>0.32259869580569367</v>
      </c>
    </row>
    <row r="35" spans="1:49" x14ac:dyDescent="0.2">
      <c r="A35" s="437">
        <v>34</v>
      </c>
      <c r="B35" s="2" t="s">
        <v>97</v>
      </c>
      <c r="C35" s="2"/>
      <c r="D35" s="429" t="s">
        <v>357</v>
      </c>
      <c r="E35" s="260">
        <v>-4840.16</v>
      </c>
      <c r="F35" s="335">
        <f t="shared" si="8"/>
        <v>8.1420997050924669E-3</v>
      </c>
      <c r="G35" s="263">
        <v>-4780.9400000000005</v>
      </c>
      <c r="H35" s="335">
        <f t="shared" si="9"/>
        <v>7.397428172368708E-3</v>
      </c>
      <c r="I35" s="263">
        <v>-5080.03</v>
      </c>
      <c r="J35" s="335">
        <f>I35/I25</f>
        <v>7.4108509797831124E-3</v>
      </c>
      <c r="K35" s="263">
        <v>-5280.54</v>
      </c>
      <c r="L35" s="335">
        <f>K35/K25</f>
        <v>7.5951551892546433E-3</v>
      </c>
      <c r="M35" s="263">
        <v>-5535.14</v>
      </c>
      <c r="N35" s="335">
        <f>M35/M25</f>
        <v>7.8290574276752706E-3</v>
      </c>
      <c r="O35" s="357">
        <v>-5597.23</v>
      </c>
      <c r="P35" s="335">
        <f>O35/O25</f>
        <v>6.4996290765221782E-3</v>
      </c>
      <c r="Q35" s="357">
        <v>-6602.67</v>
      </c>
      <c r="R35" s="335">
        <f>Q35/Q25</f>
        <v>7.8859745978187845E-3</v>
      </c>
      <c r="S35" s="357">
        <v>-6910.08</v>
      </c>
      <c r="T35" s="335">
        <f>S35/S25</f>
        <v>7.7828341836816591E-3</v>
      </c>
      <c r="U35" s="344">
        <f t="shared" si="0"/>
        <v>-44626.79</v>
      </c>
      <c r="V35" s="335">
        <f t="shared" si="10"/>
        <v>7.5449554499367284E-3</v>
      </c>
      <c r="W35" s="415">
        <v>-6479.54</v>
      </c>
      <c r="X35" s="335">
        <f>W35/W25</f>
        <v>8.6523363439051162E-3</v>
      </c>
      <c r="Y35" s="415">
        <v>-3622.44</v>
      </c>
      <c r="Z35" s="335">
        <f>Y35/Y25</f>
        <v>4.3944390739337732E-3</v>
      </c>
      <c r="AA35" s="415">
        <v>-7498.74</v>
      </c>
      <c r="AB35" s="335">
        <f>AA35/AA25</f>
        <v>8.8926484785824475E-3</v>
      </c>
      <c r="AC35" s="415">
        <v>-6220.04</v>
      </c>
      <c r="AD35" s="335">
        <f>AC35/AC25</f>
        <v>7.3843109017918147E-3</v>
      </c>
      <c r="AE35" s="415">
        <v>0</v>
      </c>
      <c r="AF35" s="335">
        <f>AE35/AE25</f>
        <v>0</v>
      </c>
      <c r="AG35" s="415">
        <v>0</v>
      </c>
      <c r="AH35" s="335">
        <f>AG35/AG25</f>
        <v>0</v>
      </c>
      <c r="AI35" s="415">
        <v>0</v>
      </c>
      <c r="AJ35" s="335">
        <f>AI35/AI25</f>
        <v>0</v>
      </c>
      <c r="AK35" s="415">
        <v>0</v>
      </c>
      <c r="AL35" s="335">
        <f>AK35/AK25</f>
        <v>0</v>
      </c>
      <c r="AM35" s="415">
        <v>0</v>
      </c>
      <c r="AN35" s="335">
        <f>AM35/AM25</f>
        <v>0</v>
      </c>
      <c r="AO35" s="415">
        <v>0</v>
      </c>
      <c r="AP35" s="335">
        <f>AO35/AO25</f>
        <v>0</v>
      </c>
      <c r="AQ35" s="415">
        <v>0</v>
      </c>
      <c r="AR35" s="335">
        <f>AQ35/AQ25</f>
        <v>0</v>
      </c>
      <c r="AS35" s="415">
        <v>0</v>
      </c>
      <c r="AT35" s="335">
        <f>AS35/AS25</f>
        <v>0</v>
      </c>
      <c r="AU35" s="344">
        <f t="shared" si="1"/>
        <v>-23820.760000000002</v>
      </c>
      <c r="AV35" s="335">
        <f>AU35/AU25</f>
        <v>2.2770183164653071E-3</v>
      </c>
      <c r="AW35" s="332"/>
    </row>
    <row r="36" spans="1:49" ht="14.25" x14ac:dyDescent="0.2">
      <c r="A36" s="437">
        <v>35</v>
      </c>
      <c r="B36" s="110"/>
      <c r="C36" s="110"/>
      <c r="D36" s="423" t="s">
        <v>358</v>
      </c>
      <c r="E36" s="262">
        <v>1263545.8499999996</v>
      </c>
      <c r="F36" s="337">
        <f>E36/E2</f>
        <v>0.34808533689304311</v>
      </c>
      <c r="G36" s="262">
        <v>1696832.7696000002</v>
      </c>
      <c r="H36" s="337">
        <f>G36/G2</f>
        <v>0.41710447359703473</v>
      </c>
      <c r="I36" s="262">
        <v>2062866.9512030005</v>
      </c>
      <c r="J36" s="337">
        <f>I36/I2</f>
        <v>0.44455978508177302</v>
      </c>
      <c r="K36" s="262">
        <v>1002841.2585999998</v>
      </c>
      <c r="L36" s="337">
        <f>K36/K2</f>
        <v>0.29032434834874843</v>
      </c>
      <c r="M36" s="262">
        <v>1696216.1949960007</v>
      </c>
      <c r="N36" s="337">
        <f>M36/M2</f>
        <v>0.39881533156713161</v>
      </c>
      <c r="O36" s="367">
        <v>1843459.0687999993</v>
      </c>
      <c r="P36" s="337">
        <f>O36/O2</f>
        <v>0.39574997823998559</v>
      </c>
      <c r="Q36" s="367">
        <v>3303573.8964000004</v>
      </c>
      <c r="R36" s="337">
        <f>Q36/Q2</f>
        <v>0.53766139798510648</v>
      </c>
      <c r="S36" s="367">
        <v>2515839.4304999993</v>
      </c>
      <c r="T36" s="337">
        <f>S36/S2</f>
        <v>0.4736049079521108</v>
      </c>
      <c r="U36" s="344">
        <f t="shared" si="0"/>
        <v>15385175.420099</v>
      </c>
      <c r="V36" s="337">
        <f>U36/U2</f>
        <v>0.42547155171734702</v>
      </c>
      <c r="W36" s="367">
        <v>1770045.9063999997</v>
      </c>
      <c r="X36" s="337">
        <f>W36/W2</f>
        <v>0.40204066240954373</v>
      </c>
      <c r="Y36" s="367">
        <v>1450169.4548000004</v>
      </c>
      <c r="Z36" s="337">
        <f>Y36/Y2</f>
        <v>0.35488967534345423</v>
      </c>
      <c r="AA36" s="367">
        <v>1034464.9144000006</v>
      </c>
      <c r="AB36" s="337">
        <f>AA36/AA2</f>
        <v>0.25553736493787021</v>
      </c>
      <c r="AC36" s="367">
        <v>802504.91399999987</v>
      </c>
      <c r="AD36" s="337">
        <f>AC36/AC2</f>
        <v>0.20370070875990176</v>
      </c>
      <c r="AE36" s="367">
        <v>514588.28899999964</v>
      </c>
      <c r="AF36" s="337">
        <f>AE36/AE2</f>
        <v>0.14502753821666869</v>
      </c>
      <c r="AG36" s="367">
        <v>914307.95</v>
      </c>
      <c r="AH36" s="337">
        <f>AG36/AG2</f>
        <v>0.21240666608228351</v>
      </c>
      <c r="AI36" s="367">
        <v>1499238.6250000005</v>
      </c>
      <c r="AJ36" s="337">
        <f>AI36/AI2</f>
        <v>0.33124956205901646</v>
      </c>
      <c r="AK36" s="367">
        <v>1920835.9956999999</v>
      </c>
      <c r="AL36" s="337">
        <f>AK36/AK2</f>
        <v>0.39780385906388105</v>
      </c>
      <c r="AM36" s="367">
        <v>1197749.4492000001</v>
      </c>
      <c r="AN36" s="337">
        <f>AM36/AM2</f>
        <v>0.27095482096276852</v>
      </c>
      <c r="AO36" s="367">
        <v>1332855.1862000006</v>
      </c>
      <c r="AP36" s="337">
        <f>AO36/AO2</f>
        <v>0.30994251590368554</v>
      </c>
      <c r="AQ36" s="367">
        <v>1394471.1999999995</v>
      </c>
      <c r="AR36" s="337">
        <f>AQ36/AQ2</f>
        <v>0.29784958284134977</v>
      </c>
      <c r="AS36" s="367">
        <v>3715714.0756000001</v>
      </c>
      <c r="AT36" s="337">
        <f>AS36/AS2</f>
        <v>0.50571595079338327</v>
      </c>
      <c r="AU36" s="344">
        <f t="shared" si="1"/>
        <v>17546945.960300002</v>
      </c>
      <c r="AV36" s="337">
        <f>AU36/AU2</f>
        <v>0.32235206778568565</v>
      </c>
      <c r="AW36" s="332"/>
    </row>
    <row r="37" spans="1:49" ht="14.25" x14ac:dyDescent="0.2">
      <c r="A37" s="437">
        <v>36</v>
      </c>
      <c r="B37" s="2" t="s">
        <v>97</v>
      </c>
      <c r="C37" s="2"/>
      <c r="D37" s="425" t="s">
        <v>362</v>
      </c>
      <c r="E37" s="272">
        <v>-13257.33</v>
      </c>
      <c r="F37" s="335"/>
      <c r="G37" s="272">
        <v>-22935.85</v>
      </c>
      <c r="H37" s="335"/>
      <c r="I37" s="272">
        <v>-15620.210000000001</v>
      </c>
      <c r="J37" s="334"/>
      <c r="K37" s="272">
        <v>-6625.4000000000015</v>
      </c>
      <c r="L37" s="334"/>
      <c r="M37" s="272">
        <v>-3678.0299999999988</v>
      </c>
      <c r="N37" s="334"/>
      <c r="O37" s="364">
        <v>23899.430000000004</v>
      </c>
      <c r="P37" s="334"/>
      <c r="Q37" s="364">
        <v>34886.639999999999</v>
      </c>
      <c r="R37" s="334"/>
      <c r="S37" s="364">
        <v>13914.510000000002</v>
      </c>
      <c r="T37" s="334"/>
      <c r="U37" s="344">
        <f t="shared" si="0"/>
        <v>10583.760000000002</v>
      </c>
      <c r="V37" s="335">
        <f t="shared" si="10"/>
        <v>-1.7893735510177264E-3</v>
      </c>
      <c r="W37" s="364">
        <v>68133.19</v>
      </c>
      <c r="X37" s="334"/>
      <c r="Y37" s="364">
        <v>-9075.2800000000025</v>
      </c>
      <c r="Z37" s="334"/>
      <c r="AA37" s="364">
        <v>-27419.26</v>
      </c>
      <c r="AB37" s="334"/>
      <c r="AC37" s="364">
        <v>29239.273999999998</v>
      </c>
      <c r="AD37" s="334"/>
      <c r="AE37" s="364">
        <v>368.47999999999956</v>
      </c>
      <c r="AF37" s="334"/>
      <c r="AG37" s="364">
        <v>-37183.379999999997</v>
      </c>
      <c r="AH37" s="334"/>
      <c r="AI37" s="364">
        <v>-4596.4900000000016</v>
      </c>
      <c r="AJ37" s="334"/>
      <c r="AK37" s="364">
        <v>-6423.75</v>
      </c>
      <c r="AL37" s="334"/>
      <c r="AM37" s="364">
        <v>-25763.630000000005</v>
      </c>
      <c r="AN37" s="334"/>
      <c r="AO37" s="364">
        <v>-1719.7800000000025</v>
      </c>
      <c r="AP37" s="334"/>
      <c r="AQ37" s="364">
        <v>11195.16</v>
      </c>
      <c r="AR37" s="334"/>
      <c r="AS37" s="364">
        <v>30939.329999999994</v>
      </c>
      <c r="AT37" s="334"/>
      <c r="AU37" s="344">
        <f t="shared" si="1"/>
        <v>27693.863999999983</v>
      </c>
      <c r="AV37" s="334">
        <f>AU37/AU25</f>
        <v>-2.6472470056244693E-3</v>
      </c>
      <c r="AW37" s="332">
        <v>1.7636344634645682</v>
      </c>
    </row>
    <row r="38" spans="1:49" ht="14.25" x14ac:dyDescent="0.2">
      <c r="A38" s="437">
        <v>37</v>
      </c>
      <c r="B38" s="110"/>
      <c r="C38" s="110"/>
      <c r="D38" s="430" t="s">
        <v>359</v>
      </c>
      <c r="E38" s="250">
        <v>417.34</v>
      </c>
      <c r="F38" s="335"/>
      <c r="G38" s="256">
        <v>0</v>
      </c>
      <c r="H38" s="335"/>
      <c r="I38" s="256">
        <v>0</v>
      </c>
      <c r="J38" s="338"/>
      <c r="K38" s="256">
        <v>0</v>
      </c>
      <c r="L38" s="338"/>
      <c r="M38" s="256">
        <v>0</v>
      </c>
      <c r="N38" s="338"/>
      <c r="O38" s="363">
        <v>0</v>
      </c>
      <c r="P38" s="338"/>
      <c r="Q38" s="363">
        <v>0</v>
      </c>
      <c r="R38" s="338"/>
      <c r="S38" s="363">
        <v>0</v>
      </c>
      <c r="T38" s="338"/>
      <c r="U38" s="344">
        <f t="shared" si="0"/>
        <v>417.34</v>
      </c>
      <c r="V38" s="335">
        <f t="shared" si="10"/>
        <v>-7.0558776633421172E-5</v>
      </c>
      <c r="W38" s="416">
        <v>0</v>
      </c>
      <c r="X38" s="338"/>
      <c r="Y38" s="363">
        <v>0</v>
      </c>
      <c r="Z38" s="338"/>
      <c r="AA38" s="363">
        <v>0</v>
      </c>
      <c r="AB38" s="338"/>
      <c r="AC38" s="363">
        <v>0</v>
      </c>
      <c r="AD38" s="338"/>
      <c r="AE38" s="363">
        <v>17562.849999999999</v>
      </c>
      <c r="AF38" s="338"/>
      <c r="AG38" s="363">
        <v>0</v>
      </c>
      <c r="AH38" s="338"/>
      <c r="AI38" s="363">
        <v>0</v>
      </c>
      <c r="AJ38" s="338"/>
      <c r="AK38" s="363">
        <v>0</v>
      </c>
      <c r="AL38" s="338"/>
      <c r="AM38" s="363">
        <v>0</v>
      </c>
      <c r="AN38" s="338"/>
      <c r="AO38" s="363">
        <v>0</v>
      </c>
      <c r="AP38" s="338"/>
      <c r="AQ38" s="363">
        <v>0</v>
      </c>
      <c r="AR38" s="338"/>
      <c r="AS38" s="363">
        <v>2574.7600000000002</v>
      </c>
      <c r="AT38" s="338"/>
      <c r="AU38" s="344">
        <f t="shared" si="1"/>
        <v>20137.61</v>
      </c>
      <c r="AV38" s="334">
        <f>AU38/AU25</f>
        <v>-1.9249472653196176E-3</v>
      </c>
      <c r="AW38" s="332"/>
    </row>
    <row r="39" spans="1:49" ht="14.25" x14ac:dyDescent="0.2">
      <c r="A39" s="437">
        <v>38</v>
      </c>
      <c r="B39" s="110"/>
      <c r="C39" s="110"/>
      <c r="D39" s="430" t="s">
        <v>360</v>
      </c>
      <c r="E39" s="250">
        <v>4179.58</v>
      </c>
      <c r="F39" s="335"/>
      <c r="G39" s="256">
        <v>0</v>
      </c>
      <c r="H39" s="335"/>
      <c r="I39" s="256">
        <v>13410.47</v>
      </c>
      <c r="J39" s="338"/>
      <c r="K39" s="256">
        <v>22837.03</v>
      </c>
      <c r="L39" s="338"/>
      <c r="M39" s="256">
        <v>26523.64</v>
      </c>
      <c r="N39" s="338"/>
      <c r="O39" s="363">
        <v>35961.980000000003</v>
      </c>
      <c r="P39" s="338"/>
      <c r="Q39" s="363">
        <v>47746.04</v>
      </c>
      <c r="R39" s="338"/>
      <c r="S39" s="363">
        <v>65531.21</v>
      </c>
      <c r="T39" s="338"/>
      <c r="U39" s="344">
        <f t="shared" si="0"/>
        <v>216189.95</v>
      </c>
      <c r="V39" s="335">
        <f t="shared" si="10"/>
        <v>-3.6550770097379823E-2</v>
      </c>
      <c r="W39" s="416">
        <v>82059.86</v>
      </c>
      <c r="X39" s="338"/>
      <c r="Y39" s="414">
        <v>18015.32</v>
      </c>
      <c r="Z39" s="338"/>
      <c r="AA39" s="363">
        <v>22165.99</v>
      </c>
      <c r="AB39" s="338"/>
      <c r="AC39" s="363">
        <v>22725.284</v>
      </c>
      <c r="AD39" s="338"/>
      <c r="AE39" s="363">
        <v>597.16</v>
      </c>
      <c r="AF39" s="338"/>
      <c r="AG39" s="363">
        <v>23613.25</v>
      </c>
      <c r="AH39" s="338"/>
      <c r="AI39" s="363">
        <v>24599.55</v>
      </c>
      <c r="AJ39" s="338"/>
      <c r="AK39" s="363">
        <v>23134.83</v>
      </c>
      <c r="AL39" s="338"/>
      <c r="AM39" s="363">
        <v>33486.949999999997</v>
      </c>
      <c r="AN39" s="338"/>
      <c r="AO39" s="363">
        <v>26851.37</v>
      </c>
      <c r="AP39" s="338"/>
      <c r="AQ39" s="363">
        <v>31212.34</v>
      </c>
      <c r="AR39" s="338"/>
      <c r="AS39" s="363">
        <v>65169.86</v>
      </c>
      <c r="AT39" s="338"/>
      <c r="AU39" s="344">
        <f t="shared" si="1"/>
        <v>373631.76400000002</v>
      </c>
      <c r="AV39" s="334">
        <f>AU39/AU25</f>
        <v>-3.571533277029125E-2</v>
      </c>
      <c r="AW39" s="332">
        <v>1.0879517524158713</v>
      </c>
    </row>
    <row r="40" spans="1:49" ht="14.25" x14ac:dyDescent="0.2">
      <c r="A40" s="437">
        <v>39</v>
      </c>
      <c r="B40" s="110"/>
      <c r="C40" s="110"/>
      <c r="D40" s="434" t="s">
        <v>361</v>
      </c>
      <c r="E40" s="252">
        <v>-17854.25</v>
      </c>
      <c r="F40" s="335"/>
      <c r="G40" s="257">
        <v>-22935.85</v>
      </c>
      <c r="H40" s="335"/>
      <c r="I40" s="257">
        <v>-29030.68</v>
      </c>
      <c r="J40" s="335"/>
      <c r="K40" s="257">
        <v>-29462.43</v>
      </c>
      <c r="L40" s="335"/>
      <c r="M40" s="257">
        <v>-30201.67</v>
      </c>
      <c r="N40" s="335"/>
      <c r="O40" s="358">
        <v>-12062.55</v>
      </c>
      <c r="P40" s="335"/>
      <c r="Q40" s="358">
        <v>-12859.4</v>
      </c>
      <c r="R40" s="335"/>
      <c r="S40" s="358">
        <v>-51616.7</v>
      </c>
      <c r="T40" s="335"/>
      <c r="U40" s="344">
        <f t="shared" si="0"/>
        <v>-206023.52999999997</v>
      </c>
      <c r="V40" s="335">
        <f t="shared" si="10"/>
        <v>3.483195532299551E-2</v>
      </c>
      <c r="W40" s="414">
        <v>-13926.67</v>
      </c>
      <c r="X40" s="335"/>
      <c r="Y40" s="358">
        <v>-27090.600000000002</v>
      </c>
      <c r="Z40" s="335"/>
      <c r="AA40" s="358">
        <v>-49585.25</v>
      </c>
      <c r="AB40" s="335"/>
      <c r="AC40" s="358">
        <v>6513.99</v>
      </c>
      <c r="AD40" s="335"/>
      <c r="AE40" s="358">
        <v>-17791.53</v>
      </c>
      <c r="AF40" s="335"/>
      <c r="AG40" s="358">
        <v>-60796.63</v>
      </c>
      <c r="AH40" s="335"/>
      <c r="AI40" s="358">
        <v>-29196.04</v>
      </c>
      <c r="AJ40" s="335"/>
      <c r="AK40" s="358">
        <v>-29558.58</v>
      </c>
      <c r="AL40" s="335"/>
      <c r="AM40" s="358">
        <v>-59250.58</v>
      </c>
      <c r="AN40" s="335"/>
      <c r="AO40" s="358">
        <v>-28571.15</v>
      </c>
      <c r="AP40" s="335"/>
      <c r="AQ40" s="358">
        <v>-20017.18</v>
      </c>
      <c r="AR40" s="335"/>
      <c r="AS40" s="358">
        <v>-36805.29</v>
      </c>
      <c r="AT40" s="335"/>
      <c r="AU40" s="344">
        <f t="shared" si="1"/>
        <v>-366075.51</v>
      </c>
      <c r="AV40" s="334">
        <f>AU40/AU25</f>
        <v>3.4993033029986395E-2</v>
      </c>
      <c r="AW40" s="332">
        <v>0.83868506952527788</v>
      </c>
    </row>
    <row r="41" spans="1:49" ht="14.25" x14ac:dyDescent="0.2">
      <c r="A41" s="437">
        <v>40</v>
      </c>
      <c r="B41" s="2" t="s">
        <v>97</v>
      </c>
      <c r="C41" s="2"/>
      <c r="D41" s="429" t="s">
        <v>363</v>
      </c>
      <c r="E41" s="272">
        <v>-411975.31</v>
      </c>
      <c r="F41" s="342">
        <f>E41/E44</f>
        <v>0.1458955689852936</v>
      </c>
      <c r="G41" s="272">
        <v>-492544.97</v>
      </c>
      <c r="H41" s="342">
        <f>G41/G44</f>
        <v>0.16874536743422655</v>
      </c>
      <c r="I41" s="272">
        <v>-554238.27</v>
      </c>
      <c r="J41" s="342">
        <f>I41/I44</f>
        <v>0.17432544292722599</v>
      </c>
      <c r="K41" s="272">
        <v>-542504.02</v>
      </c>
      <c r="L41" s="342">
        <f>K41/K44</f>
        <v>0.17889125256543245</v>
      </c>
      <c r="M41" s="272">
        <v>-510593.21</v>
      </c>
      <c r="N41" s="342">
        <f>M41/M44</f>
        <v>0.16453314080418016</v>
      </c>
      <c r="O41" s="368">
        <v>-580081.46</v>
      </c>
      <c r="P41" s="342">
        <f>O41/O44</f>
        <v>0.17046396078151288</v>
      </c>
      <c r="Q41" s="368">
        <v>-572999.98</v>
      </c>
      <c r="R41" s="342">
        <f>Q41/Q44</f>
        <v>0.1503553604447346</v>
      </c>
      <c r="S41" s="368">
        <v>-660493.47</v>
      </c>
      <c r="T41" s="342">
        <f>S41/S44</f>
        <v>0.16616445404380245</v>
      </c>
      <c r="U41" s="344">
        <f t="shared" si="0"/>
        <v>-4325430.6900000004</v>
      </c>
      <c r="V41" s="342">
        <f>U41/U44</f>
        <v>0.16479898601287027</v>
      </c>
      <c r="W41" s="364">
        <v>-837857.96</v>
      </c>
      <c r="X41" s="342">
        <f>W41/W44</f>
        <v>0.24399189534534763</v>
      </c>
      <c r="Y41" s="364">
        <v>-648920.18000000005</v>
      </c>
      <c r="Z41" s="342">
        <f>Y41/Y44</f>
        <v>0.19221684827262542</v>
      </c>
      <c r="AA41" s="364">
        <v>-721284.57</v>
      </c>
      <c r="AB41" s="342">
        <f>AA41/AA44</f>
        <v>0.20906161268181481</v>
      </c>
      <c r="AC41" s="364">
        <v>-581608.78399999999</v>
      </c>
      <c r="AD41" s="342">
        <f>AC41/AC44</f>
        <v>0.16998225956453605</v>
      </c>
      <c r="AE41" s="364">
        <v>-574289.68999999994</v>
      </c>
      <c r="AF41" s="342">
        <f>AE41/AE44</f>
        <v>0.16696229925368777</v>
      </c>
      <c r="AG41" s="364">
        <v>-556605.13</v>
      </c>
      <c r="AH41" s="342">
        <f>AG41/AG44</f>
        <v>0.15194196337401253</v>
      </c>
      <c r="AI41" s="364">
        <v>-632141.61</v>
      </c>
      <c r="AJ41" s="342">
        <f>AI41/AI44</f>
        <v>0.17105226375774038</v>
      </c>
      <c r="AK41" s="364">
        <v>-633627.12</v>
      </c>
      <c r="AL41" s="342">
        <f>AK41/AK44</f>
        <v>0.17699533689769581</v>
      </c>
      <c r="AM41" s="364">
        <v>-726521.79</v>
      </c>
      <c r="AN41" s="342">
        <f>AM41/AM44</f>
        <v>0.18121784359092677</v>
      </c>
      <c r="AO41" s="364">
        <v>-649079.6</v>
      </c>
      <c r="AP41" s="342">
        <f>AO41/AO44</f>
        <v>0.17781212730760337</v>
      </c>
      <c r="AQ41" s="364">
        <v>-774848.78</v>
      </c>
      <c r="AR41" s="342">
        <f>AQ41/AQ44</f>
        <v>0.19144164225470817</v>
      </c>
      <c r="AS41" s="364">
        <v>-830237.19</v>
      </c>
      <c r="AT41" s="342">
        <f>AS41/AS44</f>
        <v>0.18583104045516302</v>
      </c>
      <c r="AU41" s="344">
        <f t="shared" si="1"/>
        <v>-8167022.4039999992</v>
      </c>
      <c r="AV41" s="342">
        <f>AU41/AU44</f>
        <v>0.18462944716656796</v>
      </c>
      <c r="AW41" s="332">
        <v>7.1482864049937422E-2</v>
      </c>
    </row>
    <row r="42" spans="1:49" ht="14.25" x14ac:dyDescent="0.2">
      <c r="A42" s="437">
        <v>41</v>
      </c>
      <c r="B42" s="2" t="s">
        <v>97</v>
      </c>
      <c r="C42" s="2"/>
      <c r="D42" s="429" t="s">
        <v>364</v>
      </c>
      <c r="E42" s="272">
        <v>-32092.9664204</v>
      </c>
      <c r="F42" s="342">
        <f>E42/E44</f>
        <v>1.1365296615300025E-2</v>
      </c>
      <c r="G42" s="272">
        <v>-32092.9664204</v>
      </c>
      <c r="H42" s="342">
        <f>G42/G44</f>
        <v>1.0995015157021486E-2</v>
      </c>
      <c r="I42" s="272">
        <v>-32092.9664204</v>
      </c>
      <c r="J42" s="342">
        <f>I42/I44</f>
        <v>1.0094251676422163E-2</v>
      </c>
      <c r="K42" s="272">
        <v>-32092.9664204</v>
      </c>
      <c r="L42" s="342">
        <f>K42/K44</f>
        <v>1.0582688330098861E-2</v>
      </c>
      <c r="M42" s="272">
        <v>-32092.9664204</v>
      </c>
      <c r="N42" s="342">
        <f>M42/M44</f>
        <v>1.0341611403080543E-2</v>
      </c>
      <c r="O42" s="369">
        <v>-32092.9664204</v>
      </c>
      <c r="P42" s="342">
        <f>O42/O44</f>
        <v>9.4309067716962982E-3</v>
      </c>
      <c r="Q42" s="369">
        <v>-32092.9664204</v>
      </c>
      <c r="R42" s="342">
        <f>Q42/Q44</f>
        <v>8.4212036689425476E-3</v>
      </c>
      <c r="S42" s="369">
        <v>-32092.9664204</v>
      </c>
      <c r="T42" s="342">
        <f>S42/S44</f>
        <v>8.0738273519825286E-3</v>
      </c>
      <c r="U42" s="344">
        <f t="shared" si="0"/>
        <v>-256743.73136320006</v>
      </c>
      <c r="V42" s="342">
        <f>U42/U44</f>
        <v>9.7819407190214685E-3</v>
      </c>
      <c r="W42" s="364">
        <v>-32092.9664204</v>
      </c>
      <c r="X42" s="342">
        <f>W42/W44</f>
        <v>9.3457651272633273E-3</v>
      </c>
      <c r="Y42" s="364">
        <v>-32092.9664204</v>
      </c>
      <c r="Z42" s="342">
        <f>Y42/Y44</f>
        <v>9.506267561364001E-3</v>
      </c>
      <c r="AA42" s="364">
        <v>-32092.9664204</v>
      </c>
      <c r="AB42" s="342">
        <f>AA42/AA44</f>
        <v>9.3020252957749447E-3</v>
      </c>
      <c r="AC42" s="364">
        <v>-32092.9664204</v>
      </c>
      <c r="AD42" s="342">
        <f>AC42/AC44</f>
        <v>9.3795607947151846E-3</v>
      </c>
      <c r="AE42" s="364">
        <v>-32092.9664204</v>
      </c>
      <c r="AF42" s="342">
        <f>AE42/AE44</f>
        <v>9.3303354678391983E-3</v>
      </c>
      <c r="AG42" s="364">
        <v>-32092.9664204</v>
      </c>
      <c r="AH42" s="342">
        <f>AG42/AG44</f>
        <v>8.760731918535913E-3</v>
      </c>
      <c r="AI42" s="364">
        <v>-32092.9664204</v>
      </c>
      <c r="AJ42" s="342">
        <f>AI42/AI44</f>
        <v>8.6840898780742599E-3</v>
      </c>
      <c r="AK42" s="364">
        <v>-32092.9664204</v>
      </c>
      <c r="AL42" s="342">
        <f>AK42/AK44</f>
        <v>8.9647447597021052E-3</v>
      </c>
      <c r="AM42" s="364">
        <v>-32092.9664204</v>
      </c>
      <c r="AN42" s="342">
        <f>AM42/AM44</f>
        <v>8.0050154712371559E-3</v>
      </c>
      <c r="AO42" s="364">
        <v>-32092.9664204</v>
      </c>
      <c r="AP42" s="342">
        <f>AO42/AO44</f>
        <v>8.7917084912587078E-3</v>
      </c>
      <c r="AQ42" s="364">
        <v>-32092.9664204</v>
      </c>
      <c r="AR42" s="342">
        <f>AQ42/AQ44</f>
        <v>7.929199032031228E-3</v>
      </c>
      <c r="AS42" s="364">
        <v>-32092.9664204</v>
      </c>
      <c r="AT42" s="342">
        <f>AS42/AS44</f>
        <v>7.1833319598650367E-3</v>
      </c>
      <c r="AU42" s="344">
        <f t="shared" si="1"/>
        <v>-385115.59704480012</v>
      </c>
      <c r="AV42" s="342">
        <f>AU42/AU44</f>
        <v>8.7061937950334775E-3</v>
      </c>
      <c r="AW42" s="332">
        <v>0</v>
      </c>
    </row>
    <row r="43" spans="1:49" ht="14.25" x14ac:dyDescent="0.2">
      <c r="A43" s="437">
        <v>42</v>
      </c>
      <c r="B43" s="2" t="s">
        <v>97</v>
      </c>
      <c r="C43" s="2"/>
      <c r="D43" s="435" t="s">
        <v>563</v>
      </c>
      <c r="E43" s="272">
        <v>0</v>
      </c>
      <c r="F43" s="346"/>
      <c r="G43" s="272">
        <v>0</v>
      </c>
      <c r="H43" s="342"/>
      <c r="I43" s="272">
        <v>0</v>
      </c>
      <c r="J43" s="342"/>
      <c r="K43" s="272">
        <v>0</v>
      </c>
      <c r="L43" s="342"/>
      <c r="M43" s="272">
        <v>0</v>
      </c>
      <c r="N43" s="342"/>
      <c r="O43" s="370">
        <v>0</v>
      </c>
      <c r="P43" s="342"/>
      <c r="Q43" s="370">
        <v>-400000</v>
      </c>
      <c r="R43" s="342"/>
      <c r="S43" s="370">
        <v>-500000</v>
      </c>
      <c r="T43" s="342"/>
      <c r="U43" s="344"/>
      <c r="V43" s="342"/>
      <c r="W43" s="417">
        <v>0</v>
      </c>
      <c r="X43" s="342"/>
      <c r="Y43" s="417">
        <v>0</v>
      </c>
      <c r="Z43" s="342"/>
      <c r="AA43" s="417">
        <v>0</v>
      </c>
      <c r="AB43" s="342"/>
      <c r="AC43" s="417">
        <v>0</v>
      </c>
      <c r="AD43" s="342"/>
      <c r="AE43" s="417"/>
      <c r="AF43" s="342"/>
      <c r="AG43" s="417">
        <v>0</v>
      </c>
      <c r="AH43" s="342"/>
      <c r="AI43" s="417">
        <v>0</v>
      </c>
      <c r="AJ43" s="342"/>
      <c r="AK43" s="417">
        <v>0</v>
      </c>
      <c r="AL43" s="342"/>
      <c r="AM43" s="417">
        <v>0</v>
      </c>
      <c r="AN43" s="342"/>
      <c r="AO43" s="417"/>
      <c r="AP43" s="342"/>
      <c r="AQ43" s="417"/>
      <c r="AR43" s="342"/>
      <c r="AS43" s="417"/>
      <c r="AT43" s="342"/>
      <c r="AU43" s="344">
        <f t="shared" si="1"/>
        <v>0</v>
      </c>
      <c r="AV43" s="342"/>
      <c r="AW43" s="332"/>
    </row>
    <row r="44" spans="1:49" ht="14.25" x14ac:dyDescent="0.2">
      <c r="A44" s="437">
        <v>43</v>
      </c>
      <c r="D44" s="423" t="s">
        <v>365</v>
      </c>
      <c r="E44" s="275">
        <v>-2823768.4863584</v>
      </c>
      <c r="F44" s="335"/>
      <c r="G44" s="275">
        <v>-2918865.1367984</v>
      </c>
      <c r="H44" s="331"/>
      <c r="I44" s="275">
        <v>-3179330.9151744</v>
      </c>
      <c r="J44" s="331"/>
      <c r="K44" s="275">
        <v>-3032591.0977763999</v>
      </c>
      <c r="L44" s="331"/>
      <c r="M44" s="275">
        <v>-3103284.8914474002</v>
      </c>
      <c r="N44" s="331"/>
      <c r="O44" s="371">
        <v>-3402956.5976324002</v>
      </c>
      <c r="P44" s="331"/>
      <c r="Q44" s="371">
        <v>-3810971.4100323999</v>
      </c>
      <c r="R44" s="331"/>
      <c r="S44" s="371">
        <v>-3974938.4054539599</v>
      </c>
      <c r="T44" s="331"/>
      <c r="U44" s="344">
        <f t="shared" si="0"/>
        <v>-26246706.940673761</v>
      </c>
      <c r="V44" s="331"/>
      <c r="W44" s="371">
        <v>-3433958.1600204003</v>
      </c>
      <c r="X44" s="331"/>
      <c r="Y44" s="371">
        <v>-3375979.7116203997</v>
      </c>
      <c r="Z44" s="331"/>
      <c r="AA44" s="371">
        <v>-3450105.2620203993</v>
      </c>
      <c r="AB44" s="331"/>
      <c r="AC44" s="371">
        <v>-3421585.2024203995</v>
      </c>
      <c r="AD44" s="331"/>
      <c r="AE44" s="371">
        <v>-3439636.9274204001</v>
      </c>
      <c r="AF44" s="331"/>
      <c r="AG44" s="371">
        <v>-3663274.5664203996</v>
      </c>
      <c r="AH44" s="331"/>
      <c r="AI44" s="371">
        <v>-3695605.0514203999</v>
      </c>
      <c r="AJ44" s="331"/>
      <c r="AK44" s="371">
        <v>-3579908.5507333996</v>
      </c>
      <c r="AL44" s="331"/>
      <c r="AM44" s="371">
        <v>-4009107.3572203992</v>
      </c>
      <c r="AN44" s="331"/>
      <c r="AO44" s="371">
        <v>-3650367.4402203998</v>
      </c>
      <c r="AP44" s="331"/>
      <c r="AQ44" s="371">
        <v>-4047441.1464203997</v>
      </c>
      <c r="AR44" s="331"/>
      <c r="AS44" s="371">
        <v>-4467699.1958203996</v>
      </c>
      <c r="AT44" s="331"/>
      <c r="AU44" s="344">
        <f t="shared" si="1"/>
        <v>-44234668.571757793</v>
      </c>
      <c r="AV44" s="331"/>
      <c r="AW44" s="332">
        <v>0.10383302293887109</v>
      </c>
    </row>
    <row r="45" spans="1:49" ht="14.25" x14ac:dyDescent="0.2">
      <c r="A45" s="437">
        <v>44</v>
      </c>
      <c r="B45" s="2" t="s">
        <v>97</v>
      </c>
      <c r="D45" s="423" t="s">
        <v>566</v>
      </c>
      <c r="E45" s="273">
        <v>383.54</v>
      </c>
      <c r="F45" s="339"/>
      <c r="G45" s="273">
        <v>71862.999599999996</v>
      </c>
      <c r="H45" s="339"/>
      <c r="I45" s="273">
        <v>117913.68119999999</v>
      </c>
      <c r="J45" s="339"/>
      <c r="K45" s="273">
        <v>166138.17860000001</v>
      </c>
      <c r="L45" s="339"/>
      <c r="M45" s="273">
        <v>210966.61499999993</v>
      </c>
      <c r="N45" s="339"/>
      <c r="O45" s="372">
        <v>60473.808800000028</v>
      </c>
      <c r="P45" s="339"/>
      <c r="Q45" s="372">
        <v>166287.37640000021</v>
      </c>
      <c r="R45" s="339"/>
      <c r="S45" s="372">
        <v>182109.13050000006</v>
      </c>
      <c r="T45" s="339"/>
      <c r="U45" s="344">
        <f t="shared" si="0"/>
        <v>976135.33010000025</v>
      </c>
      <c r="V45" s="339"/>
      <c r="W45" s="372">
        <v>297950.14519999997</v>
      </c>
      <c r="X45" s="339"/>
      <c r="Y45" s="372">
        <v>176908.93180000043</v>
      </c>
      <c r="Z45" s="339"/>
      <c r="AA45" s="372">
        <v>123900.0169000001</v>
      </c>
      <c r="AB45" s="339"/>
      <c r="AC45" s="372">
        <v>90446.5524</v>
      </c>
      <c r="AD45" s="339"/>
      <c r="AE45" s="372">
        <v>77986.13900000001</v>
      </c>
      <c r="AF45" s="339"/>
      <c r="AG45" s="372">
        <v>66542.02</v>
      </c>
      <c r="AH45" s="339"/>
      <c r="AI45" s="372">
        <v>14223.35</v>
      </c>
      <c r="AJ45" s="339"/>
      <c r="AK45" s="372">
        <v>81937.68020000025</v>
      </c>
      <c r="AL45" s="339"/>
      <c r="AM45" s="372">
        <v>107912.63870000065</v>
      </c>
      <c r="AN45" s="339"/>
      <c r="AO45" s="372">
        <v>164803.82320000042</v>
      </c>
      <c r="AP45" s="339"/>
      <c r="AQ45" s="372">
        <v>55495.09</v>
      </c>
      <c r="AR45" s="339"/>
      <c r="AS45" s="372">
        <v>85390.675600000206</v>
      </c>
      <c r="AT45" s="339"/>
      <c r="AU45" s="344">
        <f t="shared" si="1"/>
        <v>1343497.0630000022</v>
      </c>
      <c r="AV45" s="339"/>
      <c r="AW45" s="332"/>
    </row>
    <row r="46" spans="1:49" ht="14.25" x14ac:dyDescent="0.2">
      <c r="A46" s="437">
        <v>45</v>
      </c>
      <c r="B46" s="2" t="s">
        <v>97</v>
      </c>
      <c r="D46" s="221" t="s">
        <v>561</v>
      </c>
      <c r="E46" s="273"/>
      <c r="F46" s="339"/>
      <c r="G46" s="273"/>
      <c r="H46" s="339"/>
      <c r="I46" s="273"/>
      <c r="J46" s="339"/>
      <c r="K46" s="273"/>
      <c r="L46" s="339"/>
      <c r="M46" s="273"/>
      <c r="N46" s="339"/>
      <c r="O46" s="372"/>
      <c r="P46" s="339"/>
      <c r="Q46" s="372"/>
      <c r="R46" s="339"/>
      <c r="S46" s="372"/>
      <c r="T46" s="339"/>
      <c r="U46" s="344"/>
      <c r="V46" s="339"/>
      <c r="W46" s="372">
        <v>27817.521199999999</v>
      </c>
      <c r="X46" s="339"/>
      <c r="Y46" s="372">
        <v>16808.613000000001</v>
      </c>
      <c r="Z46" s="339"/>
      <c r="AA46" s="372">
        <v>14253.5965</v>
      </c>
      <c r="AB46" s="339"/>
      <c r="AC46" s="372">
        <v>10038.027599999999</v>
      </c>
      <c r="AD46" s="339"/>
      <c r="AE46" s="372">
        <v>8261.14</v>
      </c>
      <c r="AF46" s="339"/>
      <c r="AG46" s="372">
        <v>6772.54</v>
      </c>
      <c r="AH46" s="339"/>
      <c r="AI46" s="372">
        <v>1404.7950000000001</v>
      </c>
      <c r="AJ46" s="339"/>
      <c r="AK46" s="372">
        <v>7640.9955000000009</v>
      </c>
      <c r="AL46" s="339"/>
      <c r="AM46" s="372">
        <v>9867.2304999999997</v>
      </c>
      <c r="AN46" s="339"/>
      <c r="AO46" s="372">
        <v>15251.803</v>
      </c>
      <c r="AP46" s="339"/>
      <c r="AQ46" s="372">
        <v>4746.6400000000003</v>
      </c>
      <c r="AR46" s="339"/>
      <c r="AS46" s="372">
        <v>7315.2</v>
      </c>
      <c r="AT46" s="339"/>
      <c r="AU46" s="344">
        <f t="shared" si="1"/>
        <v>130178.1023</v>
      </c>
      <c r="AV46" s="339"/>
      <c r="AW46" s="332"/>
    </row>
    <row r="47" spans="1:49" ht="14.25" x14ac:dyDescent="0.2">
      <c r="A47" s="437">
        <v>46</v>
      </c>
      <c r="D47" s="423" t="s">
        <v>366</v>
      </c>
      <c r="E47" s="282">
        <v>806220.24357959954</v>
      </c>
      <c r="G47" s="282">
        <v>1149258.9831796002</v>
      </c>
      <c r="I47" s="282">
        <v>1460915.5047826006</v>
      </c>
      <c r="K47" s="282">
        <v>421618.87217959977</v>
      </c>
      <c r="M47" s="282">
        <v>1149851.9885756008</v>
      </c>
      <c r="O47" s="373">
        <v>1255184.0723795993</v>
      </c>
      <c r="Q47" s="373">
        <v>2333367.5899796006</v>
      </c>
      <c r="S47" s="373">
        <v>1337167.5040795992</v>
      </c>
      <c r="U47" s="344">
        <f t="shared" si="0"/>
        <v>9913584.7587358002</v>
      </c>
      <c r="W47" s="373">
        <v>968695.77998559969</v>
      </c>
      <c r="Y47" s="373">
        <v>710274.56837960088</v>
      </c>
      <c r="AA47" s="373">
        <v>598089.07797960017</v>
      </c>
      <c r="AC47" s="373">
        <v>518042.30757960019</v>
      </c>
      <c r="AE47" s="373">
        <v>108573.95257959976</v>
      </c>
      <c r="AG47" s="373">
        <v>641241.70354360004</v>
      </c>
      <c r="AI47" s="373">
        <v>830404.32857960009</v>
      </c>
      <c r="AK47" s="373">
        <v>1248692.1577166002</v>
      </c>
      <c r="AM47" s="373">
        <v>411369.24561160122</v>
      </c>
      <c r="AO47" s="373">
        <v>649962.83977960108</v>
      </c>
      <c r="AQ47" s="373">
        <v>634355.57357959985</v>
      </c>
      <c r="AS47" s="373">
        <v>2879733.8241796014</v>
      </c>
      <c r="AU47" s="344">
        <f t="shared" si="1"/>
        <v>10199435.359494206</v>
      </c>
      <c r="AW47" s="332">
        <v>3.539620906819775</v>
      </c>
    </row>
    <row r="48" spans="1:49" ht="14.25" x14ac:dyDescent="0.2">
      <c r="A48" s="437">
        <v>47</v>
      </c>
      <c r="D48" s="423" t="s">
        <v>367</v>
      </c>
      <c r="E48" s="282">
        <v>806220.24364159955</v>
      </c>
      <c r="F48" s="282"/>
      <c r="G48" s="282">
        <v>1149258.9832056006</v>
      </c>
      <c r="H48" s="282"/>
      <c r="I48" s="282">
        <v>1460915.5048286007</v>
      </c>
      <c r="J48" s="282"/>
      <c r="K48" s="282">
        <v>421618.87222360028</v>
      </c>
      <c r="L48" s="282"/>
      <c r="M48" s="282">
        <v>1149851.988548601</v>
      </c>
      <c r="N48" s="282"/>
      <c r="O48" s="373">
        <v>1255184.0723896022</v>
      </c>
      <c r="P48" s="282"/>
      <c r="Q48" s="373">
        <v>2333367.5899035996</v>
      </c>
      <c r="R48" s="282"/>
      <c r="S48" s="373">
        <v>1337167.504467045</v>
      </c>
      <c r="T48" s="282"/>
      <c r="U48" s="344">
        <f t="shared" si="0"/>
        <v>9913584.7592082471</v>
      </c>
      <c r="V48" s="282"/>
      <c r="W48" s="373">
        <v>968695.77641300065</v>
      </c>
      <c r="X48" s="282"/>
      <c r="Y48" s="373">
        <v>710274.56963100005</v>
      </c>
      <c r="Z48" s="282"/>
      <c r="AA48" s="373">
        <v>598089.08000826417</v>
      </c>
      <c r="AB48" s="282"/>
      <c r="AC48" s="373">
        <v>518042.30520350859</v>
      </c>
      <c r="AD48" s="282"/>
      <c r="AE48" s="373">
        <v>108573.94795000041</v>
      </c>
      <c r="AF48" s="282"/>
      <c r="AG48" s="373">
        <v>641241.70294400025</v>
      </c>
      <c r="AH48" s="282"/>
      <c r="AI48" s="373">
        <v>830404.32992599998</v>
      </c>
      <c r="AJ48" s="282"/>
      <c r="AK48" s="373">
        <v>1248692.1560669998</v>
      </c>
      <c r="AL48" s="282"/>
      <c r="AM48" s="373">
        <v>411369.25023903651</v>
      </c>
      <c r="AN48" s="282"/>
      <c r="AO48" s="373">
        <v>649962.8420432657</v>
      </c>
      <c r="AP48" s="282"/>
      <c r="AQ48" s="373">
        <v>634355.57167999912</v>
      </c>
      <c r="AR48" s="282"/>
      <c r="AS48" s="373">
        <v>2879733.8158310018</v>
      </c>
      <c r="AT48" s="282"/>
      <c r="AU48" s="344">
        <f t="shared" si="1"/>
        <v>10199435.347936075</v>
      </c>
      <c r="AV48" s="282"/>
      <c r="AW48" s="332">
        <v>3.5396209072530773</v>
      </c>
    </row>
    <row r="49" spans="1:48" ht="15" x14ac:dyDescent="0.2">
      <c r="A49" s="437">
        <v>48</v>
      </c>
      <c r="D49" s="428" t="s">
        <v>370</v>
      </c>
      <c r="E49" s="268">
        <v>80550.75</v>
      </c>
      <c r="F49" s="268"/>
      <c r="G49" s="268">
        <v>80550.75</v>
      </c>
      <c r="H49" s="268"/>
      <c r="I49" s="268">
        <v>49448.25</v>
      </c>
      <c r="J49" s="268"/>
      <c r="K49" s="268">
        <v>49448.25</v>
      </c>
      <c r="L49" s="268"/>
      <c r="M49" s="268">
        <v>980874.71</v>
      </c>
      <c r="N49" s="268"/>
      <c r="O49" s="374">
        <v>13733.96</v>
      </c>
      <c r="P49" s="268"/>
      <c r="Q49" s="374">
        <v>13733.96</v>
      </c>
      <c r="R49" s="268"/>
      <c r="S49" s="374">
        <v>118852.22</v>
      </c>
      <c r="T49" s="268"/>
      <c r="U49" s="344">
        <f t="shared" si="0"/>
        <v>1387192.8499999999</v>
      </c>
      <c r="V49" s="268"/>
      <c r="W49" s="421">
        <v>32185.22</v>
      </c>
      <c r="X49" s="268"/>
      <c r="Y49" s="374">
        <v>32185.22</v>
      </c>
      <c r="Z49" s="268"/>
      <c r="AA49" s="374">
        <v>118852.22</v>
      </c>
      <c r="AB49" s="268"/>
      <c r="AC49" s="374">
        <v>32185.22</v>
      </c>
      <c r="AD49" s="268"/>
      <c r="AE49" s="374">
        <v>32185.22</v>
      </c>
      <c r="AF49" s="268"/>
      <c r="AG49" s="374">
        <v>189255.95</v>
      </c>
      <c r="AH49" s="268"/>
      <c r="AI49" s="374">
        <v>102588.95</v>
      </c>
      <c r="AJ49" s="268"/>
      <c r="AK49" s="374">
        <v>102588.95</v>
      </c>
      <c r="AL49" s="268"/>
      <c r="AM49" s="374">
        <v>189255.95</v>
      </c>
      <c r="AN49" s="268"/>
      <c r="AO49" s="374">
        <v>1926478.88</v>
      </c>
      <c r="AP49" s="268"/>
      <c r="AQ49" s="374">
        <v>13733.96</v>
      </c>
      <c r="AR49" s="268"/>
      <c r="AS49" s="374">
        <v>100403.78</v>
      </c>
      <c r="AT49" s="268"/>
      <c r="AU49" s="344">
        <f t="shared" si="1"/>
        <v>2871899.5199999996</v>
      </c>
      <c r="AV49" s="268"/>
    </row>
    <row r="50" spans="1:48" ht="15" x14ac:dyDescent="0.2">
      <c r="A50" s="437">
        <v>49</v>
      </c>
      <c r="D50" s="428" t="s">
        <v>371</v>
      </c>
      <c r="E50" s="268">
        <v>8399.23</v>
      </c>
      <c r="F50" s="268"/>
      <c r="G50" s="268">
        <v>20197.809999999998</v>
      </c>
      <c r="H50" s="268"/>
      <c r="I50" s="268">
        <v>31977.920000000002</v>
      </c>
      <c r="J50" s="268"/>
      <c r="K50" s="268">
        <v>24195.62</v>
      </c>
      <c r="L50" s="268"/>
      <c r="M50" s="268">
        <v>35984.350000000006</v>
      </c>
      <c r="N50" s="268"/>
      <c r="O50" s="374">
        <v>21199.910000000003</v>
      </c>
      <c r="P50" s="268"/>
      <c r="Q50" s="374">
        <v>41244.340000000004</v>
      </c>
      <c r="R50" s="268"/>
      <c r="S50" s="374">
        <v>36354.519999999997</v>
      </c>
      <c r="T50" s="268"/>
      <c r="U50" s="344">
        <f t="shared" si="0"/>
        <v>219553.7</v>
      </c>
      <c r="V50" s="268"/>
      <c r="W50" s="421">
        <v>24487.549999999996</v>
      </c>
      <c r="X50" s="268"/>
      <c r="Y50" s="374">
        <v>30262.640000000003</v>
      </c>
      <c r="Z50" s="268"/>
      <c r="AA50" s="374">
        <v>46184.350000000006</v>
      </c>
      <c r="AB50" s="268"/>
      <c r="AC50" s="374">
        <v>78693.94</v>
      </c>
      <c r="AD50" s="268"/>
      <c r="AE50" s="374">
        <v>102456.69</v>
      </c>
      <c r="AF50" s="268"/>
      <c r="AG50" s="374">
        <v>81811.22</v>
      </c>
      <c r="AH50" s="268"/>
      <c r="AI50" s="374">
        <v>74748.649999999994</v>
      </c>
      <c r="AJ50" s="268"/>
      <c r="AK50" s="374">
        <v>76855.98000000001</v>
      </c>
      <c r="AL50" s="268"/>
      <c r="AM50" s="374">
        <v>76412.11</v>
      </c>
      <c r="AN50" s="268"/>
      <c r="AO50" s="374">
        <v>72646.799999999988</v>
      </c>
      <c r="AP50" s="268"/>
      <c r="AQ50" s="374">
        <v>42158.130000000005</v>
      </c>
      <c r="AR50" s="268"/>
      <c r="AS50" s="374">
        <v>54598.770000000004</v>
      </c>
      <c r="AT50" s="268"/>
      <c r="AU50" s="344">
        <f t="shared" si="1"/>
        <v>761316.83</v>
      </c>
      <c r="AV50" s="268"/>
    </row>
    <row r="51" spans="1:48" ht="15" x14ac:dyDescent="0.2">
      <c r="A51" s="437">
        <v>50</v>
      </c>
      <c r="D51" s="428" t="s">
        <v>394</v>
      </c>
      <c r="F51" s="340">
        <f>E47/E2</f>
        <v>0.22209993020545812</v>
      </c>
      <c r="H51" s="340">
        <f>G47/G2</f>
        <v>0.28250342154742325</v>
      </c>
      <c r="J51" s="340">
        <f>I47/I2</f>
        <v>0.31483575925729734</v>
      </c>
      <c r="L51" s="340">
        <f>K47/K2</f>
        <v>0.12205942193479331</v>
      </c>
      <c r="N51" s="340">
        <f>M47/M2</f>
        <v>0.2703538637526009</v>
      </c>
      <c r="O51" s="374"/>
      <c r="P51" s="340">
        <f>O47/O2</f>
        <v>0.26946031931956888</v>
      </c>
      <c r="Q51" s="374"/>
      <c r="R51" s="340">
        <f>Q47/Q2</f>
        <v>0.37975892769000952</v>
      </c>
      <c r="S51" s="374"/>
      <c r="T51" s="340">
        <f>S47/S2</f>
        <v>0.25172079148163762</v>
      </c>
      <c r="V51" s="340">
        <f>U47/U2</f>
        <v>0.2741566589400396</v>
      </c>
      <c r="W51" s="340"/>
      <c r="X51" s="340">
        <f>W47/W2</f>
        <v>0.22002541948238602</v>
      </c>
      <c r="Y51" s="340"/>
      <c r="Z51" s="340">
        <f>Y47/Y2</f>
        <v>0.17382045259787426</v>
      </c>
      <c r="AA51" s="340"/>
      <c r="AB51" s="340">
        <f>AA47/AA2</f>
        <v>0.14774218521821267</v>
      </c>
      <c r="AC51" s="340"/>
      <c r="AD51" s="340">
        <f>AC47/AC2</f>
        <v>0.131495251157527</v>
      </c>
      <c r="AE51" s="340"/>
      <c r="AF51" s="340">
        <f>AE47/AE2</f>
        <v>3.0599633519978318E-2</v>
      </c>
      <c r="AG51" s="340"/>
      <c r="AH51" s="340">
        <f>AG47/AG2</f>
        <v>0.14896951558019386</v>
      </c>
      <c r="AI51" s="340"/>
      <c r="AJ51" s="340">
        <f>AI47/AI2</f>
        <v>0.18347384171342573</v>
      </c>
      <c r="AK51" s="340"/>
      <c r="AL51" s="340">
        <f>AK47/AK2</f>
        <v>0.25860331659468183</v>
      </c>
      <c r="AM51" s="340"/>
      <c r="AN51" s="340">
        <f>AM47/AM2</f>
        <v>9.3059930329108892E-2</v>
      </c>
      <c r="AO51" s="340"/>
      <c r="AP51" s="340">
        <f>AO47/AO2</f>
        <v>0.15114253963293281</v>
      </c>
      <c r="AQ51" s="340"/>
      <c r="AR51" s="340">
        <f>AQ47/AQ2</f>
        <v>0.13549404459824557</v>
      </c>
      <c r="AS51" s="340"/>
      <c r="AT51" s="340">
        <f>AS47/AS2</f>
        <v>0.39193740403496741</v>
      </c>
      <c r="AU51" s="344"/>
      <c r="AV51" s="340">
        <f>AU47/AU2</f>
        <v>0.18737215500737672</v>
      </c>
    </row>
    <row r="52" spans="1:48" ht="15" x14ac:dyDescent="0.2">
      <c r="A52" s="437">
        <v>51</v>
      </c>
      <c r="D52" s="428" t="s">
        <v>372</v>
      </c>
      <c r="E52" s="320"/>
      <c r="F52" s="320"/>
      <c r="G52" s="320"/>
      <c r="H52" s="320"/>
      <c r="I52" s="266"/>
      <c r="J52" s="320"/>
      <c r="K52" s="320"/>
      <c r="L52" s="320"/>
      <c r="M52" s="320"/>
      <c r="N52" s="320"/>
      <c r="O52" s="320"/>
      <c r="P52" s="320"/>
      <c r="Q52" s="320"/>
      <c r="R52" s="320"/>
      <c r="S52" s="320"/>
      <c r="T52" s="320"/>
      <c r="U52" s="344"/>
      <c r="V52" s="320"/>
      <c r="X52" s="320"/>
      <c r="Z52" s="320"/>
      <c r="AA52" s="320"/>
      <c r="AB52" s="320"/>
      <c r="AC52" s="320"/>
      <c r="AD52" s="320"/>
      <c r="AE52" s="320"/>
      <c r="AF52" s="320"/>
      <c r="AG52" s="320"/>
      <c r="AH52" s="320"/>
      <c r="AI52" s="320"/>
      <c r="AJ52" s="320"/>
      <c r="AK52" s="320"/>
      <c r="AL52" s="320"/>
      <c r="AM52" s="320"/>
      <c r="AN52" s="320"/>
      <c r="AO52" s="320"/>
      <c r="AP52" s="320"/>
      <c r="AQ52" s="320"/>
      <c r="AR52" s="320"/>
      <c r="AS52" s="320"/>
      <c r="AT52" s="320"/>
      <c r="AU52" s="344">
        <f t="shared" si="1"/>
        <v>0</v>
      </c>
      <c r="AV52" s="320"/>
    </row>
    <row r="53" spans="1:48" ht="15" x14ac:dyDescent="0.2">
      <c r="A53" s="437">
        <v>52</v>
      </c>
      <c r="D53" s="428" t="s">
        <v>373</v>
      </c>
      <c r="E53" s="320"/>
      <c r="F53" s="320"/>
      <c r="G53" s="320"/>
      <c r="H53" s="320"/>
      <c r="I53" s="263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W53" s="371"/>
      <c r="X53" s="320"/>
      <c r="Y53" s="371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</row>
  </sheetData>
  <autoFilter ref="A1:AW53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D3D0-EED7-49B4-A142-31F69DF7C92F}">
  <sheetPr>
    <tabColor theme="9"/>
  </sheetPr>
  <dimension ref="A1:J1561"/>
  <sheetViews>
    <sheetView zoomScaleNormal="100" workbookViewId="0">
      <pane xSplit="2" ySplit="1" topLeftCell="C1160" activePane="bottomRight" state="frozen"/>
      <selection pane="topRight" activeCell="C1" sqref="C1"/>
      <selection pane="bottomLeft" activeCell="A2" sqref="A2"/>
      <selection pane="bottomRight" activeCell="I1101" sqref="I1101"/>
    </sheetView>
  </sheetViews>
  <sheetFormatPr defaultRowHeight="12.75" x14ac:dyDescent="0.2"/>
  <cols>
    <col min="1" max="1" width="11.42578125" style="383" bestFit="1" customWidth="1"/>
    <col min="2" max="2" width="6.7109375" style="383" bestFit="1" customWidth="1"/>
    <col min="3" max="3" width="6.7109375" style="383" hidden="1" customWidth="1"/>
    <col min="4" max="4" width="5.140625" style="383" hidden="1" customWidth="1"/>
    <col min="5" max="5" width="32" style="383" customWidth="1"/>
    <col min="6" max="6" width="51.140625" style="383" hidden="1" customWidth="1"/>
    <col min="7" max="7" width="51.85546875" style="383" hidden="1" customWidth="1"/>
    <col min="8" max="8" width="47.5703125" style="399" bestFit="1" customWidth="1"/>
    <col min="9" max="9" width="18" style="383" bestFit="1" customWidth="1"/>
    <col min="10" max="10" width="11.5703125" style="352" bestFit="1" customWidth="1"/>
  </cols>
  <sheetData>
    <row r="1" spans="1:10" x14ac:dyDescent="0.2">
      <c r="A1" s="383" t="s">
        <v>440</v>
      </c>
      <c r="B1" s="383" t="s">
        <v>9</v>
      </c>
      <c r="C1" s="383" t="s">
        <v>533</v>
      </c>
      <c r="D1" s="383" t="s">
        <v>517</v>
      </c>
      <c r="E1" s="383" t="s">
        <v>515</v>
      </c>
      <c r="F1" s="383" t="s">
        <v>518</v>
      </c>
      <c r="G1" s="383" t="s">
        <v>603</v>
      </c>
      <c r="H1" s="384" t="s">
        <v>387</v>
      </c>
      <c r="I1" s="391" t="s">
        <v>468</v>
      </c>
      <c r="J1" s="352" t="s">
        <v>469</v>
      </c>
    </row>
    <row r="2" spans="1:10" x14ac:dyDescent="0.2">
      <c r="A2" s="383" t="s">
        <v>73</v>
      </c>
      <c r="B2" s="397">
        <v>45413</v>
      </c>
      <c r="C2" s="397" t="s">
        <v>536</v>
      </c>
      <c r="D2" s="383">
        <v>1</v>
      </c>
      <c r="E2" s="384" t="s">
        <v>530</v>
      </c>
      <c r="F2" s="400" t="s">
        <v>440</v>
      </c>
      <c r="G2" s="400"/>
      <c r="H2" s="384" t="s">
        <v>440</v>
      </c>
      <c r="I2" s="392">
        <v>3629988.73</v>
      </c>
      <c r="J2" s="352">
        <v>1</v>
      </c>
    </row>
    <row r="3" spans="1:10" x14ac:dyDescent="0.2">
      <c r="A3" s="383" t="s">
        <v>73</v>
      </c>
      <c r="B3" s="397">
        <v>45413</v>
      </c>
      <c r="C3" s="397" t="s">
        <v>534</v>
      </c>
      <c r="D3" s="383">
        <v>2</v>
      </c>
      <c r="E3" s="384" t="s">
        <v>325</v>
      </c>
      <c r="F3" s="390" t="s">
        <v>326</v>
      </c>
      <c r="G3" s="390"/>
      <c r="H3" s="384" t="s">
        <v>519</v>
      </c>
      <c r="I3" s="386">
        <v>-165768.84</v>
      </c>
    </row>
    <row r="4" spans="1:10" x14ac:dyDescent="0.2">
      <c r="A4" s="383" t="s">
        <v>73</v>
      </c>
      <c r="B4" s="397">
        <v>45413</v>
      </c>
      <c r="C4" s="397" t="s">
        <v>534</v>
      </c>
      <c r="D4" s="383">
        <v>2</v>
      </c>
      <c r="E4" s="384" t="s">
        <v>325</v>
      </c>
      <c r="F4" s="385" t="s">
        <v>328</v>
      </c>
      <c r="G4" s="385"/>
      <c r="H4" s="384" t="s">
        <v>521</v>
      </c>
      <c r="I4" s="386">
        <v>0</v>
      </c>
    </row>
    <row r="5" spans="1:10" x14ac:dyDescent="0.2">
      <c r="A5" s="383" t="s">
        <v>73</v>
      </c>
      <c r="B5" s="397">
        <v>45413</v>
      </c>
      <c r="C5" s="397" t="s">
        <v>534</v>
      </c>
      <c r="D5" s="383">
        <v>2</v>
      </c>
      <c r="E5" s="384" t="s">
        <v>325</v>
      </c>
      <c r="F5" s="385" t="s">
        <v>329</v>
      </c>
      <c r="G5" s="385"/>
      <c r="H5" s="384" t="s">
        <v>329</v>
      </c>
      <c r="I5" s="386">
        <v>-31292.27</v>
      </c>
    </row>
    <row r="6" spans="1:10" x14ac:dyDescent="0.2">
      <c r="A6" s="383" t="s">
        <v>73</v>
      </c>
      <c r="B6" s="397">
        <v>45413</v>
      </c>
      <c r="C6" s="397" t="s">
        <v>534</v>
      </c>
      <c r="D6" s="383">
        <v>2</v>
      </c>
      <c r="E6" s="384" t="s">
        <v>325</v>
      </c>
      <c r="F6" s="385" t="s">
        <v>330</v>
      </c>
      <c r="G6" s="385"/>
      <c r="H6" s="384" t="s">
        <v>330</v>
      </c>
      <c r="I6" s="386">
        <v>-9780.2000000000007</v>
      </c>
    </row>
    <row r="7" spans="1:10" x14ac:dyDescent="0.2">
      <c r="A7" s="383" t="s">
        <v>73</v>
      </c>
      <c r="B7" s="397">
        <v>45413</v>
      </c>
      <c r="C7" s="397" t="s">
        <v>534</v>
      </c>
      <c r="D7" s="383">
        <v>2</v>
      </c>
      <c r="E7" s="384" t="s">
        <v>325</v>
      </c>
      <c r="F7" s="385" t="s">
        <v>331</v>
      </c>
      <c r="G7" s="385"/>
      <c r="H7" s="384" t="s">
        <v>331</v>
      </c>
      <c r="I7" s="386">
        <v>-5.62</v>
      </c>
    </row>
    <row r="8" spans="1:10" x14ac:dyDescent="0.2">
      <c r="A8" s="383" t="s">
        <v>73</v>
      </c>
      <c r="B8" s="397">
        <v>45413</v>
      </c>
      <c r="C8" s="397" t="s">
        <v>534</v>
      </c>
      <c r="D8" s="383">
        <v>2</v>
      </c>
      <c r="E8" s="384" t="s">
        <v>325</v>
      </c>
      <c r="F8" s="384" t="s">
        <v>332</v>
      </c>
      <c r="G8" s="384"/>
      <c r="H8" s="384" t="s">
        <v>520</v>
      </c>
      <c r="I8" s="389"/>
    </row>
    <row r="9" spans="1:10" x14ac:dyDescent="0.2">
      <c r="A9" s="383" t="s">
        <v>73</v>
      </c>
      <c r="B9" s="397">
        <v>45413</v>
      </c>
      <c r="C9" s="397" t="s">
        <v>535</v>
      </c>
      <c r="D9" s="383">
        <v>3</v>
      </c>
      <c r="E9" s="384" t="s">
        <v>531</v>
      </c>
      <c r="F9" s="385" t="s">
        <v>334</v>
      </c>
      <c r="G9" s="385"/>
      <c r="H9" s="384" t="s">
        <v>334</v>
      </c>
      <c r="I9" s="386">
        <v>3300568.8499999996</v>
      </c>
    </row>
    <row r="10" spans="1:10" x14ac:dyDescent="0.2">
      <c r="A10" s="383" t="s">
        <v>73</v>
      </c>
      <c r="B10" s="397">
        <v>45413</v>
      </c>
      <c r="C10" s="397" t="s">
        <v>535</v>
      </c>
      <c r="D10" s="383">
        <v>3</v>
      </c>
      <c r="E10" s="384" t="s">
        <v>531</v>
      </c>
      <c r="F10" s="385" t="s">
        <v>335</v>
      </c>
      <c r="G10" s="385"/>
      <c r="H10" s="384" t="s">
        <v>335</v>
      </c>
      <c r="I10" s="386">
        <v>112128.08</v>
      </c>
    </row>
    <row r="11" spans="1:10" x14ac:dyDescent="0.2">
      <c r="A11" s="383" t="s">
        <v>73</v>
      </c>
      <c r="B11" s="397">
        <v>45413</v>
      </c>
      <c r="C11" s="397" t="s">
        <v>535</v>
      </c>
      <c r="D11" s="383">
        <v>3</v>
      </c>
      <c r="E11" s="384" t="s">
        <v>531</v>
      </c>
      <c r="F11" s="385" t="s">
        <v>336</v>
      </c>
      <c r="G11" s="385"/>
      <c r="H11" s="384" t="s">
        <v>336</v>
      </c>
      <c r="I11" s="386">
        <v>6500</v>
      </c>
    </row>
    <row r="12" spans="1:10" x14ac:dyDescent="0.2">
      <c r="A12" s="383" t="s">
        <v>73</v>
      </c>
      <c r="B12" s="397">
        <v>45413</v>
      </c>
      <c r="C12" s="397" t="s">
        <v>535</v>
      </c>
      <c r="D12" s="383">
        <v>3</v>
      </c>
      <c r="E12" s="384" t="s">
        <v>531</v>
      </c>
      <c r="F12" s="387" t="s">
        <v>273</v>
      </c>
      <c r="G12" s="387"/>
      <c r="H12" s="384" t="s">
        <v>562</v>
      </c>
      <c r="I12" s="386">
        <v>0</v>
      </c>
    </row>
    <row r="13" spans="1:10" x14ac:dyDescent="0.2">
      <c r="A13" s="383" t="s">
        <v>73</v>
      </c>
      <c r="B13" s="397">
        <v>45413</v>
      </c>
      <c r="C13" s="397" t="s">
        <v>535</v>
      </c>
      <c r="D13" s="383">
        <v>3</v>
      </c>
      <c r="E13" s="384" t="s">
        <v>531</v>
      </c>
      <c r="F13" s="387" t="s">
        <v>513</v>
      </c>
      <c r="G13" s="387"/>
      <c r="H13" s="384" t="s">
        <v>513</v>
      </c>
      <c r="I13" s="386">
        <v>0</v>
      </c>
    </row>
    <row r="14" spans="1:10" x14ac:dyDescent="0.2">
      <c r="A14" s="383" t="s">
        <v>73</v>
      </c>
      <c r="B14" s="397">
        <v>45413</v>
      </c>
      <c r="C14" s="397" t="s">
        <v>535</v>
      </c>
      <c r="D14" s="383">
        <v>3</v>
      </c>
      <c r="E14" s="384" t="s">
        <v>531</v>
      </c>
      <c r="F14" s="387" t="s">
        <v>514</v>
      </c>
      <c r="G14" s="387"/>
      <c r="H14" s="384" t="s">
        <v>514</v>
      </c>
      <c r="I14" s="386">
        <v>0</v>
      </c>
    </row>
    <row r="15" spans="1:10" x14ac:dyDescent="0.2">
      <c r="A15" s="383" t="s">
        <v>73</v>
      </c>
      <c r="B15" s="397">
        <v>45413</v>
      </c>
      <c r="C15" s="397" t="s">
        <v>535</v>
      </c>
      <c r="D15" s="383">
        <v>3</v>
      </c>
      <c r="E15" s="384" t="s">
        <v>531</v>
      </c>
      <c r="F15" s="385" t="s">
        <v>337</v>
      </c>
      <c r="G15" s="385"/>
      <c r="H15" s="384" t="s">
        <v>337</v>
      </c>
      <c r="I15" s="386">
        <v>3944.87</v>
      </c>
    </row>
    <row r="16" spans="1:10" x14ac:dyDescent="0.2">
      <c r="A16" s="383" t="s">
        <v>73</v>
      </c>
      <c r="B16" s="397">
        <v>45413</v>
      </c>
      <c r="C16" s="397" t="s">
        <v>534</v>
      </c>
      <c r="D16" s="383">
        <v>4</v>
      </c>
      <c r="E16" s="383" t="s">
        <v>523</v>
      </c>
      <c r="F16" s="388" t="s">
        <v>340</v>
      </c>
      <c r="G16" s="388"/>
      <c r="H16" s="384" t="s">
        <v>340</v>
      </c>
      <c r="I16" s="386">
        <v>-69000.39</v>
      </c>
    </row>
    <row r="17" spans="1:10" x14ac:dyDescent="0.2">
      <c r="A17" s="383" t="s">
        <v>73</v>
      </c>
      <c r="B17" s="397">
        <v>45413</v>
      </c>
      <c r="C17" s="397" t="s">
        <v>534</v>
      </c>
      <c r="D17" s="383">
        <v>4</v>
      </c>
      <c r="E17" s="383" t="s">
        <v>523</v>
      </c>
      <c r="F17" s="388" t="s">
        <v>341</v>
      </c>
      <c r="G17" s="388"/>
      <c r="H17" s="384" t="s">
        <v>341</v>
      </c>
      <c r="I17" s="389">
        <v>-138202.63</v>
      </c>
    </row>
    <row r="18" spans="1:10" x14ac:dyDescent="0.2">
      <c r="A18" s="383" t="s">
        <v>73</v>
      </c>
      <c r="B18" s="397">
        <v>45413</v>
      </c>
      <c r="C18" s="397" t="s">
        <v>534</v>
      </c>
      <c r="D18" s="383">
        <v>4</v>
      </c>
      <c r="E18" s="383" t="s">
        <v>523</v>
      </c>
      <c r="F18" s="388" t="s">
        <v>342</v>
      </c>
      <c r="G18" s="388"/>
      <c r="H18" s="384" t="s">
        <v>342</v>
      </c>
      <c r="I18" s="389">
        <v>-1261018.94</v>
      </c>
    </row>
    <row r="19" spans="1:10" x14ac:dyDescent="0.2">
      <c r="A19" s="383" t="s">
        <v>73</v>
      </c>
      <c r="B19" s="397">
        <v>45413</v>
      </c>
      <c r="C19" s="397" t="s">
        <v>534</v>
      </c>
      <c r="D19" s="383">
        <v>4</v>
      </c>
      <c r="E19" s="383" t="s">
        <v>523</v>
      </c>
      <c r="F19" s="388" t="s">
        <v>343</v>
      </c>
      <c r="G19" s="388"/>
      <c r="H19" s="384" t="s">
        <v>343</v>
      </c>
      <c r="I19" s="389">
        <v>-20420.989999999998</v>
      </c>
    </row>
    <row r="20" spans="1:10" x14ac:dyDescent="0.2">
      <c r="A20" s="383" t="s">
        <v>73</v>
      </c>
      <c r="B20" s="397">
        <v>45413</v>
      </c>
      <c r="C20" s="397" t="s">
        <v>535</v>
      </c>
      <c r="D20" s="383">
        <v>5</v>
      </c>
      <c r="E20" s="383" t="s">
        <v>532</v>
      </c>
      <c r="F20" s="401" t="s">
        <v>345</v>
      </c>
      <c r="G20" s="401"/>
      <c r="H20" s="402" t="s">
        <v>345</v>
      </c>
      <c r="I20" s="406">
        <f>I9+I10+I11+I12+I13+I14+I15+I16+I17+I18+I19</f>
        <v>1934498.8499999999</v>
      </c>
      <c r="J20" s="352">
        <f t="shared" ref="J20:J38" si="0">IF(C20="A",-I20/$I$2,I20/$I$2)</f>
        <v>0.53292144794069374</v>
      </c>
    </row>
    <row r="21" spans="1:10" x14ac:dyDescent="0.2">
      <c r="A21" s="383" t="s">
        <v>73</v>
      </c>
      <c r="B21" s="397">
        <v>45413</v>
      </c>
      <c r="C21" s="397" t="s">
        <v>534</v>
      </c>
      <c r="D21" s="383">
        <v>6</v>
      </c>
      <c r="E21" s="383" t="s">
        <v>524</v>
      </c>
      <c r="F21" s="388" t="s">
        <v>349</v>
      </c>
      <c r="G21" s="388"/>
      <c r="H21" s="384" t="s">
        <v>473</v>
      </c>
      <c r="I21" s="389">
        <v>-28028.559999999998</v>
      </c>
    </row>
    <row r="22" spans="1:10" x14ac:dyDescent="0.2">
      <c r="A22" s="383" t="s">
        <v>73</v>
      </c>
      <c r="B22" s="397">
        <v>45413</v>
      </c>
      <c r="C22" s="397" t="s">
        <v>534</v>
      </c>
      <c r="D22" s="383">
        <v>6</v>
      </c>
      <c r="E22" s="383" t="s">
        <v>524</v>
      </c>
      <c r="F22" s="388" t="s">
        <v>350</v>
      </c>
      <c r="G22" s="388"/>
      <c r="H22" s="384" t="s">
        <v>474</v>
      </c>
      <c r="I22" s="389">
        <v>-11955.59</v>
      </c>
    </row>
    <row r="23" spans="1:10" x14ac:dyDescent="0.2">
      <c r="A23" s="383" t="s">
        <v>73</v>
      </c>
      <c r="B23" s="397">
        <v>45413</v>
      </c>
      <c r="C23" s="397" t="s">
        <v>534</v>
      </c>
      <c r="D23" s="383">
        <v>6</v>
      </c>
      <c r="E23" s="383" t="s">
        <v>524</v>
      </c>
      <c r="F23" s="388" t="s">
        <v>351</v>
      </c>
      <c r="G23" s="388"/>
      <c r="H23" s="384" t="s">
        <v>475</v>
      </c>
      <c r="I23" s="389">
        <v>-57562.549999999996</v>
      </c>
    </row>
    <row r="24" spans="1:10" x14ac:dyDescent="0.2">
      <c r="A24" s="383" t="s">
        <v>73</v>
      </c>
      <c r="B24" s="397">
        <v>45413</v>
      </c>
      <c r="C24" s="397" t="s">
        <v>534</v>
      </c>
      <c r="D24" s="383">
        <v>6</v>
      </c>
      <c r="E24" s="383" t="s">
        <v>524</v>
      </c>
      <c r="F24" s="388" t="s">
        <v>352</v>
      </c>
      <c r="G24" s="388"/>
      <c r="H24" s="384" t="s">
        <v>476</v>
      </c>
      <c r="I24" s="389">
        <v>-7231.5300000000007</v>
      </c>
    </row>
    <row r="25" spans="1:10" x14ac:dyDescent="0.2">
      <c r="A25" s="383" t="s">
        <v>73</v>
      </c>
      <c r="B25" s="397">
        <v>45413</v>
      </c>
      <c r="C25" s="397" t="s">
        <v>534</v>
      </c>
      <c r="D25" s="383">
        <v>6</v>
      </c>
      <c r="E25" s="383" t="s">
        <v>524</v>
      </c>
      <c r="F25" s="388" t="s">
        <v>353</v>
      </c>
      <c r="G25" s="388"/>
      <c r="H25" s="384" t="s">
        <v>477</v>
      </c>
      <c r="I25" s="389">
        <v>-37496.6</v>
      </c>
    </row>
    <row r="26" spans="1:10" x14ac:dyDescent="0.2">
      <c r="A26" s="383" t="s">
        <v>73</v>
      </c>
      <c r="B26" s="397">
        <v>45413</v>
      </c>
      <c r="C26" s="397" t="s">
        <v>534</v>
      </c>
      <c r="D26" s="383">
        <v>6</v>
      </c>
      <c r="E26" s="383" t="s">
        <v>524</v>
      </c>
      <c r="F26" s="388" t="s">
        <v>354</v>
      </c>
      <c r="G26" s="388"/>
      <c r="H26" s="384" t="s">
        <v>478</v>
      </c>
      <c r="I26" s="389">
        <v>-17075.189999999999</v>
      </c>
    </row>
    <row r="27" spans="1:10" x14ac:dyDescent="0.2">
      <c r="A27" s="383" t="s">
        <v>73</v>
      </c>
      <c r="B27" s="397">
        <v>45413</v>
      </c>
      <c r="C27" s="397" t="s">
        <v>534</v>
      </c>
      <c r="D27" s="383">
        <v>6</v>
      </c>
      <c r="E27" s="383" t="s">
        <v>524</v>
      </c>
      <c r="F27" s="390" t="s">
        <v>355</v>
      </c>
      <c r="G27" s="390"/>
      <c r="H27" s="384" t="s">
        <v>355</v>
      </c>
      <c r="I27" s="389">
        <v>-52394.22</v>
      </c>
    </row>
    <row r="28" spans="1:10" x14ac:dyDescent="0.2">
      <c r="A28" s="383" t="s">
        <v>73</v>
      </c>
      <c r="B28" s="397">
        <v>45413</v>
      </c>
      <c r="C28" s="397" t="s">
        <v>534</v>
      </c>
      <c r="D28" s="383">
        <v>6</v>
      </c>
      <c r="E28" s="383" t="s">
        <v>524</v>
      </c>
      <c r="F28" s="390" t="s">
        <v>356</v>
      </c>
      <c r="G28" s="390"/>
      <c r="H28" s="384" t="s">
        <v>356</v>
      </c>
      <c r="I28" s="389">
        <v>-454368.6</v>
      </c>
    </row>
    <row r="29" spans="1:10" x14ac:dyDescent="0.2">
      <c r="A29" s="383" t="s">
        <v>73</v>
      </c>
      <c r="B29" s="397">
        <v>45413</v>
      </c>
      <c r="C29" s="397" t="s">
        <v>534</v>
      </c>
      <c r="D29" s="383">
        <v>6</v>
      </c>
      <c r="E29" s="383" t="s">
        <v>524</v>
      </c>
      <c r="F29" s="390" t="s">
        <v>357</v>
      </c>
      <c r="G29" s="390"/>
      <c r="H29" s="384" t="s">
        <v>357</v>
      </c>
      <c r="I29" s="389">
        <v>-4840.16</v>
      </c>
    </row>
    <row r="30" spans="1:10" x14ac:dyDescent="0.2">
      <c r="A30" s="383" t="s">
        <v>73</v>
      </c>
      <c r="B30" s="397">
        <v>45413</v>
      </c>
      <c r="C30" s="397" t="s">
        <v>535</v>
      </c>
      <c r="D30" s="383">
        <v>7</v>
      </c>
      <c r="E30" s="383" t="s">
        <v>529</v>
      </c>
      <c r="F30" s="400" t="s">
        <v>358</v>
      </c>
      <c r="G30" s="400"/>
      <c r="H30" s="403" t="s">
        <v>358</v>
      </c>
      <c r="I30" s="396">
        <f>I20+I21+I22+I23+I24+I25+I26+I27+I28+I29</f>
        <v>1263545.8499999999</v>
      </c>
      <c r="J30" s="352">
        <f t="shared" si="0"/>
        <v>0.34808533689304316</v>
      </c>
    </row>
    <row r="31" spans="1:10" x14ac:dyDescent="0.2">
      <c r="A31" s="383" t="s">
        <v>73</v>
      </c>
      <c r="B31" s="397">
        <v>45413</v>
      </c>
      <c r="C31" s="397" t="s">
        <v>534</v>
      </c>
      <c r="D31" s="383">
        <v>8</v>
      </c>
      <c r="E31" s="383" t="s">
        <v>527</v>
      </c>
      <c r="F31" s="385" t="s">
        <v>359</v>
      </c>
      <c r="G31" s="385"/>
      <c r="H31" s="384" t="s">
        <v>479</v>
      </c>
      <c r="I31" s="389">
        <v>417.34</v>
      </c>
    </row>
    <row r="32" spans="1:10" x14ac:dyDescent="0.2">
      <c r="A32" s="383" t="s">
        <v>73</v>
      </c>
      <c r="B32" s="397">
        <v>45413</v>
      </c>
      <c r="C32" s="397" t="s">
        <v>534</v>
      </c>
      <c r="D32" s="383">
        <v>8</v>
      </c>
      <c r="E32" s="383" t="s">
        <v>527</v>
      </c>
      <c r="F32" s="385" t="s">
        <v>360</v>
      </c>
      <c r="G32" s="385"/>
      <c r="H32" s="384" t="s">
        <v>480</v>
      </c>
      <c r="I32" s="389">
        <v>4179.58</v>
      </c>
    </row>
    <row r="33" spans="1:10" x14ac:dyDescent="0.2">
      <c r="A33" s="383" t="s">
        <v>73</v>
      </c>
      <c r="B33" s="397">
        <v>45413</v>
      </c>
      <c r="C33" s="397" t="s">
        <v>534</v>
      </c>
      <c r="D33" s="383">
        <v>8</v>
      </c>
      <c r="E33" s="383" t="s">
        <v>527</v>
      </c>
      <c r="F33" s="390" t="s">
        <v>361</v>
      </c>
      <c r="G33" s="390"/>
      <c r="H33" s="384" t="s">
        <v>481</v>
      </c>
      <c r="I33" s="389">
        <v>-17854.25</v>
      </c>
    </row>
    <row r="34" spans="1:10" x14ac:dyDescent="0.2">
      <c r="A34" s="383" t="s">
        <v>73</v>
      </c>
      <c r="B34" s="397">
        <v>45413</v>
      </c>
      <c r="C34" s="397" t="s">
        <v>534</v>
      </c>
      <c r="D34" s="383">
        <v>9</v>
      </c>
      <c r="E34" s="383" t="s">
        <v>526</v>
      </c>
      <c r="F34" s="390" t="s">
        <v>363</v>
      </c>
      <c r="G34" s="390"/>
      <c r="H34" s="384" t="s">
        <v>363</v>
      </c>
      <c r="I34" s="393">
        <v>-411975.31</v>
      </c>
    </row>
    <row r="35" spans="1:10" x14ac:dyDescent="0.2">
      <c r="A35" s="383" t="s">
        <v>73</v>
      </c>
      <c r="B35" s="397">
        <v>45413</v>
      </c>
      <c r="C35" s="397" t="s">
        <v>534</v>
      </c>
      <c r="D35" s="383">
        <v>9</v>
      </c>
      <c r="E35" s="383" t="s">
        <v>526</v>
      </c>
      <c r="F35" s="390" t="s">
        <v>364</v>
      </c>
      <c r="G35" s="390"/>
      <c r="H35" s="384" t="s">
        <v>364</v>
      </c>
      <c r="I35" s="393">
        <v>-32092.9664204</v>
      </c>
    </row>
    <row r="36" spans="1:10" x14ac:dyDescent="0.2">
      <c r="A36" s="383" t="s">
        <v>73</v>
      </c>
      <c r="B36" s="397">
        <v>45413</v>
      </c>
      <c r="C36" s="397" t="s">
        <v>534</v>
      </c>
      <c r="D36" s="383">
        <v>9</v>
      </c>
      <c r="E36" s="383" t="s">
        <v>526</v>
      </c>
      <c r="F36" s="394" t="s">
        <v>273</v>
      </c>
      <c r="G36" s="394"/>
      <c r="H36" s="398" t="s">
        <v>563</v>
      </c>
      <c r="I36" s="393">
        <v>0</v>
      </c>
    </row>
    <row r="37" spans="1:10" x14ac:dyDescent="0.2">
      <c r="A37" s="383" t="s">
        <v>73</v>
      </c>
      <c r="B37" s="397">
        <v>45413</v>
      </c>
      <c r="C37" s="397" t="s">
        <v>534</v>
      </c>
      <c r="D37" s="383">
        <v>10</v>
      </c>
      <c r="E37" s="383" t="s">
        <v>452</v>
      </c>
      <c r="F37" s="400" t="s">
        <v>365</v>
      </c>
      <c r="G37" s="400"/>
      <c r="H37" s="403" t="s">
        <v>365</v>
      </c>
      <c r="I37" s="396">
        <f>I3+I4+I5+I6+I7+I8+I16+I17+I18+I19+I21+I22+I23+I24+I25+I26+I27+I28+I29+I31+I32+I33+I34+I35+I36</f>
        <v>-2823768.4864204004</v>
      </c>
      <c r="J37" s="352">
        <f t="shared" si="0"/>
        <v>0.77790006979454185</v>
      </c>
    </row>
    <row r="38" spans="1:10" x14ac:dyDescent="0.2">
      <c r="A38" s="383" t="s">
        <v>73</v>
      </c>
      <c r="B38" s="397">
        <v>45413</v>
      </c>
      <c r="C38" s="397" t="s">
        <v>535</v>
      </c>
      <c r="D38" s="383">
        <v>11</v>
      </c>
      <c r="E38" s="383" t="s">
        <v>528</v>
      </c>
      <c r="F38" s="400" t="s">
        <v>367</v>
      </c>
      <c r="G38" s="400"/>
      <c r="H38" s="403" t="s">
        <v>367</v>
      </c>
      <c r="I38" s="395">
        <f>I2+I37</f>
        <v>806220.24357959954</v>
      </c>
      <c r="J38" s="352">
        <f t="shared" si="0"/>
        <v>0.22209993020545812</v>
      </c>
    </row>
    <row r="39" spans="1:10" x14ac:dyDescent="0.2">
      <c r="A39" s="383" t="s">
        <v>516</v>
      </c>
      <c r="B39" s="397">
        <v>45413</v>
      </c>
      <c r="C39" s="397" t="s">
        <v>536</v>
      </c>
      <c r="D39" s="383">
        <v>1</v>
      </c>
      <c r="E39" s="384" t="s">
        <v>530</v>
      </c>
      <c r="F39" s="400" t="s">
        <v>440</v>
      </c>
      <c r="G39" s="400"/>
      <c r="H39" s="404" t="s">
        <v>440</v>
      </c>
      <c r="I39" s="407">
        <f>[5]Sucumbências!$BG$43</f>
        <v>0</v>
      </c>
      <c r="J39" s="352">
        <v>1</v>
      </c>
    </row>
    <row r="40" spans="1:10" x14ac:dyDescent="0.2">
      <c r="A40" s="383" t="s">
        <v>516</v>
      </c>
      <c r="B40" s="397">
        <v>45413</v>
      </c>
      <c r="C40" s="397" t="s">
        <v>534</v>
      </c>
      <c r="D40" s="383">
        <v>4</v>
      </c>
      <c r="E40" s="383" t="s">
        <v>525</v>
      </c>
      <c r="F40" s="388" t="s">
        <v>340</v>
      </c>
      <c r="G40" s="388"/>
      <c r="H40" s="404" t="s">
        <v>340</v>
      </c>
      <c r="I40" s="407">
        <f>-GLOSAS!$BH$43</f>
        <v>-69000.39</v>
      </c>
    </row>
    <row r="41" spans="1:10" x14ac:dyDescent="0.2">
      <c r="A41" s="383" t="s">
        <v>516</v>
      </c>
      <c r="B41" s="397">
        <v>45413</v>
      </c>
      <c r="C41" s="397" t="s">
        <v>534</v>
      </c>
      <c r="D41" s="383">
        <v>9</v>
      </c>
      <c r="E41" s="383" t="s">
        <v>526</v>
      </c>
      <c r="F41" s="390" t="s">
        <v>363</v>
      </c>
      <c r="G41" s="390"/>
      <c r="H41" s="404" t="s">
        <v>363</v>
      </c>
      <c r="I41" s="407">
        <f>-I39*0.1</f>
        <v>0</v>
      </c>
    </row>
    <row r="42" spans="1:10" x14ac:dyDescent="0.2">
      <c r="A42" s="383" t="s">
        <v>516</v>
      </c>
      <c r="B42" s="397">
        <v>45413</v>
      </c>
      <c r="C42" s="397" t="s">
        <v>535</v>
      </c>
      <c r="D42" s="383">
        <v>11</v>
      </c>
      <c r="E42" s="383" t="s">
        <v>528</v>
      </c>
      <c r="F42" s="400" t="s">
        <v>367</v>
      </c>
      <c r="G42" s="400"/>
      <c r="H42" s="404" t="s">
        <v>367</v>
      </c>
      <c r="I42" s="407">
        <f>I39+I40+I41</f>
        <v>-69000.39</v>
      </c>
      <c r="J42" s="352" t="e">
        <f>IF(C42="A",-I42/I39,I42/I39)</f>
        <v>#DIV/0!</v>
      </c>
    </row>
    <row r="43" spans="1:10" x14ac:dyDescent="0.2">
      <c r="A43" s="383" t="s">
        <v>522</v>
      </c>
      <c r="B43" s="397">
        <v>45413</v>
      </c>
      <c r="C43" s="397" t="s">
        <v>536</v>
      </c>
      <c r="D43" s="383">
        <v>1</v>
      </c>
      <c r="E43" s="384" t="s">
        <v>530</v>
      </c>
      <c r="F43" s="400" t="s">
        <v>440</v>
      </c>
      <c r="G43" s="400"/>
      <c r="H43" s="405" t="s">
        <v>440</v>
      </c>
      <c r="I43" s="396">
        <f>I2-I39</f>
        <v>3629988.73</v>
      </c>
      <c r="J43" s="352">
        <v>1</v>
      </c>
    </row>
    <row r="44" spans="1:10" x14ac:dyDescent="0.2">
      <c r="A44" s="383" t="s">
        <v>522</v>
      </c>
      <c r="B44" s="397">
        <v>45413</v>
      </c>
      <c r="C44" s="397" t="s">
        <v>534</v>
      </c>
      <c r="D44" s="383">
        <v>2</v>
      </c>
      <c r="E44" s="384" t="s">
        <v>325</v>
      </c>
      <c r="F44" s="390" t="s">
        <v>326</v>
      </c>
      <c r="G44" s="390"/>
      <c r="H44" s="384" t="s">
        <v>519</v>
      </c>
      <c r="I44" s="406">
        <f t="shared" ref="I44:I56" si="1">I3</f>
        <v>-165768.84</v>
      </c>
    </row>
    <row r="45" spans="1:10" x14ac:dyDescent="0.2">
      <c r="A45" s="383" t="s">
        <v>522</v>
      </c>
      <c r="B45" s="397">
        <v>45413</v>
      </c>
      <c r="C45" s="397" t="s">
        <v>534</v>
      </c>
      <c r="D45" s="383">
        <v>2</v>
      </c>
      <c r="E45" s="384" t="s">
        <v>325</v>
      </c>
      <c r="F45" s="385" t="s">
        <v>328</v>
      </c>
      <c r="G45" s="385"/>
      <c r="H45" s="384" t="s">
        <v>521</v>
      </c>
      <c r="I45" s="406">
        <f t="shared" si="1"/>
        <v>0</v>
      </c>
    </row>
    <row r="46" spans="1:10" x14ac:dyDescent="0.2">
      <c r="A46" s="383" t="s">
        <v>522</v>
      </c>
      <c r="B46" s="397">
        <v>45413</v>
      </c>
      <c r="C46" s="397" t="s">
        <v>534</v>
      </c>
      <c r="D46" s="383">
        <v>2</v>
      </c>
      <c r="E46" s="384" t="s">
        <v>325</v>
      </c>
      <c r="F46" s="385" t="s">
        <v>329</v>
      </c>
      <c r="G46" s="385"/>
      <c r="H46" s="384" t="s">
        <v>329</v>
      </c>
      <c r="I46" s="406">
        <f t="shared" si="1"/>
        <v>-31292.27</v>
      </c>
    </row>
    <row r="47" spans="1:10" x14ac:dyDescent="0.2">
      <c r="A47" s="383" t="s">
        <v>522</v>
      </c>
      <c r="B47" s="397">
        <v>45413</v>
      </c>
      <c r="C47" s="397" t="s">
        <v>534</v>
      </c>
      <c r="D47" s="383">
        <v>2</v>
      </c>
      <c r="E47" s="384" t="s">
        <v>325</v>
      </c>
      <c r="F47" s="385" t="s">
        <v>330</v>
      </c>
      <c r="G47" s="385"/>
      <c r="H47" s="384" t="s">
        <v>330</v>
      </c>
      <c r="I47" s="406">
        <f t="shared" si="1"/>
        <v>-9780.2000000000007</v>
      </c>
    </row>
    <row r="48" spans="1:10" x14ac:dyDescent="0.2">
      <c r="A48" s="383" t="s">
        <v>522</v>
      </c>
      <c r="B48" s="397">
        <v>45413</v>
      </c>
      <c r="C48" s="397" t="s">
        <v>534</v>
      </c>
      <c r="D48" s="383">
        <v>2</v>
      </c>
      <c r="E48" s="384" t="s">
        <v>325</v>
      </c>
      <c r="F48" s="385" t="s">
        <v>331</v>
      </c>
      <c r="G48" s="385"/>
      <c r="H48" s="384" t="s">
        <v>331</v>
      </c>
      <c r="I48" s="406">
        <f t="shared" si="1"/>
        <v>-5.62</v>
      </c>
    </row>
    <row r="49" spans="1:10" x14ac:dyDescent="0.2">
      <c r="A49" s="383" t="s">
        <v>522</v>
      </c>
      <c r="B49" s="397">
        <v>45413</v>
      </c>
      <c r="C49" s="397" t="s">
        <v>534</v>
      </c>
      <c r="D49" s="383">
        <v>2</v>
      </c>
      <c r="E49" s="384" t="s">
        <v>325</v>
      </c>
      <c r="F49" s="384" t="s">
        <v>332</v>
      </c>
      <c r="G49" s="384"/>
      <c r="H49" s="384" t="s">
        <v>520</v>
      </c>
      <c r="I49" s="406">
        <f t="shared" si="1"/>
        <v>0</v>
      </c>
    </row>
    <row r="50" spans="1:10" x14ac:dyDescent="0.2">
      <c r="A50" s="383" t="s">
        <v>522</v>
      </c>
      <c r="B50" s="397">
        <v>45413</v>
      </c>
      <c r="C50" s="397" t="s">
        <v>535</v>
      </c>
      <c r="D50" s="383">
        <v>3</v>
      </c>
      <c r="E50" s="384" t="s">
        <v>531</v>
      </c>
      <c r="F50" s="385" t="s">
        <v>334</v>
      </c>
      <c r="G50" s="385"/>
      <c r="H50" s="384" t="s">
        <v>334</v>
      </c>
      <c r="I50" s="406">
        <f t="shared" si="1"/>
        <v>3300568.8499999996</v>
      </c>
    </row>
    <row r="51" spans="1:10" x14ac:dyDescent="0.2">
      <c r="A51" s="383" t="s">
        <v>522</v>
      </c>
      <c r="B51" s="397">
        <v>45413</v>
      </c>
      <c r="C51" s="397" t="s">
        <v>535</v>
      </c>
      <c r="D51" s="383">
        <v>3</v>
      </c>
      <c r="E51" s="384" t="s">
        <v>531</v>
      </c>
      <c r="F51" s="385" t="s">
        <v>335</v>
      </c>
      <c r="G51" s="385"/>
      <c r="H51" s="384" t="s">
        <v>335</v>
      </c>
      <c r="I51" s="406">
        <f t="shared" si="1"/>
        <v>112128.08</v>
      </c>
    </row>
    <row r="52" spans="1:10" x14ac:dyDescent="0.2">
      <c r="A52" s="383" t="s">
        <v>522</v>
      </c>
      <c r="B52" s="397">
        <v>45413</v>
      </c>
      <c r="C52" s="397" t="s">
        <v>535</v>
      </c>
      <c r="D52" s="383">
        <v>3</v>
      </c>
      <c r="E52" s="384" t="s">
        <v>531</v>
      </c>
      <c r="F52" s="385" t="s">
        <v>336</v>
      </c>
      <c r="G52" s="385"/>
      <c r="H52" s="384" t="s">
        <v>336</v>
      </c>
      <c r="I52" s="406">
        <f t="shared" si="1"/>
        <v>6500</v>
      </c>
    </row>
    <row r="53" spans="1:10" x14ac:dyDescent="0.2">
      <c r="A53" s="383" t="s">
        <v>522</v>
      </c>
      <c r="B53" s="397">
        <v>45413</v>
      </c>
      <c r="C53" s="397" t="s">
        <v>535</v>
      </c>
      <c r="D53" s="383">
        <v>3</v>
      </c>
      <c r="E53" s="384" t="s">
        <v>531</v>
      </c>
      <c r="F53" s="387" t="s">
        <v>273</v>
      </c>
      <c r="G53" s="387"/>
      <c r="H53" s="384" t="s">
        <v>562</v>
      </c>
      <c r="I53" s="406">
        <f t="shared" si="1"/>
        <v>0</v>
      </c>
    </row>
    <row r="54" spans="1:10" x14ac:dyDescent="0.2">
      <c r="A54" s="383" t="s">
        <v>522</v>
      </c>
      <c r="B54" s="397">
        <v>45413</v>
      </c>
      <c r="C54" s="397" t="s">
        <v>535</v>
      </c>
      <c r="D54" s="383">
        <v>3</v>
      </c>
      <c r="E54" s="384" t="s">
        <v>531</v>
      </c>
      <c r="F54" s="387" t="s">
        <v>513</v>
      </c>
      <c r="G54" s="387"/>
      <c r="H54" s="384" t="s">
        <v>513</v>
      </c>
      <c r="I54" s="406">
        <f t="shared" si="1"/>
        <v>0</v>
      </c>
    </row>
    <row r="55" spans="1:10" x14ac:dyDescent="0.2">
      <c r="A55" s="383" t="s">
        <v>522</v>
      </c>
      <c r="B55" s="397">
        <v>45413</v>
      </c>
      <c r="C55" s="397" t="s">
        <v>535</v>
      </c>
      <c r="D55" s="383">
        <v>3</v>
      </c>
      <c r="E55" s="384" t="s">
        <v>531</v>
      </c>
      <c r="F55" s="387" t="s">
        <v>514</v>
      </c>
      <c r="G55" s="387"/>
      <c r="H55" s="384" t="s">
        <v>514</v>
      </c>
      <c r="I55" s="406">
        <f t="shared" si="1"/>
        <v>0</v>
      </c>
    </row>
    <row r="56" spans="1:10" x14ac:dyDescent="0.2">
      <c r="A56" s="383" t="s">
        <v>522</v>
      </c>
      <c r="B56" s="397">
        <v>45413</v>
      </c>
      <c r="C56" s="397" t="s">
        <v>535</v>
      </c>
      <c r="D56" s="383">
        <v>3</v>
      </c>
      <c r="E56" s="384" t="s">
        <v>531</v>
      </c>
      <c r="F56" s="385" t="s">
        <v>337</v>
      </c>
      <c r="G56" s="385"/>
      <c r="H56" s="384" t="s">
        <v>337</v>
      </c>
      <c r="I56" s="406">
        <f t="shared" si="1"/>
        <v>3944.87</v>
      </c>
    </row>
    <row r="57" spans="1:10" x14ac:dyDescent="0.2">
      <c r="A57" s="383" t="s">
        <v>522</v>
      </c>
      <c r="B57" s="397">
        <v>45413</v>
      </c>
      <c r="C57" s="397" t="s">
        <v>534</v>
      </c>
      <c r="D57" s="383">
        <v>4</v>
      </c>
      <c r="E57" s="383" t="s">
        <v>523</v>
      </c>
      <c r="F57" s="388" t="s">
        <v>340</v>
      </c>
      <c r="G57" s="388"/>
      <c r="H57" s="405" t="s">
        <v>340</v>
      </c>
      <c r="I57" s="396">
        <f>I16-I40</f>
        <v>0</v>
      </c>
    </row>
    <row r="58" spans="1:10" x14ac:dyDescent="0.2">
      <c r="A58" s="383" t="s">
        <v>522</v>
      </c>
      <c r="B58" s="397">
        <v>45413</v>
      </c>
      <c r="C58" s="397" t="s">
        <v>534</v>
      </c>
      <c r="D58" s="383">
        <v>4</v>
      </c>
      <c r="E58" s="383" t="s">
        <v>523</v>
      </c>
      <c r="F58" s="388" t="s">
        <v>341</v>
      </c>
      <c r="G58" s="388"/>
      <c r="H58" s="384" t="s">
        <v>341</v>
      </c>
      <c r="I58" s="406">
        <f>I17</f>
        <v>-138202.63</v>
      </c>
    </row>
    <row r="59" spans="1:10" x14ac:dyDescent="0.2">
      <c r="A59" s="383" t="s">
        <v>522</v>
      </c>
      <c r="B59" s="397">
        <v>45413</v>
      </c>
      <c r="C59" s="397" t="s">
        <v>534</v>
      </c>
      <c r="D59" s="383">
        <v>4</v>
      </c>
      <c r="E59" s="383" t="s">
        <v>523</v>
      </c>
      <c r="F59" s="388" t="s">
        <v>342</v>
      </c>
      <c r="G59" s="388"/>
      <c r="H59" s="384" t="s">
        <v>342</v>
      </c>
      <c r="I59" s="406">
        <f>I18</f>
        <v>-1261018.94</v>
      </c>
    </row>
    <row r="60" spans="1:10" x14ac:dyDescent="0.2">
      <c r="A60" s="383" t="s">
        <v>522</v>
      </c>
      <c r="B60" s="397">
        <v>45413</v>
      </c>
      <c r="C60" s="397" t="s">
        <v>534</v>
      </c>
      <c r="D60" s="383">
        <v>4</v>
      </c>
      <c r="E60" s="383" t="s">
        <v>523</v>
      </c>
      <c r="F60" s="388" t="s">
        <v>343</v>
      </c>
      <c r="G60" s="388"/>
      <c r="H60" s="384" t="s">
        <v>343</v>
      </c>
      <c r="I60" s="406">
        <f>I19</f>
        <v>-20420.989999999998</v>
      </c>
    </row>
    <row r="61" spans="1:10" x14ac:dyDescent="0.2">
      <c r="A61" s="383" t="s">
        <v>522</v>
      </c>
      <c r="B61" s="397">
        <v>45413</v>
      </c>
      <c r="C61" s="397" t="s">
        <v>535</v>
      </c>
      <c r="D61" s="383">
        <v>5</v>
      </c>
      <c r="E61" s="383" t="s">
        <v>532</v>
      </c>
      <c r="F61" s="401" t="s">
        <v>345</v>
      </c>
      <c r="G61" s="401"/>
      <c r="H61" s="403" t="s">
        <v>345</v>
      </c>
      <c r="I61" s="406">
        <f>I43+I44+I45+I46+I47+I48+I49+I57+I58+I59+I60</f>
        <v>2003499.24</v>
      </c>
      <c r="J61" s="352">
        <f>IF(C61="A",-I61/$I$43,I61/$I$43)</f>
        <v>0.55192987885667621</v>
      </c>
    </row>
    <row r="62" spans="1:10" x14ac:dyDescent="0.2">
      <c r="A62" s="383" t="s">
        <v>522</v>
      </c>
      <c r="B62" s="397">
        <v>45413</v>
      </c>
      <c r="C62" s="397" t="s">
        <v>534</v>
      </c>
      <c r="D62" s="383">
        <v>6</v>
      </c>
      <c r="E62" s="383" t="s">
        <v>524</v>
      </c>
      <c r="F62" s="388" t="s">
        <v>349</v>
      </c>
      <c r="G62" s="388"/>
      <c r="H62" s="384" t="s">
        <v>473</v>
      </c>
      <c r="I62" s="406">
        <f t="shared" ref="I62:I70" si="2">I21</f>
        <v>-28028.559999999998</v>
      </c>
    </row>
    <row r="63" spans="1:10" x14ac:dyDescent="0.2">
      <c r="A63" s="383" t="s">
        <v>522</v>
      </c>
      <c r="B63" s="397">
        <v>45413</v>
      </c>
      <c r="C63" s="397" t="s">
        <v>534</v>
      </c>
      <c r="D63" s="383">
        <v>6</v>
      </c>
      <c r="E63" s="383" t="s">
        <v>524</v>
      </c>
      <c r="F63" s="388" t="s">
        <v>350</v>
      </c>
      <c r="G63" s="388"/>
      <c r="H63" s="384" t="s">
        <v>474</v>
      </c>
      <c r="I63" s="406">
        <f t="shared" si="2"/>
        <v>-11955.59</v>
      </c>
    </row>
    <row r="64" spans="1:10" x14ac:dyDescent="0.2">
      <c r="A64" s="383" t="s">
        <v>522</v>
      </c>
      <c r="B64" s="397">
        <v>45413</v>
      </c>
      <c r="C64" s="397" t="s">
        <v>534</v>
      </c>
      <c r="D64" s="383">
        <v>6</v>
      </c>
      <c r="E64" s="383" t="s">
        <v>524</v>
      </c>
      <c r="F64" s="388" t="s">
        <v>351</v>
      </c>
      <c r="G64" s="388"/>
      <c r="H64" s="384" t="s">
        <v>475</v>
      </c>
      <c r="I64" s="406">
        <f t="shared" si="2"/>
        <v>-57562.549999999996</v>
      </c>
    </row>
    <row r="65" spans="1:10" x14ac:dyDescent="0.2">
      <c r="A65" s="383" t="s">
        <v>522</v>
      </c>
      <c r="B65" s="397">
        <v>45413</v>
      </c>
      <c r="C65" s="397" t="s">
        <v>534</v>
      </c>
      <c r="D65" s="383">
        <v>6</v>
      </c>
      <c r="E65" s="383" t="s">
        <v>524</v>
      </c>
      <c r="F65" s="388" t="s">
        <v>352</v>
      </c>
      <c r="G65" s="388"/>
      <c r="H65" s="384" t="s">
        <v>476</v>
      </c>
      <c r="I65" s="406">
        <f t="shared" si="2"/>
        <v>-7231.5300000000007</v>
      </c>
    </row>
    <row r="66" spans="1:10" x14ac:dyDescent="0.2">
      <c r="A66" s="383" t="s">
        <v>522</v>
      </c>
      <c r="B66" s="397">
        <v>45413</v>
      </c>
      <c r="C66" s="397" t="s">
        <v>534</v>
      </c>
      <c r="D66" s="383">
        <v>6</v>
      </c>
      <c r="E66" s="383" t="s">
        <v>524</v>
      </c>
      <c r="F66" s="388" t="s">
        <v>353</v>
      </c>
      <c r="G66" s="388"/>
      <c r="H66" s="384" t="s">
        <v>477</v>
      </c>
      <c r="I66" s="406">
        <f t="shared" si="2"/>
        <v>-37496.6</v>
      </c>
    </row>
    <row r="67" spans="1:10" x14ac:dyDescent="0.2">
      <c r="A67" s="383" t="s">
        <v>522</v>
      </c>
      <c r="B67" s="397">
        <v>45413</v>
      </c>
      <c r="C67" s="397" t="s">
        <v>534</v>
      </c>
      <c r="D67" s="383">
        <v>6</v>
      </c>
      <c r="E67" s="383" t="s">
        <v>524</v>
      </c>
      <c r="F67" s="388" t="s">
        <v>354</v>
      </c>
      <c r="G67" s="388"/>
      <c r="H67" s="384" t="s">
        <v>478</v>
      </c>
      <c r="I67" s="406">
        <f t="shared" si="2"/>
        <v>-17075.189999999999</v>
      </c>
    </row>
    <row r="68" spans="1:10" x14ac:dyDescent="0.2">
      <c r="A68" s="383" t="s">
        <v>522</v>
      </c>
      <c r="B68" s="397">
        <v>45413</v>
      </c>
      <c r="C68" s="397" t="s">
        <v>534</v>
      </c>
      <c r="D68" s="383">
        <v>6</v>
      </c>
      <c r="E68" s="383" t="s">
        <v>524</v>
      </c>
      <c r="F68" s="390" t="s">
        <v>355</v>
      </c>
      <c r="G68" s="390"/>
      <c r="H68" s="384" t="s">
        <v>355</v>
      </c>
      <c r="I68" s="406">
        <f t="shared" si="2"/>
        <v>-52394.22</v>
      </c>
    </row>
    <row r="69" spans="1:10" x14ac:dyDescent="0.2">
      <c r="A69" s="383" t="s">
        <v>522</v>
      </c>
      <c r="B69" s="397">
        <v>45413</v>
      </c>
      <c r="C69" s="397" t="s">
        <v>534</v>
      </c>
      <c r="D69" s="383">
        <v>6</v>
      </c>
      <c r="E69" s="383" t="s">
        <v>524</v>
      </c>
      <c r="F69" s="390" t="s">
        <v>356</v>
      </c>
      <c r="G69" s="390"/>
      <c r="H69" s="384" t="s">
        <v>356</v>
      </c>
      <c r="I69" s="406">
        <f t="shared" si="2"/>
        <v>-454368.6</v>
      </c>
    </row>
    <row r="70" spans="1:10" x14ac:dyDescent="0.2">
      <c r="A70" s="383" t="s">
        <v>522</v>
      </c>
      <c r="B70" s="397">
        <v>45413</v>
      </c>
      <c r="C70" s="397" t="s">
        <v>534</v>
      </c>
      <c r="D70" s="383">
        <v>6</v>
      </c>
      <c r="E70" s="383" t="s">
        <v>524</v>
      </c>
      <c r="F70" s="390" t="s">
        <v>357</v>
      </c>
      <c r="G70" s="390"/>
      <c r="H70" s="384" t="s">
        <v>357</v>
      </c>
      <c r="I70" s="406">
        <f t="shared" si="2"/>
        <v>-4840.16</v>
      </c>
    </row>
    <row r="71" spans="1:10" x14ac:dyDescent="0.2">
      <c r="A71" s="383" t="s">
        <v>522</v>
      </c>
      <c r="B71" s="397">
        <v>45413</v>
      </c>
      <c r="C71" s="397" t="s">
        <v>535</v>
      </c>
      <c r="D71" s="383">
        <v>7</v>
      </c>
      <c r="E71" s="383" t="s">
        <v>529</v>
      </c>
      <c r="F71" s="400" t="s">
        <v>358</v>
      </c>
      <c r="G71" s="400"/>
      <c r="H71" s="403" t="s">
        <v>358</v>
      </c>
      <c r="I71" s="396">
        <f>I61+I62+I63+I64+I65+I66+I67+I68+I69+I70</f>
        <v>1332546.24</v>
      </c>
      <c r="J71" s="352">
        <f>IF(C71="A",-I71/$I$43,I71/$I$43)</f>
        <v>0.3670937678090257</v>
      </c>
    </row>
    <row r="72" spans="1:10" x14ac:dyDescent="0.2">
      <c r="A72" s="383" t="s">
        <v>522</v>
      </c>
      <c r="B72" s="397">
        <v>45413</v>
      </c>
      <c r="C72" s="397" t="s">
        <v>534</v>
      </c>
      <c r="D72" s="383">
        <v>8</v>
      </c>
      <c r="E72" s="383" t="s">
        <v>527</v>
      </c>
      <c r="F72" s="385" t="s">
        <v>359</v>
      </c>
      <c r="G72" s="385"/>
      <c r="H72" s="384" t="s">
        <v>479</v>
      </c>
      <c r="I72" s="406">
        <f>I31</f>
        <v>417.34</v>
      </c>
    </row>
    <row r="73" spans="1:10" x14ac:dyDescent="0.2">
      <c r="A73" s="383" t="s">
        <v>522</v>
      </c>
      <c r="B73" s="397">
        <v>45413</v>
      </c>
      <c r="C73" s="397" t="s">
        <v>534</v>
      </c>
      <c r="D73" s="383">
        <v>8</v>
      </c>
      <c r="E73" s="383" t="s">
        <v>527</v>
      </c>
      <c r="F73" s="385" t="s">
        <v>360</v>
      </c>
      <c r="G73" s="385"/>
      <c r="H73" s="384" t="s">
        <v>480</v>
      </c>
      <c r="I73" s="406">
        <f>I32</f>
        <v>4179.58</v>
      </c>
    </row>
    <row r="74" spans="1:10" x14ac:dyDescent="0.2">
      <c r="A74" s="383" t="s">
        <v>522</v>
      </c>
      <c r="B74" s="397">
        <v>45413</v>
      </c>
      <c r="C74" s="397" t="s">
        <v>534</v>
      </c>
      <c r="D74" s="383">
        <v>8</v>
      </c>
      <c r="E74" s="383" t="s">
        <v>527</v>
      </c>
      <c r="F74" s="390" t="s">
        <v>361</v>
      </c>
      <c r="G74" s="390"/>
      <c r="H74" s="384" t="s">
        <v>481</v>
      </c>
      <c r="I74" s="406">
        <f>I33</f>
        <v>-17854.25</v>
      </c>
    </row>
    <row r="75" spans="1:10" x14ac:dyDescent="0.2">
      <c r="A75" s="383" t="s">
        <v>522</v>
      </c>
      <c r="B75" s="397">
        <v>45413</v>
      </c>
      <c r="C75" s="397" t="s">
        <v>534</v>
      </c>
      <c r="D75" s="383">
        <v>9</v>
      </c>
      <c r="E75" s="383" t="s">
        <v>526</v>
      </c>
      <c r="F75" s="390" t="s">
        <v>363</v>
      </c>
      <c r="G75" s="390"/>
      <c r="H75" s="405" t="s">
        <v>363</v>
      </c>
      <c r="I75" s="396">
        <f>I34-I41</f>
        <v>-411975.31</v>
      </c>
    </row>
    <row r="76" spans="1:10" x14ac:dyDescent="0.2">
      <c r="A76" s="383" t="s">
        <v>522</v>
      </c>
      <c r="B76" s="397">
        <v>45413</v>
      </c>
      <c r="C76" s="397" t="s">
        <v>534</v>
      </c>
      <c r="D76" s="383">
        <v>9</v>
      </c>
      <c r="E76" s="383" t="s">
        <v>526</v>
      </c>
      <c r="F76" s="390" t="s">
        <v>364</v>
      </c>
      <c r="G76" s="390"/>
      <c r="H76" s="384" t="s">
        <v>364</v>
      </c>
      <c r="I76" s="406">
        <f>I35</f>
        <v>-32092.9664204</v>
      </c>
    </row>
    <row r="77" spans="1:10" x14ac:dyDescent="0.2">
      <c r="A77" s="383" t="s">
        <v>522</v>
      </c>
      <c r="B77" s="397">
        <v>45413</v>
      </c>
      <c r="C77" s="397" t="s">
        <v>534</v>
      </c>
      <c r="D77" s="383">
        <v>9</v>
      </c>
      <c r="E77" s="383" t="s">
        <v>526</v>
      </c>
      <c r="F77" s="394" t="s">
        <v>273</v>
      </c>
      <c r="G77" s="394"/>
      <c r="H77" s="398" t="s">
        <v>563</v>
      </c>
      <c r="I77" s="406">
        <f>I36</f>
        <v>0</v>
      </c>
    </row>
    <row r="78" spans="1:10" x14ac:dyDescent="0.2">
      <c r="A78" s="383" t="s">
        <v>522</v>
      </c>
      <c r="B78" s="397">
        <v>45413</v>
      </c>
      <c r="C78" s="397" t="s">
        <v>534</v>
      </c>
      <c r="D78" s="383">
        <v>10</v>
      </c>
      <c r="E78" s="383" t="s">
        <v>452</v>
      </c>
      <c r="F78" s="400" t="s">
        <v>365</v>
      </c>
      <c r="G78" s="400"/>
      <c r="H78" s="403" t="s">
        <v>365</v>
      </c>
      <c r="I78" s="396">
        <f>I44+I45+I46+I47+I48+I49+I57+I58+I59+I60+I62+I63+I64+I65+I66+I67+I68+I69+I70+I72+I73+I74+I75+I76+I77</f>
        <v>-2754768.0964204003</v>
      </c>
      <c r="J78" s="352">
        <f>IF(C78="A",-I78/$I$43,I78/$I$43)</f>
        <v>0.75889163887855937</v>
      </c>
    </row>
    <row r="79" spans="1:10" x14ac:dyDescent="0.2">
      <c r="A79" s="383" t="s">
        <v>522</v>
      </c>
      <c r="B79" s="397">
        <v>45413</v>
      </c>
      <c r="C79" s="397" t="s">
        <v>535</v>
      </c>
      <c r="D79" s="383">
        <v>11</v>
      </c>
      <c r="E79" s="383" t="s">
        <v>528</v>
      </c>
      <c r="F79" s="400" t="s">
        <v>367</v>
      </c>
      <c r="G79" s="400"/>
      <c r="H79" s="405" t="s">
        <v>367</v>
      </c>
      <c r="I79" s="395">
        <f>I43+I78</f>
        <v>875220.63357959967</v>
      </c>
      <c r="J79" s="352">
        <f>IF(C79="A",-I79/$I$43,I79/$I$43)</f>
        <v>0.24110836112144063</v>
      </c>
    </row>
    <row r="80" spans="1:10" x14ac:dyDescent="0.2">
      <c r="A80" s="383" t="s">
        <v>73</v>
      </c>
      <c r="B80" s="397">
        <v>45444</v>
      </c>
      <c r="C80" s="397" t="s">
        <v>536</v>
      </c>
      <c r="D80" s="383">
        <v>1</v>
      </c>
      <c r="E80" s="384" t="s">
        <v>530</v>
      </c>
      <c r="F80" s="400" t="s">
        <v>440</v>
      </c>
      <c r="G80" s="400"/>
      <c r="H80" s="384" t="s">
        <v>440</v>
      </c>
      <c r="I80" s="383">
        <v>4068124.12</v>
      </c>
      <c r="J80" s="352">
        <v>1</v>
      </c>
    </row>
    <row r="81" spans="1:9" x14ac:dyDescent="0.2">
      <c r="A81" s="383" t="s">
        <v>73</v>
      </c>
      <c r="B81" s="397">
        <v>45444</v>
      </c>
      <c r="C81" s="397" t="s">
        <v>534</v>
      </c>
      <c r="D81" s="383">
        <v>2</v>
      </c>
      <c r="E81" s="384" t="s">
        <v>325</v>
      </c>
      <c r="F81" s="390" t="s">
        <v>326</v>
      </c>
      <c r="G81" s="390"/>
      <c r="H81" s="384" t="s">
        <v>519</v>
      </c>
      <c r="I81" s="383">
        <v>-200839.05</v>
      </c>
    </row>
    <row r="82" spans="1:9" x14ac:dyDescent="0.2">
      <c r="A82" s="383" t="s">
        <v>73</v>
      </c>
      <c r="B82" s="397">
        <v>45444</v>
      </c>
      <c r="C82" s="397" t="s">
        <v>534</v>
      </c>
      <c r="D82" s="383">
        <v>2</v>
      </c>
      <c r="E82" s="384" t="s">
        <v>325</v>
      </c>
      <c r="F82" s="385" t="s">
        <v>328</v>
      </c>
      <c r="G82" s="385"/>
      <c r="H82" s="384" t="s">
        <v>521</v>
      </c>
      <c r="I82" s="383">
        <v>0</v>
      </c>
    </row>
    <row r="83" spans="1:9" x14ac:dyDescent="0.2">
      <c r="A83" s="383" t="s">
        <v>73</v>
      </c>
      <c r="B83" s="397">
        <v>45444</v>
      </c>
      <c r="C83" s="397" t="s">
        <v>534</v>
      </c>
      <c r="D83" s="383">
        <v>2</v>
      </c>
      <c r="E83" s="384" t="s">
        <v>325</v>
      </c>
      <c r="F83" s="385" t="s">
        <v>329</v>
      </c>
      <c r="G83" s="385"/>
      <c r="H83" s="384" t="s">
        <v>329</v>
      </c>
      <c r="I83" s="383">
        <v>-31704.62</v>
      </c>
    </row>
    <row r="84" spans="1:9" x14ac:dyDescent="0.2">
      <c r="A84" s="383" t="s">
        <v>73</v>
      </c>
      <c r="B84" s="397">
        <v>45444</v>
      </c>
      <c r="C84" s="397" t="s">
        <v>534</v>
      </c>
      <c r="D84" s="383">
        <v>2</v>
      </c>
      <c r="E84" s="384" t="s">
        <v>325</v>
      </c>
      <c r="F84" s="385" t="s">
        <v>330</v>
      </c>
      <c r="G84" s="385"/>
      <c r="H84" s="384" t="s">
        <v>330</v>
      </c>
      <c r="I84" s="383">
        <v>0</v>
      </c>
    </row>
    <row r="85" spans="1:9" x14ac:dyDescent="0.2">
      <c r="A85" s="383" t="s">
        <v>73</v>
      </c>
      <c r="B85" s="397">
        <v>45444</v>
      </c>
      <c r="C85" s="397" t="s">
        <v>534</v>
      </c>
      <c r="D85" s="383">
        <v>2</v>
      </c>
      <c r="E85" s="384" t="s">
        <v>325</v>
      </c>
      <c r="F85" s="385" t="s">
        <v>331</v>
      </c>
      <c r="G85" s="385"/>
      <c r="H85" s="384" t="s">
        <v>331</v>
      </c>
      <c r="I85" s="383">
        <v>0</v>
      </c>
    </row>
    <row r="86" spans="1:9" x14ac:dyDescent="0.2">
      <c r="A86" s="383" t="s">
        <v>73</v>
      </c>
      <c r="B86" s="397">
        <v>45444</v>
      </c>
      <c r="C86" s="397" t="s">
        <v>534</v>
      </c>
      <c r="D86" s="383">
        <v>2</v>
      </c>
      <c r="E86" s="384" t="s">
        <v>325</v>
      </c>
      <c r="F86" s="384" t="s">
        <v>332</v>
      </c>
      <c r="G86" s="384"/>
      <c r="H86" s="384" t="s">
        <v>520</v>
      </c>
    </row>
    <row r="87" spans="1:9" x14ac:dyDescent="0.2">
      <c r="A87" s="383" t="s">
        <v>73</v>
      </c>
      <c r="B87" s="397">
        <v>45444</v>
      </c>
      <c r="C87" s="397" t="s">
        <v>535</v>
      </c>
      <c r="D87" s="383">
        <v>3</v>
      </c>
      <c r="E87" s="384" t="s">
        <v>531</v>
      </c>
      <c r="F87" s="385" t="s">
        <v>334</v>
      </c>
      <c r="G87" s="385"/>
      <c r="H87" s="384" t="s">
        <v>334</v>
      </c>
      <c r="I87" s="383">
        <v>3630920.75</v>
      </c>
    </row>
    <row r="88" spans="1:9" x14ac:dyDescent="0.2">
      <c r="A88" s="383" t="s">
        <v>73</v>
      </c>
      <c r="B88" s="397">
        <v>45444</v>
      </c>
      <c r="C88" s="397" t="s">
        <v>535</v>
      </c>
      <c r="D88" s="383">
        <v>3</v>
      </c>
      <c r="E88" s="384" t="s">
        <v>531</v>
      </c>
      <c r="F88" s="385" t="s">
        <v>335</v>
      </c>
      <c r="G88" s="385"/>
      <c r="H88" s="384" t="s">
        <v>335</v>
      </c>
      <c r="I88" s="383">
        <v>187391.46</v>
      </c>
    </row>
    <row r="89" spans="1:9" x14ac:dyDescent="0.2">
      <c r="A89" s="383" t="s">
        <v>73</v>
      </c>
      <c r="B89" s="397">
        <v>45444</v>
      </c>
      <c r="C89" s="397" t="s">
        <v>535</v>
      </c>
      <c r="D89" s="383">
        <v>3</v>
      </c>
      <c r="E89" s="384" t="s">
        <v>531</v>
      </c>
      <c r="F89" s="385" t="s">
        <v>336</v>
      </c>
      <c r="G89" s="385"/>
      <c r="H89" s="384" t="s">
        <v>336</v>
      </c>
      <c r="I89" s="383">
        <v>4800</v>
      </c>
    </row>
    <row r="90" spans="1:9" x14ac:dyDescent="0.2">
      <c r="A90" s="383" t="s">
        <v>73</v>
      </c>
      <c r="B90" s="397">
        <v>45444</v>
      </c>
      <c r="C90" s="397" t="s">
        <v>535</v>
      </c>
      <c r="D90" s="383">
        <v>3</v>
      </c>
      <c r="E90" s="384" t="s">
        <v>531</v>
      </c>
      <c r="F90" s="387" t="s">
        <v>273</v>
      </c>
      <c r="G90" s="387"/>
      <c r="H90" s="384" t="s">
        <v>562</v>
      </c>
      <c r="I90" s="383">
        <v>0</v>
      </c>
    </row>
    <row r="91" spans="1:9" x14ac:dyDescent="0.2">
      <c r="A91" s="383" t="s">
        <v>73</v>
      </c>
      <c r="B91" s="397">
        <v>45444</v>
      </c>
      <c r="C91" s="397" t="s">
        <v>535</v>
      </c>
      <c r="D91" s="383">
        <v>3</v>
      </c>
      <c r="E91" s="384" t="s">
        <v>531</v>
      </c>
      <c r="F91" s="387" t="s">
        <v>513</v>
      </c>
      <c r="G91" s="387"/>
      <c r="H91" s="384" t="s">
        <v>513</v>
      </c>
      <c r="I91" s="383">
        <v>0</v>
      </c>
    </row>
    <row r="92" spans="1:9" x14ac:dyDescent="0.2">
      <c r="A92" s="383" t="s">
        <v>73</v>
      </c>
      <c r="B92" s="397">
        <v>45444</v>
      </c>
      <c r="C92" s="397" t="s">
        <v>535</v>
      </c>
      <c r="D92" s="383">
        <v>3</v>
      </c>
      <c r="E92" s="384" t="s">
        <v>531</v>
      </c>
      <c r="F92" s="387" t="s">
        <v>514</v>
      </c>
      <c r="G92" s="387"/>
      <c r="H92" s="384" t="s">
        <v>514</v>
      </c>
      <c r="I92" s="383">
        <v>0</v>
      </c>
    </row>
    <row r="93" spans="1:9" x14ac:dyDescent="0.2">
      <c r="A93" s="383" t="s">
        <v>73</v>
      </c>
      <c r="B93" s="397">
        <v>45444</v>
      </c>
      <c r="C93" s="397" t="s">
        <v>535</v>
      </c>
      <c r="D93" s="383">
        <v>3</v>
      </c>
      <c r="E93" s="384" t="s">
        <v>531</v>
      </c>
      <c r="F93" s="385" t="s">
        <v>337</v>
      </c>
      <c r="G93" s="385"/>
      <c r="H93" s="384" t="s">
        <v>337</v>
      </c>
      <c r="I93" s="383">
        <v>12468.24</v>
      </c>
    </row>
    <row r="94" spans="1:9" x14ac:dyDescent="0.2">
      <c r="A94" s="383" t="s">
        <v>73</v>
      </c>
      <c r="B94" s="397">
        <v>45444</v>
      </c>
      <c r="C94" s="397" t="s">
        <v>534</v>
      </c>
      <c r="D94" s="383">
        <v>4</v>
      </c>
      <c r="E94" s="383" t="s">
        <v>523</v>
      </c>
      <c r="F94" s="388" t="s">
        <v>340</v>
      </c>
      <c r="G94" s="388"/>
      <c r="H94" s="384" t="s">
        <v>340</v>
      </c>
      <c r="I94" s="383">
        <v>-43713.2</v>
      </c>
    </row>
    <row r="95" spans="1:9" x14ac:dyDescent="0.2">
      <c r="A95" s="383" t="s">
        <v>73</v>
      </c>
      <c r="B95" s="397">
        <v>45444</v>
      </c>
      <c r="C95" s="397" t="s">
        <v>534</v>
      </c>
      <c r="D95" s="383">
        <v>4</v>
      </c>
      <c r="E95" s="383" t="s">
        <v>523</v>
      </c>
      <c r="F95" s="388" t="s">
        <v>341</v>
      </c>
      <c r="G95" s="388"/>
      <c r="H95" s="384" t="s">
        <v>341</v>
      </c>
      <c r="I95" s="383">
        <v>-165444.51</v>
      </c>
    </row>
    <row r="96" spans="1:9" x14ac:dyDescent="0.2">
      <c r="A96" s="383" t="s">
        <v>73</v>
      </c>
      <c r="B96" s="397">
        <v>45444</v>
      </c>
      <c r="C96" s="397" t="s">
        <v>534</v>
      </c>
      <c r="D96" s="383">
        <v>4</v>
      </c>
      <c r="E96" s="383" t="s">
        <v>523</v>
      </c>
      <c r="F96" s="388" t="s">
        <v>342</v>
      </c>
      <c r="G96" s="388"/>
      <c r="H96" s="384" t="s">
        <v>342</v>
      </c>
      <c r="I96" s="383">
        <v>-1247698.2404</v>
      </c>
    </row>
    <row r="97" spans="1:10" x14ac:dyDescent="0.2">
      <c r="A97" s="383" t="s">
        <v>73</v>
      </c>
      <c r="B97" s="397">
        <v>45444</v>
      </c>
      <c r="C97" s="397" t="s">
        <v>534</v>
      </c>
      <c r="D97" s="383">
        <v>4</v>
      </c>
      <c r="E97" s="383" t="s">
        <v>523</v>
      </c>
      <c r="F97" s="388" t="s">
        <v>343</v>
      </c>
      <c r="G97" s="388"/>
      <c r="H97" s="384" t="s">
        <v>343</v>
      </c>
      <c r="I97" s="383">
        <v>-35594.14</v>
      </c>
    </row>
    <row r="98" spans="1:10" x14ac:dyDescent="0.2">
      <c r="A98" s="383" t="s">
        <v>73</v>
      </c>
      <c r="B98" s="397">
        <v>45444</v>
      </c>
      <c r="C98" s="397" t="s">
        <v>535</v>
      </c>
      <c r="D98" s="383">
        <v>5</v>
      </c>
      <c r="E98" s="383" t="s">
        <v>532</v>
      </c>
      <c r="F98" s="401" t="s">
        <v>345</v>
      </c>
      <c r="G98" s="401"/>
      <c r="H98" s="402" t="s">
        <v>345</v>
      </c>
      <c r="I98" s="406">
        <f>I87+I88+I89+I90+I91+I92+I93+I94+I95+I96+I97</f>
        <v>2343130.3596000001</v>
      </c>
      <c r="J98" s="352">
        <f>IF(C98="A",-I98/$I$80,I98/$I$80)</f>
        <v>0.57597317350287724</v>
      </c>
    </row>
    <row r="99" spans="1:10" x14ac:dyDescent="0.2">
      <c r="A99" s="383" t="s">
        <v>73</v>
      </c>
      <c r="B99" s="397">
        <v>45444</v>
      </c>
      <c r="C99" s="397" t="s">
        <v>534</v>
      </c>
      <c r="D99" s="383">
        <v>6</v>
      </c>
      <c r="E99" s="383" t="s">
        <v>524</v>
      </c>
      <c r="F99" s="388" t="s">
        <v>349</v>
      </c>
      <c r="G99" s="388"/>
      <c r="H99" s="384" t="s">
        <v>473</v>
      </c>
      <c r="I99" s="383">
        <v>-8354.27</v>
      </c>
    </row>
    <row r="100" spans="1:10" x14ac:dyDescent="0.2">
      <c r="A100" s="383" t="s">
        <v>73</v>
      </c>
      <c r="B100" s="397">
        <v>45444</v>
      </c>
      <c r="C100" s="397" t="s">
        <v>534</v>
      </c>
      <c r="D100" s="383">
        <v>6</v>
      </c>
      <c r="E100" s="383" t="s">
        <v>524</v>
      </c>
      <c r="F100" s="388" t="s">
        <v>350</v>
      </c>
      <c r="G100" s="388"/>
      <c r="H100" s="384" t="s">
        <v>474</v>
      </c>
      <c r="I100" s="383">
        <v>-13545.1</v>
      </c>
    </row>
    <row r="101" spans="1:10" x14ac:dyDescent="0.2">
      <c r="A101" s="383" t="s">
        <v>73</v>
      </c>
      <c r="B101" s="397">
        <v>45444</v>
      </c>
      <c r="C101" s="397" t="s">
        <v>534</v>
      </c>
      <c r="D101" s="383">
        <v>6</v>
      </c>
      <c r="E101" s="383" t="s">
        <v>524</v>
      </c>
      <c r="F101" s="388" t="s">
        <v>351</v>
      </c>
      <c r="G101" s="388"/>
      <c r="H101" s="384" t="s">
        <v>475</v>
      </c>
      <c r="I101" s="383">
        <v>-66297.600000000006</v>
      </c>
    </row>
    <row r="102" spans="1:10" x14ac:dyDescent="0.2">
      <c r="A102" s="383" t="s">
        <v>73</v>
      </c>
      <c r="B102" s="397">
        <v>45444</v>
      </c>
      <c r="C102" s="397" t="s">
        <v>534</v>
      </c>
      <c r="D102" s="383">
        <v>6</v>
      </c>
      <c r="E102" s="383" t="s">
        <v>524</v>
      </c>
      <c r="F102" s="388" t="s">
        <v>352</v>
      </c>
      <c r="G102" s="388"/>
      <c r="H102" s="384" t="s">
        <v>476</v>
      </c>
      <c r="I102" s="383">
        <v>-5268.5</v>
      </c>
    </row>
    <row r="103" spans="1:10" x14ac:dyDescent="0.2">
      <c r="A103" s="383" t="s">
        <v>73</v>
      </c>
      <c r="B103" s="397">
        <v>45444</v>
      </c>
      <c r="C103" s="397" t="s">
        <v>534</v>
      </c>
      <c r="D103" s="383">
        <v>6</v>
      </c>
      <c r="E103" s="383" t="s">
        <v>524</v>
      </c>
      <c r="F103" s="388" t="s">
        <v>353</v>
      </c>
      <c r="G103" s="388"/>
      <c r="H103" s="384" t="s">
        <v>477</v>
      </c>
      <c r="I103" s="383">
        <v>-40796.76</v>
      </c>
    </row>
    <row r="104" spans="1:10" x14ac:dyDescent="0.2">
      <c r="A104" s="383" t="s">
        <v>73</v>
      </c>
      <c r="B104" s="397">
        <v>45444</v>
      </c>
      <c r="C104" s="397" t="s">
        <v>534</v>
      </c>
      <c r="D104" s="383">
        <v>6</v>
      </c>
      <c r="E104" s="383" t="s">
        <v>524</v>
      </c>
      <c r="F104" s="388" t="s">
        <v>354</v>
      </c>
      <c r="G104" s="388"/>
      <c r="H104" s="384" t="s">
        <v>478</v>
      </c>
      <c r="I104" s="383">
        <v>-18098.29</v>
      </c>
    </row>
    <row r="105" spans="1:10" x14ac:dyDescent="0.2">
      <c r="A105" s="383" t="s">
        <v>73</v>
      </c>
      <c r="B105" s="397">
        <v>45444</v>
      </c>
      <c r="C105" s="397" t="s">
        <v>534</v>
      </c>
      <c r="D105" s="383">
        <v>6</v>
      </c>
      <c r="E105" s="383" t="s">
        <v>524</v>
      </c>
      <c r="F105" s="390" t="s">
        <v>355</v>
      </c>
      <c r="G105" s="390"/>
      <c r="H105" s="384" t="s">
        <v>355</v>
      </c>
      <c r="I105" s="383">
        <v>-41642.620000000003</v>
      </c>
    </row>
    <row r="106" spans="1:10" x14ac:dyDescent="0.2">
      <c r="A106" s="383" t="s">
        <v>73</v>
      </c>
      <c r="B106" s="397">
        <v>45444</v>
      </c>
      <c r="C106" s="397" t="s">
        <v>534</v>
      </c>
      <c r="D106" s="383">
        <v>6</v>
      </c>
      <c r="E106" s="383" t="s">
        <v>524</v>
      </c>
      <c r="F106" s="390" t="s">
        <v>356</v>
      </c>
      <c r="G106" s="390"/>
      <c r="H106" s="384" t="s">
        <v>356</v>
      </c>
      <c r="I106" s="383">
        <v>-447513.51</v>
      </c>
    </row>
    <row r="107" spans="1:10" x14ac:dyDescent="0.2">
      <c r="A107" s="383" t="s">
        <v>73</v>
      </c>
      <c r="B107" s="397">
        <v>45444</v>
      </c>
      <c r="C107" s="397" t="s">
        <v>534</v>
      </c>
      <c r="D107" s="383">
        <v>6</v>
      </c>
      <c r="E107" s="383" t="s">
        <v>524</v>
      </c>
      <c r="F107" s="390" t="s">
        <v>357</v>
      </c>
      <c r="G107" s="390"/>
      <c r="H107" s="384" t="s">
        <v>357</v>
      </c>
      <c r="I107" s="383">
        <v>-4780.9400000000005</v>
      </c>
    </row>
    <row r="108" spans="1:10" x14ac:dyDescent="0.2">
      <c r="A108" s="383" t="s">
        <v>73</v>
      </c>
      <c r="B108" s="397">
        <v>45444</v>
      </c>
      <c r="C108" s="397" t="s">
        <v>535</v>
      </c>
      <c r="D108" s="383">
        <v>7</v>
      </c>
      <c r="E108" s="383" t="s">
        <v>529</v>
      </c>
      <c r="F108" s="400" t="s">
        <v>358</v>
      </c>
      <c r="G108" s="400"/>
      <c r="H108" s="403" t="s">
        <v>358</v>
      </c>
      <c r="I108" s="396">
        <f>I98+I99+I100+I101+I102+I103+I104+I105+I106+I107</f>
        <v>1696832.7696</v>
      </c>
      <c r="J108" s="352">
        <f>IF(C108="A",-I108/$I$80,I108/$I$80)</f>
        <v>0.41710447359703468</v>
      </c>
    </row>
    <row r="109" spans="1:10" x14ac:dyDescent="0.2">
      <c r="A109" s="383" t="s">
        <v>73</v>
      </c>
      <c r="B109" s="397">
        <v>45444</v>
      </c>
      <c r="C109" s="397" t="s">
        <v>534</v>
      </c>
      <c r="D109" s="383">
        <v>8</v>
      </c>
      <c r="E109" s="383" t="s">
        <v>527</v>
      </c>
      <c r="F109" s="385" t="s">
        <v>359</v>
      </c>
      <c r="G109" s="385"/>
      <c r="H109" s="384" t="s">
        <v>479</v>
      </c>
      <c r="I109" s="383">
        <v>0</v>
      </c>
    </row>
    <row r="110" spans="1:10" x14ac:dyDescent="0.2">
      <c r="A110" s="383" t="s">
        <v>73</v>
      </c>
      <c r="B110" s="397">
        <v>45444</v>
      </c>
      <c r="C110" s="397" t="s">
        <v>534</v>
      </c>
      <c r="D110" s="383">
        <v>8</v>
      </c>
      <c r="E110" s="383" t="s">
        <v>527</v>
      </c>
      <c r="F110" s="385" t="s">
        <v>360</v>
      </c>
      <c r="G110" s="385"/>
      <c r="H110" s="384" t="s">
        <v>480</v>
      </c>
      <c r="I110" s="383">
        <v>0</v>
      </c>
    </row>
    <row r="111" spans="1:10" x14ac:dyDescent="0.2">
      <c r="A111" s="383" t="s">
        <v>73</v>
      </c>
      <c r="B111" s="397">
        <v>45444</v>
      </c>
      <c r="C111" s="397" t="s">
        <v>534</v>
      </c>
      <c r="D111" s="383">
        <v>8</v>
      </c>
      <c r="E111" s="383" t="s">
        <v>527</v>
      </c>
      <c r="F111" s="390" t="s">
        <v>361</v>
      </c>
      <c r="G111" s="390"/>
      <c r="H111" s="384" t="s">
        <v>481</v>
      </c>
      <c r="I111" s="383">
        <v>-22935.85</v>
      </c>
    </row>
    <row r="112" spans="1:10" x14ac:dyDescent="0.2">
      <c r="A112" s="383" t="s">
        <v>73</v>
      </c>
      <c r="B112" s="397">
        <v>45444</v>
      </c>
      <c r="C112" s="397" t="s">
        <v>534</v>
      </c>
      <c r="D112" s="383">
        <v>9</v>
      </c>
      <c r="E112" s="383" t="s">
        <v>526</v>
      </c>
      <c r="F112" s="390" t="s">
        <v>363</v>
      </c>
      <c r="G112" s="390"/>
      <c r="H112" s="384" t="s">
        <v>363</v>
      </c>
      <c r="I112" s="383">
        <v>-492544.97</v>
      </c>
    </row>
    <row r="113" spans="1:10" x14ac:dyDescent="0.2">
      <c r="A113" s="383" t="s">
        <v>73</v>
      </c>
      <c r="B113" s="397">
        <v>45444</v>
      </c>
      <c r="C113" s="397" t="s">
        <v>534</v>
      </c>
      <c r="D113" s="383">
        <v>9</v>
      </c>
      <c r="E113" s="383" t="s">
        <v>526</v>
      </c>
      <c r="F113" s="390" t="s">
        <v>364</v>
      </c>
      <c r="G113" s="390"/>
      <c r="H113" s="384" t="s">
        <v>364</v>
      </c>
      <c r="I113" s="383">
        <v>-32092.9664204</v>
      </c>
    </row>
    <row r="114" spans="1:10" x14ac:dyDescent="0.2">
      <c r="A114" s="383" t="s">
        <v>73</v>
      </c>
      <c r="B114" s="397">
        <v>45444</v>
      </c>
      <c r="C114" s="397" t="s">
        <v>534</v>
      </c>
      <c r="D114" s="383">
        <v>9</v>
      </c>
      <c r="E114" s="383" t="s">
        <v>526</v>
      </c>
      <c r="F114" s="394" t="s">
        <v>273</v>
      </c>
      <c r="G114" s="394"/>
      <c r="H114" s="398" t="s">
        <v>563</v>
      </c>
      <c r="I114" s="383">
        <v>0</v>
      </c>
    </row>
    <row r="115" spans="1:10" x14ac:dyDescent="0.2">
      <c r="A115" s="383" t="s">
        <v>73</v>
      </c>
      <c r="B115" s="397">
        <v>45444</v>
      </c>
      <c r="C115" s="397" t="s">
        <v>534</v>
      </c>
      <c r="D115" s="383">
        <v>10</v>
      </c>
      <c r="E115" s="383" t="s">
        <v>452</v>
      </c>
      <c r="F115" s="400" t="s">
        <v>365</v>
      </c>
      <c r="G115" s="400"/>
      <c r="H115" s="403" t="s">
        <v>365</v>
      </c>
      <c r="I115" s="396">
        <f>I81+I82+I83+I84+I85+I86+I94+I95+I96+I97+I99+I100+I101+I102+I103+I104+I105+I106+I107+I109+I110+I111+I112+I113+I114</f>
        <v>-2918865.1368204001</v>
      </c>
      <c r="J115" s="352">
        <f>IF(C115="A",-I115/$I$80,I115/$I$80)</f>
        <v>0.71749657845257686</v>
      </c>
    </row>
    <row r="116" spans="1:10" x14ac:dyDescent="0.2">
      <c r="A116" s="383" t="s">
        <v>73</v>
      </c>
      <c r="B116" s="397">
        <v>45444</v>
      </c>
      <c r="C116" s="397" t="s">
        <v>535</v>
      </c>
      <c r="D116" s="383">
        <v>11</v>
      </c>
      <c r="E116" s="383" t="s">
        <v>528</v>
      </c>
      <c r="F116" s="400" t="s">
        <v>367</v>
      </c>
      <c r="G116" s="400"/>
      <c r="H116" s="403" t="s">
        <v>367</v>
      </c>
      <c r="I116" s="395">
        <f>I80+I115</f>
        <v>1149258.9831796</v>
      </c>
      <c r="J116" s="352">
        <f>IF(C116="A",-I116/$I$80,I116/$I$80)</f>
        <v>0.28250342154742319</v>
      </c>
    </row>
    <row r="117" spans="1:10" x14ac:dyDescent="0.2">
      <c r="A117" s="383" t="s">
        <v>516</v>
      </c>
      <c r="B117" s="397">
        <v>45444</v>
      </c>
      <c r="C117" s="397" t="s">
        <v>536</v>
      </c>
      <c r="D117" s="383">
        <v>1</v>
      </c>
      <c r="E117" s="384" t="s">
        <v>530</v>
      </c>
      <c r="F117" s="400" t="s">
        <v>440</v>
      </c>
      <c r="G117" s="400"/>
      <c r="H117" s="404" t="s">
        <v>440</v>
      </c>
      <c r="I117" s="407">
        <f>[5]Sucumbências!$BH$43</f>
        <v>0</v>
      </c>
      <c r="J117" s="352">
        <v>1</v>
      </c>
    </row>
    <row r="118" spans="1:10" x14ac:dyDescent="0.2">
      <c r="A118" s="383" t="s">
        <v>516</v>
      </c>
      <c r="B118" s="397">
        <v>45444</v>
      </c>
      <c r="C118" s="397" t="s">
        <v>534</v>
      </c>
      <c r="D118" s="383">
        <v>4</v>
      </c>
      <c r="E118" s="383" t="s">
        <v>525</v>
      </c>
      <c r="F118" s="388" t="s">
        <v>340</v>
      </c>
      <c r="G118" s="388"/>
      <c r="H118" s="404" t="s">
        <v>340</v>
      </c>
      <c r="I118" s="407">
        <f>-GLOSAS!$BI$43</f>
        <v>-43713.200000000004</v>
      </c>
    </row>
    <row r="119" spans="1:10" x14ac:dyDescent="0.2">
      <c r="A119" s="383" t="s">
        <v>516</v>
      </c>
      <c r="B119" s="397">
        <v>45444</v>
      </c>
      <c r="C119" s="397" t="s">
        <v>534</v>
      </c>
      <c r="D119" s="383">
        <v>9</v>
      </c>
      <c r="E119" s="383" t="s">
        <v>526</v>
      </c>
      <c r="F119" s="390" t="s">
        <v>363</v>
      </c>
      <c r="G119" s="390"/>
      <c r="H119" s="404" t="s">
        <v>363</v>
      </c>
      <c r="I119" s="407">
        <f>-I117*0.1</f>
        <v>0</v>
      </c>
    </row>
    <row r="120" spans="1:10" x14ac:dyDescent="0.2">
      <c r="A120" s="383" t="s">
        <v>516</v>
      </c>
      <c r="B120" s="397">
        <v>45444</v>
      </c>
      <c r="C120" s="397" t="s">
        <v>535</v>
      </c>
      <c r="D120" s="383">
        <v>11</v>
      </c>
      <c r="E120" s="383" t="s">
        <v>528</v>
      </c>
      <c r="F120" s="400" t="s">
        <v>367</v>
      </c>
      <c r="G120" s="400"/>
      <c r="H120" s="404" t="s">
        <v>367</v>
      </c>
      <c r="I120" s="407">
        <f>I117+I118+I119</f>
        <v>-43713.200000000004</v>
      </c>
      <c r="J120" s="352" t="e">
        <f>IF(C120="A",-I120/I117,I120/I117)</f>
        <v>#DIV/0!</v>
      </c>
    </row>
    <row r="121" spans="1:10" x14ac:dyDescent="0.2">
      <c r="A121" s="383" t="s">
        <v>522</v>
      </c>
      <c r="B121" s="397">
        <v>45444</v>
      </c>
      <c r="C121" s="397" t="s">
        <v>536</v>
      </c>
      <c r="D121" s="383">
        <v>1</v>
      </c>
      <c r="E121" s="384" t="s">
        <v>530</v>
      </c>
      <c r="F121" s="400" t="s">
        <v>440</v>
      </c>
      <c r="G121" s="400"/>
      <c r="H121" s="405" t="s">
        <v>440</v>
      </c>
      <c r="I121" s="396">
        <f>I80-I117</f>
        <v>4068124.12</v>
      </c>
      <c r="J121" s="352">
        <v>1</v>
      </c>
    </row>
    <row r="122" spans="1:10" x14ac:dyDescent="0.2">
      <c r="A122" s="383" t="s">
        <v>522</v>
      </c>
      <c r="B122" s="397">
        <v>45444</v>
      </c>
      <c r="C122" s="397" t="s">
        <v>534</v>
      </c>
      <c r="D122" s="383">
        <v>2</v>
      </c>
      <c r="E122" s="384" t="s">
        <v>325</v>
      </c>
      <c r="F122" s="390" t="s">
        <v>326</v>
      </c>
      <c r="G122" s="390"/>
      <c r="H122" s="384" t="s">
        <v>519</v>
      </c>
      <c r="I122" s="406">
        <f t="shared" ref="I122:I134" si="3">I81</f>
        <v>-200839.05</v>
      </c>
    </row>
    <row r="123" spans="1:10" x14ac:dyDescent="0.2">
      <c r="A123" s="383" t="s">
        <v>522</v>
      </c>
      <c r="B123" s="397">
        <v>45444</v>
      </c>
      <c r="C123" s="397" t="s">
        <v>534</v>
      </c>
      <c r="D123" s="383">
        <v>2</v>
      </c>
      <c r="E123" s="384" t="s">
        <v>325</v>
      </c>
      <c r="F123" s="385" t="s">
        <v>328</v>
      </c>
      <c r="G123" s="385"/>
      <c r="H123" s="384" t="s">
        <v>521</v>
      </c>
      <c r="I123" s="406">
        <f t="shared" si="3"/>
        <v>0</v>
      </c>
    </row>
    <row r="124" spans="1:10" x14ac:dyDescent="0.2">
      <c r="A124" s="383" t="s">
        <v>522</v>
      </c>
      <c r="B124" s="397">
        <v>45444</v>
      </c>
      <c r="C124" s="397" t="s">
        <v>534</v>
      </c>
      <c r="D124" s="383">
        <v>2</v>
      </c>
      <c r="E124" s="384" t="s">
        <v>325</v>
      </c>
      <c r="F124" s="385" t="s">
        <v>329</v>
      </c>
      <c r="G124" s="385"/>
      <c r="H124" s="384" t="s">
        <v>329</v>
      </c>
      <c r="I124" s="406">
        <f t="shared" si="3"/>
        <v>-31704.62</v>
      </c>
    </row>
    <row r="125" spans="1:10" x14ac:dyDescent="0.2">
      <c r="A125" s="383" t="s">
        <v>522</v>
      </c>
      <c r="B125" s="397">
        <v>45444</v>
      </c>
      <c r="C125" s="397" t="s">
        <v>534</v>
      </c>
      <c r="D125" s="383">
        <v>2</v>
      </c>
      <c r="E125" s="384" t="s">
        <v>325</v>
      </c>
      <c r="F125" s="385" t="s">
        <v>330</v>
      </c>
      <c r="G125" s="385"/>
      <c r="H125" s="384" t="s">
        <v>330</v>
      </c>
      <c r="I125" s="406">
        <f t="shared" si="3"/>
        <v>0</v>
      </c>
    </row>
    <row r="126" spans="1:10" x14ac:dyDescent="0.2">
      <c r="A126" s="383" t="s">
        <v>522</v>
      </c>
      <c r="B126" s="397">
        <v>45444</v>
      </c>
      <c r="C126" s="397" t="s">
        <v>534</v>
      </c>
      <c r="D126" s="383">
        <v>2</v>
      </c>
      <c r="E126" s="384" t="s">
        <v>325</v>
      </c>
      <c r="F126" s="385" t="s">
        <v>331</v>
      </c>
      <c r="G126" s="385"/>
      <c r="H126" s="384" t="s">
        <v>331</v>
      </c>
      <c r="I126" s="406">
        <f t="shared" si="3"/>
        <v>0</v>
      </c>
    </row>
    <row r="127" spans="1:10" x14ac:dyDescent="0.2">
      <c r="A127" s="383" t="s">
        <v>522</v>
      </c>
      <c r="B127" s="397">
        <v>45444</v>
      </c>
      <c r="C127" s="397" t="s">
        <v>534</v>
      </c>
      <c r="D127" s="383">
        <v>2</v>
      </c>
      <c r="E127" s="384" t="s">
        <v>325</v>
      </c>
      <c r="F127" s="384" t="s">
        <v>332</v>
      </c>
      <c r="G127" s="384"/>
      <c r="H127" s="384" t="s">
        <v>520</v>
      </c>
      <c r="I127" s="406">
        <f t="shared" si="3"/>
        <v>0</v>
      </c>
    </row>
    <row r="128" spans="1:10" x14ac:dyDescent="0.2">
      <c r="A128" s="383" t="s">
        <v>522</v>
      </c>
      <c r="B128" s="397">
        <v>45444</v>
      </c>
      <c r="C128" s="397" t="s">
        <v>535</v>
      </c>
      <c r="D128" s="383">
        <v>3</v>
      </c>
      <c r="E128" s="384" t="s">
        <v>531</v>
      </c>
      <c r="F128" s="385" t="s">
        <v>334</v>
      </c>
      <c r="G128" s="385"/>
      <c r="H128" s="384" t="s">
        <v>334</v>
      </c>
      <c r="I128" s="406">
        <f t="shared" si="3"/>
        <v>3630920.75</v>
      </c>
    </row>
    <row r="129" spans="1:10" x14ac:dyDescent="0.2">
      <c r="A129" s="383" t="s">
        <v>522</v>
      </c>
      <c r="B129" s="397">
        <v>45444</v>
      </c>
      <c r="C129" s="397" t="s">
        <v>535</v>
      </c>
      <c r="D129" s="383">
        <v>3</v>
      </c>
      <c r="E129" s="384" t="s">
        <v>531</v>
      </c>
      <c r="F129" s="385" t="s">
        <v>335</v>
      </c>
      <c r="G129" s="385"/>
      <c r="H129" s="384" t="s">
        <v>335</v>
      </c>
      <c r="I129" s="406">
        <f t="shared" si="3"/>
        <v>187391.46</v>
      </c>
    </row>
    <row r="130" spans="1:10" x14ac:dyDescent="0.2">
      <c r="A130" s="383" t="s">
        <v>522</v>
      </c>
      <c r="B130" s="397">
        <v>45444</v>
      </c>
      <c r="C130" s="397" t="s">
        <v>535</v>
      </c>
      <c r="D130" s="383">
        <v>3</v>
      </c>
      <c r="E130" s="384" t="s">
        <v>531</v>
      </c>
      <c r="F130" s="385" t="s">
        <v>336</v>
      </c>
      <c r="G130" s="385"/>
      <c r="H130" s="384" t="s">
        <v>336</v>
      </c>
      <c r="I130" s="406">
        <f t="shared" si="3"/>
        <v>4800</v>
      </c>
    </row>
    <row r="131" spans="1:10" x14ac:dyDescent="0.2">
      <c r="A131" s="383" t="s">
        <v>522</v>
      </c>
      <c r="B131" s="397">
        <v>45444</v>
      </c>
      <c r="C131" s="397" t="s">
        <v>535</v>
      </c>
      <c r="D131" s="383">
        <v>3</v>
      </c>
      <c r="E131" s="384" t="s">
        <v>531</v>
      </c>
      <c r="F131" s="387" t="s">
        <v>273</v>
      </c>
      <c r="G131" s="387"/>
      <c r="H131" s="384" t="s">
        <v>562</v>
      </c>
      <c r="I131" s="406">
        <f t="shared" si="3"/>
        <v>0</v>
      </c>
    </row>
    <row r="132" spans="1:10" x14ac:dyDescent="0.2">
      <c r="A132" s="383" t="s">
        <v>522</v>
      </c>
      <c r="B132" s="397">
        <v>45444</v>
      </c>
      <c r="C132" s="397" t="s">
        <v>535</v>
      </c>
      <c r="D132" s="383">
        <v>3</v>
      </c>
      <c r="E132" s="384" t="s">
        <v>531</v>
      </c>
      <c r="F132" s="387" t="s">
        <v>513</v>
      </c>
      <c r="G132" s="387"/>
      <c r="H132" s="384" t="s">
        <v>513</v>
      </c>
      <c r="I132" s="406">
        <f t="shared" si="3"/>
        <v>0</v>
      </c>
    </row>
    <row r="133" spans="1:10" x14ac:dyDescent="0.2">
      <c r="A133" s="383" t="s">
        <v>522</v>
      </c>
      <c r="B133" s="397">
        <v>45444</v>
      </c>
      <c r="C133" s="397" t="s">
        <v>535</v>
      </c>
      <c r="D133" s="383">
        <v>3</v>
      </c>
      <c r="E133" s="384" t="s">
        <v>531</v>
      </c>
      <c r="F133" s="387" t="s">
        <v>514</v>
      </c>
      <c r="G133" s="387"/>
      <c r="H133" s="384" t="s">
        <v>514</v>
      </c>
      <c r="I133" s="406">
        <f t="shared" si="3"/>
        <v>0</v>
      </c>
    </row>
    <row r="134" spans="1:10" x14ac:dyDescent="0.2">
      <c r="A134" s="383" t="s">
        <v>522</v>
      </c>
      <c r="B134" s="397">
        <v>45444</v>
      </c>
      <c r="C134" s="397" t="s">
        <v>535</v>
      </c>
      <c r="D134" s="383">
        <v>3</v>
      </c>
      <c r="E134" s="384" t="s">
        <v>531</v>
      </c>
      <c r="F134" s="385" t="s">
        <v>337</v>
      </c>
      <c r="G134" s="385"/>
      <c r="H134" s="384" t="s">
        <v>337</v>
      </c>
      <c r="I134" s="406">
        <f t="shared" si="3"/>
        <v>12468.24</v>
      </c>
    </row>
    <row r="135" spans="1:10" x14ac:dyDescent="0.2">
      <c r="A135" s="383" t="s">
        <v>522</v>
      </c>
      <c r="B135" s="397">
        <v>45444</v>
      </c>
      <c r="C135" s="397" t="s">
        <v>534</v>
      </c>
      <c r="D135" s="383">
        <v>4</v>
      </c>
      <c r="E135" s="383" t="s">
        <v>523</v>
      </c>
      <c r="F135" s="388" t="s">
        <v>340</v>
      </c>
      <c r="G135" s="388"/>
      <c r="H135" s="405" t="s">
        <v>340</v>
      </c>
      <c r="I135" s="396">
        <f>I94-I118</f>
        <v>0</v>
      </c>
    </row>
    <row r="136" spans="1:10" x14ac:dyDescent="0.2">
      <c r="A136" s="383" t="s">
        <v>522</v>
      </c>
      <c r="B136" s="397">
        <v>45444</v>
      </c>
      <c r="C136" s="397" t="s">
        <v>534</v>
      </c>
      <c r="D136" s="383">
        <v>4</v>
      </c>
      <c r="E136" s="383" t="s">
        <v>523</v>
      </c>
      <c r="F136" s="388" t="s">
        <v>341</v>
      </c>
      <c r="G136" s="388"/>
      <c r="H136" s="384" t="s">
        <v>341</v>
      </c>
      <c r="I136" s="406">
        <f>I95</f>
        <v>-165444.51</v>
      </c>
    </row>
    <row r="137" spans="1:10" x14ac:dyDescent="0.2">
      <c r="A137" s="383" t="s">
        <v>522</v>
      </c>
      <c r="B137" s="397">
        <v>45444</v>
      </c>
      <c r="C137" s="397" t="s">
        <v>534</v>
      </c>
      <c r="D137" s="383">
        <v>4</v>
      </c>
      <c r="E137" s="383" t="s">
        <v>523</v>
      </c>
      <c r="F137" s="388" t="s">
        <v>342</v>
      </c>
      <c r="G137" s="388"/>
      <c r="H137" s="384" t="s">
        <v>342</v>
      </c>
      <c r="I137" s="406">
        <f>I96</f>
        <v>-1247698.2404</v>
      </c>
    </row>
    <row r="138" spans="1:10" x14ac:dyDescent="0.2">
      <c r="A138" s="383" t="s">
        <v>522</v>
      </c>
      <c r="B138" s="397">
        <v>45444</v>
      </c>
      <c r="C138" s="397" t="s">
        <v>534</v>
      </c>
      <c r="D138" s="383">
        <v>4</v>
      </c>
      <c r="E138" s="383" t="s">
        <v>523</v>
      </c>
      <c r="F138" s="388" t="s">
        <v>343</v>
      </c>
      <c r="G138" s="388"/>
      <c r="H138" s="384" t="s">
        <v>343</v>
      </c>
      <c r="I138" s="406">
        <f>I97</f>
        <v>-35594.14</v>
      </c>
    </row>
    <row r="139" spans="1:10" x14ac:dyDescent="0.2">
      <c r="A139" s="383" t="s">
        <v>522</v>
      </c>
      <c r="B139" s="397">
        <v>45444</v>
      </c>
      <c r="C139" s="397" t="s">
        <v>535</v>
      </c>
      <c r="D139" s="383">
        <v>5</v>
      </c>
      <c r="E139" s="383" t="s">
        <v>532</v>
      </c>
      <c r="F139" s="401" t="s">
        <v>345</v>
      </c>
      <c r="G139" s="401"/>
      <c r="H139" s="403" t="s">
        <v>345</v>
      </c>
      <c r="I139" s="406">
        <f>I121+I122+I123+I124+I125+I126+I127+I135+I136+I137+I138</f>
        <v>2386843.5596000003</v>
      </c>
      <c r="J139" s="352">
        <f>IF(C139="A",-I139/$I$121,I139/$I$121)</f>
        <v>0.58671847003527522</v>
      </c>
    </row>
    <row r="140" spans="1:10" x14ac:dyDescent="0.2">
      <c r="A140" s="383" t="s">
        <v>522</v>
      </c>
      <c r="B140" s="397">
        <v>45444</v>
      </c>
      <c r="C140" s="397" t="s">
        <v>534</v>
      </c>
      <c r="D140" s="383">
        <v>6</v>
      </c>
      <c r="E140" s="383" t="s">
        <v>524</v>
      </c>
      <c r="F140" s="388" t="s">
        <v>349</v>
      </c>
      <c r="G140" s="388"/>
      <c r="H140" s="384" t="s">
        <v>473</v>
      </c>
      <c r="I140" s="406">
        <f t="shared" ref="I140:I148" si="4">I99</f>
        <v>-8354.27</v>
      </c>
    </row>
    <row r="141" spans="1:10" x14ac:dyDescent="0.2">
      <c r="A141" s="383" t="s">
        <v>522</v>
      </c>
      <c r="B141" s="397">
        <v>45444</v>
      </c>
      <c r="C141" s="397" t="s">
        <v>534</v>
      </c>
      <c r="D141" s="383">
        <v>6</v>
      </c>
      <c r="E141" s="383" t="s">
        <v>524</v>
      </c>
      <c r="F141" s="388" t="s">
        <v>350</v>
      </c>
      <c r="G141" s="388"/>
      <c r="H141" s="384" t="s">
        <v>474</v>
      </c>
      <c r="I141" s="406">
        <f t="shared" si="4"/>
        <v>-13545.1</v>
      </c>
    </row>
    <row r="142" spans="1:10" x14ac:dyDescent="0.2">
      <c r="A142" s="383" t="s">
        <v>522</v>
      </c>
      <c r="B142" s="397">
        <v>45444</v>
      </c>
      <c r="C142" s="397" t="s">
        <v>534</v>
      </c>
      <c r="D142" s="383">
        <v>6</v>
      </c>
      <c r="E142" s="383" t="s">
        <v>524</v>
      </c>
      <c r="F142" s="388" t="s">
        <v>351</v>
      </c>
      <c r="G142" s="388"/>
      <c r="H142" s="384" t="s">
        <v>475</v>
      </c>
      <c r="I142" s="406">
        <f t="shared" si="4"/>
        <v>-66297.600000000006</v>
      </c>
    </row>
    <row r="143" spans="1:10" x14ac:dyDescent="0.2">
      <c r="A143" s="383" t="s">
        <v>522</v>
      </c>
      <c r="B143" s="397">
        <v>45444</v>
      </c>
      <c r="C143" s="397" t="s">
        <v>534</v>
      </c>
      <c r="D143" s="383">
        <v>6</v>
      </c>
      <c r="E143" s="383" t="s">
        <v>524</v>
      </c>
      <c r="F143" s="388" t="s">
        <v>352</v>
      </c>
      <c r="G143" s="388"/>
      <c r="H143" s="384" t="s">
        <v>476</v>
      </c>
      <c r="I143" s="406">
        <f t="shared" si="4"/>
        <v>-5268.5</v>
      </c>
    </row>
    <row r="144" spans="1:10" x14ac:dyDescent="0.2">
      <c r="A144" s="383" t="s">
        <v>522</v>
      </c>
      <c r="B144" s="397">
        <v>45444</v>
      </c>
      <c r="C144" s="397" t="s">
        <v>534</v>
      </c>
      <c r="D144" s="383">
        <v>6</v>
      </c>
      <c r="E144" s="383" t="s">
        <v>524</v>
      </c>
      <c r="F144" s="388" t="s">
        <v>353</v>
      </c>
      <c r="G144" s="388"/>
      <c r="H144" s="384" t="s">
        <v>477</v>
      </c>
      <c r="I144" s="406">
        <f t="shared" si="4"/>
        <v>-40796.76</v>
      </c>
    </row>
    <row r="145" spans="1:10" x14ac:dyDescent="0.2">
      <c r="A145" s="383" t="s">
        <v>522</v>
      </c>
      <c r="B145" s="397">
        <v>45444</v>
      </c>
      <c r="C145" s="397" t="s">
        <v>534</v>
      </c>
      <c r="D145" s="383">
        <v>6</v>
      </c>
      <c r="E145" s="383" t="s">
        <v>524</v>
      </c>
      <c r="F145" s="388" t="s">
        <v>354</v>
      </c>
      <c r="G145" s="388"/>
      <c r="H145" s="384" t="s">
        <v>478</v>
      </c>
      <c r="I145" s="406">
        <f t="shared" si="4"/>
        <v>-18098.29</v>
      </c>
    </row>
    <row r="146" spans="1:10" x14ac:dyDescent="0.2">
      <c r="A146" s="383" t="s">
        <v>522</v>
      </c>
      <c r="B146" s="397">
        <v>45444</v>
      </c>
      <c r="C146" s="397" t="s">
        <v>534</v>
      </c>
      <c r="D146" s="383">
        <v>6</v>
      </c>
      <c r="E146" s="383" t="s">
        <v>524</v>
      </c>
      <c r="F146" s="390" t="s">
        <v>355</v>
      </c>
      <c r="G146" s="390"/>
      <c r="H146" s="384" t="s">
        <v>355</v>
      </c>
      <c r="I146" s="406">
        <f t="shared" si="4"/>
        <v>-41642.620000000003</v>
      </c>
    </row>
    <row r="147" spans="1:10" x14ac:dyDescent="0.2">
      <c r="A147" s="383" t="s">
        <v>522</v>
      </c>
      <c r="B147" s="397">
        <v>45444</v>
      </c>
      <c r="C147" s="397" t="s">
        <v>534</v>
      </c>
      <c r="D147" s="383">
        <v>6</v>
      </c>
      <c r="E147" s="383" t="s">
        <v>524</v>
      </c>
      <c r="F147" s="390" t="s">
        <v>356</v>
      </c>
      <c r="G147" s="390"/>
      <c r="H147" s="384" t="s">
        <v>356</v>
      </c>
      <c r="I147" s="406">
        <f t="shared" si="4"/>
        <v>-447513.51</v>
      </c>
    </row>
    <row r="148" spans="1:10" x14ac:dyDescent="0.2">
      <c r="A148" s="383" t="s">
        <v>522</v>
      </c>
      <c r="B148" s="397">
        <v>45444</v>
      </c>
      <c r="C148" s="397" t="s">
        <v>534</v>
      </c>
      <c r="D148" s="383">
        <v>6</v>
      </c>
      <c r="E148" s="383" t="s">
        <v>524</v>
      </c>
      <c r="F148" s="390" t="s">
        <v>357</v>
      </c>
      <c r="G148" s="390"/>
      <c r="H148" s="384" t="s">
        <v>357</v>
      </c>
      <c r="I148" s="406">
        <f t="shared" si="4"/>
        <v>-4780.9400000000005</v>
      </c>
    </row>
    <row r="149" spans="1:10" x14ac:dyDescent="0.2">
      <c r="A149" s="383" t="s">
        <v>522</v>
      </c>
      <c r="B149" s="397">
        <v>45444</v>
      </c>
      <c r="C149" s="397" t="s">
        <v>535</v>
      </c>
      <c r="D149" s="383">
        <v>7</v>
      </c>
      <c r="E149" s="383" t="s">
        <v>529</v>
      </c>
      <c r="F149" s="400" t="s">
        <v>358</v>
      </c>
      <c r="G149" s="400"/>
      <c r="H149" s="403" t="s">
        <v>358</v>
      </c>
      <c r="I149" s="396">
        <f>I139+I140+I141+I142+I143+I144+I145+I146+I147+I148</f>
        <v>1740545.9696000002</v>
      </c>
      <c r="J149" s="352">
        <f>IF(C149="A",-I149/$I$121,I149/$I$121)</f>
        <v>0.42784977012943254</v>
      </c>
    </row>
    <row r="150" spans="1:10" x14ac:dyDescent="0.2">
      <c r="A150" s="383" t="s">
        <v>522</v>
      </c>
      <c r="B150" s="397">
        <v>45444</v>
      </c>
      <c r="C150" s="397" t="s">
        <v>534</v>
      </c>
      <c r="D150" s="383">
        <v>8</v>
      </c>
      <c r="E150" s="383" t="s">
        <v>527</v>
      </c>
      <c r="F150" s="385" t="s">
        <v>359</v>
      </c>
      <c r="G150" s="385"/>
      <c r="H150" s="384" t="s">
        <v>479</v>
      </c>
      <c r="I150" s="406">
        <f>I109</f>
        <v>0</v>
      </c>
    </row>
    <row r="151" spans="1:10" x14ac:dyDescent="0.2">
      <c r="A151" s="383" t="s">
        <v>522</v>
      </c>
      <c r="B151" s="397">
        <v>45444</v>
      </c>
      <c r="C151" s="397" t="s">
        <v>534</v>
      </c>
      <c r="D151" s="383">
        <v>8</v>
      </c>
      <c r="E151" s="383" t="s">
        <v>527</v>
      </c>
      <c r="F151" s="385" t="s">
        <v>360</v>
      </c>
      <c r="G151" s="385"/>
      <c r="H151" s="384" t="s">
        <v>480</v>
      </c>
      <c r="I151" s="406">
        <f>I110</f>
        <v>0</v>
      </c>
    </row>
    <row r="152" spans="1:10" x14ac:dyDescent="0.2">
      <c r="A152" s="383" t="s">
        <v>522</v>
      </c>
      <c r="B152" s="397">
        <v>45444</v>
      </c>
      <c r="C152" s="397" t="s">
        <v>534</v>
      </c>
      <c r="D152" s="383">
        <v>8</v>
      </c>
      <c r="E152" s="383" t="s">
        <v>527</v>
      </c>
      <c r="F152" s="390" t="s">
        <v>361</v>
      </c>
      <c r="G152" s="390"/>
      <c r="H152" s="384" t="s">
        <v>481</v>
      </c>
      <c r="I152" s="406">
        <f>I111</f>
        <v>-22935.85</v>
      </c>
    </row>
    <row r="153" spans="1:10" x14ac:dyDescent="0.2">
      <c r="A153" s="383" t="s">
        <v>522</v>
      </c>
      <c r="B153" s="397">
        <v>45444</v>
      </c>
      <c r="C153" s="397" t="s">
        <v>534</v>
      </c>
      <c r="D153" s="383">
        <v>9</v>
      </c>
      <c r="E153" s="383" t="s">
        <v>526</v>
      </c>
      <c r="F153" s="390" t="s">
        <v>363</v>
      </c>
      <c r="G153" s="390"/>
      <c r="H153" s="405" t="s">
        <v>363</v>
      </c>
      <c r="I153" s="396">
        <f>I112-I119</f>
        <v>-492544.97</v>
      </c>
    </row>
    <row r="154" spans="1:10" x14ac:dyDescent="0.2">
      <c r="A154" s="383" t="s">
        <v>522</v>
      </c>
      <c r="B154" s="397">
        <v>45444</v>
      </c>
      <c r="C154" s="397" t="s">
        <v>534</v>
      </c>
      <c r="D154" s="383">
        <v>9</v>
      </c>
      <c r="E154" s="383" t="s">
        <v>526</v>
      </c>
      <c r="F154" s="390" t="s">
        <v>364</v>
      </c>
      <c r="G154" s="390"/>
      <c r="H154" s="384" t="s">
        <v>364</v>
      </c>
      <c r="I154" s="406">
        <f>I113</f>
        <v>-32092.9664204</v>
      </c>
    </row>
    <row r="155" spans="1:10" x14ac:dyDescent="0.2">
      <c r="A155" s="383" t="s">
        <v>522</v>
      </c>
      <c r="B155" s="397">
        <v>45444</v>
      </c>
      <c r="C155" s="397" t="s">
        <v>534</v>
      </c>
      <c r="D155" s="383">
        <v>9</v>
      </c>
      <c r="E155" s="383" t="s">
        <v>526</v>
      </c>
      <c r="F155" s="394" t="s">
        <v>273</v>
      </c>
      <c r="G155" s="394"/>
      <c r="H155" s="398" t="s">
        <v>563</v>
      </c>
      <c r="I155" s="406">
        <f>I114</f>
        <v>0</v>
      </c>
    </row>
    <row r="156" spans="1:10" x14ac:dyDescent="0.2">
      <c r="A156" s="383" t="s">
        <v>522</v>
      </c>
      <c r="B156" s="397">
        <v>45444</v>
      </c>
      <c r="C156" s="397" t="s">
        <v>534</v>
      </c>
      <c r="D156" s="383">
        <v>10</v>
      </c>
      <c r="E156" s="383" t="s">
        <v>452</v>
      </c>
      <c r="F156" s="400" t="s">
        <v>365</v>
      </c>
      <c r="G156" s="400"/>
      <c r="H156" s="403" t="s">
        <v>365</v>
      </c>
      <c r="I156" s="396">
        <f>I122+I123+I124+I125+I126+I127+I135+I136+I137+I138+I140+I141+I142+I143+I144+I145+I146+I147+I148+I150+I151+I152+I153+I154+I155</f>
        <v>-2875151.9368203999</v>
      </c>
      <c r="J156" s="352">
        <f>IF(C156="A",-I156/$I$121,I156/$I$121)</f>
        <v>0.70675128192017889</v>
      </c>
    </row>
    <row r="157" spans="1:10" x14ac:dyDescent="0.2">
      <c r="A157" s="383" t="s">
        <v>522</v>
      </c>
      <c r="B157" s="397">
        <v>45444</v>
      </c>
      <c r="C157" s="397" t="s">
        <v>535</v>
      </c>
      <c r="D157" s="383">
        <v>11</v>
      </c>
      <c r="E157" s="383" t="s">
        <v>528</v>
      </c>
      <c r="F157" s="400" t="s">
        <v>367</v>
      </c>
      <c r="G157" s="400"/>
      <c r="H157" s="405" t="s">
        <v>367</v>
      </c>
      <c r="I157" s="395">
        <f>I121+I156</f>
        <v>1192972.1831796002</v>
      </c>
      <c r="J157" s="352">
        <f>IF(C157="A",-I157/$I$121,I157/$I$121)</f>
        <v>0.29324871807982106</v>
      </c>
    </row>
    <row r="158" spans="1:10" x14ac:dyDescent="0.2">
      <c r="A158" s="383" t="s">
        <v>73</v>
      </c>
      <c r="B158" s="397">
        <v>45474</v>
      </c>
      <c r="C158" s="397" t="s">
        <v>536</v>
      </c>
      <c r="D158" s="383">
        <v>1</v>
      </c>
      <c r="E158" s="384" t="s">
        <v>530</v>
      </c>
      <c r="F158" s="400" t="s">
        <v>440</v>
      </c>
      <c r="G158" s="400"/>
      <c r="H158" s="384" t="s">
        <v>440</v>
      </c>
      <c r="I158" s="383">
        <v>4640246.4200030006</v>
      </c>
      <c r="J158" s="352">
        <v>1</v>
      </c>
    </row>
    <row r="159" spans="1:10" x14ac:dyDescent="0.2">
      <c r="A159" s="383" t="s">
        <v>73</v>
      </c>
      <c r="B159" s="397">
        <v>45474</v>
      </c>
      <c r="C159" s="397" t="s">
        <v>534</v>
      </c>
      <c r="D159" s="383">
        <v>2</v>
      </c>
      <c r="E159" s="384" t="s">
        <v>325</v>
      </c>
      <c r="F159" s="390" t="s">
        <v>326</v>
      </c>
      <c r="G159" s="390"/>
      <c r="H159" s="384" t="s">
        <v>519</v>
      </c>
      <c r="I159" s="383">
        <v>-217214.83</v>
      </c>
    </row>
    <row r="160" spans="1:10" x14ac:dyDescent="0.2">
      <c r="A160" s="383" t="s">
        <v>73</v>
      </c>
      <c r="B160" s="397">
        <v>45474</v>
      </c>
      <c r="C160" s="397" t="s">
        <v>534</v>
      </c>
      <c r="D160" s="383">
        <v>2</v>
      </c>
      <c r="E160" s="384" t="s">
        <v>325</v>
      </c>
      <c r="F160" s="385" t="s">
        <v>328</v>
      </c>
      <c r="G160" s="385"/>
      <c r="H160" s="384" t="s">
        <v>521</v>
      </c>
      <c r="I160" s="383">
        <v>0</v>
      </c>
    </row>
    <row r="161" spans="1:10" x14ac:dyDescent="0.2">
      <c r="A161" s="383" t="s">
        <v>73</v>
      </c>
      <c r="B161" s="397">
        <v>45474</v>
      </c>
      <c r="C161" s="397" t="s">
        <v>534</v>
      </c>
      <c r="D161" s="383">
        <v>2</v>
      </c>
      <c r="E161" s="384" t="s">
        <v>325</v>
      </c>
      <c r="F161" s="385" t="s">
        <v>329</v>
      </c>
      <c r="G161" s="385"/>
      <c r="H161" s="384" t="s">
        <v>329</v>
      </c>
      <c r="I161" s="383">
        <v>-32652.85</v>
      </c>
    </row>
    <row r="162" spans="1:10" x14ac:dyDescent="0.2">
      <c r="A162" s="383" t="s">
        <v>73</v>
      </c>
      <c r="B162" s="397">
        <v>45474</v>
      </c>
      <c r="C162" s="397" t="s">
        <v>534</v>
      </c>
      <c r="D162" s="383">
        <v>2</v>
      </c>
      <c r="E162" s="384" t="s">
        <v>325</v>
      </c>
      <c r="F162" s="385" t="s">
        <v>330</v>
      </c>
      <c r="G162" s="385"/>
      <c r="H162" s="384" t="s">
        <v>330</v>
      </c>
      <c r="I162" s="383">
        <v>-4959.67</v>
      </c>
    </row>
    <row r="163" spans="1:10" x14ac:dyDescent="0.2">
      <c r="A163" s="383" t="s">
        <v>73</v>
      </c>
      <c r="B163" s="397">
        <v>45474</v>
      </c>
      <c r="C163" s="397" t="s">
        <v>534</v>
      </c>
      <c r="D163" s="383">
        <v>2</v>
      </c>
      <c r="E163" s="384" t="s">
        <v>325</v>
      </c>
      <c r="F163" s="385" t="s">
        <v>331</v>
      </c>
      <c r="G163" s="385"/>
      <c r="H163" s="384" t="s">
        <v>331</v>
      </c>
      <c r="I163" s="383">
        <v>-14.45</v>
      </c>
    </row>
    <row r="164" spans="1:10" x14ac:dyDescent="0.2">
      <c r="A164" s="383" t="s">
        <v>73</v>
      </c>
      <c r="B164" s="397">
        <v>45474</v>
      </c>
      <c r="C164" s="397" t="s">
        <v>534</v>
      </c>
      <c r="D164" s="383">
        <v>2</v>
      </c>
      <c r="E164" s="384" t="s">
        <v>325</v>
      </c>
      <c r="F164" s="384" t="s">
        <v>332</v>
      </c>
      <c r="G164" s="384"/>
      <c r="H164" s="384" t="s">
        <v>520</v>
      </c>
    </row>
    <row r="165" spans="1:10" x14ac:dyDescent="0.2">
      <c r="A165" s="383" t="s">
        <v>73</v>
      </c>
      <c r="B165" s="397">
        <v>45474</v>
      </c>
      <c r="C165" s="397" t="s">
        <v>535</v>
      </c>
      <c r="D165" s="383">
        <v>3</v>
      </c>
      <c r="E165" s="384" t="s">
        <v>531</v>
      </c>
      <c r="F165" s="385" t="s">
        <v>334</v>
      </c>
      <c r="G165" s="385"/>
      <c r="H165" s="384" t="s">
        <v>334</v>
      </c>
      <c r="I165" s="383">
        <v>3830477.2300030012</v>
      </c>
    </row>
    <row r="166" spans="1:10" x14ac:dyDescent="0.2">
      <c r="A166" s="383" t="s">
        <v>73</v>
      </c>
      <c r="B166" s="397">
        <v>45474</v>
      </c>
      <c r="C166" s="397" t="s">
        <v>535</v>
      </c>
      <c r="D166" s="383">
        <v>3</v>
      </c>
      <c r="E166" s="384" t="s">
        <v>531</v>
      </c>
      <c r="F166" s="385" t="s">
        <v>335</v>
      </c>
      <c r="G166" s="385"/>
      <c r="H166" s="384" t="s">
        <v>335</v>
      </c>
      <c r="I166" s="383">
        <v>410618.00999999995</v>
      </c>
    </row>
    <row r="167" spans="1:10" x14ac:dyDescent="0.2">
      <c r="A167" s="383" t="s">
        <v>73</v>
      </c>
      <c r="B167" s="397">
        <v>45474</v>
      </c>
      <c r="C167" s="397" t="s">
        <v>535</v>
      </c>
      <c r="D167" s="383">
        <v>3</v>
      </c>
      <c r="E167" s="384" t="s">
        <v>531</v>
      </c>
      <c r="F167" s="385" t="s">
        <v>336</v>
      </c>
      <c r="G167" s="385"/>
      <c r="H167" s="384" t="s">
        <v>336</v>
      </c>
      <c r="I167" s="383">
        <v>5000</v>
      </c>
    </row>
    <row r="168" spans="1:10" x14ac:dyDescent="0.2">
      <c r="A168" s="383" t="s">
        <v>73</v>
      </c>
      <c r="B168" s="397">
        <v>45474</v>
      </c>
      <c r="C168" s="397" t="s">
        <v>535</v>
      </c>
      <c r="D168" s="383">
        <v>3</v>
      </c>
      <c r="E168" s="384" t="s">
        <v>531</v>
      </c>
      <c r="F168" s="387" t="s">
        <v>273</v>
      </c>
      <c r="G168" s="387"/>
      <c r="H168" s="384" t="s">
        <v>562</v>
      </c>
      <c r="I168" s="383">
        <v>0</v>
      </c>
    </row>
    <row r="169" spans="1:10" x14ac:dyDescent="0.2">
      <c r="A169" s="383" t="s">
        <v>73</v>
      </c>
      <c r="B169" s="397">
        <v>45474</v>
      </c>
      <c r="C169" s="397" t="s">
        <v>535</v>
      </c>
      <c r="D169" s="383">
        <v>3</v>
      </c>
      <c r="E169" s="384" t="s">
        <v>531</v>
      </c>
      <c r="F169" s="387" t="s">
        <v>513</v>
      </c>
      <c r="G169" s="387"/>
      <c r="H169" s="384" t="s">
        <v>513</v>
      </c>
      <c r="I169" s="383">
        <v>0</v>
      </c>
    </row>
    <row r="170" spans="1:10" x14ac:dyDescent="0.2">
      <c r="A170" s="383" t="s">
        <v>73</v>
      </c>
      <c r="B170" s="397">
        <v>45474</v>
      </c>
      <c r="C170" s="397" t="s">
        <v>535</v>
      </c>
      <c r="D170" s="383">
        <v>3</v>
      </c>
      <c r="E170" s="384" t="s">
        <v>531</v>
      </c>
      <c r="F170" s="387" t="s">
        <v>514</v>
      </c>
      <c r="G170" s="387"/>
      <c r="H170" s="384" t="s">
        <v>514</v>
      </c>
      <c r="I170" s="383">
        <v>0</v>
      </c>
    </row>
    <row r="171" spans="1:10" x14ac:dyDescent="0.2">
      <c r="A171" s="383" t="s">
        <v>73</v>
      </c>
      <c r="B171" s="397">
        <v>45474</v>
      </c>
      <c r="C171" s="397" t="s">
        <v>535</v>
      </c>
      <c r="D171" s="383">
        <v>3</v>
      </c>
      <c r="E171" s="384" t="s">
        <v>531</v>
      </c>
      <c r="F171" s="385" t="s">
        <v>337</v>
      </c>
      <c r="G171" s="385"/>
      <c r="H171" s="384" t="s">
        <v>337</v>
      </c>
      <c r="I171" s="383">
        <v>139309.38</v>
      </c>
    </row>
    <row r="172" spans="1:10" x14ac:dyDescent="0.2">
      <c r="A172" s="383" t="s">
        <v>73</v>
      </c>
      <c r="B172" s="397">
        <v>45474</v>
      </c>
      <c r="C172" s="397" t="s">
        <v>534</v>
      </c>
      <c r="D172" s="383">
        <v>4</v>
      </c>
      <c r="E172" s="383" t="s">
        <v>523</v>
      </c>
      <c r="F172" s="388" t="s">
        <v>340</v>
      </c>
      <c r="G172" s="388"/>
      <c r="H172" s="384" t="s">
        <v>340</v>
      </c>
      <c r="I172" s="383">
        <v>-150696.85</v>
      </c>
    </row>
    <row r="173" spans="1:10" x14ac:dyDescent="0.2">
      <c r="A173" s="383" t="s">
        <v>73</v>
      </c>
      <c r="B173" s="397">
        <v>45474</v>
      </c>
      <c r="C173" s="397" t="s">
        <v>534</v>
      </c>
      <c r="D173" s="383">
        <v>4</v>
      </c>
      <c r="E173" s="383" t="s">
        <v>523</v>
      </c>
      <c r="F173" s="388" t="s">
        <v>341</v>
      </c>
      <c r="G173" s="388"/>
      <c r="H173" s="384" t="s">
        <v>341</v>
      </c>
      <c r="I173" s="383">
        <v>-169686.16</v>
      </c>
    </row>
    <row r="174" spans="1:10" x14ac:dyDescent="0.2">
      <c r="A174" s="383" t="s">
        <v>73</v>
      </c>
      <c r="B174" s="397">
        <v>45474</v>
      </c>
      <c r="C174" s="397" t="s">
        <v>534</v>
      </c>
      <c r="D174" s="383">
        <v>4</v>
      </c>
      <c r="E174" s="383" t="s">
        <v>523</v>
      </c>
      <c r="F174" s="388" t="s">
        <v>342</v>
      </c>
      <c r="G174" s="388"/>
      <c r="H174" s="384" t="s">
        <v>342</v>
      </c>
      <c r="I174" s="383">
        <v>-1257014.5288</v>
      </c>
    </row>
    <row r="175" spans="1:10" x14ac:dyDescent="0.2">
      <c r="A175" s="383" t="s">
        <v>73</v>
      </c>
      <c r="B175" s="397">
        <v>45474</v>
      </c>
      <c r="C175" s="397" t="s">
        <v>534</v>
      </c>
      <c r="D175" s="383">
        <v>4</v>
      </c>
      <c r="E175" s="383" t="s">
        <v>523</v>
      </c>
      <c r="F175" s="388" t="s">
        <v>343</v>
      </c>
      <c r="G175" s="388"/>
      <c r="H175" s="384" t="s">
        <v>343</v>
      </c>
      <c r="I175" s="383">
        <v>-59654.75</v>
      </c>
    </row>
    <row r="176" spans="1:10" x14ac:dyDescent="0.2">
      <c r="A176" s="383" t="s">
        <v>73</v>
      </c>
      <c r="B176" s="397">
        <v>45474</v>
      </c>
      <c r="C176" s="397" t="s">
        <v>535</v>
      </c>
      <c r="D176" s="383">
        <v>5</v>
      </c>
      <c r="E176" s="383" t="s">
        <v>532</v>
      </c>
      <c r="F176" s="401" t="s">
        <v>345</v>
      </c>
      <c r="G176" s="401"/>
      <c r="H176" s="402" t="s">
        <v>345</v>
      </c>
      <c r="I176" s="406">
        <f>I165+I166+I167+I168+I169+I170+I171+I172+I173+I174+I175</f>
        <v>2748352.3312030011</v>
      </c>
      <c r="J176" s="352">
        <f>IF(C176="A",-I176/$I$158,I176/$I$158)</f>
        <v>0.59228585778451481</v>
      </c>
    </row>
    <row r="177" spans="1:10" x14ac:dyDescent="0.2">
      <c r="A177" s="383" t="s">
        <v>73</v>
      </c>
      <c r="B177" s="397">
        <v>45474</v>
      </c>
      <c r="C177" s="397" t="s">
        <v>534</v>
      </c>
      <c r="D177" s="383">
        <v>6</v>
      </c>
      <c r="E177" s="383" t="s">
        <v>524</v>
      </c>
      <c r="F177" s="388" t="s">
        <v>349</v>
      </c>
      <c r="G177" s="388"/>
      <c r="H177" s="384" t="s">
        <v>473</v>
      </c>
      <c r="I177" s="383">
        <v>-45328.1</v>
      </c>
    </row>
    <row r="178" spans="1:10" x14ac:dyDescent="0.2">
      <c r="A178" s="383" t="s">
        <v>73</v>
      </c>
      <c r="B178" s="397">
        <v>45474</v>
      </c>
      <c r="C178" s="397" t="s">
        <v>534</v>
      </c>
      <c r="D178" s="383">
        <v>6</v>
      </c>
      <c r="E178" s="383" t="s">
        <v>524</v>
      </c>
      <c r="F178" s="388" t="s">
        <v>350</v>
      </c>
      <c r="G178" s="388"/>
      <c r="H178" s="384" t="s">
        <v>474</v>
      </c>
      <c r="I178" s="383">
        <v>5548.51</v>
      </c>
    </row>
    <row r="179" spans="1:10" x14ac:dyDescent="0.2">
      <c r="A179" s="383" t="s">
        <v>73</v>
      </c>
      <c r="B179" s="397">
        <v>45474</v>
      </c>
      <c r="C179" s="397" t="s">
        <v>534</v>
      </c>
      <c r="D179" s="383">
        <v>6</v>
      </c>
      <c r="E179" s="383" t="s">
        <v>524</v>
      </c>
      <c r="F179" s="388" t="s">
        <v>351</v>
      </c>
      <c r="G179" s="388"/>
      <c r="H179" s="384" t="s">
        <v>475</v>
      </c>
      <c r="I179" s="383">
        <v>-37082.65</v>
      </c>
    </row>
    <row r="180" spans="1:10" x14ac:dyDescent="0.2">
      <c r="A180" s="383" t="s">
        <v>73</v>
      </c>
      <c r="B180" s="397">
        <v>45474</v>
      </c>
      <c r="C180" s="397" t="s">
        <v>534</v>
      </c>
      <c r="D180" s="383">
        <v>6</v>
      </c>
      <c r="E180" s="383" t="s">
        <v>524</v>
      </c>
      <c r="F180" s="388" t="s">
        <v>352</v>
      </c>
      <c r="G180" s="388"/>
      <c r="H180" s="384" t="s">
        <v>476</v>
      </c>
      <c r="I180" s="383">
        <v>-4922.4799999999996</v>
      </c>
    </row>
    <row r="181" spans="1:10" x14ac:dyDescent="0.2">
      <c r="A181" s="383" t="s">
        <v>73</v>
      </c>
      <c r="B181" s="397">
        <v>45474</v>
      </c>
      <c r="C181" s="397" t="s">
        <v>534</v>
      </c>
      <c r="D181" s="383">
        <v>6</v>
      </c>
      <c r="E181" s="383" t="s">
        <v>524</v>
      </c>
      <c r="F181" s="388" t="s">
        <v>353</v>
      </c>
      <c r="G181" s="388"/>
      <c r="H181" s="384" t="s">
        <v>477</v>
      </c>
      <c r="I181" s="383">
        <v>-36780.47</v>
      </c>
    </row>
    <row r="182" spans="1:10" x14ac:dyDescent="0.2">
      <c r="A182" s="383" t="s">
        <v>73</v>
      </c>
      <c r="B182" s="397">
        <v>45474</v>
      </c>
      <c r="C182" s="397" t="s">
        <v>534</v>
      </c>
      <c r="D182" s="383">
        <v>6</v>
      </c>
      <c r="E182" s="383" t="s">
        <v>524</v>
      </c>
      <c r="F182" s="388" t="s">
        <v>354</v>
      </c>
      <c r="G182" s="388"/>
      <c r="H182" s="384" t="s">
        <v>478</v>
      </c>
      <c r="I182" s="383">
        <v>-18926.8</v>
      </c>
    </row>
    <row r="183" spans="1:10" x14ac:dyDescent="0.2">
      <c r="A183" s="383" t="s">
        <v>73</v>
      </c>
      <c r="B183" s="397">
        <v>45474</v>
      </c>
      <c r="C183" s="397" t="s">
        <v>534</v>
      </c>
      <c r="D183" s="383">
        <v>6</v>
      </c>
      <c r="E183" s="383" t="s">
        <v>524</v>
      </c>
      <c r="F183" s="390" t="s">
        <v>355</v>
      </c>
      <c r="G183" s="390"/>
      <c r="H183" s="384" t="s">
        <v>355</v>
      </c>
      <c r="I183" s="383">
        <v>-48085.99</v>
      </c>
    </row>
    <row r="184" spans="1:10" x14ac:dyDescent="0.2">
      <c r="A184" s="383" t="s">
        <v>73</v>
      </c>
      <c r="B184" s="397">
        <v>45474</v>
      </c>
      <c r="C184" s="397" t="s">
        <v>534</v>
      </c>
      <c r="D184" s="383">
        <v>6</v>
      </c>
      <c r="E184" s="383" t="s">
        <v>524</v>
      </c>
      <c r="F184" s="390" t="s">
        <v>356</v>
      </c>
      <c r="G184" s="390"/>
      <c r="H184" s="384" t="s">
        <v>356</v>
      </c>
      <c r="I184" s="383">
        <v>-494827.37000000005</v>
      </c>
    </row>
    <row r="185" spans="1:10" x14ac:dyDescent="0.2">
      <c r="A185" s="383" t="s">
        <v>73</v>
      </c>
      <c r="B185" s="397">
        <v>45474</v>
      </c>
      <c r="C185" s="397" t="s">
        <v>534</v>
      </c>
      <c r="D185" s="383">
        <v>6</v>
      </c>
      <c r="E185" s="383" t="s">
        <v>524</v>
      </c>
      <c r="F185" s="390" t="s">
        <v>357</v>
      </c>
      <c r="G185" s="390"/>
      <c r="H185" s="384" t="s">
        <v>357</v>
      </c>
      <c r="I185" s="383">
        <v>-5080.03</v>
      </c>
    </row>
    <row r="186" spans="1:10" x14ac:dyDescent="0.2">
      <c r="A186" s="383" t="s">
        <v>73</v>
      </c>
      <c r="B186" s="397">
        <v>45474</v>
      </c>
      <c r="C186" s="397" t="s">
        <v>535</v>
      </c>
      <c r="D186" s="383">
        <v>7</v>
      </c>
      <c r="E186" s="383" t="s">
        <v>529</v>
      </c>
      <c r="F186" s="400" t="s">
        <v>358</v>
      </c>
      <c r="G186" s="400"/>
      <c r="H186" s="403" t="s">
        <v>358</v>
      </c>
      <c r="I186" s="396">
        <f>I176+I177+I178+I179+I180+I181+I182+I183+I184+I185</f>
        <v>2062866.9512030005</v>
      </c>
      <c r="J186" s="352">
        <f>IF(C186="A",-I186/$I$158,I186/$I$158)</f>
        <v>0.44455978508177302</v>
      </c>
    </row>
    <row r="187" spans="1:10" x14ac:dyDescent="0.2">
      <c r="A187" s="383" t="s">
        <v>73</v>
      </c>
      <c r="B187" s="397">
        <v>45474</v>
      </c>
      <c r="C187" s="397" t="s">
        <v>534</v>
      </c>
      <c r="D187" s="383">
        <v>8</v>
      </c>
      <c r="E187" s="383" t="s">
        <v>527</v>
      </c>
      <c r="F187" s="385" t="s">
        <v>359</v>
      </c>
      <c r="G187" s="385"/>
      <c r="H187" s="384" t="s">
        <v>479</v>
      </c>
      <c r="I187" s="383">
        <v>0</v>
      </c>
    </row>
    <row r="188" spans="1:10" x14ac:dyDescent="0.2">
      <c r="A188" s="383" t="s">
        <v>73</v>
      </c>
      <c r="B188" s="397">
        <v>45474</v>
      </c>
      <c r="C188" s="397" t="s">
        <v>534</v>
      </c>
      <c r="D188" s="383">
        <v>8</v>
      </c>
      <c r="E188" s="383" t="s">
        <v>527</v>
      </c>
      <c r="F188" s="385" t="s">
        <v>360</v>
      </c>
      <c r="G188" s="385"/>
      <c r="H188" s="384" t="s">
        <v>480</v>
      </c>
      <c r="I188" s="383">
        <v>13410.47</v>
      </c>
    </row>
    <row r="189" spans="1:10" x14ac:dyDescent="0.2">
      <c r="A189" s="383" t="s">
        <v>73</v>
      </c>
      <c r="B189" s="397">
        <v>45474</v>
      </c>
      <c r="C189" s="397" t="s">
        <v>534</v>
      </c>
      <c r="D189" s="383">
        <v>8</v>
      </c>
      <c r="E189" s="383" t="s">
        <v>527</v>
      </c>
      <c r="F189" s="390" t="s">
        <v>361</v>
      </c>
      <c r="G189" s="390"/>
      <c r="H189" s="384" t="s">
        <v>481</v>
      </c>
      <c r="I189" s="383">
        <v>-29030.68</v>
      </c>
    </row>
    <row r="190" spans="1:10" x14ac:dyDescent="0.2">
      <c r="A190" s="383" t="s">
        <v>73</v>
      </c>
      <c r="B190" s="397">
        <v>45474</v>
      </c>
      <c r="C190" s="397" t="s">
        <v>534</v>
      </c>
      <c r="D190" s="383">
        <v>9</v>
      </c>
      <c r="E190" s="383" t="s">
        <v>526</v>
      </c>
      <c r="F190" s="390" t="s">
        <v>363</v>
      </c>
      <c r="G190" s="390"/>
      <c r="H190" s="384" t="s">
        <v>363</v>
      </c>
      <c r="I190" s="383">
        <v>-554238.27</v>
      </c>
    </row>
    <row r="191" spans="1:10" x14ac:dyDescent="0.2">
      <c r="A191" s="383" t="s">
        <v>73</v>
      </c>
      <c r="B191" s="397">
        <v>45474</v>
      </c>
      <c r="C191" s="397" t="s">
        <v>534</v>
      </c>
      <c r="D191" s="383">
        <v>9</v>
      </c>
      <c r="E191" s="383" t="s">
        <v>526</v>
      </c>
      <c r="F191" s="390" t="s">
        <v>364</v>
      </c>
      <c r="G191" s="390"/>
      <c r="H191" s="384" t="s">
        <v>364</v>
      </c>
      <c r="I191" s="383">
        <v>-32092.9664204</v>
      </c>
    </row>
    <row r="192" spans="1:10" x14ac:dyDescent="0.2">
      <c r="A192" s="383" t="s">
        <v>73</v>
      </c>
      <c r="B192" s="397">
        <v>45474</v>
      </c>
      <c r="C192" s="397" t="s">
        <v>534</v>
      </c>
      <c r="D192" s="383">
        <v>9</v>
      </c>
      <c r="E192" s="383" t="s">
        <v>526</v>
      </c>
      <c r="F192" s="394" t="s">
        <v>273</v>
      </c>
      <c r="G192" s="394"/>
      <c r="H192" s="398" t="s">
        <v>563</v>
      </c>
      <c r="I192" s="383">
        <v>0</v>
      </c>
    </row>
    <row r="193" spans="1:10" x14ac:dyDescent="0.2">
      <c r="A193" s="383" t="s">
        <v>73</v>
      </c>
      <c r="B193" s="397">
        <v>45474</v>
      </c>
      <c r="C193" s="397" t="s">
        <v>534</v>
      </c>
      <c r="D193" s="383">
        <v>10</v>
      </c>
      <c r="E193" s="383" t="s">
        <v>452</v>
      </c>
      <c r="F193" s="400" t="s">
        <v>365</v>
      </c>
      <c r="G193" s="400"/>
      <c r="H193" s="403" t="s">
        <v>365</v>
      </c>
      <c r="I193" s="396">
        <f>I159+I160+I161+I162+I163+I164+I172+I173+I174+I175+I177+I178+I179+I180+I181+I182+I183+I184+I185+I187+I188+I189+I190+I191+I192</f>
        <v>-3179330.9152203999</v>
      </c>
      <c r="J193" s="352">
        <f>IF(C193="A",-I193/$I$158,I193/$I$158)</f>
        <v>0.68516424074270266</v>
      </c>
    </row>
    <row r="194" spans="1:10" x14ac:dyDescent="0.2">
      <c r="A194" s="383" t="s">
        <v>73</v>
      </c>
      <c r="B194" s="397">
        <v>45474</v>
      </c>
      <c r="C194" s="397" t="s">
        <v>535</v>
      </c>
      <c r="D194" s="383">
        <v>11</v>
      </c>
      <c r="E194" s="383" t="s">
        <v>528</v>
      </c>
      <c r="F194" s="400" t="s">
        <v>367</v>
      </c>
      <c r="G194" s="400"/>
      <c r="H194" s="403" t="s">
        <v>367</v>
      </c>
      <c r="I194" s="395">
        <f>I158+I193</f>
        <v>1460915.5047826008</v>
      </c>
      <c r="J194" s="352">
        <f>IF(C194="A",-I194/$I$158,I194/$I$158)</f>
        <v>0.3148357592572974</v>
      </c>
    </row>
    <row r="195" spans="1:10" x14ac:dyDescent="0.2">
      <c r="A195" s="383" t="s">
        <v>516</v>
      </c>
      <c r="B195" s="397">
        <v>45474</v>
      </c>
      <c r="C195" s="397" t="s">
        <v>536</v>
      </c>
      <c r="D195" s="383">
        <v>1</v>
      </c>
      <c r="E195" s="384" t="s">
        <v>530</v>
      </c>
      <c r="F195" s="400" t="s">
        <v>440</v>
      </c>
      <c r="G195" s="400"/>
      <c r="H195" s="404" t="s">
        <v>440</v>
      </c>
      <c r="I195" s="407">
        <f>[5]Sucumbências!$BI$43</f>
        <v>0</v>
      </c>
      <c r="J195" s="352">
        <v>1</v>
      </c>
    </row>
    <row r="196" spans="1:10" x14ac:dyDescent="0.2">
      <c r="A196" s="383" t="s">
        <v>516</v>
      </c>
      <c r="B196" s="397">
        <v>45474</v>
      </c>
      <c r="C196" s="397" t="s">
        <v>534</v>
      </c>
      <c r="D196" s="383">
        <v>4</v>
      </c>
      <c r="E196" s="383" t="s">
        <v>525</v>
      </c>
      <c r="F196" s="388" t="s">
        <v>340</v>
      </c>
      <c r="G196" s="388"/>
      <c r="H196" s="404" t="s">
        <v>340</v>
      </c>
      <c r="I196" s="407">
        <f>-GLOSAS!$BJ$43</f>
        <v>-150696.85</v>
      </c>
    </row>
    <row r="197" spans="1:10" x14ac:dyDescent="0.2">
      <c r="A197" s="383" t="s">
        <v>516</v>
      </c>
      <c r="B197" s="397">
        <v>45474</v>
      </c>
      <c r="C197" s="397" t="s">
        <v>534</v>
      </c>
      <c r="D197" s="383">
        <v>9</v>
      </c>
      <c r="E197" s="383" t="s">
        <v>526</v>
      </c>
      <c r="F197" s="390" t="s">
        <v>363</v>
      </c>
      <c r="G197" s="390"/>
      <c r="H197" s="404" t="s">
        <v>363</v>
      </c>
      <c r="I197" s="407">
        <f>-I195*0.1</f>
        <v>0</v>
      </c>
    </row>
    <row r="198" spans="1:10" x14ac:dyDescent="0.2">
      <c r="A198" s="383" t="s">
        <v>516</v>
      </c>
      <c r="B198" s="397">
        <v>45474</v>
      </c>
      <c r="C198" s="397" t="s">
        <v>535</v>
      </c>
      <c r="D198" s="383">
        <v>11</v>
      </c>
      <c r="E198" s="383" t="s">
        <v>528</v>
      </c>
      <c r="F198" s="400" t="s">
        <v>367</v>
      </c>
      <c r="G198" s="400"/>
      <c r="H198" s="404" t="s">
        <v>367</v>
      </c>
      <c r="I198" s="407">
        <f>I195+I196+I197</f>
        <v>-150696.85</v>
      </c>
      <c r="J198" s="352" t="e">
        <f>IF(C198="A",-I198/I195,I198/I195)</f>
        <v>#DIV/0!</v>
      </c>
    </row>
    <row r="199" spans="1:10" x14ac:dyDescent="0.2">
      <c r="A199" s="383" t="s">
        <v>522</v>
      </c>
      <c r="B199" s="397">
        <v>45474</v>
      </c>
      <c r="C199" s="397" t="s">
        <v>536</v>
      </c>
      <c r="D199" s="383">
        <v>1</v>
      </c>
      <c r="E199" s="384" t="s">
        <v>530</v>
      </c>
      <c r="F199" s="400" t="s">
        <v>440</v>
      </c>
      <c r="G199" s="400"/>
      <c r="H199" s="405" t="s">
        <v>440</v>
      </c>
      <c r="I199" s="396">
        <f>I158-I195</f>
        <v>4640246.4200030006</v>
      </c>
      <c r="J199" s="352">
        <v>1</v>
      </c>
    </row>
    <row r="200" spans="1:10" x14ac:dyDescent="0.2">
      <c r="A200" s="383" t="s">
        <v>522</v>
      </c>
      <c r="B200" s="397">
        <v>45474</v>
      </c>
      <c r="C200" s="397" t="s">
        <v>534</v>
      </c>
      <c r="D200" s="383">
        <v>2</v>
      </c>
      <c r="E200" s="384" t="s">
        <v>325</v>
      </c>
      <c r="F200" s="390" t="s">
        <v>326</v>
      </c>
      <c r="G200" s="390"/>
      <c r="H200" s="384" t="s">
        <v>519</v>
      </c>
      <c r="I200" s="406">
        <f t="shared" ref="I200:I212" si="5">I159</f>
        <v>-217214.83</v>
      </c>
    </row>
    <row r="201" spans="1:10" x14ac:dyDescent="0.2">
      <c r="A201" s="383" t="s">
        <v>522</v>
      </c>
      <c r="B201" s="397">
        <v>45474</v>
      </c>
      <c r="C201" s="397" t="s">
        <v>534</v>
      </c>
      <c r="D201" s="383">
        <v>2</v>
      </c>
      <c r="E201" s="384" t="s">
        <v>325</v>
      </c>
      <c r="F201" s="385" t="s">
        <v>328</v>
      </c>
      <c r="G201" s="385"/>
      <c r="H201" s="384" t="s">
        <v>521</v>
      </c>
      <c r="I201" s="406">
        <f t="shared" si="5"/>
        <v>0</v>
      </c>
    </row>
    <row r="202" spans="1:10" x14ac:dyDescent="0.2">
      <c r="A202" s="383" t="s">
        <v>522</v>
      </c>
      <c r="B202" s="397">
        <v>45474</v>
      </c>
      <c r="C202" s="397" t="s">
        <v>534</v>
      </c>
      <c r="D202" s="383">
        <v>2</v>
      </c>
      <c r="E202" s="384" t="s">
        <v>325</v>
      </c>
      <c r="F202" s="385" t="s">
        <v>329</v>
      </c>
      <c r="G202" s="385"/>
      <c r="H202" s="384" t="s">
        <v>329</v>
      </c>
      <c r="I202" s="406">
        <f t="shared" si="5"/>
        <v>-32652.85</v>
      </c>
    </row>
    <row r="203" spans="1:10" x14ac:dyDescent="0.2">
      <c r="A203" s="383" t="s">
        <v>522</v>
      </c>
      <c r="B203" s="397">
        <v>45474</v>
      </c>
      <c r="C203" s="397" t="s">
        <v>534</v>
      </c>
      <c r="D203" s="383">
        <v>2</v>
      </c>
      <c r="E203" s="384" t="s">
        <v>325</v>
      </c>
      <c r="F203" s="385" t="s">
        <v>330</v>
      </c>
      <c r="G203" s="385"/>
      <c r="H203" s="384" t="s">
        <v>330</v>
      </c>
      <c r="I203" s="406">
        <f t="shared" si="5"/>
        <v>-4959.67</v>
      </c>
    </row>
    <row r="204" spans="1:10" x14ac:dyDescent="0.2">
      <c r="A204" s="383" t="s">
        <v>522</v>
      </c>
      <c r="B204" s="397">
        <v>45474</v>
      </c>
      <c r="C204" s="397" t="s">
        <v>534</v>
      </c>
      <c r="D204" s="383">
        <v>2</v>
      </c>
      <c r="E204" s="384" t="s">
        <v>325</v>
      </c>
      <c r="F204" s="385" t="s">
        <v>331</v>
      </c>
      <c r="G204" s="385"/>
      <c r="H204" s="384" t="s">
        <v>331</v>
      </c>
      <c r="I204" s="406">
        <f t="shared" si="5"/>
        <v>-14.45</v>
      </c>
    </row>
    <row r="205" spans="1:10" x14ac:dyDescent="0.2">
      <c r="A205" s="383" t="s">
        <v>522</v>
      </c>
      <c r="B205" s="397">
        <v>45474</v>
      </c>
      <c r="C205" s="397" t="s">
        <v>534</v>
      </c>
      <c r="D205" s="383">
        <v>2</v>
      </c>
      <c r="E205" s="384" t="s">
        <v>325</v>
      </c>
      <c r="F205" s="384" t="s">
        <v>332</v>
      </c>
      <c r="G205" s="384"/>
      <c r="H205" s="384" t="s">
        <v>520</v>
      </c>
      <c r="I205" s="406">
        <f t="shared" si="5"/>
        <v>0</v>
      </c>
    </row>
    <row r="206" spans="1:10" x14ac:dyDescent="0.2">
      <c r="A206" s="383" t="s">
        <v>522</v>
      </c>
      <c r="B206" s="397">
        <v>45474</v>
      </c>
      <c r="C206" s="397" t="s">
        <v>535</v>
      </c>
      <c r="D206" s="383">
        <v>3</v>
      </c>
      <c r="E206" s="384" t="s">
        <v>531</v>
      </c>
      <c r="F206" s="385" t="s">
        <v>334</v>
      </c>
      <c r="G206" s="385"/>
      <c r="H206" s="384" t="s">
        <v>334</v>
      </c>
      <c r="I206" s="406">
        <f t="shared" si="5"/>
        <v>3830477.2300030012</v>
      </c>
    </row>
    <row r="207" spans="1:10" x14ac:dyDescent="0.2">
      <c r="A207" s="383" t="s">
        <v>522</v>
      </c>
      <c r="B207" s="397">
        <v>45474</v>
      </c>
      <c r="C207" s="397" t="s">
        <v>535</v>
      </c>
      <c r="D207" s="383">
        <v>3</v>
      </c>
      <c r="E207" s="384" t="s">
        <v>531</v>
      </c>
      <c r="F207" s="385" t="s">
        <v>335</v>
      </c>
      <c r="G207" s="385"/>
      <c r="H207" s="384" t="s">
        <v>335</v>
      </c>
      <c r="I207" s="406">
        <f t="shared" si="5"/>
        <v>410618.00999999995</v>
      </c>
    </row>
    <row r="208" spans="1:10" x14ac:dyDescent="0.2">
      <c r="A208" s="383" t="s">
        <v>522</v>
      </c>
      <c r="B208" s="397">
        <v>45474</v>
      </c>
      <c r="C208" s="397" t="s">
        <v>535</v>
      </c>
      <c r="D208" s="383">
        <v>3</v>
      </c>
      <c r="E208" s="384" t="s">
        <v>531</v>
      </c>
      <c r="F208" s="385" t="s">
        <v>336</v>
      </c>
      <c r="G208" s="385"/>
      <c r="H208" s="384" t="s">
        <v>336</v>
      </c>
      <c r="I208" s="406">
        <f t="shared" si="5"/>
        <v>5000</v>
      </c>
    </row>
    <row r="209" spans="1:10" x14ac:dyDescent="0.2">
      <c r="A209" s="383" t="s">
        <v>522</v>
      </c>
      <c r="B209" s="397">
        <v>45474</v>
      </c>
      <c r="C209" s="397" t="s">
        <v>535</v>
      </c>
      <c r="D209" s="383">
        <v>3</v>
      </c>
      <c r="E209" s="384" t="s">
        <v>531</v>
      </c>
      <c r="F209" s="387" t="s">
        <v>273</v>
      </c>
      <c r="G209" s="387"/>
      <c r="H209" s="384" t="s">
        <v>562</v>
      </c>
      <c r="I209" s="406">
        <f t="shared" si="5"/>
        <v>0</v>
      </c>
    </row>
    <row r="210" spans="1:10" x14ac:dyDescent="0.2">
      <c r="A210" s="383" t="s">
        <v>522</v>
      </c>
      <c r="B210" s="397">
        <v>45474</v>
      </c>
      <c r="C210" s="397" t="s">
        <v>535</v>
      </c>
      <c r="D210" s="383">
        <v>3</v>
      </c>
      <c r="E210" s="384" t="s">
        <v>531</v>
      </c>
      <c r="F210" s="387" t="s">
        <v>513</v>
      </c>
      <c r="G210" s="387"/>
      <c r="H210" s="384" t="s">
        <v>513</v>
      </c>
      <c r="I210" s="406">
        <f t="shared" si="5"/>
        <v>0</v>
      </c>
    </row>
    <row r="211" spans="1:10" x14ac:dyDescent="0.2">
      <c r="A211" s="383" t="s">
        <v>522</v>
      </c>
      <c r="B211" s="397">
        <v>45474</v>
      </c>
      <c r="C211" s="397" t="s">
        <v>535</v>
      </c>
      <c r="D211" s="383">
        <v>3</v>
      </c>
      <c r="E211" s="384" t="s">
        <v>531</v>
      </c>
      <c r="F211" s="387" t="s">
        <v>514</v>
      </c>
      <c r="G211" s="387"/>
      <c r="H211" s="384" t="s">
        <v>514</v>
      </c>
      <c r="I211" s="406">
        <f t="shared" si="5"/>
        <v>0</v>
      </c>
    </row>
    <row r="212" spans="1:10" x14ac:dyDescent="0.2">
      <c r="A212" s="383" t="s">
        <v>522</v>
      </c>
      <c r="B212" s="397">
        <v>45474</v>
      </c>
      <c r="C212" s="397" t="s">
        <v>535</v>
      </c>
      <c r="D212" s="383">
        <v>3</v>
      </c>
      <c r="E212" s="384" t="s">
        <v>531</v>
      </c>
      <c r="F212" s="385" t="s">
        <v>337</v>
      </c>
      <c r="G212" s="385"/>
      <c r="H212" s="384" t="s">
        <v>337</v>
      </c>
      <c r="I212" s="406">
        <f t="shared" si="5"/>
        <v>139309.38</v>
      </c>
    </row>
    <row r="213" spans="1:10" x14ac:dyDescent="0.2">
      <c r="A213" s="383" t="s">
        <v>522</v>
      </c>
      <c r="B213" s="397">
        <v>45474</v>
      </c>
      <c r="C213" s="397" t="s">
        <v>534</v>
      </c>
      <c r="D213" s="383">
        <v>4</v>
      </c>
      <c r="E213" s="383" t="s">
        <v>523</v>
      </c>
      <c r="F213" s="388" t="s">
        <v>340</v>
      </c>
      <c r="G213" s="388"/>
      <c r="H213" s="405" t="s">
        <v>340</v>
      </c>
      <c r="I213" s="396">
        <f>I172-I196</f>
        <v>0</v>
      </c>
    </row>
    <row r="214" spans="1:10" x14ac:dyDescent="0.2">
      <c r="A214" s="383" t="s">
        <v>522</v>
      </c>
      <c r="B214" s="397">
        <v>45474</v>
      </c>
      <c r="C214" s="397" t="s">
        <v>534</v>
      </c>
      <c r="D214" s="383">
        <v>4</v>
      </c>
      <c r="E214" s="383" t="s">
        <v>523</v>
      </c>
      <c r="F214" s="388" t="s">
        <v>341</v>
      </c>
      <c r="G214" s="388"/>
      <c r="H214" s="384" t="s">
        <v>341</v>
      </c>
      <c r="I214" s="406">
        <f>I173</f>
        <v>-169686.16</v>
      </c>
    </row>
    <row r="215" spans="1:10" x14ac:dyDescent="0.2">
      <c r="A215" s="383" t="s">
        <v>522</v>
      </c>
      <c r="B215" s="397">
        <v>45474</v>
      </c>
      <c r="C215" s="397" t="s">
        <v>534</v>
      </c>
      <c r="D215" s="383">
        <v>4</v>
      </c>
      <c r="E215" s="383" t="s">
        <v>523</v>
      </c>
      <c r="F215" s="388" t="s">
        <v>342</v>
      </c>
      <c r="G215" s="388"/>
      <c r="H215" s="384" t="s">
        <v>342</v>
      </c>
      <c r="I215" s="406">
        <f>I174</f>
        <v>-1257014.5288</v>
      </c>
    </row>
    <row r="216" spans="1:10" x14ac:dyDescent="0.2">
      <c r="A216" s="383" t="s">
        <v>522</v>
      </c>
      <c r="B216" s="397">
        <v>45474</v>
      </c>
      <c r="C216" s="397" t="s">
        <v>534</v>
      </c>
      <c r="D216" s="383">
        <v>4</v>
      </c>
      <c r="E216" s="383" t="s">
        <v>523</v>
      </c>
      <c r="F216" s="388" t="s">
        <v>343</v>
      </c>
      <c r="G216" s="388"/>
      <c r="H216" s="384" t="s">
        <v>343</v>
      </c>
      <c r="I216" s="406">
        <f>I175</f>
        <v>-59654.75</v>
      </c>
    </row>
    <row r="217" spans="1:10" x14ac:dyDescent="0.2">
      <c r="A217" s="383" t="s">
        <v>522</v>
      </c>
      <c r="B217" s="397">
        <v>45474</v>
      </c>
      <c r="C217" s="397" t="s">
        <v>535</v>
      </c>
      <c r="D217" s="383">
        <v>5</v>
      </c>
      <c r="E217" s="383" t="s">
        <v>532</v>
      </c>
      <c r="F217" s="401" t="s">
        <v>345</v>
      </c>
      <c r="G217" s="401"/>
      <c r="H217" s="403" t="s">
        <v>345</v>
      </c>
      <c r="I217" s="406">
        <f>I199+I200+I201+I202+I203+I204+I205+I213+I214+I215+I216</f>
        <v>2899049.1812030007</v>
      </c>
      <c r="J217" s="352">
        <f>IF(C217="A",-I217/$I$199,I217/$I$199)</f>
        <v>0.6247619024511043</v>
      </c>
    </row>
    <row r="218" spans="1:10" x14ac:dyDescent="0.2">
      <c r="A218" s="383" t="s">
        <v>522</v>
      </c>
      <c r="B218" s="397">
        <v>45474</v>
      </c>
      <c r="C218" s="397" t="s">
        <v>534</v>
      </c>
      <c r="D218" s="383">
        <v>6</v>
      </c>
      <c r="E218" s="383" t="s">
        <v>524</v>
      </c>
      <c r="F218" s="388" t="s">
        <v>349</v>
      </c>
      <c r="G218" s="388"/>
      <c r="H218" s="384" t="s">
        <v>473</v>
      </c>
      <c r="I218" s="406">
        <f t="shared" ref="I218:I226" si="6">I177</f>
        <v>-45328.1</v>
      </c>
    </row>
    <row r="219" spans="1:10" x14ac:dyDescent="0.2">
      <c r="A219" s="383" t="s">
        <v>522</v>
      </c>
      <c r="B219" s="397">
        <v>45474</v>
      </c>
      <c r="C219" s="397" t="s">
        <v>534</v>
      </c>
      <c r="D219" s="383">
        <v>6</v>
      </c>
      <c r="E219" s="383" t="s">
        <v>524</v>
      </c>
      <c r="F219" s="388" t="s">
        <v>350</v>
      </c>
      <c r="G219" s="388"/>
      <c r="H219" s="384" t="s">
        <v>474</v>
      </c>
      <c r="I219" s="406">
        <f t="shared" si="6"/>
        <v>5548.51</v>
      </c>
    </row>
    <row r="220" spans="1:10" x14ac:dyDescent="0.2">
      <c r="A220" s="383" t="s">
        <v>522</v>
      </c>
      <c r="B220" s="397">
        <v>45474</v>
      </c>
      <c r="C220" s="397" t="s">
        <v>534</v>
      </c>
      <c r="D220" s="383">
        <v>6</v>
      </c>
      <c r="E220" s="383" t="s">
        <v>524</v>
      </c>
      <c r="F220" s="388" t="s">
        <v>351</v>
      </c>
      <c r="G220" s="388"/>
      <c r="H220" s="384" t="s">
        <v>475</v>
      </c>
      <c r="I220" s="406">
        <f t="shared" si="6"/>
        <v>-37082.65</v>
      </c>
    </row>
    <row r="221" spans="1:10" x14ac:dyDescent="0.2">
      <c r="A221" s="383" t="s">
        <v>522</v>
      </c>
      <c r="B221" s="397">
        <v>45474</v>
      </c>
      <c r="C221" s="397" t="s">
        <v>534</v>
      </c>
      <c r="D221" s="383">
        <v>6</v>
      </c>
      <c r="E221" s="383" t="s">
        <v>524</v>
      </c>
      <c r="F221" s="388" t="s">
        <v>352</v>
      </c>
      <c r="G221" s="388"/>
      <c r="H221" s="384" t="s">
        <v>476</v>
      </c>
      <c r="I221" s="406">
        <f t="shared" si="6"/>
        <v>-4922.4799999999996</v>
      </c>
    </row>
    <row r="222" spans="1:10" x14ac:dyDescent="0.2">
      <c r="A222" s="383" t="s">
        <v>522</v>
      </c>
      <c r="B222" s="397">
        <v>45474</v>
      </c>
      <c r="C222" s="397" t="s">
        <v>534</v>
      </c>
      <c r="D222" s="383">
        <v>6</v>
      </c>
      <c r="E222" s="383" t="s">
        <v>524</v>
      </c>
      <c r="F222" s="388" t="s">
        <v>353</v>
      </c>
      <c r="G222" s="388"/>
      <c r="H222" s="384" t="s">
        <v>477</v>
      </c>
      <c r="I222" s="406">
        <f t="shared" si="6"/>
        <v>-36780.47</v>
      </c>
    </row>
    <row r="223" spans="1:10" x14ac:dyDescent="0.2">
      <c r="A223" s="383" t="s">
        <v>522</v>
      </c>
      <c r="B223" s="397">
        <v>45474</v>
      </c>
      <c r="C223" s="397" t="s">
        <v>534</v>
      </c>
      <c r="D223" s="383">
        <v>6</v>
      </c>
      <c r="E223" s="383" t="s">
        <v>524</v>
      </c>
      <c r="F223" s="388" t="s">
        <v>354</v>
      </c>
      <c r="G223" s="388"/>
      <c r="H223" s="384" t="s">
        <v>478</v>
      </c>
      <c r="I223" s="406">
        <f t="shared" si="6"/>
        <v>-18926.8</v>
      </c>
    </row>
    <row r="224" spans="1:10" x14ac:dyDescent="0.2">
      <c r="A224" s="383" t="s">
        <v>522</v>
      </c>
      <c r="B224" s="397">
        <v>45474</v>
      </c>
      <c r="C224" s="397" t="s">
        <v>534</v>
      </c>
      <c r="D224" s="383">
        <v>6</v>
      </c>
      <c r="E224" s="383" t="s">
        <v>524</v>
      </c>
      <c r="F224" s="390" t="s">
        <v>355</v>
      </c>
      <c r="G224" s="390"/>
      <c r="H224" s="384" t="s">
        <v>355</v>
      </c>
      <c r="I224" s="406">
        <f t="shared" si="6"/>
        <v>-48085.99</v>
      </c>
    </row>
    <row r="225" spans="1:10" x14ac:dyDescent="0.2">
      <c r="A225" s="383" t="s">
        <v>522</v>
      </c>
      <c r="B225" s="397">
        <v>45474</v>
      </c>
      <c r="C225" s="397" t="s">
        <v>534</v>
      </c>
      <c r="D225" s="383">
        <v>6</v>
      </c>
      <c r="E225" s="383" t="s">
        <v>524</v>
      </c>
      <c r="F225" s="390" t="s">
        <v>356</v>
      </c>
      <c r="G225" s="390"/>
      <c r="H225" s="384" t="s">
        <v>356</v>
      </c>
      <c r="I225" s="406">
        <f t="shared" si="6"/>
        <v>-494827.37000000005</v>
      </c>
    </row>
    <row r="226" spans="1:10" x14ac:dyDescent="0.2">
      <c r="A226" s="383" t="s">
        <v>522</v>
      </c>
      <c r="B226" s="397">
        <v>45474</v>
      </c>
      <c r="C226" s="397" t="s">
        <v>534</v>
      </c>
      <c r="D226" s="383">
        <v>6</v>
      </c>
      <c r="E226" s="383" t="s">
        <v>524</v>
      </c>
      <c r="F226" s="390" t="s">
        <v>357</v>
      </c>
      <c r="G226" s="390"/>
      <c r="H226" s="384" t="s">
        <v>357</v>
      </c>
      <c r="I226" s="406">
        <f t="shared" si="6"/>
        <v>-5080.03</v>
      </c>
    </row>
    <row r="227" spans="1:10" x14ac:dyDescent="0.2">
      <c r="A227" s="383" t="s">
        <v>522</v>
      </c>
      <c r="B227" s="397">
        <v>45474</v>
      </c>
      <c r="C227" s="397" t="s">
        <v>535</v>
      </c>
      <c r="D227" s="383">
        <v>7</v>
      </c>
      <c r="E227" s="383" t="s">
        <v>529</v>
      </c>
      <c r="F227" s="400" t="s">
        <v>358</v>
      </c>
      <c r="G227" s="400"/>
      <c r="H227" s="403" t="s">
        <v>358</v>
      </c>
      <c r="I227" s="396">
        <f>I217+I218+I219+I220+I221+I222+I223+I224+I225+I226</f>
        <v>2213563.8012030004</v>
      </c>
      <c r="J227" s="352">
        <f>IF(C227="A",-I227/$I$199,I227/$I$199)</f>
        <v>0.47703582974836256</v>
      </c>
    </row>
    <row r="228" spans="1:10" x14ac:dyDescent="0.2">
      <c r="A228" s="383" t="s">
        <v>522</v>
      </c>
      <c r="B228" s="397">
        <v>45474</v>
      </c>
      <c r="C228" s="397" t="s">
        <v>534</v>
      </c>
      <c r="D228" s="383">
        <v>8</v>
      </c>
      <c r="E228" s="383" t="s">
        <v>527</v>
      </c>
      <c r="F228" s="385" t="s">
        <v>359</v>
      </c>
      <c r="G228" s="385"/>
      <c r="H228" s="384" t="s">
        <v>479</v>
      </c>
      <c r="I228" s="406">
        <f>I187</f>
        <v>0</v>
      </c>
    </row>
    <row r="229" spans="1:10" x14ac:dyDescent="0.2">
      <c r="A229" s="383" t="s">
        <v>522</v>
      </c>
      <c r="B229" s="397">
        <v>45474</v>
      </c>
      <c r="C229" s="397" t="s">
        <v>534</v>
      </c>
      <c r="D229" s="383">
        <v>8</v>
      </c>
      <c r="E229" s="383" t="s">
        <v>527</v>
      </c>
      <c r="F229" s="385" t="s">
        <v>360</v>
      </c>
      <c r="G229" s="385"/>
      <c r="H229" s="384" t="s">
        <v>480</v>
      </c>
      <c r="I229" s="406">
        <f>I188</f>
        <v>13410.47</v>
      </c>
    </row>
    <row r="230" spans="1:10" x14ac:dyDescent="0.2">
      <c r="A230" s="383" t="s">
        <v>522</v>
      </c>
      <c r="B230" s="397">
        <v>45474</v>
      </c>
      <c r="C230" s="397" t="s">
        <v>534</v>
      </c>
      <c r="D230" s="383">
        <v>8</v>
      </c>
      <c r="E230" s="383" t="s">
        <v>527</v>
      </c>
      <c r="F230" s="390" t="s">
        <v>361</v>
      </c>
      <c r="G230" s="390"/>
      <c r="H230" s="384" t="s">
        <v>481</v>
      </c>
      <c r="I230" s="406">
        <f>I189</f>
        <v>-29030.68</v>
      </c>
    </row>
    <row r="231" spans="1:10" x14ac:dyDescent="0.2">
      <c r="A231" s="383" t="s">
        <v>522</v>
      </c>
      <c r="B231" s="397">
        <v>45474</v>
      </c>
      <c r="C231" s="397" t="s">
        <v>534</v>
      </c>
      <c r="D231" s="383">
        <v>9</v>
      </c>
      <c r="E231" s="383" t="s">
        <v>526</v>
      </c>
      <c r="F231" s="390" t="s">
        <v>363</v>
      </c>
      <c r="G231" s="390"/>
      <c r="H231" s="405" t="s">
        <v>363</v>
      </c>
      <c r="I231" s="396">
        <f>I190-I197</f>
        <v>-554238.27</v>
      </c>
    </row>
    <row r="232" spans="1:10" x14ac:dyDescent="0.2">
      <c r="A232" s="383" t="s">
        <v>522</v>
      </c>
      <c r="B232" s="397">
        <v>45474</v>
      </c>
      <c r="C232" s="397" t="s">
        <v>534</v>
      </c>
      <c r="D232" s="383">
        <v>9</v>
      </c>
      <c r="E232" s="383" t="s">
        <v>526</v>
      </c>
      <c r="F232" s="390" t="s">
        <v>364</v>
      </c>
      <c r="G232" s="390"/>
      <c r="H232" s="384" t="s">
        <v>364</v>
      </c>
      <c r="I232" s="406">
        <f>I191</f>
        <v>-32092.9664204</v>
      </c>
    </row>
    <row r="233" spans="1:10" x14ac:dyDescent="0.2">
      <c r="A233" s="383" t="s">
        <v>522</v>
      </c>
      <c r="B233" s="397">
        <v>45474</v>
      </c>
      <c r="C233" s="397" t="s">
        <v>534</v>
      </c>
      <c r="D233" s="383">
        <v>9</v>
      </c>
      <c r="E233" s="383" t="s">
        <v>526</v>
      </c>
      <c r="F233" s="394" t="s">
        <v>273</v>
      </c>
      <c r="G233" s="394"/>
      <c r="H233" s="398" t="s">
        <v>563</v>
      </c>
      <c r="I233" s="406">
        <f>I192</f>
        <v>0</v>
      </c>
    </row>
    <row r="234" spans="1:10" x14ac:dyDescent="0.2">
      <c r="A234" s="383" t="s">
        <v>522</v>
      </c>
      <c r="B234" s="397">
        <v>45474</v>
      </c>
      <c r="C234" s="397" t="s">
        <v>534</v>
      </c>
      <c r="D234" s="383">
        <v>10</v>
      </c>
      <c r="E234" s="383" t="s">
        <v>452</v>
      </c>
      <c r="F234" s="400" t="s">
        <v>365</v>
      </c>
      <c r="G234" s="400"/>
      <c r="H234" s="403" t="s">
        <v>365</v>
      </c>
      <c r="I234" s="396">
        <f>I200+I201+I202+I203+I204+I205+I213+I214+I215+I216+I218+I219+I220+I221+I222+I223+I224+I225+I226+I228+I229+I230+I231+I232+I233</f>
        <v>-3028634.0652203998</v>
      </c>
      <c r="J234" s="352">
        <f>IF(C234="A",-I234/$I$199,I234/$I$199)</f>
        <v>0.65268819607611295</v>
      </c>
    </row>
    <row r="235" spans="1:10" x14ac:dyDescent="0.2">
      <c r="A235" s="383" t="s">
        <v>522</v>
      </c>
      <c r="B235" s="397">
        <v>45474</v>
      </c>
      <c r="C235" s="397" t="s">
        <v>535</v>
      </c>
      <c r="D235" s="383">
        <v>11</v>
      </c>
      <c r="E235" s="383" t="s">
        <v>528</v>
      </c>
      <c r="F235" s="400" t="s">
        <v>367</v>
      </c>
      <c r="G235" s="400"/>
      <c r="H235" s="405" t="s">
        <v>367</v>
      </c>
      <c r="I235" s="395">
        <f>I199+I234</f>
        <v>1611612.3547826009</v>
      </c>
      <c r="J235" s="352">
        <f>IF(C235="A",-I235/$I$199,I235/$I$199)</f>
        <v>0.34731180392388705</v>
      </c>
    </row>
    <row r="236" spans="1:10" x14ac:dyDescent="0.2">
      <c r="A236" s="383" t="s">
        <v>73</v>
      </c>
      <c r="B236" s="397">
        <v>45505</v>
      </c>
      <c r="C236" s="397" t="s">
        <v>536</v>
      </c>
      <c r="D236" s="383">
        <v>1</v>
      </c>
      <c r="E236" s="384" t="s">
        <v>530</v>
      </c>
      <c r="F236" s="400" t="s">
        <v>440</v>
      </c>
      <c r="G236" s="400"/>
      <c r="H236" s="384" t="s">
        <v>440</v>
      </c>
      <c r="I236" s="383">
        <v>3454209.97</v>
      </c>
      <c r="J236" s="352">
        <v>1</v>
      </c>
    </row>
    <row r="237" spans="1:10" x14ac:dyDescent="0.2">
      <c r="A237" s="383" t="s">
        <v>73</v>
      </c>
      <c r="B237" s="397">
        <v>45505</v>
      </c>
      <c r="C237" s="397" t="s">
        <v>534</v>
      </c>
      <c r="D237" s="383">
        <v>2</v>
      </c>
      <c r="E237" s="384" t="s">
        <v>325</v>
      </c>
      <c r="F237" s="390" t="s">
        <v>326</v>
      </c>
      <c r="G237" s="390"/>
      <c r="H237" s="384" t="s">
        <v>519</v>
      </c>
      <c r="I237" s="383">
        <v>-152998.14000000001</v>
      </c>
    </row>
    <row r="238" spans="1:10" x14ac:dyDescent="0.2">
      <c r="A238" s="383" t="s">
        <v>73</v>
      </c>
      <c r="B238" s="397">
        <v>45505</v>
      </c>
      <c r="C238" s="397" t="s">
        <v>534</v>
      </c>
      <c r="D238" s="383">
        <v>2</v>
      </c>
      <c r="E238" s="384" t="s">
        <v>325</v>
      </c>
      <c r="F238" s="385" t="s">
        <v>328</v>
      </c>
      <c r="G238" s="385"/>
      <c r="H238" s="384" t="s">
        <v>521</v>
      </c>
      <c r="I238" s="383">
        <v>0</v>
      </c>
    </row>
    <row r="239" spans="1:10" x14ac:dyDescent="0.2">
      <c r="A239" s="383" t="s">
        <v>73</v>
      </c>
      <c r="B239" s="397">
        <v>45505</v>
      </c>
      <c r="C239" s="397" t="s">
        <v>534</v>
      </c>
      <c r="D239" s="383">
        <v>2</v>
      </c>
      <c r="E239" s="384" t="s">
        <v>325</v>
      </c>
      <c r="F239" s="385" t="s">
        <v>329</v>
      </c>
      <c r="G239" s="385"/>
      <c r="H239" s="384" t="s">
        <v>329</v>
      </c>
      <c r="I239" s="383">
        <v>-32498.45</v>
      </c>
    </row>
    <row r="240" spans="1:10" x14ac:dyDescent="0.2">
      <c r="A240" s="383" t="s">
        <v>73</v>
      </c>
      <c r="B240" s="397">
        <v>45505</v>
      </c>
      <c r="C240" s="397" t="s">
        <v>534</v>
      </c>
      <c r="D240" s="383">
        <v>2</v>
      </c>
      <c r="E240" s="384" t="s">
        <v>325</v>
      </c>
      <c r="F240" s="385" t="s">
        <v>330</v>
      </c>
      <c r="G240" s="385"/>
      <c r="H240" s="384" t="s">
        <v>330</v>
      </c>
      <c r="I240" s="383">
        <v>0</v>
      </c>
    </row>
    <row r="241" spans="1:10" x14ac:dyDescent="0.2">
      <c r="A241" s="383" t="s">
        <v>73</v>
      </c>
      <c r="B241" s="397">
        <v>45505</v>
      </c>
      <c r="C241" s="397" t="s">
        <v>534</v>
      </c>
      <c r="D241" s="383">
        <v>2</v>
      </c>
      <c r="E241" s="384" t="s">
        <v>325</v>
      </c>
      <c r="F241" s="385" t="s">
        <v>331</v>
      </c>
      <c r="G241" s="385"/>
      <c r="H241" s="384" t="s">
        <v>331</v>
      </c>
      <c r="I241" s="383">
        <v>7.0000000000000007E-2</v>
      </c>
    </row>
    <row r="242" spans="1:10" x14ac:dyDescent="0.2">
      <c r="A242" s="383" t="s">
        <v>73</v>
      </c>
      <c r="B242" s="397">
        <v>45505</v>
      </c>
      <c r="C242" s="397" t="s">
        <v>534</v>
      </c>
      <c r="D242" s="383">
        <v>2</v>
      </c>
      <c r="E242" s="384" t="s">
        <v>325</v>
      </c>
      <c r="F242" s="384" t="s">
        <v>332</v>
      </c>
      <c r="G242" s="384"/>
      <c r="H242" s="384" t="s">
        <v>520</v>
      </c>
    </row>
    <row r="243" spans="1:10" x14ac:dyDescent="0.2">
      <c r="A243" s="383" t="s">
        <v>73</v>
      </c>
      <c r="B243" s="397">
        <v>45505</v>
      </c>
      <c r="C243" s="397" t="s">
        <v>535</v>
      </c>
      <c r="D243" s="383">
        <v>3</v>
      </c>
      <c r="E243" s="384" t="s">
        <v>531</v>
      </c>
      <c r="F243" s="385" t="s">
        <v>334</v>
      </c>
      <c r="G243" s="385"/>
      <c r="H243" s="384" t="s">
        <v>334</v>
      </c>
      <c r="I243" s="383">
        <v>2964903.08</v>
      </c>
    </row>
    <row r="244" spans="1:10" x14ac:dyDescent="0.2">
      <c r="A244" s="383" t="s">
        <v>73</v>
      </c>
      <c r="B244" s="397">
        <v>45505</v>
      </c>
      <c r="C244" s="397" t="s">
        <v>535</v>
      </c>
      <c r="D244" s="383">
        <v>3</v>
      </c>
      <c r="E244" s="384" t="s">
        <v>531</v>
      </c>
      <c r="F244" s="385" t="s">
        <v>335</v>
      </c>
      <c r="G244" s="385"/>
      <c r="H244" s="384" t="s">
        <v>335</v>
      </c>
      <c r="I244" s="383">
        <v>303810.37</v>
      </c>
    </row>
    <row r="245" spans="1:10" x14ac:dyDescent="0.2">
      <c r="A245" s="383" t="s">
        <v>73</v>
      </c>
      <c r="B245" s="397">
        <v>45505</v>
      </c>
      <c r="C245" s="397" t="s">
        <v>535</v>
      </c>
      <c r="D245" s="383">
        <v>3</v>
      </c>
      <c r="E245" s="384" t="s">
        <v>531</v>
      </c>
      <c r="F245" s="385" t="s">
        <v>336</v>
      </c>
      <c r="G245" s="385"/>
      <c r="H245" s="384" t="s">
        <v>336</v>
      </c>
      <c r="I245" s="383">
        <v>0</v>
      </c>
    </row>
    <row r="246" spans="1:10" x14ac:dyDescent="0.2">
      <c r="A246" s="383" t="s">
        <v>73</v>
      </c>
      <c r="B246" s="397">
        <v>45505</v>
      </c>
      <c r="C246" s="397" t="s">
        <v>535</v>
      </c>
      <c r="D246" s="383">
        <v>3</v>
      </c>
      <c r="E246" s="384" t="s">
        <v>531</v>
      </c>
      <c r="F246" s="387" t="s">
        <v>273</v>
      </c>
      <c r="G246" s="387"/>
      <c r="H246" s="384" t="s">
        <v>562</v>
      </c>
      <c r="I246" s="383">
        <v>0</v>
      </c>
    </row>
    <row r="247" spans="1:10" x14ac:dyDescent="0.2">
      <c r="A247" s="383" t="s">
        <v>73</v>
      </c>
      <c r="B247" s="397">
        <v>45505</v>
      </c>
      <c r="C247" s="397" t="s">
        <v>535</v>
      </c>
      <c r="D247" s="383">
        <v>3</v>
      </c>
      <c r="E247" s="384" t="s">
        <v>531</v>
      </c>
      <c r="F247" s="387" t="s">
        <v>513</v>
      </c>
      <c r="G247" s="387"/>
      <c r="H247" s="384" t="s">
        <v>513</v>
      </c>
      <c r="I247" s="383">
        <v>0</v>
      </c>
    </row>
    <row r="248" spans="1:10" x14ac:dyDescent="0.2">
      <c r="A248" s="383" t="s">
        <v>73</v>
      </c>
      <c r="B248" s="397">
        <v>45505</v>
      </c>
      <c r="C248" s="397" t="s">
        <v>535</v>
      </c>
      <c r="D248" s="383">
        <v>3</v>
      </c>
      <c r="E248" s="384" t="s">
        <v>531</v>
      </c>
      <c r="F248" s="387" t="s">
        <v>514</v>
      </c>
      <c r="G248" s="387"/>
      <c r="H248" s="384" t="s">
        <v>514</v>
      </c>
      <c r="I248" s="383">
        <v>0</v>
      </c>
    </row>
    <row r="249" spans="1:10" x14ac:dyDescent="0.2">
      <c r="A249" s="383" t="s">
        <v>73</v>
      </c>
      <c r="B249" s="397">
        <v>45505</v>
      </c>
      <c r="C249" s="397" t="s">
        <v>535</v>
      </c>
      <c r="D249" s="383">
        <v>3</v>
      </c>
      <c r="E249" s="384" t="s">
        <v>531</v>
      </c>
      <c r="F249" s="385" t="s">
        <v>337</v>
      </c>
      <c r="G249" s="385"/>
      <c r="H249" s="384" t="s">
        <v>337</v>
      </c>
      <c r="I249" s="383">
        <v>0</v>
      </c>
    </row>
    <row r="250" spans="1:10" x14ac:dyDescent="0.2">
      <c r="A250" s="383" t="s">
        <v>73</v>
      </c>
      <c r="B250" s="397">
        <v>45505</v>
      </c>
      <c r="C250" s="397" t="s">
        <v>534</v>
      </c>
      <c r="D250" s="383">
        <v>4</v>
      </c>
      <c r="E250" s="383" t="s">
        <v>523</v>
      </c>
      <c r="F250" s="388" t="s">
        <v>340</v>
      </c>
      <c r="G250" s="388"/>
      <c r="H250" s="384" t="s">
        <v>340</v>
      </c>
      <c r="I250" s="383">
        <v>-78157.039999999994</v>
      </c>
    </row>
    <row r="251" spans="1:10" x14ac:dyDescent="0.2">
      <c r="A251" s="383" t="s">
        <v>73</v>
      </c>
      <c r="B251" s="397">
        <v>45505</v>
      </c>
      <c r="C251" s="397" t="s">
        <v>534</v>
      </c>
      <c r="D251" s="383">
        <v>4</v>
      </c>
      <c r="E251" s="383" t="s">
        <v>523</v>
      </c>
      <c r="F251" s="388" t="s">
        <v>341</v>
      </c>
      <c r="G251" s="388"/>
      <c r="H251" s="384" t="s">
        <v>341</v>
      </c>
      <c r="I251" s="383">
        <v>-165603.79999999999</v>
      </c>
    </row>
    <row r="252" spans="1:10" x14ac:dyDescent="0.2">
      <c r="A252" s="383" t="s">
        <v>73</v>
      </c>
      <c r="B252" s="397">
        <v>45505</v>
      </c>
      <c r="C252" s="397" t="s">
        <v>534</v>
      </c>
      <c r="D252" s="383">
        <v>4</v>
      </c>
      <c r="E252" s="383" t="s">
        <v>523</v>
      </c>
      <c r="F252" s="388" t="s">
        <v>342</v>
      </c>
      <c r="G252" s="388"/>
      <c r="H252" s="384" t="s">
        <v>342</v>
      </c>
      <c r="I252" s="383">
        <v>-1275862.1514000001</v>
      </c>
    </row>
    <row r="253" spans="1:10" x14ac:dyDescent="0.2">
      <c r="A253" s="383" t="s">
        <v>73</v>
      </c>
      <c r="B253" s="397">
        <v>45505</v>
      </c>
      <c r="C253" s="397" t="s">
        <v>534</v>
      </c>
      <c r="D253" s="383">
        <v>4</v>
      </c>
      <c r="E253" s="383" t="s">
        <v>523</v>
      </c>
      <c r="F253" s="388" t="s">
        <v>343</v>
      </c>
      <c r="G253" s="388"/>
      <c r="H253" s="384" t="s">
        <v>343</v>
      </c>
      <c r="I253" s="383">
        <v>-50998.1</v>
      </c>
    </row>
    <row r="254" spans="1:10" x14ac:dyDescent="0.2">
      <c r="A254" s="383" t="s">
        <v>73</v>
      </c>
      <c r="B254" s="397">
        <v>45505</v>
      </c>
      <c r="C254" s="397" t="s">
        <v>535</v>
      </c>
      <c r="D254" s="383">
        <v>5</v>
      </c>
      <c r="E254" s="383" t="s">
        <v>532</v>
      </c>
      <c r="F254" s="401" t="s">
        <v>345</v>
      </c>
      <c r="G254" s="401"/>
      <c r="H254" s="402" t="s">
        <v>345</v>
      </c>
      <c r="I254" s="406">
        <f>I243+I244+I245+I246+I247+I248+I249+I250+I251+I252+I253</f>
        <v>1698092.3586000002</v>
      </c>
      <c r="J254" s="352">
        <f>IF(C254="A",-I254/$I$236,I254/$I$236)</f>
        <v>0.49160079246717014</v>
      </c>
    </row>
    <row r="255" spans="1:10" x14ac:dyDescent="0.2">
      <c r="A255" s="383" t="s">
        <v>73</v>
      </c>
      <c r="B255" s="397">
        <v>45505</v>
      </c>
      <c r="C255" s="397" t="s">
        <v>534</v>
      </c>
      <c r="D255" s="383">
        <v>6</v>
      </c>
      <c r="E255" s="383" t="s">
        <v>524</v>
      </c>
      <c r="F255" s="388" t="s">
        <v>349</v>
      </c>
      <c r="G255" s="388"/>
      <c r="H255" s="384" t="s">
        <v>473</v>
      </c>
      <c r="I255" s="383">
        <v>-28179.51</v>
      </c>
    </row>
    <row r="256" spans="1:10" x14ac:dyDescent="0.2">
      <c r="A256" s="383" t="s">
        <v>73</v>
      </c>
      <c r="B256" s="397">
        <v>45505</v>
      </c>
      <c r="C256" s="397" t="s">
        <v>534</v>
      </c>
      <c r="D256" s="383">
        <v>6</v>
      </c>
      <c r="E256" s="383" t="s">
        <v>524</v>
      </c>
      <c r="F256" s="388" t="s">
        <v>350</v>
      </c>
      <c r="G256" s="388"/>
      <c r="H256" s="384" t="s">
        <v>474</v>
      </c>
      <c r="I256" s="383">
        <v>-10241.26</v>
      </c>
    </row>
    <row r="257" spans="1:10" x14ac:dyDescent="0.2">
      <c r="A257" s="383" t="s">
        <v>73</v>
      </c>
      <c r="B257" s="397">
        <v>45505</v>
      </c>
      <c r="C257" s="397" t="s">
        <v>534</v>
      </c>
      <c r="D257" s="383">
        <v>6</v>
      </c>
      <c r="E257" s="383" t="s">
        <v>524</v>
      </c>
      <c r="F257" s="388" t="s">
        <v>351</v>
      </c>
      <c r="G257" s="388"/>
      <c r="H257" s="384" t="s">
        <v>475</v>
      </c>
      <c r="I257" s="383">
        <v>-37925.609999999993</v>
      </c>
    </row>
    <row r="258" spans="1:10" x14ac:dyDescent="0.2">
      <c r="A258" s="383" t="s">
        <v>73</v>
      </c>
      <c r="B258" s="397">
        <v>45505</v>
      </c>
      <c r="C258" s="397" t="s">
        <v>534</v>
      </c>
      <c r="D258" s="383">
        <v>6</v>
      </c>
      <c r="E258" s="383" t="s">
        <v>524</v>
      </c>
      <c r="F258" s="388" t="s">
        <v>352</v>
      </c>
      <c r="G258" s="388"/>
      <c r="H258" s="384" t="s">
        <v>476</v>
      </c>
      <c r="I258" s="383">
        <v>-4773.74</v>
      </c>
    </row>
    <row r="259" spans="1:10" x14ac:dyDescent="0.2">
      <c r="A259" s="383" t="s">
        <v>73</v>
      </c>
      <c r="B259" s="397">
        <v>45505</v>
      </c>
      <c r="C259" s="397" t="s">
        <v>534</v>
      </c>
      <c r="D259" s="383">
        <v>6</v>
      </c>
      <c r="E259" s="383" t="s">
        <v>524</v>
      </c>
      <c r="F259" s="388" t="s">
        <v>353</v>
      </c>
      <c r="G259" s="388"/>
      <c r="H259" s="384" t="s">
        <v>477</v>
      </c>
      <c r="I259" s="383">
        <v>-34695.78</v>
      </c>
    </row>
    <row r="260" spans="1:10" x14ac:dyDescent="0.2">
      <c r="A260" s="383" t="s">
        <v>73</v>
      </c>
      <c r="B260" s="397">
        <v>45505</v>
      </c>
      <c r="C260" s="397" t="s">
        <v>534</v>
      </c>
      <c r="D260" s="383">
        <v>6</v>
      </c>
      <c r="E260" s="383" t="s">
        <v>524</v>
      </c>
      <c r="F260" s="388" t="s">
        <v>354</v>
      </c>
      <c r="G260" s="388"/>
      <c r="H260" s="384" t="s">
        <v>478</v>
      </c>
      <c r="I260" s="383">
        <v>-18344.009999999998</v>
      </c>
    </row>
    <row r="261" spans="1:10" x14ac:dyDescent="0.2">
      <c r="A261" s="383" t="s">
        <v>73</v>
      </c>
      <c r="B261" s="397">
        <v>45505</v>
      </c>
      <c r="C261" s="397" t="s">
        <v>534</v>
      </c>
      <c r="D261" s="383">
        <v>6</v>
      </c>
      <c r="E261" s="383" t="s">
        <v>524</v>
      </c>
      <c r="F261" s="390" t="s">
        <v>355</v>
      </c>
      <c r="G261" s="390"/>
      <c r="H261" s="384" t="s">
        <v>355</v>
      </c>
      <c r="I261" s="383">
        <v>-53139.99</v>
      </c>
    </row>
    <row r="262" spans="1:10" x14ac:dyDescent="0.2">
      <c r="A262" s="383" t="s">
        <v>73</v>
      </c>
      <c r="B262" s="397">
        <v>45505</v>
      </c>
      <c r="C262" s="397" t="s">
        <v>534</v>
      </c>
      <c r="D262" s="383">
        <v>6</v>
      </c>
      <c r="E262" s="383" t="s">
        <v>524</v>
      </c>
      <c r="F262" s="390" t="s">
        <v>356</v>
      </c>
      <c r="G262" s="390"/>
      <c r="H262" s="384" t="s">
        <v>356</v>
      </c>
      <c r="I262" s="383">
        <v>-502670.66000000003</v>
      </c>
    </row>
    <row r="263" spans="1:10" x14ac:dyDescent="0.2">
      <c r="A263" s="383" t="s">
        <v>73</v>
      </c>
      <c r="B263" s="397">
        <v>45505</v>
      </c>
      <c r="C263" s="397" t="s">
        <v>534</v>
      </c>
      <c r="D263" s="383">
        <v>6</v>
      </c>
      <c r="E263" s="383" t="s">
        <v>524</v>
      </c>
      <c r="F263" s="390" t="s">
        <v>357</v>
      </c>
      <c r="G263" s="390"/>
      <c r="H263" s="384" t="s">
        <v>357</v>
      </c>
      <c r="I263" s="383">
        <v>-5280.54</v>
      </c>
    </row>
    <row r="264" spans="1:10" x14ac:dyDescent="0.2">
      <c r="A264" s="383" t="s">
        <v>73</v>
      </c>
      <c r="B264" s="397">
        <v>45505</v>
      </c>
      <c r="C264" s="397" t="s">
        <v>535</v>
      </c>
      <c r="D264" s="383">
        <v>7</v>
      </c>
      <c r="E264" s="383" t="s">
        <v>529</v>
      </c>
      <c r="F264" s="400" t="s">
        <v>358</v>
      </c>
      <c r="G264" s="400"/>
      <c r="H264" s="403" t="s">
        <v>358</v>
      </c>
      <c r="I264" s="396">
        <f>I254+I255+I256+I257+I258+I259+I260+I261+I262+I263</f>
        <v>1002841.2585999999</v>
      </c>
      <c r="J264" s="352">
        <f>IF(C264="A",-I264/$I$236,I264/$I$236)</f>
        <v>0.29032434834874843</v>
      </c>
    </row>
    <row r="265" spans="1:10" x14ac:dyDescent="0.2">
      <c r="A265" s="383" t="s">
        <v>73</v>
      </c>
      <c r="B265" s="397">
        <v>45505</v>
      </c>
      <c r="C265" s="397" t="s">
        <v>534</v>
      </c>
      <c r="D265" s="383">
        <v>8</v>
      </c>
      <c r="E265" s="383" t="s">
        <v>527</v>
      </c>
      <c r="F265" s="385" t="s">
        <v>359</v>
      </c>
      <c r="G265" s="385"/>
      <c r="H265" s="384" t="s">
        <v>479</v>
      </c>
      <c r="I265" s="383">
        <v>0</v>
      </c>
    </row>
    <row r="266" spans="1:10" x14ac:dyDescent="0.2">
      <c r="A266" s="383" t="s">
        <v>73</v>
      </c>
      <c r="B266" s="397">
        <v>45505</v>
      </c>
      <c r="C266" s="397" t="s">
        <v>534</v>
      </c>
      <c r="D266" s="383">
        <v>8</v>
      </c>
      <c r="E266" s="383" t="s">
        <v>527</v>
      </c>
      <c r="F266" s="385" t="s">
        <v>360</v>
      </c>
      <c r="G266" s="385"/>
      <c r="H266" s="384" t="s">
        <v>480</v>
      </c>
      <c r="I266" s="383">
        <v>22837.03</v>
      </c>
    </row>
    <row r="267" spans="1:10" x14ac:dyDescent="0.2">
      <c r="A267" s="383" t="s">
        <v>73</v>
      </c>
      <c r="B267" s="397">
        <v>45505</v>
      </c>
      <c r="C267" s="397" t="s">
        <v>534</v>
      </c>
      <c r="D267" s="383">
        <v>8</v>
      </c>
      <c r="E267" s="383" t="s">
        <v>527</v>
      </c>
      <c r="F267" s="390" t="s">
        <v>361</v>
      </c>
      <c r="G267" s="390"/>
      <c r="H267" s="384" t="s">
        <v>481</v>
      </c>
      <c r="I267" s="383">
        <v>-29462.43</v>
      </c>
    </row>
    <row r="268" spans="1:10" x14ac:dyDescent="0.2">
      <c r="A268" s="383" t="s">
        <v>73</v>
      </c>
      <c r="B268" s="397">
        <v>45505</v>
      </c>
      <c r="C268" s="397" t="s">
        <v>534</v>
      </c>
      <c r="D268" s="383">
        <v>9</v>
      </c>
      <c r="E268" s="383" t="s">
        <v>526</v>
      </c>
      <c r="F268" s="390" t="s">
        <v>363</v>
      </c>
      <c r="G268" s="390"/>
      <c r="H268" s="384" t="s">
        <v>363</v>
      </c>
      <c r="I268" s="383">
        <v>-542504.02</v>
      </c>
    </row>
    <row r="269" spans="1:10" x14ac:dyDescent="0.2">
      <c r="A269" s="383" t="s">
        <v>73</v>
      </c>
      <c r="B269" s="397">
        <v>45505</v>
      </c>
      <c r="C269" s="397" t="s">
        <v>534</v>
      </c>
      <c r="D269" s="383">
        <v>9</v>
      </c>
      <c r="E269" s="383" t="s">
        <v>526</v>
      </c>
      <c r="F269" s="390" t="s">
        <v>364</v>
      </c>
      <c r="G269" s="390"/>
      <c r="H269" s="384" t="s">
        <v>364</v>
      </c>
      <c r="I269" s="383">
        <v>-32092.9664204</v>
      </c>
    </row>
    <row r="270" spans="1:10" x14ac:dyDescent="0.2">
      <c r="A270" s="383" t="s">
        <v>73</v>
      </c>
      <c r="B270" s="397">
        <v>45505</v>
      </c>
      <c r="C270" s="397" t="s">
        <v>534</v>
      </c>
      <c r="D270" s="383">
        <v>9</v>
      </c>
      <c r="E270" s="383" t="s">
        <v>526</v>
      </c>
      <c r="F270" s="394" t="s">
        <v>273</v>
      </c>
      <c r="G270" s="394"/>
      <c r="H270" s="398" t="s">
        <v>563</v>
      </c>
      <c r="I270" s="383">
        <v>0</v>
      </c>
    </row>
    <row r="271" spans="1:10" x14ac:dyDescent="0.2">
      <c r="A271" s="383" t="s">
        <v>73</v>
      </c>
      <c r="B271" s="397">
        <v>45505</v>
      </c>
      <c r="C271" s="397" t="s">
        <v>534</v>
      </c>
      <c r="D271" s="383">
        <v>10</v>
      </c>
      <c r="E271" s="383" t="s">
        <v>452</v>
      </c>
      <c r="F271" s="400" t="s">
        <v>365</v>
      </c>
      <c r="G271" s="400"/>
      <c r="H271" s="403" t="s">
        <v>365</v>
      </c>
      <c r="I271" s="396">
        <f>I237+I238+I239+I240+I241+I242+I250+I251+I252+I253+I255+I256+I257+I258+I259+I260+I261+I262+I263+I265+I266+I267+I268+I269+I270</f>
        <v>-3032591.0978204007</v>
      </c>
      <c r="J271" s="352">
        <f>IF(C271="A",-I271/$I$236,I271/$I$236)</f>
        <v>0.87794057806520676</v>
      </c>
    </row>
    <row r="272" spans="1:10" x14ac:dyDescent="0.2">
      <c r="A272" s="383" t="s">
        <v>73</v>
      </c>
      <c r="B272" s="397">
        <v>45505</v>
      </c>
      <c r="C272" s="397" t="s">
        <v>535</v>
      </c>
      <c r="D272" s="383">
        <v>11</v>
      </c>
      <c r="E272" s="383" t="s">
        <v>528</v>
      </c>
      <c r="F272" s="400" t="s">
        <v>367</v>
      </c>
      <c r="G272" s="400"/>
      <c r="H272" s="403" t="s">
        <v>367</v>
      </c>
      <c r="I272" s="395">
        <f>I236+I271</f>
        <v>421618.87217959948</v>
      </c>
      <c r="J272" s="352">
        <f>IF(C272="A",-I272/$I$236,I272/$I$236)</f>
        <v>0.12205942193479323</v>
      </c>
    </row>
    <row r="273" spans="1:10" x14ac:dyDescent="0.2">
      <c r="A273" s="383" t="s">
        <v>516</v>
      </c>
      <c r="B273" s="397">
        <v>45505</v>
      </c>
      <c r="C273" s="397" t="s">
        <v>536</v>
      </c>
      <c r="D273" s="383">
        <v>1</v>
      </c>
      <c r="E273" s="384" t="s">
        <v>530</v>
      </c>
      <c r="F273" s="400" t="s">
        <v>440</v>
      </c>
      <c r="G273" s="400"/>
      <c r="H273" s="404" t="s">
        <v>440</v>
      </c>
      <c r="I273" s="407">
        <f>[5]Sucumbências!$BJ$43</f>
        <v>0</v>
      </c>
      <c r="J273" s="352">
        <v>1</v>
      </c>
    </row>
    <row r="274" spans="1:10" x14ac:dyDescent="0.2">
      <c r="A274" s="383" t="s">
        <v>516</v>
      </c>
      <c r="B274" s="397">
        <v>45505</v>
      </c>
      <c r="C274" s="397" t="s">
        <v>534</v>
      </c>
      <c r="D274" s="383">
        <v>4</v>
      </c>
      <c r="E274" s="383" t="s">
        <v>525</v>
      </c>
      <c r="F274" s="388" t="s">
        <v>340</v>
      </c>
      <c r="G274" s="388"/>
      <c r="H274" s="404" t="s">
        <v>340</v>
      </c>
      <c r="I274" s="407">
        <f>-GLOSAS!$BK$43</f>
        <v>-78157.039999999994</v>
      </c>
    </row>
    <row r="275" spans="1:10" x14ac:dyDescent="0.2">
      <c r="A275" s="383" t="s">
        <v>516</v>
      </c>
      <c r="B275" s="397">
        <v>45505</v>
      </c>
      <c r="C275" s="397" t="s">
        <v>534</v>
      </c>
      <c r="D275" s="383">
        <v>9</v>
      </c>
      <c r="E275" s="383" t="s">
        <v>526</v>
      </c>
      <c r="F275" s="390" t="s">
        <v>363</v>
      </c>
      <c r="G275" s="390"/>
      <c r="H275" s="404" t="s">
        <v>363</v>
      </c>
      <c r="I275" s="407">
        <f>-I273*0.1</f>
        <v>0</v>
      </c>
    </row>
    <row r="276" spans="1:10" x14ac:dyDescent="0.2">
      <c r="A276" s="383" t="s">
        <v>516</v>
      </c>
      <c r="B276" s="397">
        <v>45505</v>
      </c>
      <c r="C276" s="397" t="s">
        <v>535</v>
      </c>
      <c r="D276" s="383">
        <v>11</v>
      </c>
      <c r="E276" s="383" t="s">
        <v>528</v>
      </c>
      <c r="F276" s="400" t="s">
        <v>367</v>
      </c>
      <c r="G276" s="400"/>
      <c r="H276" s="404" t="s">
        <v>367</v>
      </c>
      <c r="I276" s="407">
        <f>I273+I274+I275</f>
        <v>-78157.039999999994</v>
      </c>
      <c r="J276" s="352" t="e">
        <f>IF(C276="A",-I276/I273,I276/I273)</f>
        <v>#DIV/0!</v>
      </c>
    </row>
    <row r="277" spans="1:10" x14ac:dyDescent="0.2">
      <c r="A277" s="383" t="s">
        <v>522</v>
      </c>
      <c r="B277" s="397">
        <v>45505</v>
      </c>
      <c r="C277" s="397" t="s">
        <v>536</v>
      </c>
      <c r="D277" s="383">
        <v>1</v>
      </c>
      <c r="E277" s="384" t="s">
        <v>530</v>
      </c>
      <c r="F277" s="400" t="s">
        <v>440</v>
      </c>
      <c r="G277" s="400"/>
      <c r="H277" s="405" t="s">
        <v>440</v>
      </c>
      <c r="I277" s="396">
        <f>I236-I273</f>
        <v>3454209.97</v>
      </c>
      <c r="J277" s="352">
        <v>1</v>
      </c>
    </row>
    <row r="278" spans="1:10" x14ac:dyDescent="0.2">
      <c r="A278" s="383" t="s">
        <v>522</v>
      </c>
      <c r="B278" s="397">
        <v>45505</v>
      </c>
      <c r="C278" s="397" t="s">
        <v>534</v>
      </c>
      <c r="D278" s="383">
        <v>2</v>
      </c>
      <c r="E278" s="384" t="s">
        <v>325</v>
      </c>
      <c r="F278" s="390" t="s">
        <v>326</v>
      </c>
      <c r="G278" s="390"/>
      <c r="H278" s="384" t="s">
        <v>519</v>
      </c>
      <c r="I278" s="406">
        <f t="shared" ref="I278:I290" si="7">I237</f>
        <v>-152998.14000000001</v>
      </c>
    </row>
    <row r="279" spans="1:10" x14ac:dyDescent="0.2">
      <c r="A279" s="383" t="s">
        <v>522</v>
      </c>
      <c r="B279" s="397">
        <v>45505</v>
      </c>
      <c r="C279" s="397" t="s">
        <v>534</v>
      </c>
      <c r="D279" s="383">
        <v>2</v>
      </c>
      <c r="E279" s="384" t="s">
        <v>325</v>
      </c>
      <c r="F279" s="385" t="s">
        <v>328</v>
      </c>
      <c r="G279" s="385"/>
      <c r="H279" s="384" t="s">
        <v>521</v>
      </c>
      <c r="I279" s="406">
        <f t="shared" si="7"/>
        <v>0</v>
      </c>
    </row>
    <row r="280" spans="1:10" x14ac:dyDescent="0.2">
      <c r="A280" s="383" t="s">
        <v>522</v>
      </c>
      <c r="B280" s="397">
        <v>45505</v>
      </c>
      <c r="C280" s="397" t="s">
        <v>534</v>
      </c>
      <c r="D280" s="383">
        <v>2</v>
      </c>
      <c r="E280" s="384" t="s">
        <v>325</v>
      </c>
      <c r="F280" s="385" t="s">
        <v>329</v>
      </c>
      <c r="G280" s="385"/>
      <c r="H280" s="384" t="s">
        <v>329</v>
      </c>
      <c r="I280" s="406">
        <f t="shared" si="7"/>
        <v>-32498.45</v>
      </c>
    </row>
    <row r="281" spans="1:10" x14ac:dyDescent="0.2">
      <c r="A281" s="383" t="s">
        <v>522</v>
      </c>
      <c r="B281" s="397">
        <v>45505</v>
      </c>
      <c r="C281" s="397" t="s">
        <v>534</v>
      </c>
      <c r="D281" s="383">
        <v>2</v>
      </c>
      <c r="E281" s="384" t="s">
        <v>325</v>
      </c>
      <c r="F281" s="385" t="s">
        <v>330</v>
      </c>
      <c r="G281" s="385"/>
      <c r="H281" s="384" t="s">
        <v>330</v>
      </c>
      <c r="I281" s="406">
        <f t="shared" si="7"/>
        <v>0</v>
      </c>
    </row>
    <row r="282" spans="1:10" x14ac:dyDescent="0.2">
      <c r="A282" s="383" t="s">
        <v>522</v>
      </c>
      <c r="B282" s="397">
        <v>45505</v>
      </c>
      <c r="C282" s="397" t="s">
        <v>534</v>
      </c>
      <c r="D282" s="383">
        <v>2</v>
      </c>
      <c r="E282" s="384" t="s">
        <v>325</v>
      </c>
      <c r="F282" s="385" t="s">
        <v>331</v>
      </c>
      <c r="G282" s="385"/>
      <c r="H282" s="384" t="s">
        <v>331</v>
      </c>
      <c r="I282" s="406">
        <f t="shared" si="7"/>
        <v>7.0000000000000007E-2</v>
      </c>
    </row>
    <row r="283" spans="1:10" x14ac:dyDescent="0.2">
      <c r="A283" s="383" t="s">
        <v>522</v>
      </c>
      <c r="B283" s="397">
        <v>45505</v>
      </c>
      <c r="C283" s="397" t="s">
        <v>534</v>
      </c>
      <c r="D283" s="383">
        <v>2</v>
      </c>
      <c r="E283" s="384" t="s">
        <v>325</v>
      </c>
      <c r="F283" s="384" t="s">
        <v>332</v>
      </c>
      <c r="G283" s="384"/>
      <c r="H283" s="384" t="s">
        <v>520</v>
      </c>
      <c r="I283" s="406">
        <f t="shared" si="7"/>
        <v>0</v>
      </c>
    </row>
    <row r="284" spans="1:10" x14ac:dyDescent="0.2">
      <c r="A284" s="383" t="s">
        <v>522</v>
      </c>
      <c r="B284" s="397">
        <v>45505</v>
      </c>
      <c r="C284" s="397" t="s">
        <v>535</v>
      </c>
      <c r="D284" s="383">
        <v>3</v>
      </c>
      <c r="E284" s="384" t="s">
        <v>531</v>
      </c>
      <c r="F284" s="385" t="s">
        <v>334</v>
      </c>
      <c r="G284" s="385"/>
      <c r="H284" s="384" t="s">
        <v>334</v>
      </c>
      <c r="I284" s="406">
        <f t="shared" si="7"/>
        <v>2964903.08</v>
      </c>
    </row>
    <row r="285" spans="1:10" x14ac:dyDescent="0.2">
      <c r="A285" s="383" t="s">
        <v>522</v>
      </c>
      <c r="B285" s="397">
        <v>45505</v>
      </c>
      <c r="C285" s="397" t="s">
        <v>535</v>
      </c>
      <c r="D285" s="383">
        <v>3</v>
      </c>
      <c r="E285" s="384" t="s">
        <v>531</v>
      </c>
      <c r="F285" s="385" t="s">
        <v>335</v>
      </c>
      <c r="G285" s="385"/>
      <c r="H285" s="384" t="s">
        <v>335</v>
      </c>
      <c r="I285" s="406">
        <f t="shared" si="7"/>
        <v>303810.37</v>
      </c>
    </row>
    <row r="286" spans="1:10" x14ac:dyDescent="0.2">
      <c r="A286" s="383" t="s">
        <v>522</v>
      </c>
      <c r="B286" s="397">
        <v>45505</v>
      </c>
      <c r="C286" s="397" t="s">
        <v>535</v>
      </c>
      <c r="D286" s="383">
        <v>3</v>
      </c>
      <c r="E286" s="384" t="s">
        <v>531</v>
      </c>
      <c r="F286" s="385" t="s">
        <v>336</v>
      </c>
      <c r="G286" s="385"/>
      <c r="H286" s="384" t="s">
        <v>336</v>
      </c>
      <c r="I286" s="406">
        <f t="shared" si="7"/>
        <v>0</v>
      </c>
    </row>
    <row r="287" spans="1:10" x14ac:dyDescent="0.2">
      <c r="A287" s="383" t="s">
        <v>522</v>
      </c>
      <c r="B287" s="397">
        <v>45505</v>
      </c>
      <c r="C287" s="397" t="s">
        <v>535</v>
      </c>
      <c r="D287" s="383">
        <v>3</v>
      </c>
      <c r="E287" s="384" t="s">
        <v>531</v>
      </c>
      <c r="F287" s="387" t="s">
        <v>273</v>
      </c>
      <c r="G287" s="387"/>
      <c r="H287" s="384" t="s">
        <v>562</v>
      </c>
      <c r="I287" s="406">
        <f t="shared" si="7"/>
        <v>0</v>
      </c>
    </row>
    <row r="288" spans="1:10" x14ac:dyDescent="0.2">
      <c r="A288" s="383" t="s">
        <v>522</v>
      </c>
      <c r="B288" s="397">
        <v>45505</v>
      </c>
      <c r="C288" s="397" t="s">
        <v>535</v>
      </c>
      <c r="D288" s="383">
        <v>3</v>
      </c>
      <c r="E288" s="384" t="s">
        <v>531</v>
      </c>
      <c r="F288" s="387" t="s">
        <v>513</v>
      </c>
      <c r="G288" s="387"/>
      <c r="H288" s="384" t="s">
        <v>513</v>
      </c>
      <c r="I288" s="406">
        <f t="shared" si="7"/>
        <v>0</v>
      </c>
    </row>
    <row r="289" spans="1:10" x14ac:dyDescent="0.2">
      <c r="A289" s="383" t="s">
        <v>522</v>
      </c>
      <c r="B289" s="397">
        <v>45505</v>
      </c>
      <c r="C289" s="397" t="s">
        <v>535</v>
      </c>
      <c r="D289" s="383">
        <v>3</v>
      </c>
      <c r="E289" s="384" t="s">
        <v>531</v>
      </c>
      <c r="F289" s="387" t="s">
        <v>514</v>
      </c>
      <c r="G289" s="387"/>
      <c r="H289" s="384" t="s">
        <v>514</v>
      </c>
      <c r="I289" s="406">
        <f t="shared" si="7"/>
        <v>0</v>
      </c>
    </row>
    <row r="290" spans="1:10" x14ac:dyDescent="0.2">
      <c r="A290" s="383" t="s">
        <v>522</v>
      </c>
      <c r="B290" s="397">
        <v>45505</v>
      </c>
      <c r="C290" s="397" t="s">
        <v>535</v>
      </c>
      <c r="D290" s="383">
        <v>3</v>
      </c>
      <c r="E290" s="384" t="s">
        <v>531</v>
      </c>
      <c r="F290" s="385" t="s">
        <v>337</v>
      </c>
      <c r="G290" s="385"/>
      <c r="H290" s="384" t="s">
        <v>337</v>
      </c>
      <c r="I290" s="406">
        <f t="shared" si="7"/>
        <v>0</v>
      </c>
    </row>
    <row r="291" spans="1:10" x14ac:dyDescent="0.2">
      <c r="A291" s="383" t="s">
        <v>522</v>
      </c>
      <c r="B291" s="397">
        <v>45505</v>
      </c>
      <c r="C291" s="397" t="s">
        <v>534</v>
      </c>
      <c r="D291" s="383">
        <v>4</v>
      </c>
      <c r="E291" s="383" t="s">
        <v>523</v>
      </c>
      <c r="F291" s="388" t="s">
        <v>340</v>
      </c>
      <c r="G291" s="388"/>
      <c r="H291" s="405" t="s">
        <v>340</v>
      </c>
      <c r="I291" s="396">
        <f>I250-I274</f>
        <v>0</v>
      </c>
    </row>
    <row r="292" spans="1:10" x14ac:dyDescent="0.2">
      <c r="A292" s="383" t="s">
        <v>522</v>
      </c>
      <c r="B292" s="397">
        <v>45505</v>
      </c>
      <c r="C292" s="397" t="s">
        <v>534</v>
      </c>
      <c r="D292" s="383">
        <v>4</v>
      </c>
      <c r="E292" s="383" t="s">
        <v>523</v>
      </c>
      <c r="F292" s="388" t="s">
        <v>341</v>
      </c>
      <c r="G292" s="388"/>
      <c r="H292" s="384" t="s">
        <v>341</v>
      </c>
      <c r="I292" s="406">
        <f>I251</f>
        <v>-165603.79999999999</v>
      </c>
    </row>
    <row r="293" spans="1:10" x14ac:dyDescent="0.2">
      <c r="A293" s="383" t="s">
        <v>522</v>
      </c>
      <c r="B293" s="397">
        <v>45505</v>
      </c>
      <c r="C293" s="397" t="s">
        <v>534</v>
      </c>
      <c r="D293" s="383">
        <v>4</v>
      </c>
      <c r="E293" s="383" t="s">
        <v>523</v>
      </c>
      <c r="F293" s="388" t="s">
        <v>342</v>
      </c>
      <c r="G293" s="388"/>
      <c r="H293" s="384" t="s">
        <v>342</v>
      </c>
      <c r="I293" s="406">
        <f>I252</f>
        <v>-1275862.1514000001</v>
      </c>
    </row>
    <row r="294" spans="1:10" x14ac:dyDescent="0.2">
      <c r="A294" s="383" t="s">
        <v>522</v>
      </c>
      <c r="B294" s="397">
        <v>45505</v>
      </c>
      <c r="C294" s="397" t="s">
        <v>534</v>
      </c>
      <c r="D294" s="383">
        <v>4</v>
      </c>
      <c r="E294" s="383" t="s">
        <v>523</v>
      </c>
      <c r="F294" s="388" t="s">
        <v>343</v>
      </c>
      <c r="G294" s="388"/>
      <c r="H294" s="384" t="s">
        <v>343</v>
      </c>
      <c r="I294" s="406">
        <f>I253</f>
        <v>-50998.1</v>
      </c>
    </row>
    <row r="295" spans="1:10" x14ac:dyDescent="0.2">
      <c r="A295" s="383" t="s">
        <v>522</v>
      </c>
      <c r="B295" s="397">
        <v>45505</v>
      </c>
      <c r="C295" s="397" t="s">
        <v>535</v>
      </c>
      <c r="D295" s="383">
        <v>5</v>
      </c>
      <c r="E295" s="383" t="s">
        <v>532</v>
      </c>
      <c r="F295" s="401" t="s">
        <v>345</v>
      </c>
      <c r="G295" s="401"/>
      <c r="H295" s="403" t="s">
        <v>345</v>
      </c>
      <c r="I295" s="406">
        <f>I277+I278+I279+I280+I281+I282+I283+I291+I292+I293+I294</f>
        <v>1776249.3985999997</v>
      </c>
      <c r="J295" s="352">
        <f>IF(C295="A",-I295/$I$277,I295/$I$277)</f>
        <v>0.51422739614175783</v>
      </c>
    </row>
    <row r="296" spans="1:10" x14ac:dyDescent="0.2">
      <c r="A296" s="383" t="s">
        <v>522</v>
      </c>
      <c r="B296" s="397">
        <v>45505</v>
      </c>
      <c r="C296" s="397" t="s">
        <v>534</v>
      </c>
      <c r="D296" s="383">
        <v>6</v>
      </c>
      <c r="E296" s="383" t="s">
        <v>524</v>
      </c>
      <c r="F296" s="388" t="s">
        <v>349</v>
      </c>
      <c r="G296" s="388"/>
      <c r="H296" s="384" t="s">
        <v>473</v>
      </c>
      <c r="I296" s="406">
        <f t="shared" ref="I296:I304" si="8">I255</f>
        <v>-28179.51</v>
      </c>
    </row>
    <row r="297" spans="1:10" x14ac:dyDescent="0.2">
      <c r="A297" s="383" t="s">
        <v>522</v>
      </c>
      <c r="B297" s="397">
        <v>45505</v>
      </c>
      <c r="C297" s="397" t="s">
        <v>534</v>
      </c>
      <c r="D297" s="383">
        <v>6</v>
      </c>
      <c r="E297" s="383" t="s">
        <v>524</v>
      </c>
      <c r="F297" s="388" t="s">
        <v>350</v>
      </c>
      <c r="G297" s="388"/>
      <c r="H297" s="384" t="s">
        <v>474</v>
      </c>
      <c r="I297" s="406">
        <f t="shared" si="8"/>
        <v>-10241.26</v>
      </c>
    </row>
    <row r="298" spans="1:10" x14ac:dyDescent="0.2">
      <c r="A298" s="383" t="s">
        <v>522</v>
      </c>
      <c r="B298" s="397">
        <v>45505</v>
      </c>
      <c r="C298" s="397" t="s">
        <v>534</v>
      </c>
      <c r="D298" s="383">
        <v>6</v>
      </c>
      <c r="E298" s="383" t="s">
        <v>524</v>
      </c>
      <c r="F298" s="388" t="s">
        <v>351</v>
      </c>
      <c r="G298" s="388"/>
      <c r="H298" s="384" t="s">
        <v>475</v>
      </c>
      <c r="I298" s="406">
        <f t="shared" si="8"/>
        <v>-37925.609999999993</v>
      </c>
    </row>
    <row r="299" spans="1:10" x14ac:dyDescent="0.2">
      <c r="A299" s="383" t="s">
        <v>522</v>
      </c>
      <c r="B299" s="397">
        <v>45505</v>
      </c>
      <c r="C299" s="397" t="s">
        <v>534</v>
      </c>
      <c r="D299" s="383">
        <v>6</v>
      </c>
      <c r="E299" s="383" t="s">
        <v>524</v>
      </c>
      <c r="F299" s="388" t="s">
        <v>352</v>
      </c>
      <c r="G299" s="388"/>
      <c r="H299" s="384" t="s">
        <v>476</v>
      </c>
      <c r="I299" s="406">
        <f t="shared" si="8"/>
        <v>-4773.74</v>
      </c>
    </row>
    <row r="300" spans="1:10" x14ac:dyDescent="0.2">
      <c r="A300" s="383" t="s">
        <v>522</v>
      </c>
      <c r="B300" s="397">
        <v>45505</v>
      </c>
      <c r="C300" s="397" t="s">
        <v>534</v>
      </c>
      <c r="D300" s="383">
        <v>6</v>
      </c>
      <c r="E300" s="383" t="s">
        <v>524</v>
      </c>
      <c r="F300" s="388" t="s">
        <v>353</v>
      </c>
      <c r="G300" s="388"/>
      <c r="H300" s="384" t="s">
        <v>477</v>
      </c>
      <c r="I300" s="406">
        <f t="shared" si="8"/>
        <v>-34695.78</v>
      </c>
    </row>
    <row r="301" spans="1:10" x14ac:dyDescent="0.2">
      <c r="A301" s="383" t="s">
        <v>522</v>
      </c>
      <c r="B301" s="397">
        <v>45505</v>
      </c>
      <c r="C301" s="397" t="s">
        <v>534</v>
      </c>
      <c r="D301" s="383">
        <v>6</v>
      </c>
      <c r="E301" s="383" t="s">
        <v>524</v>
      </c>
      <c r="F301" s="388" t="s">
        <v>354</v>
      </c>
      <c r="G301" s="388"/>
      <c r="H301" s="384" t="s">
        <v>478</v>
      </c>
      <c r="I301" s="406">
        <f t="shared" si="8"/>
        <v>-18344.009999999998</v>
      </c>
    </row>
    <row r="302" spans="1:10" x14ac:dyDescent="0.2">
      <c r="A302" s="383" t="s">
        <v>522</v>
      </c>
      <c r="B302" s="397">
        <v>45505</v>
      </c>
      <c r="C302" s="397" t="s">
        <v>534</v>
      </c>
      <c r="D302" s="383">
        <v>6</v>
      </c>
      <c r="E302" s="383" t="s">
        <v>524</v>
      </c>
      <c r="F302" s="390" t="s">
        <v>355</v>
      </c>
      <c r="G302" s="390"/>
      <c r="H302" s="384" t="s">
        <v>355</v>
      </c>
      <c r="I302" s="406">
        <f t="shared" si="8"/>
        <v>-53139.99</v>
      </c>
    </row>
    <row r="303" spans="1:10" x14ac:dyDescent="0.2">
      <c r="A303" s="383" t="s">
        <v>522</v>
      </c>
      <c r="B303" s="397">
        <v>45505</v>
      </c>
      <c r="C303" s="397" t="s">
        <v>534</v>
      </c>
      <c r="D303" s="383">
        <v>6</v>
      </c>
      <c r="E303" s="383" t="s">
        <v>524</v>
      </c>
      <c r="F303" s="390" t="s">
        <v>356</v>
      </c>
      <c r="G303" s="390"/>
      <c r="H303" s="384" t="s">
        <v>356</v>
      </c>
      <c r="I303" s="406">
        <f t="shared" si="8"/>
        <v>-502670.66000000003</v>
      </c>
    </row>
    <row r="304" spans="1:10" x14ac:dyDescent="0.2">
      <c r="A304" s="383" t="s">
        <v>522</v>
      </c>
      <c r="B304" s="397">
        <v>45505</v>
      </c>
      <c r="C304" s="397" t="s">
        <v>534</v>
      </c>
      <c r="D304" s="383">
        <v>6</v>
      </c>
      <c r="E304" s="383" t="s">
        <v>524</v>
      </c>
      <c r="F304" s="390" t="s">
        <v>357</v>
      </c>
      <c r="G304" s="390"/>
      <c r="H304" s="384" t="s">
        <v>357</v>
      </c>
      <c r="I304" s="406">
        <f t="shared" si="8"/>
        <v>-5280.54</v>
      </c>
    </row>
    <row r="305" spans="1:10" x14ac:dyDescent="0.2">
      <c r="A305" s="383" t="s">
        <v>522</v>
      </c>
      <c r="B305" s="397">
        <v>45505</v>
      </c>
      <c r="C305" s="397" t="s">
        <v>535</v>
      </c>
      <c r="D305" s="383">
        <v>7</v>
      </c>
      <c r="E305" s="383" t="s">
        <v>529</v>
      </c>
      <c r="F305" s="400" t="s">
        <v>358</v>
      </c>
      <c r="G305" s="400"/>
      <c r="H305" s="403" t="s">
        <v>358</v>
      </c>
      <c r="I305" s="396">
        <f>I295+I296+I297+I298+I299+I300+I301+I302+I303+I304</f>
        <v>1080998.2985999994</v>
      </c>
      <c r="J305" s="352">
        <f>IF(C305="A",-I305/$I$277,I305/$I$277)</f>
        <v>0.31295095202333612</v>
      </c>
    </row>
    <row r="306" spans="1:10" x14ac:dyDescent="0.2">
      <c r="A306" s="383" t="s">
        <v>522</v>
      </c>
      <c r="B306" s="397">
        <v>45505</v>
      </c>
      <c r="C306" s="397" t="s">
        <v>534</v>
      </c>
      <c r="D306" s="383">
        <v>8</v>
      </c>
      <c r="E306" s="383" t="s">
        <v>527</v>
      </c>
      <c r="F306" s="385" t="s">
        <v>359</v>
      </c>
      <c r="G306" s="385"/>
      <c r="H306" s="384" t="s">
        <v>479</v>
      </c>
      <c r="I306" s="406">
        <f>I265</f>
        <v>0</v>
      </c>
    </row>
    <row r="307" spans="1:10" x14ac:dyDescent="0.2">
      <c r="A307" s="383" t="s">
        <v>522</v>
      </c>
      <c r="B307" s="397">
        <v>45505</v>
      </c>
      <c r="C307" s="397" t="s">
        <v>534</v>
      </c>
      <c r="D307" s="383">
        <v>8</v>
      </c>
      <c r="E307" s="383" t="s">
        <v>527</v>
      </c>
      <c r="F307" s="385" t="s">
        <v>360</v>
      </c>
      <c r="G307" s="385"/>
      <c r="H307" s="384" t="s">
        <v>480</v>
      </c>
      <c r="I307" s="406">
        <f>I266</f>
        <v>22837.03</v>
      </c>
    </row>
    <row r="308" spans="1:10" x14ac:dyDescent="0.2">
      <c r="A308" s="383" t="s">
        <v>522</v>
      </c>
      <c r="B308" s="397">
        <v>45505</v>
      </c>
      <c r="C308" s="397" t="s">
        <v>534</v>
      </c>
      <c r="D308" s="383">
        <v>8</v>
      </c>
      <c r="E308" s="383" t="s">
        <v>527</v>
      </c>
      <c r="F308" s="390" t="s">
        <v>361</v>
      </c>
      <c r="G308" s="390"/>
      <c r="H308" s="384" t="s">
        <v>481</v>
      </c>
      <c r="I308" s="406">
        <f>I267</f>
        <v>-29462.43</v>
      </c>
    </row>
    <row r="309" spans="1:10" x14ac:dyDescent="0.2">
      <c r="A309" s="383" t="s">
        <v>522</v>
      </c>
      <c r="B309" s="397">
        <v>45505</v>
      </c>
      <c r="C309" s="397" t="s">
        <v>534</v>
      </c>
      <c r="D309" s="383">
        <v>9</v>
      </c>
      <c r="E309" s="383" t="s">
        <v>526</v>
      </c>
      <c r="F309" s="390" t="s">
        <v>363</v>
      </c>
      <c r="G309" s="390"/>
      <c r="H309" s="405" t="s">
        <v>363</v>
      </c>
      <c r="I309" s="396">
        <f>I268-I275</f>
        <v>-542504.02</v>
      </c>
    </row>
    <row r="310" spans="1:10" x14ac:dyDescent="0.2">
      <c r="A310" s="383" t="s">
        <v>522</v>
      </c>
      <c r="B310" s="397">
        <v>45505</v>
      </c>
      <c r="C310" s="397" t="s">
        <v>534</v>
      </c>
      <c r="D310" s="383">
        <v>9</v>
      </c>
      <c r="E310" s="383" t="s">
        <v>526</v>
      </c>
      <c r="F310" s="390" t="s">
        <v>364</v>
      </c>
      <c r="G310" s="390"/>
      <c r="H310" s="384" t="s">
        <v>364</v>
      </c>
      <c r="I310" s="406">
        <f>I269</f>
        <v>-32092.9664204</v>
      </c>
    </row>
    <row r="311" spans="1:10" x14ac:dyDescent="0.2">
      <c r="A311" s="383" t="s">
        <v>522</v>
      </c>
      <c r="B311" s="397">
        <v>45505</v>
      </c>
      <c r="C311" s="397" t="s">
        <v>534</v>
      </c>
      <c r="D311" s="383">
        <v>9</v>
      </c>
      <c r="E311" s="383" t="s">
        <v>526</v>
      </c>
      <c r="F311" s="394" t="s">
        <v>273</v>
      </c>
      <c r="G311" s="394"/>
      <c r="H311" s="398" t="s">
        <v>563</v>
      </c>
      <c r="I311" s="406">
        <f>I270</f>
        <v>0</v>
      </c>
    </row>
    <row r="312" spans="1:10" x14ac:dyDescent="0.2">
      <c r="A312" s="383" t="s">
        <v>522</v>
      </c>
      <c r="B312" s="397">
        <v>45505</v>
      </c>
      <c r="C312" s="397" t="s">
        <v>534</v>
      </c>
      <c r="D312" s="383">
        <v>10</v>
      </c>
      <c r="E312" s="383" t="s">
        <v>452</v>
      </c>
      <c r="F312" s="400" t="s">
        <v>365</v>
      </c>
      <c r="G312" s="400"/>
      <c r="H312" s="403" t="s">
        <v>365</v>
      </c>
      <c r="I312" s="396">
        <f>I278+I279+I280+I281+I282+I283+I291+I292+I293+I294+I296+I297+I298+I299+I300+I301+I302+I303+I304+I306+I307+I308+I309+I310+I311</f>
        <v>-2954434.0578204007</v>
      </c>
      <c r="J312" s="352">
        <f>IF(C312="A",-I312/$I$277,I312/$I$277)</f>
        <v>0.85531397439061896</v>
      </c>
    </row>
    <row r="313" spans="1:10" x14ac:dyDescent="0.2">
      <c r="A313" s="383" t="s">
        <v>522</v>
      </c>
      <c r="B313" s="397">
        <v>45505</v>
      </c>
      <c r="C313" s="397" t="s">
        <v>535</v>
      </c>
      <c r="D313" s="383">
        <v>11</v>
      </c>
      <c r="E313" s="383" t="s">
        <v>528</v>
      </c>
      <c r="F313" s="400" t="s">
        <v>367</v>
      </c>
      <c r="G313" s="400"/>
      <c r="H313" s="405" t="s">
        <v>367</v>
      </c>
      <c r="I313" s="395">
        <f>I277+I312</f>
        <v>499775.91217959952</v>
      </c>
      <c r="J313" s="352">
        <f>IF(C313="A",-I313/$I$277,I313/$I$277)</f>
        <v>0.1446860256093811</v>
      </c>
    </row>
    <row r="314" spans="1:10" x14ac:dyDescent="0.2">
      <c r="A314" s="383" t="s">
        <v>73</v>
      </c>
      <c r="B314" s="397">
        <v>45536</v>
      </c>
      <c r="C314" s="397" t="s">
        <v>536</v>
      </c>
      <c r="D314" s="383">
        <v>1</v>
      </c>
      <c r="E314" s="384" t="s">
        <v>530</v>
      </c>
      <c r="F314" s="400" t="s">
        <v>440</v>
      </c>
      <c r="G314" s="400"/>
      <c r="H314" s="384" t="s">
        <v>440</v>
      </c>
      <c r="I314" s="383">
        <v>4253136.8799960008</v>
      </c>
      <c r="J314" s="352">
        <v>1</v>
      </c>
    </row>
    <row r="315" spans="1:10" x14ac:dyDescent="0.2">
      <c r="A315" s="383" t="s">
        <v>73</v>
      </c>
      <c r="B315" s="397">
        <v>45536</v>
      </c>
      <c r="C315" s="397" t="s">
        <v>534</v>
      </c>
      <c r="D315" s="383">
        <v>2</v>
      </c>
      <c r="E315" s="384" t="s">
        <v>325</v>
      </c>
      <c r="F315" s="390" t="s">
        <v>326</v>
      </c>
      <c r="G315" s="390"/>
      <c r="H315" s="384" t="s">
        <v>519</v>
      </c>
      <c r="I315" s="383">
        <v>-206261.21</v>
      </c>
    </row>
    <row r="316" spans="1:10" x14ac:dyDescent="0.2">
      <c r="A316" s="383" t="s">
        <v>73</v>
      </c>
      <c r="B316" s="397">
        <v>45536</v>
      </c>
      <c r="C316" s="397" t="s">
        <v>534</v>
      </c>
      <c r="D316" s="383">
        <v>2</v>
      </c>
      <c r="E316" s="384" t="s">
        <v>325</v>
      </c>
      <c r="F316" s="385" t="s">
        <v>328</v>
      </c>
      <c r="G316" s="385"/>
      <c r="H316" s="384" t="s">
        <v>521</v>
      </c>
      <c r="I316" s="383">
        <v>0</v>
      </c>
    </row>
    <row r="317" spans="1:10" x14ac:dyDescent="0.2">
      <c r="A317" s="383" t="s">
        <v>73</v>
      </c>
      <c r="B317" s="397">
        <v>45536</v>
      </c>
      <c r="C317" s="397" t="s">
        <v>534</v>
      </c>
      <c r="D317" s="383">
        <v>2</v>
      </c>
      <c r="E317" s="384" t="s">
        <v>325</v>
      </c>
      <c r="F317" s="385" t="s">
        <v>329</v>
      </c>
      <c r="G317" s="385"/>
      <c r="H317" s="384" t="s">
        <v>329</v>
      </c>
      <c r="I317" s="383">
        <v>-31418.74</v>
      </c>
    </row>
    <row r="318" spans="1:10" x14ac:dyDescent="0.2">
      <c r="A318" s="383" t="s">
        <v>73</v>
      </c>
      <c r="B318" s="397">
        <v>45536</v>
      </c>
      <c r="C318" s="397" t="s">
        <v>534</v>
      </c>
      <c r="D318" s="383">
        <v>2</v>
      </c>
      <c r="E318" s="384" t="s">
        <v>325</v>
      </c>
      <c r="F318" s="385" t="s">
        <v>330</v>
      </c>
      <c r="G318" s="385"/>
      <c r="H318" s="384" t="s">
        <v>330</v>
      </c>
      <c r="I318" s="383">
        <v>0</v>
      </c>
    </row>
    <row r="319" spans="1:10" x14ac:dyDescent="0.2">
      <c r="A319" s="383" t="s">
        <v>73</v>
      </c>
      <c r="B319" s="397">
        <v>45536</v>
      </c>
      <c r="C319" s="397" t="s">
        <v>534</v>
      </c>
      <c r="D319" s="383">
        <v>2</v>
      </c>
      <c r="E319" s="384" t="s">
        <v>325</v>
      </c>
      <c r="F319" s="385" t="s">
        <v>331</v>
      </c>
      <c r="G319" s="385"/>
      <c r="H319" s="384" t="s">
        <v>331</v>
      </c>
      <c r="I319" s="383">
        <v>-14.93</v>
      </c>
    </row>
    <row r="320" spans="1:10" x14ac:dyDescent="0.2">
      <c r="A320" s="383" t="s">
        <v>73</v>
      </c>
      <c r="B320" s="397">
        <v>45536</v>
      </c>
      <c r="C320" s="397" t="s">
        <v>534</v>
      </c>
      <c r="D320" s="383">
        <v>2</v>
      </c>
      <c r="E320" s="384" t="s">
        <v>325</v>
      </c>
      <c r="F320" s="384" t="s">
        <v>332</v>
      </c>
      <c r="G320" s="384"/>
      <c r="H320" s="384" t="s">
        <v>520</v>
      </c>
    </row>
    <row r="321" spans="1:10" x14ac:dyDescent="0.2">
      <c r="A321" s="383" t="s">
        <v>73</v>
      </c>
      <c r="B321" s="397">
        <v>45536</v>
      </c>
      <c r="C321" s="397" t="s">
        <v>535</v>
      </c>
      <c r="D321" s="383">
        <v>3</v>
      </c>
      <c r="E321" s="384" t="s">
        <v>531</v>
      </c>
      <c r="F321" s="385" t="s">
        <v>334</v>
      </c>
      <c r="G321" s="385"/>
      <c r="H321" s="384" t="s">
        <v>334</v>
      </c>
      <c r="I321" s="383">
        <v>3711576.5199960009</v>
      </c>
    </row>
    <row r="322" spans="1:10" x14ac:dyDescent="0.2">
      <c r="A322" s="383" t="s">
        <v>73</v>
      </c>
      <c r="B322" s="397">
        <v>45536</v>
      </c>
      <c r="C322" s="397" t="s">
        <v>535</v>
      </c>
      <c r="D322" s="383">
        <v>3</v>
      </c>
      <c r="E322" s="384" t="s">
        <v>531</v>
      </c>
      <c r="F322" s="385" t="s">
        <v>335</v>
      </c>
      <c r="G322" s="385"/>
      <c r="H322" s="384" t="s">
        <v>335</v>
      </c>
      <c r="I322" s="383">
        <v>300715.48</v>
      </c>
    </row>
    <row r="323" spans="1:10" x14ac:dyDescent="0.2">
      <c r="A323" s="383" t="s">
        <v>73</v>
      </c>
      <c r="B323" s="397">
        <v>45536</v>
      </c>
      <c r="C323" s="397" t="s">
        <v>535</v>
      </c>
      <c r="D323" s="383">
        <v>3</v>
      </c>
      <c r="E323" s="384" t="s">
        <v>531</v>
      </c>
      <c r="F323" s="385" t="s">
        <v>336</v>
      </c>
      <c r="G323" s="385"/>
      <c r="H323" s="384" t="s">
        <v>336</v>
      </c>
      <c r="I323" s="383">
        <v>3150</v>
      </c>
    </row>
    <row r="324" spans="1:10" x14ac:dyDescent="0.2">
      <c r="A324" s="383" t="s">
        <v>73</v>
      </c>
      <c r="B324" s="397">
        <v>45536</v>
      </c>
      <c r="C324" s="397" t="s">
        <v>535</v>
      </c>
      <c r="D324" s="383">
        <v>3</v>
      </c>
      <c r="E324" s="384" t="s">
        <v>531</v>
      </c>
      <c r="F324" s="387" t="s">
        <v>273</v>
      </c>
      <c r="G324" s="387"/>
      <c r="H324" s="384" t="s">
        <v>562</v>
      </c>
      <c r="I324" s="383">
        <v>0</v>
      </c>
    </row>
    <row r="325" spans="1:10" x14ac:dyDescent="0.2">
      <c r="A325" s="383" t="s">
        <v>73</v>
      </c>
      <c r="B325" s="397">
        <v>45536</v>
      </c>
      <c r="C325" s="397" t="s">
        <v>535</v>
      </c>
      <c r="D325" s="383">
        <v>3</v>
      </c>
      <c r="E325" s="384" t="s">
        <v>531</v>
      </c>
      <c r="F325" s="387" t="s">
        <v>513</v>
      </c>
      <c r="G325" s="387"/>
      <c r="H325" s="384" t="s">
        <v>513</v>
      </c>
      <c r="I325" s="383">
        <v>0</v>
      </c>
    </row>
    <row r="326" spans="1:10" x14ac:dyDescent="0.2">
      <c r="A326" s="383" t="s">
        <v>73</v>
      </c>
      <c r="B326" s="397">
        <v>45536</v>
      </c>
      <c r="C326" s="397" t="s">
        <v>535</v>
      </c>
      <c r="D326" s="383">
        <v>3</v>
      </c>
      <c r="E326" s="384" t="s">
        <v>531</v>
      </c>
      <c r="F326" s="387" t="s">
        <v>514</v>
      </c>
      <c r="G326" s="387"/>
      <c r="H326" s="384" t="s">
        <v>514</v>
      </c>
      <c r="I326" s="383">
        <v>0</v>
      </c>
    </row>
    <row r="327" spans="1:10" x14ac:dyDescent="0.2">
      <c r="A327" s="383" t="s">
        <v>73</v>
      </c>
      <c r="B327" s="397">
        <v>45536</v>
      </c>
      <c r="C327" s="397" t="s">
        <v>535</v>
      </c>
      <c r="D327" s="383">
        <v>3</v>
      </c>
      <c r="E327" s="384" t="s">
        <v>531</v>
      </c>
      <c r="F327" s="385" t="s">
        <v>337</v>
      </c>
      <c r="G327" s="385"/>
      <c r="H327" s="384" t="s">
        <v>337</v>
      </c>
      <c r="I327" s="383">
        <v>0</v>
      </c>
    </row>
    <row r="328" spans="1:10" x14ac:dyDescent="0.2">
      <c r="A328" s="383" t="s">
        <v>73</v>
      </c>
      <c r="B328" s="397">
        <v>45536</v>
      </c>
      <c r="C328" s="397" t="s">
        <v>534</v>
      </c>
      <c r="D328" s="383">
        <v>4</v>
      </c>
      <c r="E328" s="383" t="s">
        <v>523</v>
      </c>
      <c r="F328" s="388" t="s">
        <v>340</v>
      </c>
      <c r="G328" s="388"/>
      <c r="H328" s="384" t="s">
        <v>340</v>
      </c>
      <c r="I328" s="383">
        <v>-45044.93</v>
      </c>
    </row>
    <row r="329" spans="1:10" x14ac:dyDescent="0.2">
      <c r="A329" s="383" t="s">
        <v>73</v>
      </c>
      <c r="B329" s="397">
        <v>45536</v>
      </c>
      <c r="C329" s="397" t="s">
        <v>534</v>
      </c>
      <c r="D329" s="383">
        <v>4</v>
      </c>
      <c r="E329" s="383" t="s">
        <v>523</v>
      </c>
      <c r="F329" s="388" t="s">
        <v>341</v>
      </c>
      <c r="G329" s="388"/>
      <c r="H329" s="384" t="s">
        <v>341</v>
      </c>
      <c r="I329" s="383">
        <v>-198728.85</v>
      </c>
    </row>
    <row r="330" spans="1:10" x14ac:dyDescent="0.2">
      <c r="A330" s="383" t="s">
        <v>73</v>
      </c>
      <c r="B330" s="397">
        <v>45536</v>
      </c>
      <c r="C330" s="397" t="s">
        <v>534</v>
      </c>
      <c r="D330" s="383">
        <v>4</v>
      </c>
      <c r="E330" s="383" t="s">
        <v>523</v>
      </c>
      <c r="F330" s="388" t="s">
        <v>342</v>
      </c>
      <c r="G330" s="388"/>
      <c r="H330" s="384" t="s">
        <v>342</v>
      </c>
      <c r="I330" s="383">
        <v>-1300087.375</v>
      </c>
    </row>
    <row r="331" spans="1:10" x14ac:dyDescent="0.2">
      <c r="A331" s="383" t="s">
        <v>73</v>
      </c>
      <c r="B331" s="397">
        <v>45536</v>
      </c>
      <c r="C331" s="397" t="s">
        <v>534</v>
      </c>
      <c r="D331" s="383">
        <v>4</v>
      </c>
      <c r="E331" s="383" t="s">
        <v>523</v>
      </c>
      <c r="F331" s="388" t="s">
        <v>343</v>
      </c>
      <c r="G331" s="388"/>
      <c r="H331" s="384" t="s">
        <v>343</v>
      </c>
      <c r="I331" s="383">
        <v>-68365.11</v>
      </c>
    </row>
    <row r="332" spans="1:10" x14ac:dyDescent="0.2">
      <c r="A332" s="383" t="s">
        <v>73</v>
      </c>
      <c r="B332" s="397">
        <v>45536</v>
      </c>
      <c r="C332" s="397" t="s">
        <v>535</v>
      </c>
      <c r="D332" s="383">
        <v>5</v>
      </c>
      <c r="E332" s="383" t="s">
        <v>532</v>
      </c>
      <c r="F332" s="401" t="s">
        <v>345</v>
      </c>
      <c r="G332" s="401"/>
      <c r="H332" s="402" t="s">
        <v>345</v>
      </c>
      <c r="I332" s="406">
        <f>I321+I322+I323+I324+I325+I326+I327+I328+I329+I330+I331</f>
        <v>2403215.7349960008</v>
      </c>
      <c r="J332" s="352">
        <f>IF(C332="A",-I332/$I$314,I332/$I$314)</f>
        <v>0.56504547180204101</v>
      </c>
    </row>
    <row r="333" spans="1:10" x14ac:dyDescent="0.2">
      <c r="A333" s="383" t="s">
        <v>73</v>
      </c>
      <c r="B333" s="397">
        <v>45536</v>
      </c>
      <c r="C333" s="397" t="s">
        <v>534</v>
      </c>
      <c r="D333" s="383">
        <v>6</v>
      </c>
      <c r="E333" s="383" t="s">
        <v>524</v>
      </c>
      <c r="F333" s="388" t="s">
        <v>349</v>
      </c>
      <c r="G333" s="388"/>
      <c r="H333" s="384" t="s">
        <v>473</v>
      </c>
      <c r="I333" s="383">
        <v>-28715.68</v>
      </c>
    </row>
    <row r="334" spans="1:10" x14ac:dyDescent="0.2">
      <c r="A334" s="383" t="s">
        <v>73</v>
      </c>
      <c r="B334" s="397">
        <v>45536</v>
      </c>
      <c r="C334" s="397" t="s">
        <v>534</v>
      </c>
      <c r="D334" s="383">
        <v>6</v>
      </c>
      <c r="E334" s="383" t="s">
        <v>524</v>
      </c>
      <c r="F334" s="388" t="s">
        <v>350</v>
      </c>
      <c r="G334" s="388"/>
      <c r="H334" s="384" t="s">
        <v>474</v>
      </c>
      <c r="I334" s="383">
        <v>-5992.55</v>
      </c>
    </row>
    <row r="335" spans="1:10" x14ac:dyDescent="0.2">
      <c r="A335" s="383" t="s">
        <v>73</v>
      </c>
      <c r="B335" s="397">
        <v>45536</v>
      </c>
      <c r="C335" s="397" t="s">
        <v>534</v>
      </c>
      <c r="D335" s="383">
        <v>6</v>
      </c>
      <c r="E335" s="383" t="s">
        <v>524</v>
      </c>
      <c r="F335" s="388" t="s">
        <v>351</v>
      </c>
      <c r="G335" s="388"/>
      <c r="H335" s="384" t="s">
        <v>475</v>
      </c>
      <c r="I335" s="383">
        <v>-39556.859999999993</v>
      </c>
    </row>
    <row r="336" spans="1:10" x14ac:dyDescent="0.2">
      <c r="A336" s="383" t="s">
        <v>73</v>
      </c>
      <c r="B336" s="397">
        <v>45536</v>
      </c>
      <c r="C336" s="397" t="s">
        <v>534</v>
      </c>
      <c r="D336" s="383">
        <v>6</v>
      </c>
      <c r="E336" s="383" t="s">
        <v>524</v>
      </c>
      <c r="F336" s="388" t="s">
        <v>352</v>
      </c>
      <c r="G336" s="388"/>
      <c r="H336" s="384" t="s">
        <v>476</v>
      </c>
      <c r="I336" s="383">
        <v>-4733.74</v>
      </c>
    </row>
    <row r="337" spans="1:10" x14ac:dyDescent="0.2">
      <c r="A337" s="383" t="s">
        <v>73</v>
      </c>
      <c r="B337" s="397">
        <v>45536</v>
      </c>
      <c r="C337" s="397" t="s">
        <v>534</v>
      </c>
      <c r="D337" s="383">
        <v>6</v>
      </c>
      <c r="E337" s="383" t="s">
        <v>524</v>
      </c>
      <c r="F337" s="388" t="s">
        <v>353</v>
      </c>
      <c r="G337" s="388"/>
      <c r="H337" s="384" t="s">
        <v>477</v>
      </c>
      <c r="I337" s="383">
        <v>-37222.89</v>
      </c>
    </row>
    <row r="338" spans="1:10" x14ac:dyDescent="0.2">
      <c r="A338" s="383" t="s">
        <v>73</v>
      </c>
      <c r="B338" s="397">
        <v>45536</v>
      </c>
      <c r="C338" s="397" t="s">
        <v>534</v>
      </c>
      <c r="D338" s="383">
        <v>6</v>
      </c>
      <c r="E338" s="383" t="s">
        <v>524</v>
      </c>
      <c r="F338" s="388" t="s">
        <v>354</v>
      </c>
      <c r="G338" s="388"/>
      <c r="H338" s="384" t="s">
        <v>478</v>
      </c>
      <c r="I338" s="383">
        <v>-18505.25</v>
      </c>
    </row>
    <row r="339" spans="1:10" x14ac:dyDescent="0.2">
      <c r="A339" s="383" t="s">
        <v>73</v>
      </c>
      <c r="B339" s="397">
        <v>45536</v>
      </c>
      <c r="C339" s="397" t="s">
        <v>534</v>
      </c>
      <c r="D339" s="383">
        <v>6</v>
      </c>
      <c r="E339" s="383" t="s">
        <v>524</v>
      </c>
      <c r="F339" s="390" t="s">
        <v>355</v>
      </c>
      <c r="G339" s="390"/>
      <c r="H339" s="384" t="s">
        <v>355</v>
      </c>
      <c r="I339" s="383">
        <v>-57899.24</v>
      </c>
    </row>
    <row r="340" spans="1:10" x14ac:dyDescent="0.2">
      <c r="A340" s="383" t="s">
        <v>73</v>
      </c>
      <c r="B340" s="397">
        <v>45536</v>
      </c>
      <c r="C340" s="397" t="s">
        <v>534</v>
      </c>
      <c r="D340" s="383">
        <v>6</v>
      </c>
      <c r="E340" s="383" t="s">
        <v>524</v>
      </c>
      <c r="F340" s="390" t="s">
        <v>356</v>
      </c>
      <c r="G340" s="390"/>
      <c r="H340" s="384" t="s">
        <v>356</v>
      </c>
      <c r="I340" s="383">
        <v>-508838.19</v>
      </c>
    </row>
    <row r="341" spans="1:10" x14ac:dyDescent="0.2">
      <c r="A341" s="383" t="s">
        <v>73</v>
      </c>
      <c r="B341" s="397">
        <v>45536</v>
      </c>
      <c r="C341" s="397" t="s">
        <v>534</v>
      </c>
      <c r="D341" s="383">
        <v>6</v>
      </c>
      <c r="E341" s="383" t="s">
        <v>524</v>
      </c>
      <c r="F341" s="390" t="s">
        <v>357</v>
      </c>
      <c r="G341" s="390"/>
      <c r="H341" s="384" t="s">
        <v>357</v>
      </c>
      <c r="I341" s="383">
        <v>-5535.14</v>
      </c>
    </row>
    <row r="342" spans="1:10" x14ac:dyDescent="0.2">
      <c r="A342" s="383" t="s">
        <v>73</v>
      </c>
      <c r="B342" s="397">
        <v>45536</v>
      </c>
      <c r="C342" s="397" t="s">
        <v>535</v>
      </c>
      <c r="D342" s="383">
        <v>7</v>
      </c>
      <c r="E342" s="383" t="s">
        <v>529</v>
      </c>
      <c r="F342" s="400" t="s">
        <v>358</v>
      </c>
      <c r="G342" s="400"/>
      <c r="H342" s="403" t="s">
        <v>358</v>
      </c>
      <c r="I342" s="396">
        <f>I332+I333+I334+I335+I336+I337+I338+I339+I340+I341</f>
        <v>1696216.1949960005</v>
      </c>
      <c r="J342" s="352">
        <f>IF(C342="A",-I342/$I$314,I342/$I$314)</f>
        <v>0.39881533156713156</v>
      </c>
    </row>
    <row r="343" spans="1:10" x14ac:dyDescent="0.2">
      <c r="A343" s="383" t="s">
        <v>73</v>
      </c>
      <c r="B343" s="397">
        <v>45536</v>
      </c>
      <c r="C343" s="397" t="s">
        <v>534</v>
      </c>
      <c r="D343" s="383">
        <v>8</v>
      </c>
      <c r="E343" s="383" t="s">
        <v>527</v>
      </c>
      <c r="F343" s="385" t="s">
        <v>359</v>
      </c>
      <c r="G343" s="385"/>
      <c r="H343" s="384" t="s">
        <v>479</v>
      </c>
      <c r="I343" s="383">
        <v>0</v>
      </c>
    </row>
    <row r="344" spans="1:10" x14ac:dyDescent="0.2">
      <c r="A344" s="383" t="s">
        <v>73</v>
      </c>
      <c r="B344" s="397">
        <v>45536</v>
      </c>
      <c r="C344" s="397" t="s">
        <v>534</v>
      </c>
      <c r="D344" s="383">
        <v>8</v>
      </c>
      <c r="E344" s="383" t="s">
        <v>527</v>
      </c>
      <c r="F344" s="385" t="s">
        <v>360</v>
      </c>
      <c r="G344" s="385"/>
      <c r="H344" s="384" t="s">
        <v>480</v>
      </c>
      <c r="I344" s="383">
        <v>26523.64</v>
      </c>
    </row>
    <row r="345" spans="1:10" x14ac:dyDescent="0.2">
      <c r="A345" s="383" t="s">
        <v>73</v>
      </c>
      <c r="B345" s="397">
        <v>45536</v>
      </c>
      <c r="C345" s="397" t="s">
        <v>534</v>
      </c>
      <c r="D345" s="383">
        <v>8</v>
      </c>
      <c r="E345" s="383" t="s">
        <v>527</v>
      </c>
      <c r="F345" s="390" t="s">
        <v>361</v>
      </c>
      <c r="G345" s="390"/>
      <c r="H345" s="384" t="s">
        <v>481</v>
      </c>
      <c r="I345" s="383">
        <v>-30201.67</v>
      </c>
    </row>
    <row r="346" spans="1:10" x14ac:dyDescent="0.2">
      <c r="A346" s="383" t="s">
        <v>73</v>
      </c>
      <c r="B346" s="397">
        <v>45536</v>
      </c>
      <c r="C346" s="397" t="s">
        <v>534</v>
      </c>
      <c r="D346" s="383">
        <v>9</v>
      </c>
      <c r="E346" s="383" t="s">
        <v>526</v>
      </c>
      <c r="F346" s="390" t="s">
        <v>363</v>
      </c>
      <c r="G346" s="390"/>
      <c r="H346" s="384" t="s">
        <v>363</v>
      </c>
      <c r="I346" s="383">
        <v>-510593.21</v>
      </c>
    </row>
    <row r="347" spans="1:10" x14ac:dyDescent="0.2">
      <c r="A347" s="383" t="s">
        <v>73</v>
      </c>
      <c r="B347" s="397">
        <v>45536</v>
      </c>
      <c r="C347" s="397" t="s">
        <v>534</v>
      </c>
      <c r="D347" s="383">
        <v>9</v>
      </c>
      <c r="E347" s="383" t="s">
        <v>526</v>
      </c>
      <c r="F347" s="390" t="s">
        <v>364</v>
      </c>
      <c r="G347" s="390"/>
      <c r="H347" s="384" t="s">
        <v>364</v>
      </c>
      <c r="I347" s="383">
        <v>-32092.9664204</v>
      </c>
    </row>
    <row r="348" spans="1:10" x14ac:dyDescent="0.2">
      <c r="A348" s="383" t="s">
        <v>73</v>
      </c>
      <c r="B348" s="397">
        <v>45536</v>
      </c>
      <c r="C348" s="397" t="s">
        <v>534</v>
      </c>
      <c r="D348" s="383">
        <v>9</v>
      </c>
      <c r="E348" s="383" t="s">
        <v>526</v>
      </c>
      <c r="F348" s="394" t="s">
        <v>273</v>
      </c>
      <c r="G348" s="394"/>
      <c r="H348" s="398" t="s">
        <v>563</v>
      </c>
      <c r="I348" s="383">
        <v>0</v>
      </c>
    </row>
    <row r="349" spans="1:10" x14ac:dyDescent="0.2">
      <c r="A349" s="383" t="s">
        <v>73</v>
      </c>
      <c r="B349" s="397">
        <v>45536</v>
      </c>
      <c r="C349" s="397" t="s">
        <v>534</v>
      </c>
      <c r="D349" s="383">
        <v>10</v>
      </c>
      <c r="E349" s="383" t="s">
        <v>452</v>
      </c>
      <c r="F349" s="400" t="s">
        <v>365</v>
      </c>
      <c r="G349" s="400"/>
      <c r="H349" s="403" t="s">
        <v>365</v>
      </c>
      <c r="I349" s="396">
        <f>I315+I316+I317+I318+I319+I320+I328+I329+I330+I331+I333+I334+I335+I336+I337+I338+I339+I340+I341+I343+I344+I345+I346+I347+I348</f>
        <v>-3103284.8914204002</v>
      </c>
      <c r="J349" s="352">
        <f>IF(C349="A",-I349/$I$314,I349/$I$314)</f>
        <v>0.72964613624739916</v>
      </c>
    </row>
    <row r="350" spans="1:10" x14ac:dyDescent="0.2">
      <c r="A350" s="383" t="s">
        <v>73</v>
      </c>
      <c r="B350" s="397">
        <v>45536</v>
      </c>
      <c r="C350" s="397" t="s">
        <v>535</v>
      </c>
      <c r="D350" s="383">
        <v>11</v>
      </c>
      <c r="E350" s="383" t="s">
        <v>528</v>
      </c>
      <c r="F350" s="400" t="s">
        <v>367</v>
      </c>
      <c r="G350" s="400"/>
      <c r="H350" s="403" t="s">
        <v>367</v>
      </c>
      <c r="I350" s="395">
        <f>I314+I349</f>
        <v>1149851.9885756006</v>
      </c>
      <c r="J350" s="352">
        <f>IF(C350="A",-I350/$I$314,I350/$I$314)</f>
        <v>0.27035386375260084</v>
      </c>
    </row>
    <row r="351" spans="1:10" x14ac:dyDescent="0.2">
      <c r="A351" s="383" t="s">
        <v>516</v>
      </c>
      <c r="B351" s="397">
        <v>45536</v>
      </c>
      <c r="C351" s="397" t="s">
        <v>536</v>
      </c>
      <c r="D351" s="383">
        <v>1</v>
      </c>
      <c r="E351" s="384" t="s">
        <v>530</v>
      </c>
      <c r="F351" s="400" t="s">
        <v>440</v>
      </c>
      <c r="G351" s="400"/>
      <c r="H351" s="404" t="s">
        <v>440</v>
      </c>
      <c r="I351" s="407">
        <f>[5]Sucumbências!$BK$43</f>
        <v>0</v>
      </c>
      <c r="J351" s="352">
        <v>1</v>
      </c>
    </row>
    <row r="352" spans="1:10" x14ac:dyDescent="0.2">
      <c r="A352" s="383" t="s">
        <v>516</v>
      </c>
      <c r="B352" s="397">
        <v>45536</v>
      </c>
      <c r="C352" s="397" t="s">
        <v>534</v>
      </c>
      <c r="D352" s="383">
        <v>4</v>
      </c>
      <c r="E352" s="383" t="s">
        <v>525</v>
      </c>
      <c r="F352" s="388" t="s">
        <v>340</v>
      </c>
      <c r="G352" s="388"/>
      <c r="H352" s="404" t="s">
        <v>340</v>
      </c>
      <c r="I352" s="407">
        <f>-GLOSAS!$BL$43</f>
        <v>-45044.93</v>
      </c>
    </row>
    <row r="353" spans="1:10" x14ac:dyDescent="0.2">
      <c r="A353" s="383" t="s">
        <v>516</v>
      </c>
      <c r="B353" s="397">
        <v>45536</v>
      </c>
      <c r="C353" s="397" t="s">
        <v>534</v>
      </c>
      <c r="D353" s="383">
        <v>9</v>
      </c>
      <c r="E353" s="383" t="s">
        <v>526</v>
      </c>
      <c r="F353" s="390" t="s">
        <v>363</v>
      </c>
      <c r="G353" s="390"/>
      <c r="H353" s="404" t="s">
        <v>363</v>
      </c>
      <c r="I353" s="407">
        <f>-I351*0.1</f>
        <v>0</v>
      </c>
    </row>
    <row r="354" spans="1:10" x14ac:dyDescent="0.2">
      <c r="A354" s="383" t="s">
        <v>516</v>
      </c>
      <c r="B354" s="397">
        <v>45536</v>
      </c>
      <c r="C354" s="397" t="s">
        <v>535</v>
      </c>
      <c r="D354" s="383">
        <v>11</v>
      </c>
      <c r="E354" s="383" t="s">
        <v>528</v>
      </c>
      <c r="F354" s="400" t="s">
        <v>367</v>
      </c>
      <c r="G354" s="400"/>
      <c r="H354" s="404" t="s">
        <v>367</v>
      </c>
      <c r="I354" s="407">
        <f>I351+I352+I353</f>
        <v>-45044.93</v>
      </c>
      <c r="J354" s="352" t="e">
        <f>IF(C354="A",-I354/I351,I354/I351)</f>
        <v>#DIV/0!</v>
      </c>
    </row>
    <row r="355" spans="1:10" x14ac:dyDescent="0.2">
      <c r="A355" s="383" t="s">
        <v>522</v>
      </c>
      <c r="B355" s="397">
        <v>45536</v>
      </c>
      <c r="C355" s="397" t="s">
        <v>536</v>
      </c>
      <c r="D355" s="383">
        <v>1</v>
      </c>
      <c r="E355" s="384" t="s">
        <v>530</v>
      </c>
      <c r="F355" s="400" t="s">
        <v>440</v>
      </c>
      <c r="G355" s="400"/>
      <c r="H355" s="405" t="s">
        <v>440</v>
      </c>
      <c r="I355" s="396">
        <f>I314-I351</f>
        <v>4253136.8799960008</v>
      </c>
      <c r="J355" s="352">
        <v>1</v>
      </c>
    </row>
    <row r="356" spans="1:10" x14ac:dyDescent="0.2">
      <c r="A356" s="383" t="s">
        <v>522</v>
      </c>
      <c r="B356" s="397">
        <v>45536</v>
      </c>
      <c r="C356" s="397" t="s">
        <v>534</v>
      </c>
      <c r="D356" s="383">
        <v>2</v>
      </c>
      <c r="E356" s="384" t="s">
        <v>325</v>
      </c>
      <c r="F356" s="390" t="s">
        <v>326</v>
      </c>
      <c r="G356" s="390"/>
      <c r="H356" s="384" t="s">
        <v>519</v>
      </c>
      <c r="I356" s="406">
        <f t="shared" ref="I356:I368" si="9">I315</f>
        <v>-206261.21</v>
      </c>
    </row>
    <row r="357" spans="1:10" x14ac:dyDescent="0.2">
      <c r="A357" s="383" t="s">
        <v>522</v>
      </c>
      <c r="B357" s="397">
        <v>45536</v>
      </c>
      <c r="C357" s="397" t="s">
        <v>534</v>
      </c>
      <c r="D357" s="383">
        <v>2</v>
      </c>
      <c r="E357" s="384" t="s">
        <v>325</v>
      </c>
      <c r="F357" s="385" t="s">
        <v>328</v>
      </c>
      <c r="G357" s="385"/>
      <c r="H357" s="384" t="s">
        <v>521</v>
      </c>
      <c r="I357" s="406">
        <f t="shared" si="9"/>
        <v>0</v>
      </c>
    </row>
    <row r="358" spans="1:10" x14ac:dyDescent="0.2">
      <c r="A358" s="383" t="s">
        <v>522</v>
      </c>
      <c r="B358" s="397">
        <v>45536</v>
      </c>
      <c r="C358" s="397" t="s">
        <v>534</v>
      </c>
      <c r="D358" s="383">
        <v>2</v>
      </c>
      <c r="E358" s="384" t="s">
        <v>325</v>
      </c>
      <c r="F358" s="385" t="s">
        <v>329</v>
      </c>
      <c r="G358" s="385"/>
      <c r="H358" s="384" t="s">
        <v>329</v>
      </c>
      <c r="I358" s="406">
        <f t="shared" si="9"/>
        <v>-31418.74</v>
      </c>
    </row>
    <row r="359" spans="1:10" x14ac:dyDescent="0.2">
      <c r="A359" s="383" t="s">
        <v>522</v>
      </c>
      <c r="B359" s="397">
        <v>45536</v>
      </c>
      <c r="C359" s="397" t="s">
        <v>534</v>
      </c>
      <c r="D359" s="383">
        <v>2</v>
      </c>
      <c r="E359" s="384" t="s">
        <v>325</v>
      </c>
      <c r="F359" s="385" t="s">
        <v>330</v>
      </c>
      <c r="G359" s="385"/>
      <c r="H359" s="384" t="s">
        <v>330</v>
      </c>
      <c r="I359" s="406">
        <f t="shared" si="9"/>
        <v>0</v>
      </c>
    </row>
    <row r="360" spans="1:10" x14ac:dyDescent="0.2">
      <c r="A360" s="383" t="s">
        <v>522</v>
      </c>
      <c r="B360" s="397">
        <v>45536</v>
      </c>
      <c r="C360" s="397" t="s">
        <v>534</v>
      </c>
      <c r="D360" s="383">
        <v>2</v>
      </c>
      <c r="E360" s="384" t="s">
        <v>325</v>
      </c>
      <c r="F360" s="385" t="s">
        <v>331</v>
      </c>
      <c r="G360" s="385"/>
      <c r="H360" s="384" t="s">
        <v>331</v>
      </c>
      <c r="I360" s="406">
        <f t="shared" si="9"/>
        <v>-14.93</v>
      </c>
    </row>
    <row r="361" spans="1:10" x14ac:dyDescent="0.2">
      <c r="A361" s="383" t="s">
        <v>522</v>
      </c>
      <c r="B361" s="397">
        <v>45536</v>
      </c>
      <c r="C361" s="397" t="s">
        <v>534</v>
      </c>
      <c r="D361" s="383">
        <v>2</v>
      </c>
      <c r="E361" s="384" t="s">
        <v>325</v>
      </c>
      <c r="F361" s="384" t="s">
        <v>332</v>
      </c>
      <c r="G361" s="384"/>
      <c r="H361" s="384" t="s">
        <v>520</v>
      </c>
      <c r="I361" s="406">
        <f t="shared" si="9"/>
        <v>0</v>
      </c>
    </row>
    <row r="362" spans="1:10" x14ac:dyDescent="0.2">
      <c r="A362" s="383" t="s">
        <v>522</v>
      </c>
      <c r="B362" s="397">
        <v>45536</v>
      </c>
      <c r="C362" s="397" t="s">
        <v>535</v>
      </c>
      <c r="D362" s="383">
        <v>3</v>
      </c>
      <c r="E362" s="384" t="s">
        <v>531</v>
      </c>
      <c r="F362" s="385" t="s">
        <v>334</v>
      </c>
      <c r="G362" s="385"/>
      <c r="H362" s="384" t="s">
        <v>334</v>
      </c>
      <c r="I362" s="406">
        <f t="shared" si="9"/>
        <v>3711576.5199960009</v>
      </c>
    </row>
    <row r="363" spans="1:10" x14ac:dyDescent="0.2">
      <c r="A363" s="383" t="s">
        <v>522</v>
      </c>
      <c r="B363" s="397">
        <v>45536</v>
      </c>
      <c r="C363" s="397" t="s">
        <v>535</v>
      </c>
      <c r="D363" s="383">
        <v>3</v>
      </c>
      <c r="E363" s="384" t="s">
        <v>531</v>
      </c>
      <c r="F363" s="385" t="s">
        <v>335</v>
      </c>
      <c r="G363" s="385"/>
      <c r="H363" s="384" t="s">
        <v>335</v>
      </c>
      <c r="I363" s="406">
        <f t="shared" si="9"/>
        <v>300715.48</v>
      </c>
    </row>
    <row r="364" spans="1:10" x14ac:dyDescent="0.2">
      <c r="A364" s="383" t="s">
        <v>522</v>
      </c>
      <c r="B364" s="397">
        <v>45536</v>
      </c>
      <c r="C364" s="397" t="s">
        <v>535</v>
      </c>
      <c r="D364" s="383">
        <v>3</v>
      </c>
      <c r="E364" s="384" t="s">
        <v>531</v>
      </c>
      <c r="F364" s="385" t="s">
        <v>336</v>
      </c>
      <c r="G364" s="385"/>
      <c r="H364" s="384" t="s">
        <v>336</v>
      </c>
      <c r="I364" s="406">
        <f t="shared" si="9"/>
        <v>3150</v>
      </c>
    </row>
    <row r="365" spans="1:10" x14ac:dyDescent="0.2">
      <c r="A365" s="383" t="s">
        <v>522</v>
      </c>
      <c r="B365" s="397">
        <v>45536</v>
      </c>
      <c r="C365" s="397" t="s">
        <v>535</v>
      </c>
      <c r="D365" s="383">
        <v>3</v>
      </c>
      <c r="E365" s="384" t="s">
        <v>531</v>
      </c>
      <c r="F365" s="387" t="s">
        <v>273</v>
      </c>
      <c r="G365" s="387"/>
      <c r="H365" s="384" t="s">
        <v>562</v>
      </c>
      <c r="I365" s="406">
        <f t="shared" si="9"/>
        <v>0</v>
      </c>
    </row>
    <row r="366" spans="1:10" x14ac:dyDescent="0.2">
      <c r="A366" s="383" t="s">
        <v>522</v>
      </c>
      <c r="B366" s="397">
        <v>45536</v>
      </c>
      <c r="C366" s="397" t="s">
        <v>535</v>
      </c>
      <c r="D366" s="383">
        <v>3</v>
      </c>
      <c r="E366" s="384" t="s">
        <v>531</v>
      </c>
      <c r="F366" s="387" t="s">
        <v>513</v>
      </c>
      <c r="G366" s="387"/>
      <c r="H366" s="384" t="s">
        <v>513</v>
      </c>
      <c r="I366" s="406">
        <f t="shared" si="9"/>
        <v>0</v>
      </c>
    </row>
    <row r="367" spans="1:10" x14ac:dyDescent="0.2">
      <c r="A367" s="383" t="s">
        <v>522</v>
      </c>
      <c r="B367" s="397">
        <v>45536</v>
      </c>
      <c r="C367" s="397" t="s">
        <v>535</v>
      </c>
      <c r="D367" s="383">
        <v>3</v>
      </c>
      <c r="E367" s="384" t="s">
        <v>531</v>
      </c>
      <c r="F367" s="387" t="s">
        <v>514</v>
      </c>
      <c r="G367" s="387"/>
      <c r="H367" s="384" t="s">
        <v>514</v>
      </c>
      <c r="I367" s="406">
        <f t="shared" si="9"/>
        <v>0</v>
      </c>
    </row>
    <row r="368" spans="1:10" x14ac:dyDescent="0.2">
      <c r="A368" s="383" t="s">
        <v>522</v>
      </c>
      <c r="B368" s="397">
        <v>45536</v>
      </c>
      <c r="C368" s="397" t="s">
        <v>535</v>
      </c>
      <c r="D368" s="383">
        <v>3</v>
      </c>
      <c r="E368" s="384" t="s">
        <v>531</v>
      </c>
      <c r="F368" s="385" t="s">
        <v>337</v>
      </c>
      <c r="G368" s="385"/>
      <c r="H368" s="384" t="s">
        <v>337</v>
      </c>
      <c r="I368" s="406">
        <f t="shared" si="9"/>
        <v>0</v>
      </c>
    </row>
    <row r="369" spans="1:10" x14ac:dyDescent="0.2">
      <c r="A369" s="383" t="s">
        <v>522</v>
      </c>
      <c r="B369" s="397">
        <v>45536</v>
      </c>
      <c r="C369" s="397" t="s">
        <v>534</v>
      </c>
      <c r="D369" s="383">
        <v>4</v>
      </c>
      <c r="E369" s="383" t="s">
        <v>523</v>
      </c>
      <c r="F369" s="388" t="s">
        <v>340</v>
      </c>
      <c r="G369" s="388"/>
      <c r="H369" s="405" t="s">
        <v>340</v>
      </c>
      <c r="I369" s="396">
        <f>I328-I352</f>
        <v>0</v>
      </c>
    </row>
    <row r="370" spans="1:10" x14ac:dyDescent="0.2">
      <c r="A370" s="383" t="s">
        <v>522</v>
      </c>
      <c r="B370" s="397">
        <v>45536</v>
      </c>
      <c r="C370" s="397" t="s">
        <v>534</v>
      </c>
      <c r="D370" s="383">
        <v>4</v>
      </c>
      <c r="E370" s="383" t="s">
        <v>523</v>
      </c>
      <c r="F370" s="388" t="s">
        <v>341</v>
      </c>
      <c r="G370" s="388"/>
      <c r="H370" s="384" t="s">
        <v>341</v>
      </c>
      <c r="I370" s="406">
        <f>I329</f>
        <v>-198728.85</v>
      </c>
    </row>
    <row r="371" spans="1:10" x14ac:dyDescent="0.2">
      <c r="A371" s="383" t="s">
        <v>522</v>
      </c>
      <c r="B371" s="397">
        <v>45536</v>
      </c>
      <c r="C371" s="397" t="s">
        <v>534</v>
      </c>
      <c r="D371" s="383">
        <v>4</v>
      </c>
      <c r="E371" s="383" t="s">
        <v>523</v>
      </c>
      <c r="F371" s="388" t="s">
        <v>342</v>
      </c>
      <c r="G371" s="388"/>
      <c r="H371" s="384" t="s">
        <v>342</v>
      </c>
      <c r="I371" s="406">
        <f>I330</f>
        <v>-1300087.375</v>
      </c>
    </row>
    <row r="372" spans="1:10" x14ac:dyDescent="0.2">
      <c r="A372" s="383" t="s">
        <v>522</v>
      </c>
      <c r="B372" s="397">
        <v>45536</v>
      </c>
      <c r="C372" s="397" t="s">
        <v>534</v>
      </c>
      <c r="D372" s="383">
        <v>4</v>
      </c>
      <c r="E372" s="383" t="s">
        <v>523</v>
      </c>
      <c r="F372" s="388" t="s">
        <v>343</v>
      </c>
      <c r="G372" s="388"/>
      <c r="H372" s="384" t="s">
        <v>343</v>
      </c>
      <c r="I372" s="406">
        <f>I331</f>
        <v>-68365.11</v>
      </c>
    </row>
    <row r="373" spans="1:10" x14ac:dyDescent="0.2">
      <c r="A373" s="383" t="s">
        <v>522</v>
      </c>
      <c r="B373" s="397">
        <v>45536</v>
      </c>
      <c r="C373" s="397" t="s">
        <v>535</v>
      </c>
      <c r="D373" s="383">
        <v>5</v>
      </c>
      <c r="E373" s="383" t="s">
        <v>532</v>
      </c>
      <c r="F373" s="401" t="s">
        <v>345</v>
      </c>
      <c r="G373" s="401"/>
      <c r="H373" s="403" t="s">
        <v>345</v>
      </c>
      <c r="I373" s="406">
        <f>I355+I356+I357+I358+I359+I360+I361+I369+I370+I371+I372</f>
        <v>2448260.6649960005</v>
      </c>
      <c r="J373" s="352">
        <f>IF(C373="A",-I373/$I$355,I373/$I$355)</f>
        <v>0.57563646176332384</v>
      </c>
    </row>
    <row r="374" spans="1:10" x14ac:dyDescent="0.2">
      <c r="A374" s="383" t="s">
        <v>522</v>
      </c>
      <c r="B374" s="397">
        <v>45536</v>
      </c>
      <c r="C374" s="397" t="s">
        <v>534</v>
      </c>
      <c r="D374" s="383">
        <v>6</v>
      </c>
      <c r="E374" s="383" t="s">
        <v>524</v>
      </c>
      <c r="F374" s="388" t="s">
        <v>349</v>
      </c>
      <c r="G374" s="388"/>
      <c r="H374" s="384" t="s">
        <v>473</v>
      </c>
      <c r="I374" s="406">
        <f t="shared" ref="I374:I382" si="10">I333</f>
        <v>-28715.68</v>
      </c>
    </row>
    <row r="375" spans="1:10" x14ac:dyDescent="0.2">
      <c r="A375" s="383" t="s">
        <v>522</v>
      </c>
      <c r="B375" s="397">
        <v>45536</v>
      </c>
      <c r="C375" s="397" t="s">
        <v>534</v>
      </c>
      <c r="D375" s="383">
        <v>6</v>
      </c>
      <c r="E375" s="383" t="s">
        <v>524</v>
      </c>
      <c r="F375" s="388" t="s">
        <v>350</v>
      </c>
      <c r="G375" s="388"/>
      <c r="H375" s="384" t="s">
        <v>474</v>
      </c>
      <c r="I375" s="406">
        <f t="shared" si="10"/>
        <v>-5992.55</v>
      </c>
    </row>
    <row r="376" spans="1:10" x14ac:dyDescent="0.2">
      <c r="A376" s="383" t="s">
        <v>522</v>
      </c>
      <c r="B376" s="397">
        <v>45536</v>
      </c>
      <c r="C376" s="397" t="s">
        <v>534</v>
      </c>
      <c r="D376" s="383">
        <v>6</v>
      </c>
      <c r="E376" s="383" t="s">
        <v>524</v>
      </c>
      <c r="F376" s="388" t="s">
        <v>351</v>
      </c>
      <c r="G376" s="388"/>
      <c r="H376" s="384" t="s">
        <v>475</v>
      </c>
      <c r="I376" s="406">
        <f t="shared" si="10"/>
        <v>-39556.859999999993</v>
      </c>
    </row>
    <row r="377" spans="1:10" x14ac:dyDescent="0.2">
      <c r="A377" s="383" t="s">
        <v>522</v>
      </c>
      <c r="B377" s="397">
        <v>45536</v>
      </c>
      <c r="C377" s="397" t="s">
        <v>534</v>
      </c>
      <c r="D377" s="383">
        <v>6</v>
      </c>
      <c r="E377" s="383" t="s">
        <v>524</v>
      </c>
      <c r="F377" s="388" t="s">
        <v>352</v>
      </c>
      <c r="G377" s="388"/>
      <c r="H377" s="384" t="s">
        <v>476</v>
      </c>
      <c r="I377" s="406">
        <f t="shared" si="10"/>
        <v>-4733.74</v>
      </c>
    </row>
    <row r="378" spans="1:10" x14ac:dyDescent="0.2">
      <c r="A378" s="383" t="s">
        <v>522</v>
      </c>
      <c r="B378" s="397">
        <v>45536</v>
      </c>
      <c r="C378" s="397" t="s">
        <v>534</v>
      </c>
      <c r="D378" s="383">
        <v>6</v>
      </c>
      <c r="E378" s="383" t="s">
        <v>524</v>
      </c>
      <c r="F378" s="388" t="s">
        <v>353</v>
      </c>
      <c r="G378" s="388"/>
      <c r="H378" s="384" t="s">
        <v>477</v>
      </c>
      <c r="I378" s="406">
        <f t="shared" si="10"/>
        <v>-37222.89</v>
      </c>
    </row>
    <row r="379" spans="1:10" x14ac:dyDescent="0.2">
      <c r="A379" s="383" t="s">
        <v>522</v>
      </c>
      <c r="B379" s="397">
        <v>45536</v>
      </c>
      <c r="C379" s="397" t="s">
        <v>534</v>
      </c>
      <c r="D379" s="383">
        <v>6</v>
      </c>
      <c r="E379" s="383" t="s">
        <v>524</v>
      </c>
      <c r="F379" s="388" t="s">
        <v>354</v>
      </c>
      <c r="G379" s="388"/>
      <c r="H379" s="384" t="s">
        <v>478</v>
      </c>
      <c r="I379" s="406">
        <f t="shared" si="10"/>
        <v>-18505.25</v>
      </c>
    </row>
    <row r="380" spans="1:10" x14ac:dyDescent="0.2">
      <c r="A380" s="383" t="s">
        <v>522</v>
      </c>
      <c r="B380" s="397">
        <v>45536</v>
      </c>
      <c r="C380" s="397" t="s">
        <v>534</v>
      </c>
      <c r="D380" s="383">
        <v>6</v>
      </c>
      <c r="E380" s="383" t="s">
        <v>524</v>
      </c>
      <c r="F380" s="390" t="s">
        <v>355</v>
      </c>
      <c r="G380" s="390"/>
      <c r="H380" s="384" t="s">
        <v>355</v>
      </c>
      <c r="I380" s="406">
        <f t="shared" si="10"/>
        <v>-57899.24</v>
      </c>
    </row>
    <row r="381" spans="1:10" x14ac:dyDescent="0.2">
      <c r="A381" s="383" t="s">
        <v>522</v>
      </c>
      <c r="B381" s="397">
        <v>45536</v>
      </c>
      <c r="C381" s="397" t="s">
        <v>534</v>
      </c>
      <c r="D381" s="383">
        <v>6</v>
      </c>
      <c r="E381" s="383" t="s">
        <v>524</v>
      </c>
      <c r="F381" s="390" t="s">
        <v>356</v>
      </c>
      <c r="G381" s="390"/>
      <c r="H381" s="384" t="s">
        <v>356</v>
      </c>
      <c r="I381" s="406">
        <f t="shared" si="10"/>
        <v>-508838.19</v>
      </c>
    </row>
    <row r="382" spans="1:10" x14ac:dyDescent="0.2">
      <c r="A382" s="383" t="s">
        <v>522</v>
      </c>
      <c r="B382" s="397">
        <v>45536</v>
      </c>
      <c r="C382" s="397" t="s">
        <v>534</v>
      </c>
      <c r="D382" s="383">
        <v>6</v>
      </c>
      <c r="E382" s="383" t="s">
        <v>524</v>
      </c>
      <c r="F382" s="390" t="s">
        <v>357</v>
      </c>
      <c r="G382" s="390"/>
      <c r="H382" s="384" t="s">
        <v>357</v>
      </c>
      <c r="I382" s="406">
        <f t="shared" si="10"/>
        <v>-5535.14</v>
      </c>
    </row>
    <row r="383" spans="1:10" x14ac:dyDescent="0.2">
      <c r="A383" s="383" t="s">
        <v>522</v>
      </c>
      <c r="B383" s="397">
        <v>45536</v>
      </c>
      <c r="C383" s="397" t="s">
        <v>535</v>
      </c>
      <c r="D383" s="383">
        <v>7</v>
      </c>
      <c r="E383" s="383" t="s">
        <v>529</v>
      </c>
      <c r="F383" s="400" t="s">
        <v>358</v>
      </c>
      <c r="G383" s="400"/>
      <c r="H383" s="403" t="s">
        <v>358</v>
      </c>
      <c r="I383" s="396">
        <f>I373+I374+I375+I376+I377+I378+I379+I380+I381+I382</f>
        <v>1741261.1249960002</v>
      </c>
      <c r="J383" s="352">
        <f>IF(C383="A",-I383/$I$355,I383/$I$355)</f>
        <v>0.40940632152841444</v>
      </c>
    </row>
    <row r="384" spans="1:10" x14ac:dyDescent="0.2">
      <c r="A384" s="383" t="s">
        <v>522</v>
      </c>
      <c r="B384" s="397">
        <v>45536</v>
      </c>
      <c r="C384" s="397" t="s">
        <v>534</v>
      </c>
      <c r="D384" s="383">
        <v>8</v>
      </c>
      <c r="E384" s="383" t="s">
        <v>527</v>
      </c>
      <c r="F384" s="385" t="s">
        <v>359</v>
      </c>
      <c r="G384" s="385"/>
      <c r="H384" s="384" t="s">
        <v>479</v>
      </c>
      <c r="I384" s="406">
        <f>I343</f>
        <v>0</v>
      </c>
    </row>
    <row r="385" spans="1:10" x14ac:dyDescent="0.2">
      <c r="A385" s="383" t="s">
        <v>522</v>
      </c>
      <c r="B385" s="397">
        <v>45536</v>
      </c>
      <c r="C385" s="397" t="s">
        <v>534</v>
      </c>
      <c r="D385" s="383">
        <v>8</v>
      </c>
      <c r="E385" s="383" t="s">
        <v>527</v>
      </c>
      <c r="F385" s="385" t="s">
        <v>360</v>
      </c>
      <c r="G385" s="385"/>
      <c r="H385" s="384" t="s">
        <v>480</v>
      </c>
      <c r="I385" s="406">
        <f>I344</f>
        <v>26523.64</v>
      </c>
    </row>
    <row r="386" spans="1:10" x14ac:dyDescent="0.2">
      <c r="A386" s="383" t="s">
        <v>522</v>
      </c>
      <c r="B386" s="397">
        <v>45536</v>
      </c>
      <c r="C386" s="397" t="s">
        <v>534</v>
      </c>
      <c r="D386" s="383">
        <v>8</v>
      </c>
      <c r="E386" s="383" t="s">
        <v>527</v>
      </c>
      <c r="F386" s="390" t="s">
        <v>361</v>
      </c>
      <c r="G386" s="390"/>
      <c r="H386" s="384" t="s">
        <v>481</v>
      </c>
      <c r="I386" s="406">
        <f>I345</f>
        <v>-30201.67</v>
      </c>
    </row>
    <row r="387" spans="1:10" x14ac:dyDescent="0.2">
      <c r="A387" s="383" t="s">
        <v>522</v>
      </c>
      <c r="B387" s="397">
        <v>45536</v>
      </c>
      <c r="C387" s="397" t="s">
        <v>534</v>
      </c>
      <c r="D387" s="383">
        <v>9</v>
      </c>
      <c r="E387" s="383" t="s">
        <v>526</v>
      </c>
      <c r="F387" s="390" t="s">
        <v>363</v>
      </c>
      <c r="G387" s="390"/>
      <c r="H387" s="405" t="s">
        <v>363</v>
      </c>
      <c r="I387" s="396">
        <f>I346-I353</f>
        <v>-510593.21</v>
      </c>
    </row>
    <row r="388" spans="1:10" x14ac:dyDescent="0.2">
      <c r="A388" s="383" t="s">
        <v>522</v>
      </c>
      <c r="B388" s="397">
        <v>45536</v>
      </c>
      <c r="C388" s="397" t="s">
        <v>534</v>
      </c>
      <c r="D388" s="383">
        <v>9</v>
      </c>
      <c r="E388" s="383" t="s">
        <v>526</v>
      </c>
      <c r="F388" s="390" t="s">
        <v>364</v>
      </c>
      <c r="G388" s="390"/>
      <c r="H388" s="384" t="s">
        <v>364</v>
      </c>
      <c r="I388" s="406">
        <f>I347</f>
        <v>-32092.9664204</v>
      </c>
    </row>
    <row r="389" spans="1:10" x14ac:dyDescent="0.2">
      <c r="A389" s="383" t="s">
        <v>522</v>
      </c>
      <c r="B389" s="397">
        <v>45536</v>
      </c>
      <c r="C389" s="397" t="s">
        <v>534</v>
      </c>
      <c r="D389" s="383">
        <v>9</v>
      </c>
      <c r="E389" s="383" t="s">
        <v>526</v>
      </c>
      <c r="F389" s="394" t="s">
        <v>273</v>
      </c>
      <c r="G389" s="394"/>
      <c r="H389" s="398" t="s">
        <v>563</v>
      </c>
      <c r="I389" s="406">
        <f>I348</f>
        <v>0</v>
      </c>
    </row>
    <row r="390" spans="1:10" x14ac:dyDescent="0.2">
      <c r="A390" s="383" t="s">
        <v>522</v>
      </c>
      <c r="B390" s="397">
        <v>45536</v>
      </c>
      <c r="C390" s="397" t="s">
        <v>534</v>
      </c>
      <c r="D390" s="383">
        <v>10</v>
      </c>
      <c r="E390" s="383" t="s">
        <v>452</v>
      </c>
      <c r="F390" s="400" t="s">
        <v>365</v>
      </c>
      <c r="G390" s="400"/>
      <c r="H390" s="403" t="s">
        <v>365</v>
      </c>
      <c r="I390" s="396">
        <f>I356+I357+I358+I359+I360+I361+I369+I370+I371+I372+I374+I375+I376+I377+I378+I379+I380+I381+I382+I384+I385+I386+I387+I388+I389</f>
        <v>-3058239.9614204001</v>
      </c>
      <c r="J390" s="352">
        <f>IF(C390="A",-I390/$I$355,I390/$I$355)</f>
        <v>0.71905514628611622</v>
      </c>
    </row>
    <row r="391" spans="1:10" x14ac:dyDescent="0.2">
      <c r="A391" s="383" t="s">
        <v>522</v>
      </c>
      <c r="B391" s="397">
        <v>45536</v>
      </c>
      <c r="C391" s="397" t="s">
        <v>535</v>
      </c>
      <c r="D391" s="383">
        <v>11</v>
      </c>
      <c r="E391" s="383" t="s">
        <v>528</v>
      </c>
      <c r="F391" s="400" t="s">
        <v>367</v>
      </c>
      <c r="G391" s="400"/>
      <c r="H391" s="405" t="s">
        <v>367</v>
      </c>
      <c r="I391" s="395">
        <f>I355+I390</f>
        <v>1194896.9185756007</v>
      </c>
      <c r="J391" s="352">
        <f>IF(C391="A",-I391/$I$355,I391/$I$355)</f>
        <v>0.28094485371388384</v>
      </c>
    </row>
    <row r="392" spans="1:10" x14ac:dyDescent="0.2">
      <c r="A392" s="383" t="s">
        <v>73</v>
      </c>
      <c r="B392" s="397">
        <v>45566</v>
      </c>
      <c r="C392" s="397" t="s">
        <v>536</v>
      </c>
      <c r="D392" s="383">
        <v>1</v>
      </c>
      <c r="E392" s="384" t="s">
        <v>530</v>
      </c>
      <c r="F392" s="400" t="s">
        <v>440</v>
      </c>
      <c r="G392" s="400"/>
      <c r="H392" s="384" t="s">
        <v>440</v>
      </c>
      <c r="I392" s="383">
        <v>4658140.6700220024</v>
      </c>
      <c r="J392" s="352">
        <v>1</v>
      </c>
    </row>
    <row r="393" spans="1:10" x14ac:dyDescent="0.2">
      <c r="A393" s="383" t="s">
        <v>73</v>
      </c>
      <c r="B393" s="397">
        <v>45566</v>
      </c>
      <c r="C393" s="397" t="s">
        <v>534</v>
      </c>
      <c r="D393" s="383">
        <v>2</v>
      </c>
      <c r="E393" s="384" t="s">
        <v>325</v>
      </c>
      <c r="F393" s="390" t="s">
        <v>326</v>
      </c>
      <c r="G393" s="390"/>
      <c r="H393" s="384" t="s">
        <v>519</v>
      </c>
      <c r="I393" s="383">
        <v>-207841.8</v>
      </c>
    </row>
    <row r="394" spans="1:10" x14ac:dyDescent="0.2">
      <c r="A394" s="383" t="s">
        <v>73</v>
      </c>
      <c r="B394" s="397">
        <v>45566</v>
      </c>
      <c r="C394" s="397" t="s">
        <v>534</v>
      </c>
      <c r="D394" s="383">
        <v>2</v>
      </c>
      <c r="E394" s="384" t="s">
        <v>325</v>
      </c>
      <c r="F394" s="385" t="s">
        <v>328</v>
      </c>
      <c r="G394" s="385"/>
      <c r="H394" s="384" t="s">
        <v>521</v>
      </c>
      <c r="I394" s="383">
        <v>-379.93</v>
      </c>
    </row>
    <row r="395" spans="1:10" x14ac:dyDescent="0.2">
      <c r="A395" s="383" t="s">
        <v>73</v>
      </c>
      <c r="B395" s="397">
        <v>45566</v>
      </c>
      <c r="C395" s="397" t="s">
        <v>534</v>
      </c>
      <c r="D395" s="383">
        <v>2</v>
      </c>
      <c r="E395" s="384" t="s">
        <v>325</v>
      </c>
      <c r="F395" s="385" t="s">
        <v>329</v>
      </c>
      <c r="G395" s="385"/>
      <c r="H395" s="384" t="s">
        <v>329</v>
      </c>
      <c r="I395" s="383">
        <v>-31346.799999999999</v>
      </c>
    </row>
    <row r="396" spans="1:10" x14ac:dyDescent="0.2">
      <c r="A396" s="383" t="s">
        <v>73</v>
      </c>
      <c r="B396" s="397">
        <v>45566</v>
      </c>
      <c r="C396" s="397" t="s">
        <v>534</v>
      </c>
      <c r="D396" s="383">
        <v>2</v>
      </c>
      <c r="E396" s="384" t="s">
        <v>325</v>
      </c>
      <c r="F396" s="385" t="s">
        <v>330</v>
      </c>
      <c r="G396" s="385"/>
      <c r="H396" s="384" t="s">
        <v>330</v>
      </c>
      <c r="I396" s="383">
        <v>0</v>
      </c>
    </row>
    <row r="397" spans="1:10" x14ac:dyDescent="0.2">
      <c r="A397" s="383" t="s">
        <v>73</v>
      </c>
      <c r="B397" s="397">
        <v>45566</v>
      </c>
      <c r="C397" s="397" t="s">
        <v>534</v>
      </c>
      <c r="D397" s="383">
        <v>2</v>
      </c>
      <c r="E397" s="384" t="s">
        <v>325</v>
      </c>
      <c r="F397" s="385" t="s">
        <v>331</v>
      </c>
      <c r="G397" s="385"/>
      <c r="H397" s="384" t="s">
        <v>331</v>
      </c>
      <c r="I397" s="383">
        <v>-7.0000000000000007E-2</v>
      </c>
    </row>
    <row r="398" spans="1:10" x14ac:dyDescent="0.2">
      <c r="A398" s="383" t="s">
        <v>73</v>
      </c>
      <c r="B398" s="397">
        <v>45566</v>
      </c>
      <c r="C398" s="397" t="s">
        <v>534</v>
      </c>
      <c r="D398" s="383">
        <v>2</v>
      </c>
      <c r="E398" s="384" t="s">
        <v>325</v>
      </c>
      <c r="F398" s="384" t="s">
        <v>332</v>
      </c>
      <c r="G398" s="384"/>
      <c r="H398" s="384" t="s">
        <v>520</v>
      </c>
    </row>
    <row r="399" spans="1:10" x14ac:dyDescent="0.2">
      <c r="A399" s="383" t="s">
        <v>73</v>
      </c>
      <c r="B399" s="397">
        <v>45566</v>
      </c>
      <c r="C399" s="397" t="s">
        <v>535</v>
      </c>
      <c r="D399" s="383">
        <v>3</v>
      </c>
      <c r="E399" s="384" t="s">
        <v>531</v>
      </c>
      <c r="F399" s="385" t="s">
        <v>334</v>
      </c>
      <c r="G399" s="385"/>
      <c r="H399" s="384" t="s">
        <v>334</v>
      </c>
      <c r="I399" s="383">
        <v>3617089.25</v>
      </c>
    </row>
    <row r="400" spans="1:10" x14ac:dyDescent="0.2">
      <c r="A400" s="383" t="s">
        <v>73</v>
      </c>
      <c r="B400" s="397">
        <v>45566</v>
      </c>
      <c r="C400" s="397" t="s">
        <v>535</v>
      </c>
      <c r="D400" s="383">
        <v>3</v>
      </c>
      <c r="E400" s="384" t="s">
        <v>531</v>
      </c>
      <c r="F400" s="385" t="s">
        <v>335</v>
      </c>
      <c r="G400" s="385"/>
      <c r="H400" s="384" t="s">
        <v>335</v>
      </c>
      <c r="I400" s="383">
        <v>777922.42999999993</v>
      </c>
    </row>
    <row r="401" spans="1:10" x14ac:dyDescent="0.2">
      <c r="A401" s="383" t="s">
        <v>73</v>
      </c>
      <c r="B401" s="397">
        <v>45566</v>
      </c>
      <c r="C401" s="397" t="s">
        <v>535</v>
      </c>
      <c r="D401" s="383">
        <v>3</v>
      </c>
      <c r="E401" s="384" t="s">
        <v>531</v>
      </c>
      <c r="F401" s="385" t="s">
        <v>336</v>
      </c>
      <c r="G401" s="385"/>
      <c r="H401" s="384" t="s">
        <v>336</v>
      </c>
      <c r="I401" s="383">
        <v>5600</v>
      </c>
    </row>
    <row r="402" spans="1:10" x14ac:dyDescent="0.2">
      <c r="A402" s="383" t="s">
        <v>73</v>
      </c>
      <c r="B402" s="397">
        <v>45566</v>
      </c>
      <c r="C402" s="397" t="s">
        <v>535</v>
      </c>
      <c r="D402" s="383">
        <v>3</v>
      </c>
      <c r="E402" s="384" t="s">
        <v>531</v>
      </c>
      <c r="F402" s="387" t="s">
        <v>273</v>
      </c>
      <c r="G402" s="387"/>
      <c r="H402" s="384" t="s">
        <v>562</v>
      </c>
      <c r="I402" s="383">
        <v>0</v>
      </c>
    </row>
    <row r="403" spans="1:10" x14ac:dyDescent="0.2">
      <c r="A403" s="383" t="s">
        <v>73</v>
      </c>
      <c r="B403" s="397">
        <v>45566</v>
      </c>
      <c r="C403" s="397" t="s">
        <v>535</v>
      </c>
      <c r="D403" s="383">
        <v>3</v>
      </c>
      <c r="E403" s="384" t="s">
        <v>531</v>
      </c>
      <c r="F403" s="387" t="s">
        <v>513</v>
      </c>
      <c r="G403" s="387"/>
      <c r="H403" s="384" t="s">
        <v>513</v>
      </c>
      <c r="I403" s="383">
        <v>0</v>
      </c>
    </row>
    <row r="404" spans="1:10" x14ac:dyDescent="0.2">
      <c r="A404" s="383" t="s">
        <v>73</v>
      </c>
      <c r="B404" s="397">
        <v>45566</v>
      </c>
      <c r="C404" s="397" t="s">
        <v>535</v>
      </c>
      <c r="D404" s="383">
        <v>3</v>
      </c>
      <c r="E404" s="384" t="s">
        <v>531</v>
      </c>
      <c r="F404" s="387" t="s">
        <v>514</v>
      </c>
      <c r="G404" s="387"/>
      <c r="H404" s="384" t="s">
        <v>514</v>
      </c>
      <c r="I404" s="383">
        <v>14862.39</v>
      </c>
    </row>
    <row r="405" spans="1:10" x14ac:dyDescent="0.2">
      <c r="A405" s="383" t="s">
        <v>73</v>
      </c>
      <c r="B405" s="397">
        <v>45566</v>
      </c>
      <c r="C405" s="397" t="s">
        <v>535</v>
      </c>
      <c r="D405" s="383">
        <v>3</v>
      </c>
      <c r="E405" s="384" t="s">
        <v>531</v>
      </c>
      <c r="F405" s="385" t="s">
        <v>337</v>
      </c>
      <c r="G405" s="385"/>
      <c r="H405" s="384" t="s">
        <v>337</v>
      </c>
      <c r="I405" s="383">
        <v>3098</v>
      </c>
    </row>
    <row r="406" spans="1:10" x14ac:dyDescent="0.2">
      <c r="A406" s="383" t="s">
        <v>73</v>
      </c>
      <c r="B406" s="397">
        <v>45566</v>
      </c>
      <c r="C406" s="397" t="s">
        <v>534</v>
      </c>
      <c r="D406" s="383">
        <v>4</v>
      </c>
      <c r="E406" s="383" t="s">
        <v>523</v>
      </c>
      <c r="F406" s="388" t="s">
        <v>340</v>
      </c>
      <c r="G406" s="388"/>
      <c r="H406" s="384" t="s">
        <v>340</v>
      </c>
      <c r="I406" s="383">
        <v>-101101.62999999999</v>
      </c>
    </row>
    <row r="407" spans="1:10" x14ac:dyDescent="0.2">
      <c r="A407" s="383" t="s">
        <v>73</v>
      </c>
      <c r="B407" s="397">
        <v>45566</v>
      </c>
      <c r="C407" s="397" t="s">
        <v>534</v>
      </c>
      <c r="D407" s="383">
        <v>4</v>
      </c>
      <c r="E407" s="383" t="s">
        <v>523</v>
      </c>
      <c r="F407" s="388" t="s">
        <v>341</v>
      </c>
      <c r="G407" s="388"/>
      <c r="H407" s="384" t="s">
        <v>341</v>
      </c>
      <c r="I407" s="383">
        <v>-216962.07</v>
      </c>
    </row>
    <row r="408" spans="1:10" x14ac:dyDescent="0.2">
      <c r="A408" s="383" t="s">
        <v>73</v>
      </c>
      <c r="B408" s="397">
        <v>45566</v>
      </c>
      <c r="C408" s="397" t="s">
        <v>534</v>
      </c>
      <c r="D408" s="383">
        <v>4</v>
      </c>
      <c r="E408" s="383" t="s">
        <v>523</v>
      </c>
      <c r="F408" s="388" t="s">
        <v>342</v>
      </c>
      <c r="G408" s="388"/>
      <c r="H408" s="384" t="s">
        <v>342</v>
      </c>
      <c r="I408" s="383">
        <v>-1339147.3012000001</v>
      </c>
    </row>
    <row r="409" spans="1:10" x14ac:dyDescent="0.2">
      <c r="A409" s="383" t="s">
        <v>73</v>
      </c>
      <c r="B409" s="397">
        <v>45566</v>
      </c>
      <c r="C409" s="397" t="s">
        <v>534</v>
      </c>
      <c r="D409" s="383">
        <v>4</v>
      </c>
      <c r="E409" s="383" t="s">
        <v>523</v>
      </c>
      <c r="F409" s="388" t="s">
        <v>343</v>
      </c>
      <c r="G409" s="388"/>
      <c r="H409" s="384" t="s">
        <v>343</v>
      </c>
      <c r="I409" s="383">
        <v>-56740.55</v>
      </c>
    </row>
    <row r="410" spans="1:10" x14ac:dyDescent="0.2">
      <c r="A410" s="383" t="s">
        <v>73</v>
      </c>
      <c r="B410" s="397">
        <v>45566</v>
      </c>
      <c r="C410" s="397" t="s">
        <v>535</v>
      </c>
      <c r="D410" s="383">
        <v>5</v>
      </c>
      <c r="E410" s="383" t="s">
        <v>532</v>
      </c>
      <c r="F410" s="401" t="s">
        <v>345</v>
      </c>
      <c r="G410" s="401"/>
      <c r="H410" s="402" t="s">
        <v>345</v>
      </c>
      <c r="I410" s="406">
        <f>I399+I400+I401+I402+I403+I404+I405+I406+I407+I408+I409</f>
        <v>2704620.5187999997</v>
      </c>
      <c r="J410" s="352">
        <f>IF(C410="A",-I410/$I$392,I410/$I$392)</f>
        <v>0.58062233633387128</v>
      </c>
    </row>
    <row r="411" spans="1:10" x14ac:dyDescent="0.2">
      <c r="A411" s="383" t="s">
        <v>73</v>
      </c>
      <c r="B411" s="397">
        <v>45566</v>
      </c>
      <c r="C411" s="397" t="s">
        <v>534</v>
      </c>
      <c r="D411" s="383">
        <v>6</v>
      </c>
      <c r="E411" s="383" t="s">
        <v>524</v>
      </c>
      <c r="F411" s="388" t="s">
        <v>349</v>
      </c>
      <c r="G411" s="388"/>
      <c r="H411" s="384" t="s">
        <v>473</v>
      </c>
      <c r="I411" s="383">
        <v>-28290.78</v>
      </c>
    </row>
    <row r="412" spans="1:10" x14ac:dyDescent="0.2">
      <c r="A412" s="383" t="s">
        <v>73</v>
      </c>
      <c r="B412" s="397">
        <v>45566</v>
      </c>
      <c r="C412" s="397" t="s">
        <v>534</v>
      </c>
      <c r="D412" s="383">
        <v>6</v>
      </c>
      <c r="E412" s="383" t="s">
        <v>524</v>
      </c>
      <c r="F412" s="388" t="s">
        <v>350</v>
      </c>
      <c r="G412" s="388"/>
      <c r="H412" s="384" t="s">
        <v>474</v>
      </c>
      <c r="I412" s="383">
        <v>-13795.05</v>
      </c>
    </row>
    <row r="413" spans="1:10" x14ac:dyDescent="0.2">
      <c r="A413" s="383" t="s">
        <v>73</v>
      </c>
      <c r="B413" s="397">
        <v>45566</v>
      </c>
      <c r="C413" s="397" t="s">
        <v>534</v>
      </c>
      <c r="D413" s="383">
        <v>6</v>
      </c>
      <c r="E413" s="383" t="s">
        <v>524</v>
      </c>
      <c r="F413" s="388" t="s">
        <v>351</v>
      </c>
      <c r="G413" s="388"/>
      <c r="H413" s="384" t="s">
        <v>475</v>
      </c>
      <c r="I413" s="383">
        <v>-71752.91</v>
      </c>
    </row>
    <row r="414" spans="1:10" x14ac:dyDescent="0.2">
      <c r="A414" s="383" t="s">
        <v>73</v>
      </c>
      <c r="B414" s="397">
        <v>45566</v>
      </c>
      <c r="C414" s="397" t="s">
        <v>534</v>
      </c>
      <c r="D414" s="383">
        <v>6</v>
      </c>
      <c r="E414" s="383" t="s">
        <v>524</v>
      </c>
      <c r="F414" s="388" t="s">
        <v>352</v>
      </c>
      <c r="G414" s="388"/>
      <c r="H414" s="384" t="s">
        <v>476</v>
      </c>
      <c r="I414" s="383">
        <v>-5213.74</v>
      </c>
    </row>
    <row r="415" spans="1:10" x14ac:dyDescent="0.2">
      <c r="A415" s="383" t="s">
        <v>73</v>
      </c>
      <c r="B415" s="397">
        <v>45566</v>
      </c>
      <c r="C415" s="397" t="s">
        <v>534</v>
      </c>
      <c r="D415" s="383">
        <v>6</v>
      </c>
      <c r="E415" s="383" t="s">
        <v>524</v>
      </c>
      <c r="F415" s="388" t="s">
        <v>353</v>
      </c>
      <c r="G415" s="388"/>
      <c r="H415" s="384" t="s">
        <v>477</v>
      </c>
      <c r="I415" s="383">
        <v>-137704.1</v>
      </c>
    </row>
    <row r="416" spans="1:10" x14ac:dyDescent="0.2">
      <c r="A416" s="383" t="s">
        <v>73</v>
      </c>
      <c r="B416" s="397">
        <v>45566</v>
      </c>
      <c r="C416" s="397" t="s">
        <v>534</v>
      </c>
      <c r="D416" s="383">
        <v>6</v>
      </c>
      <c r="E416" s="383" t="s">
        <v>524</v>
      </c>
      <c r="F416" s="388" t="s">
        <v>354</v>
      </c>
      <c r="G416" s="388"/>
      <c r="H416" s="384" t="s">
        <v>478</v>
      </c>
      <c r="I416" s="383">
        <v>-16751.009999999998</v>
      </c>
    </row>
    <row r="417" spans="1:10" x14ac:dyDescent="0.2">
      <c r="A417" s="383" t="s">
        <v>73</v>
      </c>
      <c r="B417" s="397">
        <v>45566</v>
      </c>
      <c r="C417" s="397" t="s">
        <v>534</v>
      </c>
      <c r="D417" s="383">
        <v>6</v>
      </c>
      <c r="E417" s="383" t="s">
        <v>524</v>
      </c>
      <c r="F417" s="390" t="s">
        <v>355</v>
      </c>
      <c r="G417" s="390"/>
      <c r="H417" s="384" t="s">
        <v>355</v>
      </c>
      <c r="I417" s="383">
        <v>-60817.24</v>
      </c>
    </row>
    <row r="418" spans="1:10" x14ac:dyDescent="0.2">
      <c r="A418" s="383" t="s">
        <v>73</v>
      </c>
      <c r="B418" s="397">
        <v>45566</v>
      </c>
      <c r="C418" s="397" t="s">
        <v>534</v>
      </c>
      <c r="D418" s="383">
        <v>6</v>
      </c>
      <c r="E418" s="383" t="s">
        <v>524</v>
      </c>
      <c r="F418" s="390" t="s">
        <v>356</v>
      </c>
      <c r="G418" s="390"/>
      <c r="H418" s="384" t="s">
        <v>356</v>
      </c>
      <c r="I418" s="383">
        <v>-521239.39</v>
      </c>
    </row>
    <row r="419" spans="1:10" x14ac:dyDescent="0.2">
      <c r="A419" s="383" t="s">
        <v>73</v>
      </c>
      <c r="B419" s="397">
        <v>45566</v>
      </c>
      <c r="C419" s="397" t="s">
        <v>534</v>
      </c>
      <c r="D419" s="383">
        <v>6</v>
      </c>
      <c r="E419" s="383" t="s">
        <v>524</v>
      </c>
      <c r="F419" s="390" t="s">
        <v>357</v>
      </c>
      <c r="G419" s="390"/>
      <c r="H419" s="384" t="s">
        <v>357</v>
      </c>
      <c r="I419" s="383">
        <v>-5597.23</v>
      </c>
    </row>
    <row r="420" spans="1:10" x14ac:dyDescent="0.2">
      <c r="A420" s="383" t="s">
        <v>73</v>
      </c>
      <c r="B420" s="397">
        <v>45566</v>
      </c>
      <c r="C420" s="397" t="s">
        <v>535</v>
      </c>
      <c r="D420" s="383">
        <v>7</v>
      </c>
      <c r="E420" s="383" t="s">
        <v>529</v>
      </c>
      <c r="F420" s="400" t="s">
        <v>358</v>
      </c>
      <c r="G420" s="400"/>
      <c r="H420" s="403" t="s">
        <v>358</v>
      </c>
      <c r="I420" s="396">
        <f>I410+I411+I412+I413+I414+I415+I416+I417+I418+I419</f>
        <v>1843459.0687999995</v>
      </c>
      <c r="J420" s="352">
        <f>IF(C420="A",-I420/$I$392,I420/$I$392)</f>
        <v>0.39574997823998564</v>
      </c>
    </row>
    <row r="421" spans="1:10" x14ac:dyDescent="0.2">
      <c r="A421" s="383" t="s">
        <v>73</v>
      </c>
      <c r="B421" s="397">
        <v>45566</v>
      </c>
      <c r="C421" s="397" t="s">
        <v>534</v>
      </c>
      <c r="D421" s="383">
        <v>8</v>
      </c>
      <c r="E421" s="383" t="s">
        <v>527</v>
      </c>
      <c r="F421" s="385" t="s">
        <v>359</v>
      </c>
      <c r="G421" s="385"/>
      <c r="H421" s="384" t="s">
        <v>479</v>
      </c>
      <c r="I421" s="383">
        <v>0</v>
      </c>
    </row>
    <row r="422" spans="1:10" x14ac:dyDescent="0.2">
      <c r="A422" s="383" t="s">
        <v>73</v>
      </c>
      <c r="B422" s="397">
        <v>45566</v>
      </c>
      <c r="C422" s="397" t="s">
        <v>534</v>
      </c>
      <c r="D422" s="383">
        <v>8</v>
      </c>
      <c r="E422" s="383" t="s">
        <v>527</v>
      </c>
      <c r="F422" s="385" t="s">
        <v>360</v>
      </c>
      <c r="G422" s="385"/>
      <c r="H422" s="384" t="s">
        <v>480</v>
      </c>
      <c r="I422" s="383">
        <v>35961.980000000003</v>
      </c>
    </row>
    <row r="423" spans="1:10" x14ac:dyDescent="0.2">
      <c r="A423" s="383" t="s">
        <v>73</v>
      </c>
      <c r="B423" s="397">
        <v>45566</v>
      </c>
      <c r="C423" s="397" t="s">
        <v>534</v>
      </c>
      <c r="D423" s="383">
        <v>8</v>
      </c>
      <c r="E423" s="383" t="s">
        <v>527</v>
      </c>
      <c r="F423" s="390" t="s">
        <v>361</v>
      </c>
      <c r="G423" s="390"/>
      <c r="H423" s="384" t="s">
        <v>481</v>
      </c>
      <c r="I423" s="383">
        <v>-12062.55</v>
      </c>
    </row>
    <row r="424" spans="1:10" x14ac:dyDescent="0.2">
      <c r="A424" s="383" t="s">
        <v>73</v>
      </c>
      <c r="B424" s="397">
        <v>45566</v>
      </c>
      <c r="C424" s="397" t="s">
        <v>534</v>
      </c>
      <c r="D424" s="383">
        <v>9</v>
      </c>
      <c r="E424" s="383" t="s">
        <v>526</v>
      </c>
      <c r="F424" s="390" t="s">
        <v>363</v>
      </c>
      <c r="G424" s="390"/>
      <c r="H424" s="384" t="s">
        <v>363</v>
      </c>
      <c r="I424" s="383">
        <v>-580081.46</v>
      </c>
    </row>
    <row r="425" spans="1:10" x14ac:dyDescent="0.2">
      <c r="A425" s="383" t="s">
        <v>73</v>
      </c>
      <c r="B425" s="397">
        <v>45566</v>
      </c>
      <c r="C425" s="397" t="s">
        <v>534</v>
      </c>
      <c r="D425" s="383">
        <v>9</v>
      </c>
      <c r="E425" s="383" t="s">
        <v>526</v>
      </c>
      <c r="F425" s="390" t="s">
        <v>364</v>
      </c>
      <c r="G425" s="390"/>
      <c r="H425" s="384" t="s">
        <v>364</v>
      </c>
      <c r="I425" s="383">
        <v>-32092.9664204</v>
      </c>
    </row>
    <row r="426" spans="1:10" x14ac:dyDescent="0.2">
      <c r="A426" s="383" t="s">
        <v>73</v>
      </c>
      <c r="B426" s="397">
        <v>45566</v>
      </c>
      <c r="C426" s="397" t="s">
        <v>534</v>
      </c>
      <c r="D426" s="383">
        <v>9</v>
      </c>
      <c r="E426" s="383" t="s">
        <v>526</v>
      </c>
      <c r="F426" s="394" t="s">
        <v>273</v>
      </c>
      <c r="G426" s="394"/>
      <c r="H426" s="398" t="s">
        <v>563</v>
      </c>
      <c r="I426" s="383">
        <v>0</v>
      </c>
    </row>
    <row r="427" spans="1:10" x14ac:dyDescent="0.2">
      <c r="A427" s="383" t="s">
        <v>73</v>
      </c>
      <c r="B427" s="397">
        <v>45566</v>
      </c>
      <c r="C427" s="397" t="s">
        <v>534</v>
      </c>
      <c r="D427" s="383">
        <v>10</v>
      </c>
      <c r="E427" s="383" t="s">
        <v>452</v>
      </c>
      <c r="F427" s="400" t="s">
        <v>365</v>
      </c>
      <c r="G427" s="400"/>
      <c r="H427" s="403" t="s">
        <v>365</v>
      </c>
      <c r="I427" s="396">
        <f>I393+I394+I395+I396+I397+I398+I406+I407+I408+I409+I411+I412+I413+I414+I415+I416+I417+I418+I419+I421+I422+I423+I424+I425+I426</f>
        <v>-3402956.5976204001</v>
      </c>
      <c r="J427" s="352">
        <f>IF(C427="A",-I427/$I$392,I427/$I$392)</f>
        <v>0.73053968067570751</v>
      </c>
    </row>
    <row r="428" spans="1:10" x14ac:dyDescent="0.2">
      <c r="A428" s="383" t="s">
        <v>73</v>
      </c>
      <c r="B428" s="397">
        <v>45566</v>
      </c>
      <c r="C428" s="397" t="s">
        <v>535</v>
      </c>
      <c r="D428" s="383">
        <v>11</v>
      </c>
      <c r="E428" s="383" t="s">
        <v>528</v>
      </c>
      <c r="F428" s="400" t="s">
        <v>367</v>
      </c>
      <c r="G428" s="400"/>
      <c r="H428" s="403" t="s">
        <v>367</v>
      </c>
      <c r="I428" s="395">
        <f>I392+I427</f>
        <v>1255184.0724016023</v>
      </c>
      <c r="J428" s="352">
        <f>IF(C428="A",-I428/$I$392,I428/$I$392)</f>
        <v>0.26946031932429243</v>
      </c>
    </row>
    <row r="429" spans="1:10" x14ac:dyDescent="0.2">
      <c r="A429" s="383" t="s">
        <v>516</v>
      </c>
      <c r="B429" s="397">
        <v>45566</v>
      </c>
      <c r="C429" s="397" t="s">
        <v>536</v>
      </c>
      <c r="D429" s="383">
        <v>1</v>
      </c>
      <c r="E429" s="384" t="s">
        <v>530</v>
      </c>
      <c r="F429" s="400" t="s">
        <v>440</v>
      </c>
      <c r="G429" s="400"/>
      <c r="H429" s="404" t="s">
        <v>440</v>
      </c>
      <c r="I429" s="407">
        <f>[5]Sucumbências!$BL$43</f>
        <v>0</v>
      </c>
      <c r="J429" s="352">
        <v>1</v>
      </c>
    </row>
    <row r="430" spans="1:10" x14ac:dyDescent="0.2">
      <c r="A430" s="383" t="s">
        <v>516</v>
      </c>
      <c r="B430" s="397">
        <v>45566</v>
      </c>
      <c r="C430" s="397" t="s">
        <v>534</v>
      </c>
      <c r="D430" s="383">
        <v>4</v>
      </c>
      <c r="E430" s="383" t="s">
        <v>525</v>
      </c>
      <c r="F430" s="388" t="s">
        <v>340</v>
      </c>
      <c r="G430" s="388"/>
      <c r="H430" s="404" t="s">
        <v>340</v>
      </c>
      <c r="I430" s="407">
        <f>-GLOSAS!$BM$43</f>
        <v>-101567.28</v>
      </c>
    </row>
    <row r="431" spans="1:10" x14ac:dyDescent="0.2">
      <c r="A431" s="383" t="s">
        <v>516</v>
      </c>
      <c r="B431" s="397">
        <v>45566</v>
      </c>
      <c r="C431" s="397" t="s">
        <v>534</v>
      </c>
      <c r="D431" s="383">
        <v>9</v>
      </c>
      <c r="E431" s="383" t="s">
        <v>526</v>
      </c>
      <c r="F431" s="390" t="s">
        <v>363</v>
      </c>
      <c r="G431" s="390"/>
      <c r="H431" s="404" t="s">
        <v>363</v>
      </c>
      <c r="I431" s="407">
        <f>-I429*0.1</f>
        <v>0</v>
      </c>
    </row>
    <row r="432" spans="1:10" x14ac:dyDescent="0.2">
      <c r="A432" s="383" t="s">
        <v>516</v>
      </c>
      <c r="B432" s="397">
        <v>45566</v>
      </c>
      <c r="C432" s="397" t="s">
        <v>535</v>
      </c>
      <c r="D432" s="383">
        <v>11</v>
      </c>
      <c r="E432" s="383" t="s">
        <v>528</v>
      </c>
      <c r="F432" s="400" t="s">
        <v>367</v>
      </c>
      <c r="G432" s="400"/>
      <c r="H432" s="404" t="s">
        <v>367</v>
      </c>
      <c r="I432" s="407">
        <f>I429+I430+I431</f>
        <v>-101567.28</v>
      </c>
    </row>
    <row r="433" spans="1:9" x14ac:dyDescent="0.2">
      <c r="A433" s="383" t="s">
        <v>522</v>
      </c>
      <c r="B433" s="397">
        <v>45566</v>
      </c>
      <c r="C433" s="397" t="s">
        <v>536</v>
      </c>
      <c r="D433" s="383">
        <v>1</v>
      </c>
      <c r="E433" s="384" t="s">
        <v>530</v>
      </c>
      <c r="F433" s="400" t="s">
        <v>440</v>
      </c>
      <c r="G433" s="400"/>
      <c r="H433" s="405" t="s">
        <v>440</v>
      </c>
      <c r="I433" s="396">
        <f>I392-I429</f>
        <v>4658140.6700220024</v>
      </c>
    </row>
    <row r="434" spans="1:9" x14ac:dyDescent="0.2">
      <c r="A434" s="383" t="s">
        <v>522</v>
      </c>
      <c r="B434" s="397">
        <v>45566</v>
      </c>
      <c r="C434" s="397" t="s">
        <v>534</v>
      </c>
      <c r="D434" s="383">
        <v>2</v>
      </c>
      <c r="E434" s="384" t="s">
        <v>325</v>
      </c>
      <c r="F434" s="390" t="s">
        <v>326</v>
      </c>
      <c r="G434" s="390"/>
      <c r="H434" s="384" t="s">
        <v>519</v>
      </c>
      <c r="I434" s="406">
        <f t="shared" ref="I434:I446" si="11">I393</f>
        <v>-207841.8</v>
      </c>
    </row>
    <row r="435" spans="1:9" x14ac:dyDescent="0.2">
      <c r="A435" s="383" t="s">
        <v>522</v>
      </c>
      <c r="B435" s="397">
        <v>45566</v>
      </c>
      <c r="C435" s="397" t="s">
        <v>534</v>
      </c>
      <c r="D435" s="383">
        <v>2</v>
      </c>
      <c r="E435" s="384" t="s">
        <v>325</v>
      </c>
      <c r="F435" s="385" t="s">
        <v>328</v>
      </c>
      <c r="G435" s="385"/>
      <c r="H435" s="384" t="s">
        <v>521</v>
      </c>
      <c r="I435" s="406">
        <f t="shared" si="11"/>
        <v>-379.93</v>
      </c>
    </row>
    <row r="436" spans="1:9" x14ac:dyDescent="0.2">
      <c r="A436" s="383" t="s">
        <v>522</v>
      </c>
      <c r="B436" s="397">
        <v>45566</v>
      </c>
      <c r="C436" s="397" t="s">
        <v>534</v>
      </c>
      <c r="D436" s="383">
        <v>2</v>
      </c>
      <c r="E436" s="384" t="s">
        <v>325</v>
      </c>
      <c r="F436" s="385" t="s">
        <v>329</v>
      </c>
      <c r="G436" s="385"/>
      <c r="H436" s="384" t="s">
        <v>329</v>
      </c>
      <c r="I436" s="406">
        <f t="shared" si="11"/>
        <v>-31346.799999999999</v>
      </c>
    </row>
    <row r="437" spans="1:9" x14ac:dyDescent="0.2">
      <c r="A437" s="383" t="s">
        <v>522</v>
      </c>
      <c r="B437" s="397">
        <v>45566</v>
      </c>
      <c r="C437" s="397" t="s">
        <v>534</v>
      </c>
      <c r="D437" s="383">
        <v>2</v>
      </c>
      <c r="E437" s="384" t="s">
        <v>325</v>
      </c>
      <c r="F437" s="385" t="s">
        <v>330</v>
      </c>
      <c r="G437" s="385"/>
      <c r="H437" s="384" t="s">
        <v>330</v>
      </c>
      <c r="I437" s="406">
        <f t="shared" si="11"/>
        <v>0</v>
      </c>
    </row>
    <row r="438" spans="1:9" x14ac:dyDescent="0.2">
      <c r="A438" s="383" t="s">
        <v>522</v>
      </c>
      <c r="B438" s="397">
        <v>45566</v>
      </c>
      <c r="C438" s="397" t="s">
        <v>534</v>
      </c>
      <c r="D438" s="383">
        <v>2</v>
      </c>
      <c r="E438" s="384" t="s">
        <v>325</v>
      </c>
      <c r="F438" s="385" t="s">
        <v>331</v>
      </c>
      <c r="G438" s="385"/>
      <c r="H438" s="384" t="s">
        <v>331</v>
      </c>
      <c r="I438" s="406">
        <f t="shared" si="11"/>
        <v>-7.0000000000000007E-2</v>
      </c>
    </row>
    <row r="439" spans="1:9" x14ac:dyDescent="0.2">
      <c r="A439" s="383" t="s">
        <v>522</v>
      </c>
      <c r="B439" s="397">
        <v>45566</v>
      </c>
      <c r="C439" s="397" t="s">
        <v>534</v>
      </c>
      <c r="D439" s="383">
        <v>2</v>
      </c>
      <c r="E439" s="384" t="s">
        <v>325</v>
      </c>
      <c r="F439" s="384" t="s">
        <v>332</v>
      </c>
      <c r="G439" s="384"/>
      <c r="H439" s="384" t="s">
        <v>520</v>
      </c>
      <c r="I439" s="406">
        <f t="shared" si="11"/>
        <v>0</v>
      </c>
    </row>
    <row r="440" spans="1:9" x14ac:dyDescent="0.2">
      <c r="A440" s="383" t="s">
        <v>522</v>
      </c>
      <c r="B440" s="397">
        <v>45566</v>
      </c>
      <c r="C440" s="397" t="s">
        <v>535</v>
      </c>
      <c r="D440" s="383">
        <v>3</v>
      </c>
      <c r="E440" s="384" t="s">
        <v>531</v>
      </c>
      <c r="F440" s="385" t="s">
        <v>334</v>
      </c>
      <c r="G440" s="385"/>
      <c r="H440" s="384" t="s">
        <v>334</v>
      </c>
      <c r="I440" s="406">
        <f t="shared" si="11"/>
        <v>3617089.25</v>
      </c>
    </row>
    <row r="441" spans="1:9" x14ac:dyDescent="0.2">
      <c r="A441" s="383" t="s">
        <v>522</v>
      </c>
      <c r="B441" s="397">
        <v>45566</v>
      </c>
      <c r="C441" s="397" t="s">
        <v>535</v>
      </c>
      <c r="D441" s="383">
        <v>3</v>
      </c>
      <c r="E441" s="384" t="s">
        <v>531</v>
      </c>
      <c r="F441" s="385" t="s">
        <v>335</v>
      </c>
      <c r="G441" s="385"/>
      <c r="H441" s="384" t="s">
        <v>335</v>
      </c>
      <c r="I441" s="406">
        <f t="shared" si="11"/>
        <v>777922.42999999993</v>
      </c>
    </row>
    <row r="442" spans="1:9" x14ac:dyDescent="0.2">
      <c r="A442" s="383" t="s">
        <v>522</v>
      </c>
      <c r="B442" s="397">
        <v>45566</v>
      </c>
      <c r="C442" s="397" t="s">
        <v>535</v>
      </c>
      <c r="D442" s="383">
        <v>3</v>
      </c>
      <c r="E442" s="384" t="s">
        <v>531</v>
      </c>
      <c r="F442" s="385" t="s">
        <v>336</v>
      </c>
      <c r="G442" s="385"/>
      <c r="H442" s="384" t="s">
        <v>336</v>
      </c>
      <c r="I442" s="406">
        <f t="shared" si="11"/>
        <v>5600</v>
      </c>
    </row>
    <row r="443" spans="1:9" x14ac:dyDescent="0.2">
      <c r="A443" s="383" t="s">
        <v>522</v>
      </c>
      <c r="B443" s="397">
        <v>45566</v>
      </c>
      <c r="C443" s="397" t="s">
        <v>535</v>
      </c>
      <c r="D443" s="383">
        <v>3</v>
      </c>
      <c r="E443" s="384" t="s">
        <v>531</v>
      </c>
      <c r="F443" s="387" t="s">
        <v>273</v>
      </c>
      <c r="G443" s="387"/>
      <c r="H443" s="384" t="s">
        <v>562</v>
      </c>
      <c r="I443" s="406">
        <f t="shared" si="11"/>
        <v>0</v>
      </c>
    </row>
    <row r="444" spans="1:9" x14ac:dyDescent="0.2">
      <c r="A444" s="383" t="s">
        <v>522</v>
      </c>
      <c r="B444" s="397">
        <v>45566</v>
      </c>
      <c r="C444" s="397" t="s">
        <v>535</v>
      </c>
      <c r="D444" s="383">
        <v>3</v>
      </c>
      <c r="E444" s="384" t="s">
        <v>531</v>
      </c>
      <c r="F444" s="387" t="s">
        <v>513</v>
      </c>
      <c r="G444" s="387"/>
      <c r="H444" s="384" t="s">
        <v>513</v>
      </c>
      <c r="I444" s="406">
        <f t="shared" si="11"/>
        <v>0</v>
      </c>
    </row>
    <row r="445" spans="1:9" x14ac:dyDescent="0.2">
      <c r="A445" s="383" t="s">
        <v>522</v>
      </c>
      <c r="B445" s="397">
        <v>45566</v>
      </c>
      <c r="C445" s="397" t="s">
        <v>535</v>
      </c>
      <c r="D445" s="383">
        <v>3</v>
      </c>
      <c r="E445" s="384" t="s">
        <v>531</v>
      </c>
      <c r="F445" s="387" t="s">
        <v>514</v>
      </c>
      <c r="G445" s="387"/>
      <c r="H445" s="384" t="s">
        <v>514</v>
      </c>
      <c r="I445" s="406">
        <f t="shared" si="11"/>
        <v>14862.39</v>
      </c>
    </row>
    <row r="446" spans="1:9" x14ac:dyDescent="0.2">
      <c r="A446" s="383" t="s">
        <v>522</v>
      </c>
      <c r="B446" s="397">
        <v>45566</v>
      </c>
      <c r="C446" s="397" t="s">
        <v>535</v>
      </c>
      <c r="D446" s="383">
        <v>3</v>
      </c>
      <c r="E446" s="384" t="s">
        <v>531</v>
      </c>
      <c r="F446" s="385" t="s">
        <v>337</v>
      </c>
      <c r="G446" s="385"/>
      <c r="H446" s="384" t="s">
        <v>337</v>
      </c>
      <c r="I446" s="406">
        <f t="shared" si="11"/>
        <v>3098</v>
      </c>
    </row>
    <row r="447" spans="1:9" x14ac:dyDescent="0.2">
      <c r="A447" s="383" t="s">
        <v>522</v>
      </c>
      <c r="B447" s="397">
        <v>45566</v>
      </c>
      <c r="C447" s="397" t="s">
        <v>534</v>
      </c>
      <c r="D447" s="383">
        <v>4</v>
      </c>
      <c r="E447" s="383" t="s">
        <v>523</v>
      </c>
      <c r="F447" s="388" t="s">
        <v>340</v>
      </c>
      <c r="G447" s="388"/>
      <c r="H447" s="405" t="s">
        <v>340</v>
      </c>
      <c r="I447" s="396">
        <f>I406-I430</f>
        <v>465.65000000000873</v>
      </c>
    </row>
    <row r="448" spans="1:9" x14ac:dyDescent="0.2">
      <c r="A448" s="383" t="s">
        <v>522</v>
      </c>
      <c r="B448" s="397">
        <v>45566</v>
      </c>
      <c r="C448" s="397" t="s">
        <v>534</v>
      </c>
      <c r="D448" s="383">
        <v>4</v>
      </c>
      <c r="E448" s="383" t="s">
        <v>523</v>
      </c>
      <c r="F448" s="388" t="s">
        <v>341</v>
      </c>
      <c r="G448" s="388"/>
      <c r="H448" s="384" t="s">
        <v>341</v>
      </c>
      <c r="I448" s="406">
        <f>I407</f>
        <v>-216962.07</v>
      </c>
    </row>
    <row r="449" spans="1:10" x14ac:dyDescent="0.2">
      <c r="A449" s="383" t="s">
        <v>522</v>
      </c>
      <c r="B449" s="397">
        <v>45566</v>
      </c>
      <c r="C449" s="397" t="s">
        <v>534</v>
      </c>
      <c r="D449" s="383">
        <v>4</v>
      </c>
      <c r="E449" s="383" t="s">
        <v>523</v>
      </c>
      <c r="F449" s="388" t="s">
        <v>342</v>
      </c>
      <c r="G449" s="388"/>
      <c r="H449" s="384" t="s">
        <v>342</v>
      </c>
      <c r="I449" s="406">
        <f>I408</f>
        <v>-1339147.3012000001</v>
      </c>
    </row>
    <row r="450" spans="1:10" x14ac:dyDescent="0.2">
      <c r="A450" s="383" t="s">
        <v>522</v>
      </c>
      <c r="B450" s="397">
        <v>45566</v>
      </c>
      <c r="C450" s="397" t="s">
        <v>534</v>
      </c>
      <c r="D450" s="383">
        <v>4</v>
      </c>
      <c r="E450" s="383" t="s">
        <v>523</v>
      </c>
      <c r="F450" s="388" t="s">
        <v>343</v>
      </c>
      <c r="G450" s="388"/>
      <c r="H450" s="384" t="s">
        <v>343</v>
      </c>
      <c r="I450" s="406">
        <f>I409</f>
        <v>-56740.55</v>
      </c>
    </row>
    <row r="451" spans="1:10" x14ac:dyDescent="0.2">
      <c r="A451" s="383" t="s">
        <v>522</v>
      </c>
      <c r="B451" s="397">
        <v>45566</v>
      </c>
      <c r="C451" s="397" t="s">
        <v>535</v>
      </c>
      <c r="D451" s="383">
        <v>5</v>
      </c>
      <c r="E451" s="383" t="s">
        <v>532</v>
      </c>
      <c r="F451" s="401" t="s">
        <v>345</v>
      </c>
      <c r="G451" s="401"/>
      <c r="H451" s="403" t="s">
        <v>345</v>
      </c>
      <c r="I451" s="406">
        <f>I433+I434+I435+I436+I437+I438+I439+I447+I448+I449+I450</f>
        <v>2806187.798822003</v>
      </c>
      <c r="J451" s="352">
        <f>IF(C451="A",-I451/$I$433,I451/$I$433)</f>
        <v>0.60242658983691622</v>
      </c>
    </row>
    <row r="452" spans="1:10" x14ac:dyDescent="0.2">
      <c r="A452" s="383" t="s">
        <v>522</v>
      </c>
      <c r="B452" s="397">
        <v>45566</v>
      </c>
      <c r="C452" s="397" t="s">
        <v>534</v>
      </c>
      <c r="D452" s="383">
        <v>6</v>
      </c>
      <c r="E452" s="383" t="s">
        <v>524</v>
      </c>
      <c r="F452" s="388" t="s">
        <v>349</v>
      </c>
      <c r="G452" s="388"/>
      <c r="H452" s="384" t="s">
        <v>473</v>
      </c>
      <c r="I452" s="406">
        <f t="shared" ref="I452:I460" si="12">I411</f>
        <v>-28290.78</v>
      </c>
    </row>
    <row r="453" spans="1:10" x14ac:dyDescent="0.2">
      <c r="A453" s="383" t="s">
        <v>522</v>
      </c>
      <c r="B453" s="397">
        <v>45566</v>
      </c>
      <c r="C453" s="397" t="s">
        <v>534</v>
      </c>
      <c r="D453" s="383">
        <v>6</v>
      </c>
      <c r="E453" s="383" t="s">
        <v>524</v>
      </c>
      <c r="F453" s="388" t="s">
        <v>350</v>
      </c>
      <c r="G453" s="388"/>
      <c r="H453" s="384" t="s">
        <v>474</v>
      </c>
      <c r="I453" s="406">
        <f t="shared" si="12"/>
        <v>-13795.05</v>
      </c>
    </row>
    <row r="454" spans="1:10" x14ac:dyDescent="0.2">
      <c r="A454" s="383" t="s">
        <v>522</v>
      </c>
      <c r="B454" s="397">
        <v>45566</v>
      </c>
      <c r="C454" s="397" t="s">
        <v>534</v>
      </c>
      <c r="D454" s="383">
        <v>6</v>
      </c>
      <c r="E454" s="383" t="s">
        <v>524</v>
      </c>
      <c r="F454" s="388" t="s">
        <v>351</v>
      </c>
      <c r="G454" s="388"/>
      <c r="H454" s="384" t="s">
        <v>475</v>
      </c>
      <c r="I454" s="406">
        <f t="shared" si="12"/>
        <v>-71752.91</v>
      </c>
    </row>
    <row r="455" spans="1:10" x14ac:dyDescent="0.2">
      <c r="A455" s="383" t="s">
        <v>522</v>
      </c>
      <c r="B455" s="397">
        <v>45566</v>
      </c>
      <c r="C455" s="397" t="s">
        <v>534</v>
      </c>
      <c r="D455" s="383">
        <v>6</v>
      </c>
      <c r="E455" s="383" t="s">
        <v>524</v>
      </c>
      <c r="F455" s="388" t="s">
        <v>352</v>
      </c>
      <c r="G455" s="388"/>
      <c r="H455" s="384" t="s">
        <v>476</v>
      </c>
      <c r="I455" s="406">
        <f t="shared" si="12"/>
        <v>-5213.74</v>
      </c>
    </row>
    <row r="456" spans="1:10" x14ac:dyDescent="0.2">
      <c r="A456" s="383" t="s">
        <v>522</v>
      </c>
      <c r="B456" s="397">
        <v>45566</v>
      </c>
      <c r="C456" s="397" t="s">
        <v>534</v>
      </c>
      <c r="D456" s="383">
        <v>6</v>
      </c>
      <c r="E456" s="383" t="s">
        <v>524</v>
      </c>
      <c r="F456" s="388" t="s">
        <v>353</v>
      </c>
      <c r="G456" s="388"/>
      <c r="H456" s="384" t="s">
        <v>477</v>
      </c>
      <c r="I456" s="406">
        <f t="shared" si="12"/>
        <v>-137704.1</v>
      </c>
    </row>
    <row r="457" spans="1:10" x14ac:dyDescent="0.2">
      <c r="A457" s="383" t="s">
        <v>522</v>
      </c>
      <c r="B457" s="397">
        <v>45566</v>
      </c>
      <c r="C457" s="397" t="s">
        <v>534</v>
      </c>
      <c r="D457" s="383">
        <v>6</v>
      </c>
      <c r="E457" s="383" t="s">
        <v>524</v>
      </c>
      <c r="F457" s="388" t="s">
        <v>354</v>
      </c>
      <c r="G457" s="388"/>
      <c r="H457" s="384" t="s">
        <v>478</v>
      </c>
      <c r="I457" s="406">
        <f t="shared" si="12"/>
        <v>-16751.009999999998</v>
      </c>
    </row>
    <row r="458" spans="1:10" x14ac:dyDescent="0.2">
      <c r="A458" s="383" t="s">
        <v>522</v>
      </c>
      <c r="B458" s="397">
        <v>45566</v>
      </c>
      <c r="C458" s="397" t="s">
        <v>534</v>
      </c>
      <c r="D458" s="383">
        <v>6</v>
      </c>
      <c r="E458" s="383" t="s">
        <v>524</v>
      </c>
      <c r="F458" s="390" t="s">
        <v>355</v>
      </c>
      <c r="G458" s="390"/>
      <c r="H458" s="384" t="s">
        <v>355</v>
      </c>
      <c r="I458" s="406">
        <f t="shared" si="12"/>
        <v>-60817.24</v>
      </c>
    </row>
    <row r="459" spans="1:10" x14ac:dyDescent="0.2">
      <c r="A459" s="383" t="s">
        <v>522</v>
      </c>
      <c r="B459" s="397">
        <v>45566</v>
      </c>
      <c r="C459" s="397" t="s">
        <v>534</v>
      </c>
      <c r="D459" s="383">
        <v>6</v>
      </c>
      <c r="E459" s="383" t="s">
        <v>524</v>
      </c>
      <c r="F459" s="390" t="s">
        <v>356</v>
      </c>
      <c r="G459" s="390"/>
      <c r="H459" s="384" t="s">
        <v>356</v>
      </c>
      <c r="I459" s="406">
        <f t="shared" si="12"/>
        <v>-521239.39</v>
      </c>
    </row>
    <row r="460" spans="1:10" x14ac:dyDescent="0.2">
      <c r="A460" s="383" t="s">
        <v>522</v>
      </c>
      <c r="B460" s="397">
        <v>45566</v>
      </c>
      <c r="C460" s="397" t="s">
        <v>534</v>
      </c>
      <c r="D460" s="383">
        <v>6</v>
      </c>
      <c r="E460" s="383" t="s">
        <v>524</v>
      </c>
      <c r="F460" s="390" t="s">
        <v>357</v>
      </c>
      <c r="G460" s="390"/>
      <c r="H460" s="384" t="s">
        <v>357</v>
      </c>
      <c r="I460" s="406">
        <f t="shared" si="12"/>
        <v>-5597.23</v>
      </c>
    </row>
    <row r="461" spans="1:10" x14ac:dyDescent="0.2">
      <c r="A461" s="383" t="s">
        <v>522</v>
      </c>
      <c r="B461" s="397">
        <v>45566</v>
      </c>
      <c r="C461" s="397" t="s">
        <v>535</v>
      </c>
      <c r="D461" s="383">
        <v>7</v>
      </c>
      <c r="E461" s="383" t="s">
        <v>529</v>
      </c>
      <c r="F461" s="400" t="s">
        <v>358</v>
      </c>
      <c r="G461" s="400"/>
      <c r="H461" s="403" t="s">
        <v>358</v>
      </c>
      <c r="I461" s="396">
        <f>I451+I452+I453+I454+I455+I456+I457+I458+I459+I460</f>
        <v>1945026.3488220028</v>
      </c>
      <c r="J461" s="352">
        <f>IF(C461="A",-I461/$I$433,I461/$I$433)</f>
        <v>0.41755423174303052</v>
      </c>
    </row>
    <row r="462" spans="1:10" x14ac:dyDescent="0.2">
      <c r="A462" s="383" t="s">
        <v>522</v>
      </c>
      <c r="B462" s="397">
        <v>45566</v>
      </c>
      <c r="C462" s="397" t="s">
        <v>534</v>
      </c>
      <c r="D462" s="383">
        <v>8</v>
      </c>
      <c r="E462" s="383" t="s">
        <v>527</v>
      </c>
      <c r="F462" s="385" t="s">
        <v>359</v>
      </c>
      <c r="G462" s="385"/>
      <c r="H462" s="384" t="s">
        <v>479</v>
      </c>
      <c r="I462" s="406">
        <f>I421</f>
        <v>0</v>
      </c>
    </row>
    <row r="463" spans="1:10" x14ac:dyDescent="0.2">
      <c r="A463" s="383" t="s">
        <v>522</v>
      </c>
      <c r="B463" s="397">
        <v>45566</v>
      </c>
      <c r="C463" s="397" t="s">
        <v>534</v>
      </c>
      <c r="D463" s="383">
        <v>8</v>
      </c>
      <c r="E463" s="383" t="s">
        <v>527</v>
      </c>
      <c r="F463" s="385" t="s">
        <v>360</v>
      </c>
      <c r="G463" s="385"/>
      <c r="H463" s="384" t="s">
        <v>480</v>
      </c>
      <c r="I463" s="406">
        <f>I422</f>
        <v>35961.980000000003</v>
      </c>
    </row>
    <row r="464" spans="1:10" x14ac:dyDescent="0.2">
      <c r="A464" s="383" t="s">
        <v>522</v>
      </c>
      <c r="B464" s="397">
        <v>45566</v>
      </c>
      <c r="C464" s="397" t="s">
        <v>534</v>
      </c>
      <c r="D464" s="383">
        <v>8</v>
      </c>
      <c r="E464" s="383" t="s">
        <v>527</v>
      </c>
      <c r="F464" s="390" t="s">
        <v>361</v>
      </c>
      <c r="G464" s="390"/>
      <c r="H464" s="384" t="s">
        <v>481</v>
      </c>
      <c r="I464" s="406">
        <f>I423</f>
        <v>-12062.55</v>
      </c>
    </row>
    <row r="465" spans="1:10" x14ac:dyDescent="0.2">
      <c r="A465" s="383" t="s">
        <v>522</v>
      </c>
      <c r="B465" s="397">
        <v>45566</v>
      </c>
      <c r="C465" s="397" t="s">
        <v>534</v>
      </c>
      <c r="D465" s="383">
        <v>9</v>
      </c>
      <c r="E465" s="383" t="s">
        <v>526</v>
      </c>
      <c r="F465" s="390" t="s">
        <v>363</v>
      </c>
      <c r="G465" s="390"/>
      <c r="H465" s="405" t="s">
        <v>363</v>
      </c>
      <c r="I465" s="396">
        <f>I424-I431</f>
        <v>-580081.46</v>
      </c>
    </row>
    <row r="466" spans="1:10" x14ac:dyDescent="0.2">
      <c r="A466" s="383" t="s">
        <v>522</v>
      </c>
      <c r="B466" s="397">
        <v>45566</v>
      </c>
      <c r="C466" s="397" t="s">
        <v>534</v>
      </c>
      <c r="D466" s="383">
        <v>9</v>
      </c>
      <c r="E466" s="383" t="s">
        <v>526</v>
      </c>
      <c r="F466" s="390" t="s">
        <v>364</v>
      </c>
      <c r="G466" s="390"/>
      <c r="H466" s="384" t="s">
        <v>364</v>
      </c>
      <c r="I466" s="406">
        <f>I425</f>
        <v>-32092.9664204</v>
      </c>
    </row>
    <row r="467" spans="1:10" x14ac:dyDescent="0.2">
      <c r="A467" s="383" t="s">
        <v>522</v>
      </c>
      <c r="B467" s="397">
        <v>45566</v>
      </c>
      <c r="C467" s="397" t="s">
        <v>534</v>
      </c>
      <c r="D467" s="383">
        <v>9</v>
      </c>
      <c r="E467" s="383" t="s">
        <v>526</v>
      </c>
      <c r="F467" s="394" t="s">
        <v>273</v>
      </c>
      <c r="G467" s="394"/>
      <c r="H467" s="398" t="s">
        <v>563</v>
      </c>
      <c r="I467" s="406">
        <f>I426</f>
        <v>0</v>
      </c>
    </row>
    <row r="468" spans="1:10" x14ac:dyDescent="0.2">
      <c r="A468" s="383" t="s">
        <v>522</v>
      </c>
      <c r="B468" s="397">
        <v>45566</v>
      </c>
      <c r="C468" s="397" t="s">
        <v>534</v>
      </c>
      <c r="D468" s="383">
        <v>10</v>
      </c>
      <c r="E468" s="383" t="s">
        <v>452</v>
      </c>
      <c r="F468" s="400" t="s">
        <v>365</v>
      </c>
      <c r="G468" s="400"/>
      <c r="H468" s="403" t="s">
        <v>365</v>
      </c>
      <c r="I468" s="396">
        <f>I434+I435+I436+I437+I438+I439+I447+I448+I449+I450+I452+I453+I454+I455+I456+I457+I458+I459+I460+I462+I463+I464+I465+I466+I467</f>
        <v>-3301389.3176203999</v>
      </c>
      <c r="J468" s="352">
        <f>IF(C468="A",-I468/$I$433,I468/$I$433)</f>
        <v>0.70873542717738625</v>
      </c>
    </row>
    <row r="469" spans="1:10" x14ac:dyDescent="0.2">
      <c r="A469" s="383" t="s">
        <v>522</v>
      </c>
      <c r="B469" s="397">
        <v>45566</v>
      </c>
      <c r="C469" s="397" t="s">
        <v>535</v>
      </c>
      <c r="D469" s="383">
        <v>11</v>
      </c>
      <c r="E469" s="383" t="s">
        <v>528</v>
      </c>
      <c r="F469" s="400" t="s">
        <v>367</v>
      </c>
      <c r="G469" s="400"/>
      <c r="H469" s="405" t="s">
        <v>367</v>
      </c>
      <c r="I469" s="395">
        <f>I433+I468</f>
        <v>1356751.3524016025</v>
      </c>
      <c r="J469" s="352">
        <f>IF(C469="A",-I469/$I$433,I469/$I$433)</f>
        <v>0.29126457282261381</v>
      </c>
    </row>
    <row r="470" spans="1:10" x14ac:dyDescent="0.2">
      <c r="A470" s="383" t="s">
        <v>73</v>
      </c>
      <c r="B470" s="397">
        <v>45597</v>
      </c>
      <c r="C470" s="397" t="s">
        <v>536</v>
      </c>
      <c r="D470" s="383">
        <v>1</v>
      </c>
      <c r="E470" s="384" t="s">
        <v>530</v>
      </c>
      <c r="F470" s="400" t="s">
        <v>440</v>
      </c>
      <c r="G470" s="400"/>
      <c r="H470" s="384" t="s">
        <v>440</v>
      </c>
      <c r="I470" s="383">
        <v>6144338.9999359995</v>
      </c>
      <c r="J470" s="352">
        <v>1</v>
      </c>
    </row>
    <row r="471" spans="1:10" x14ac:dyDescent="0.2">
      <c r="A471" s="383" t="s">
        <v>73</v>
      </c>
      <c r="B471" s="397">
        <v>45597</v>
      </c>
      <c r="C471" s="397" t="s">
        <v>534</v>
      </c>
      <c r="D471" s="383">
        <v>2</v>
      </c>
      <c r="E471" s="384" t="s">
        <v>325</v>
      </c>
      <c r="F471" s="390" t="s">
        <v>326</v>
      </c>
      <c r="G471" s="390"/>
      <c r="H471" s="384" t="s">
        <v>519</v>
      </c>
      <c r="I471" s="383">
        <v>-283258.96999999997</v>
      </c>
    </row>
    <row r="472" spans="1:10" x14ac:dyDescent="0.2">
      <c r="A472" s="383" t="s">
        <v>73</v>
      </c>
      <c r="B472" s="397">
        <v>45597</v>
      </c>
      <c r="C472" s="397" t="s">
        <v>534</v>
      </c>
      <c r="D472" s="383">
        <v>2</v>
      </c>
      <c r="E472" s="384" t="s">
        <v>325</v>
      </c>
      <c r="F472" s="385" t="s">
        <v>328</v>
      </c>
      <c r="G472" s="385"/>
      <c r="H472" s="384" t="s">
        <v>521</v>
      </c>
      <c r="I472" s="383">
        <v>-4189.25</v>
      </c>
    </row>
    <row r="473" spans="1:10" x14ac:dyDescent="0.2">
      <c r="A473" s="383" t="s">
        <v>73</v>
      </c>
      <c r="B473" s="397">
        <v>45597</v>
      </c>
      <c r="C473" s="397" t="s">
        <v>534</v>
      </c>
      <c r="D473" s="383">
        <v>2</v>
      </c>
      <c r="E473" s="384" t="s">
        <v>325</v>
      </c>
      <c r="F473" s="385" t="s">
        <v>329</v>
      </c>
      <c r="G473" s="385"/>
      <c r="H473" s="384" t="s">
        <v>329</v>
      </c>
      <c r="I473" s="383">
        <v>0</v>
      </c>
    </row>
    <row r="474" spans="1:10" x14ac:dyDescent="0.2">
      <c r="A474" s="383" t="s">
        <v>73</v>
      </c>
      <c r="B474" s="397">
        <v>45597</v>
      </c>
      <c r="C474" s="397" t="s">
        <v>534</v>
      </c>
      <c r="D474" s="383">
        <v>2</v>
      </c>
      <c r="E474" s="384" t="s">
        <v>325</v>
      </c>
      <c r="F474" s="385" t="s">
        <v>330</v>
      </c>
      <c r="G474" s="385"/>
      <c r="H474" s="384" t="s">
        <v>330</v>
      </c>
      <c r="I474" s="383">
        <v>0</v>
      </c>
    </row>
    <row r="475" spans="1:10" x14ac:dyDescent="0.2">
      <c r="A475" s="383" t="s">
        <v>73</v>
      </c>
      <c r="B475" s="397">
        <v>45597</v>
      </c>
      <c r="C475" s="397" t="s">
        <v>534</v>
      </c>
      <c r="D475" s="383">
        <v>2</v>
      </c>
      <c r="E475" s="384" t="s">
        <v>325</v>
      </c>
      <c r="F475" s="385" t="s">
        <v>331</v>
      </c>
      <c r="G475" s="385"/>
      <c r="H475" s="384" t="s">
        <v>331</v>
      </c>
      <c r="I475" s="383">
        <v>-894.94</v>
      </c>
    </row>
    <row r="476" spans="1:10" x14ac:dyDescent="0.2">
      <c r="A476" s="383" t="s">
        <v>73</v>
      </c>
      <c r="B476" s="397">
        <v>45597</v>
      </c>
      <c r="C476" s="397" t="s">
        <v>534</v>
      </c>
      <c r="D476" s="383">
        <v>2</v>
      </c>
      <c r="E476" s="384" t="s">
        <v>325</v>
      </c>
      <c r="F476" s="384" t="s">
        <v>332</v>
      </c>
      <c r="G476" s="384"/>
      <c r="H476" s="384" t="s">
        <v>520</v>
      </c>
    </row>
    <row r="477" spans="1:10" x14ac:dyDescent="0.2">
      <c r="A477" s="383" t="s">
        <v>73</v>
      </c>
      <c r="B477" s="397">
        <v>45597</v>
      </c>
      <c r="C477" s="397" t="s">
        <v>535</v>
      </c>
      <c r="D477" s="383">
        <v>3</v>
      </c>
      <c r="E477" s="384" t="s">
        <v>531</v>
      </c>
      <c r="F477" s="385" t="s">
        <v>334</v>
      </c>
      <c r="G477" s="385"/>
      <c r="H477" s="384" t="s">
        <v>334</v>
      </c>
      <c r="I477" s="383">
        <v>5152175.71</v>
      </c>
    </row>
    <row r="478" spans="1:10" x14ac:dyDescent="0.2">
      <c r="A478" s="383" t="s">
        <v>73</v>
      </c>
      <c r="B478" s="397">
        <v>45597</v>
      </c>
      <c r="C478" s="397" t="s">
        <v>535</v>
      </c>
      <c r="D478" s="383">
        <v>3</v>
      </c>
      <c r="E478" s="384" t="s">
        <v>531</v>
      </c>
      <c r="F478" s="385" t="s">
        <v>335</v>
      </c>
      <c r="G478" s="385"/>
      <c r="H478" s="384" t="s">
        <v>335</v>
      </c>
      <c r="I478" s="383">
        <v>292277.13</v>
      </c>
    </row>
    <row r="479" spans="1:10" x14ac:dyDescent="0.2">
      <c r="A479" s="383" t="s">
        <v>73</v>
      </c>
      <c r="B479" s="397">
        <v>45597</v>
      </c>
      <c r="C479" s="397" t="s">
        <v>535</v>
      </c>
      <c r="D479" s="383">
        <v>3</v>
      </c>
      <c r="E479" s="384" t="s">
        <v>531</v>
      </c>
      <c r="F479" s="385" t="s">
        <v>336</v>
      </c>
      <c r="G479" s="385"/>
      <c r="H479" s="384" t="s">
        <v>336</v>
      </c>
      <c r="I479" s="383">
        <v>0</v>
      </c>
    </row>
    <row r="480" spans="1:10" x14ac:dyDescent="0.2">
      <c r="A480" s="383" t="s">
        <v>73</v>
      </c>
      <c r="B480" s="397">
        <v>45597</v>
      </c>
      <c r="C480" s="397" t="s">
        <v>535</v>
      </c>
      <c r="D480" s="383">
        <v>3</v>
      </c>
      <c r="E480" s="384" t="s">
        <v>531</v>
      </c>
      <c r="F480" s="387" t="s">
        <v>273</v>
      </c>
      <c r="G480" s="387"/>
      <c r="H480" s="384" t="s">
        <v>562</v>
      </c>
      <c r="I480" s="383">
        <v>400000</v>
      </c>
    </row>
    <row r="481" spans="1:10" x14ac:dyDescent="0.2">
      <c r="A481" s="383" t="s">
        <v>73</v>
      </c>
      <c r="B481" s="397">
        <v>45597</v>
      </c>
      <c r="C481" s="397" t="s">
        <v>535</v>
      </c>
      <c r="D481" s="383">
        <v>3</v>
      </c>
      <c r="E481" s="384" t="s">
        <v>531</v>
      </c>
      <c r="F481" s="387" t="s">
        <v>513</v>
      </c>
      <c r="G481" s="387"/>
      <c r="H481" s="384" t="s">
        <v>513</v>
      </c>
      <c r="I481" s="383">
        <v>0</v>
      </c>
    </row>
    <row r="482" spans="1:10" x14ac:dyDescent="0.2">
      <c r="A482" s="383" t="s">
        <v>73</v>
      </c>
      <c r="B482" s="397">
        <v>45597</v>
      </c>
      <c r="C482" s="397" t="s">
        <v>535</v>
      </c>
      <c r="D482" s="383">
        <v>3</v>
      </c>
      <c r="E482" s="384" t="s">
        <v>531</v>
      </c>
      <c r="F482" s="387" t="s">
        <v>514</v>
      </c>
      <c r="G482" s="387"/>
      <c r="H482" s="384" t="s">
        <v>514</v>
      </c>
      <c r="I482" s="383">
        <v>0</v>
      </c>
    </row>
    <row r="483" spans="1:10" x14ac:dyDescent="0.2">
      <c r="A483" s="383" t="s">
        <v>73</v>
      </c>
      <c r="B483" s="397">
        <v>45597</v>
      </c>
      <c r="C483" s="397" t="s">
        <v>535</v>
      </c>
      <c r="D483" s="383">
        <v>3</v>
      </c>
      <c r="E483" s="384" t="s">
        <v>531</v>
      </c>
      <c r="F483" s="385" t="s">
        <v>337</v>
      </c>
      <c r="G483" s="385"/>
      <c r="H483" s="384" t="s">
        <v>337</v>
      </c>
      <c r="I483" s="383">
        <v>11543</v>
      </c>
    </row>
    <row r="484" spans="1:10" x14ac:dyDescent="0.2">
      <c r="A484" s="383" t="s">
        <v>73</v>
      </c>
      <c r="B484" s="397">
        <v>45597</v>
      </c>
      <c r="C484" s="397" t="s">
        <v>534</v>
      </c>
      <c r="D484" s="383">
        <v>4</v>
      </c>
      <c r="E484" s="383" t="s">
        <v>523</v>
      </c>
      <c r="F484" s="388" t="s">
        <v>340</v>
      </c>
      <c r="G484" s="388"/>
      <c r="H484" s="384" t="s">
        <v>340</v>
      </c>
      <c r="I484" s="383">
        <v>-36733.81</v>
      </c>
    </row>
    <row r="485" spans="1:10" x14ac:dyDescent="0.2">
      <c r="A485" s="383" t="s">
        <v>73</v>
      </c>
      <c r="B485" s="397">
        <v>45597</v>
      </c>
      <c r="C485" s="397" t="s">
        <v>534</v>
      </c>
      <c r="D485" s="383">
        <v>4</v>
      </c>
      <c r="E485" s="383" t="s">
        <v>523</v>
      </c>
      <c r="F485" s="388" t="s">
        <v>341</v>
      </c>
      <c r="G485" s="388"/>
      <c r="H485" s="384" t="s">
        <v>341</v>
      </c>
      <c r="I485" s="383">
        <v>-264809.08</v>
      </c>
    </row>
    <row r="486" spans="1:10" x14ac:dyDescent="0.2">
      <c r="A486" s="383" t="s">
        <v>73</v>
      </c>
      <c r="B486" s="397">
        <v>45597</v>
      </c>
      <c r="C486" s="397" t="s">
        <v>534</v>
      </c>
      <c r="D486" s="383">
        <v>4</v>
      </c>
      <c r="E486" s="383" t="s">
        <v>523</v>
      </c>
      <c r="F486" s="388" t="s">
        <v>342</v>
      </c>
      <c r="G486" s="388"/>
      <c r="H486" s="384" t="s">
        <v>342</v>
      </c>
      <c r="I486" s="383">
        <v>-1351942.3735999998</v>
      </c>
    </row>
    <row r="487" spans="1:10" x14ac:dyDescent="0.2">
      <c r="A487" s="383" t="s">
        <v>73</v>
      </c>
      <c r="B487" s="397">
        <v>45597</v>
      </c>
      <c r="C487" s="397" t="s">
        <v>534</v>
      </c>
      <c r="D487" s="383">
        <v>4</v>
      </c>
      <c r="E487" s="383" t="s">
        <v>523</v>
      </c>
      <c r="F487" s="388" t="s">
        <v>343</v>
      </c>
      <c r="G487" s="388"/>
      <c r="H487" s="384" t="s">
        <v>343</v>
      </c>
      <c r="I487" s="383">
        <v>-61669.21</v>
      </c>
    </row>
    <row r="488" spans="1:10" x14ac:dyDescent="0.2">
      <c r="A488" s="383" t="s">
        <v>73</v>
      </c>
      <c r="B488" s="397">
        <v>45597</v>
      </c>
      <c r="C488" s="397" t="s">
        <v>535</v>
      </c>
      <c r="D488" s="383">
        <v>5</v>
      </c>
      <c r="E488" s="383" t="s">
        <v>532</v>
      </c>
      <c r="F488" s="401" t="s">
        <v>345</v>
      </c>
      <c r="G488" s="401"/>
      <c r="H488" s="402" t="s">
        <v>345</v>
      </c>
      <c r="I488" s="406">
        <f>I477+I478+I479+I480+I481+I482+I483+I484+I485+I486+I487</f>
        <v>4140841.3664000006</v>
      </c>
      <c r="J488" s="352">
        <f>IF(C488="A",-I488/$I$470,I488/$I$470)</f>
        <v>0.67392788165547712</v>
      </c>
    </row>
    <row r="489" spans="1:10" x14ac:dyDescent="0.2">
      <c r="A489" s="383" t="s">
        <v>73</v>
      </c>
      <c r="B489" s="397">
        <v>45597</v>
      </c>
      <c r="C489" s="397" t="s">
        <v>534</v>
      </c>
      <c r="D489" s="383">
        <v>6</v>
      </c>
      <c r="E489" s="383" t="s">
        <v>524</v>
      </c>
      <c r="F489" s="388" t="s">
        <v>349</v>
      </c>
      <c r="G489" s="388"/>
      <c r="H489" s="384" t="s">
        <v>473</v>
      </c>
      <c r="I489" s="383">
        <v>-27886.19</v>
      </c>
    </row>
    <row r="490" spans="1:10" x14ac:dyDescent="0.2">
      <c r="A490" s="383" t="s">
        <v>73</v>
      </c>
      <c r="B490" s="397">
        <v>45597</v>
      </c>
      <c r="C490" s="397" t="s">
        <v>534</v>
      </c>
      <c r="D490" s="383">
        <v>6</v>
      </c>
      <c r="E490" s="383" t="s">
        <v>524</v>
      </c>
      <c r="F490" s="388" t="s">
        <v>350</v>
      </c>
      <c r="G490" s="388"/>
      <c r="H490" s="384" t="s">
        <v>474</v>
      </c>
      <c r="I490" s="383">
        <v>-1860.3</v>
      </c>
    </row>
    <row r="491" spans="1:10" x14ac:dyDescent="0.2">
      <c r="A491" s="383" t="s">
        <v>73</v>
      </c>
      <c r="B491" s="397">
        <v>45597</v>
      </c>
      <c r="C491" s="397" t="s">
        <v>534</v>
      </c>
      <c r="D491" s="383">
        <v>6</v>
      </c>
      <c r="E491" s="383" t="s">
        <v>524</v>
      </c>
      <c r="F491" s="388" t="s">
        <v>351</v>
      </c>
      <c r="G491" s="388"/>
      <c r="H491" s="384" t="s">
        <v>475</v>
      </c>
      <c r="I491" s="383">
        <v>-35357.480000000003</v>
      </c>
    </row>
    <row r="492" spans="1:10" x14ac:dyDescent="0.2">
      <c r="A492" s="383" t="s">
        <v>73</v>
      </c>
      <c r="B492" s="397">
        <v>45597</v>
      </c>
      <c r="C492" s="397" t="s">
        <v>534</v>
      </c>
      <c r="D492" s="383">
        <v>6</v>
      </c>
      <c r="E492" s="383" t="s">
        <v>524</v>
      </c>
      <c r="F492" s="388" t="s">
        <v>352</v>
      </c>
      <c r="G492" s="388"/>
      <c r="H492" s="384" t="s">
        <v>476</v>
      </c>
      <c r="I492" s="383">
        <v>-5887.36</v>
      </c>
    </row>
    <row r="493" spans="1:10" x14ac:dyDescent="0.2">
      <c r="A493" s="383" t="s">
        <v>73</v>
      </c>
      <c r="B493" s="397">
        <v>45597</v>
      </c>
      <c r="C493" s="397" t="s">
        <v>534</v>
      </c>
      <c r="D493" s="383">
        <v>6</v>
      </c>
      <c r="E493" s="383" t="s">
        <v>524</v>
      </c>
      <c r="F493" s="388" t="s">
        <v>353</v>
      </c>
      <c r="G493" s="388"/>
      <c r="H493" s="384" t="s">
        <v>477</v>
      </c>
      <c r="I493" s="383">
        <v>-43561.63</v>
      </c>
    </row>
    <row r="494" spans="1:10" x14ac:dyDescent="0.2">
      <c r="A494" s="383" t="s">
        <v>73</v>
      </c>
      <c r="B494" s="397">
        <v>45597</v>
      </c>
      <c r="C494" s="397" t="s">
        <v>534</v>
      </c>
      <c r="D494" s="383">
        <v>6</v>
      </c>
      <c r="E494" s="383" t="s">
        <v>524</v>
      </c>
      <c r="F494" s="388" t="s">
        <v>354</v>
      </c>
      <c r="G494" s="388"/>
      <c r="H494" s="384" t="s">
        <v>478</v>
      </c>
      <c r="I494" s="383">
        <v>-34162.67</v>
      </c>
    </row>
    <row r="495" spans="1:10" x14ac:dyDescent="0.2">
      <c r="A495" s="383" t="s">
        <v>73</v>
      </c>
      <c r="B495" s="397">
        <v>45597</v>
      </c>
      <c r="C495" s="397" t="s">
        <v>534</v>
      </c>
      <c r="D495" s="383">
        <v>6</v>
      </c>
      <c r="E495" s="383" t="s">
        <v>524</v>
      </c>
      <c r="F495" s="390" t="s">
        <v>355</v>
      </c>
      <c r="G495" s="390"/>
      <c r="H495" s="384" t="s">
        <v>355</v>
      </c>
      <c r="I495" s="383">
        <v>-81642.240000000005</v>
      </c>
    </row>
    <row r="496" spans="1:10" x14ac:dyDescent="0.2">
      <c r="A496" s="383" t="s">
        <v>73</v>
      </c>
      <c r="B496" s="397">
        <v>45597</v>
      </c>
      <c r="C496" s="397" t="s">
        <v>534</v>
      </c>
      <c r="D496" s="383">
        <v>6</v>
      </c>
      <c r="E496" s="383" t="s">
        <v>524</v>
      </c>
      <c r="F496" s="390" t="s">
        <v>356</v>
      </c>
      <c r="G496" s="390"/>
      <c r="H496" s="384" t="s">
        <v>356</v>
      </c>
      <c r="I496" s="383">
        <v>-600306.92999999982</v>
      </c>
    </row>
    <row r="497" spans="1:10" x14ac:dyDescent="0.2">
      <c r="A497" s="383" t="s">
        <v>73</v>
      </c>
      <c r="B497" s="397">
        <v>45597</v>
      </c>
      <c r="C497" s="397" t="s">
        <v>534</v>
      </c>
      <c r="D497" s="383">
        <v>6</v>
      </c>
      <c r="E497" s="383" t="s">
        <v>524</v>
      </c>
      <c r="F497" s="390" t="s">
        <v>357</v>
      </c>
      <c r="G497" s="390"/>
      <c r="H497" s="384" t="s">
        <v>357</v>
      </c>
      <c r="I497" s="383">
        <v>-6602.67</v>
      </c>
    </row>
    <row r="498" spans="1:10" x14ac:dyDescent="0.2">
      <c r="A498" s="383" t="s">
        <v>73</v>
      </c>
      <c r="B498" s="397">
        <v>45597</v>
      </c>
      <c r="C498" s="397" t="s">
        <v>535</v>
      </c>
      <c r="D498" s="383">
        <v>7</v>
      </c>
      <c r="E498" s="383" t="s">
        <v>529</v>
      </c>
      <c r="F498" s="400" t="s">
        <v>358</v>
      </c>
      <c r="G498" s="400"/>
      <c r="H498" s="403" t="s">
        <v>358</v>
      </c>
      <c r="I498" s="396">
        <f>I488+I489+I490+I491+I492+I493+I494+I495+I496+I497</f>
        <v>3303573.8964000014</v>
      </c>
      <c r="J498" s="352">
        <f>IF(C498="A",-I498/$I$470,I498/$I$470)</f>
        <v>0.53766139798510659</v>
      </c>
    </row>
    <row r="499" spans="1:10" x14ac:dyDescent="0.2">
      <c r="A499" s="383" t="s">
        <v>73</v>
      </c>
      <c r="B499" s="397">
        <v>45597</v>
      </c>
      <c r="C499" s="397" t="s">
        <v>534</v>
      </c>
      <c r="D499" s="383">
        <v>8</v>
      </c>
      <c r="E499" s="383" t="s">
        <v>527</v>
      </c>
      <c r="F499" s="385" t="s">
        <v>359</v>
      </c>
      <c r="G499" s="385"/>
      <c r="H499" s="384" t="s">
        <v>479</v>
      </c>
      <c r="I499" s="383">
        <v>0</v>
      </c>
    </row>
    <row r="500" spans="1:10" x14ac:dyDescent="0.2">
      <c r="A500" s="383" t="s">
        <v>73</v>
      </c>
      <c r="B500" s="397">
        <v>45597</v>
      </c>
      <c r="C500" s="397" t="s">
        <v>534</v>
      </c>
      <c r="D500" s="383">
        <v>8</v>
      </c>
      <c r="E500" s="383" t="s">
        <v>527</v>
      </c>
      <c r="F500" s="385" t="s">
        <v>360</v>
      </c>
      <c r="G500" s="385"/>
      <c r="H500" s="384" t="s">
        <v>480</v>
      </c>
      <c r="I500" s="383">
        <v>47746.04</v>
      </c>
    </row>
    <row r="501" spans="1:10" x14ac:dyDescent="0.2">
      <c r="A501" s="383" t="s">
        <v>73</v>
      </c>
      <c r="B501" s="397">
        <v>45597</v>
      </c>
      <c r="C501" s="397" t="s">
        <v>534</v>
      </c>
      <c r="D501" s="383">
        <v>8</v>
      </c>
      <c r="E501" s="383" t="s">
        <v>527</v>
      </c>
      <c r="F501" s="390" t="s">
        <v>361</v>
      </c>
      <c r="G501" s="390"/>
      <c r="H501" s="384" t="s">
        <v>481</v>
      </c>
      <c r="I501" s="383">
        <v>-12859.4</v>
      </c>
    </row>
    <row r="502" spans="1:10" x14ac:dyDescent="0.2">
      <c r="A502" s="383" t="s">
        <v>73</v>
      </c>
      <c r="B502" s="397">
        <v>45597</v>
      </c>
      <c r="C502" s="397" t="s">
        <v>534</v>
      </c>
      <c r="D502" s="383">
        <v>9</v>
      </c>
      <c r="E502" s="383" t="s">
        <v>526</v>
      </c>
      <c r="F502" s="390" t="s">
        <v>363</v>
      </c>
      <c r="G502" s="390"/>
      <c r="H502" s="384" t="s">
        <v>363</v>
      </c>
      <c r="I502" s="383">
        <v>-572999.98</v>
      </c>
    </row>
    <row r="503" spans="1:10" x14ac:dyDescent="0.2">
      <c r="A503" s="383" t="s">
        <v>73</v>
      </c>
      <c r="B503" s="397">
        <v>45597</v>
      </c>
      <c r="C503" s="397" t="s">
        <v>534</v>
      </c>
      <c r="D503" s="383">
        <v>9</v>
      </c>
      <c r="E503" s="383" t="s">
        <v>526</v>
      </c>
      <c r="F503" s="390" t="s">
        <v>364</v>
      </c>
      <c r="G503" s="390"/>
      <c r="H503" s="384" t="s">
        <v>364</v>
      </c>
      <c r="I503" s="383">
        <v>-32092.9664204</v>
      </c>
    </row>
    <row r="504" spans="1:10" x14ac:dyDescent="0.2">
      <c r="A504" s="383" t="s">
        <v>73</v>
      </c>
      <c r="B504" s="397">
        <v>45597</v>
      </c>
      <c r="C504" s="397" t="s">
        <v>534</v>
      </c>
      <c r="D504" s="383">
        <v>9</v>
      </c>
      <c r="E504" s="383" t="s">
        <v>526</v>
      </c>
      <c r="F504" s="394" t="s">
        <v>273</v>
      </c>
      <c r="G504" s="394"/>
      <c r="H504" s="398" t="s">
        <v>563</v>
      </c>
      <c r="I504" s="383">
        <v>-400000</v>
      </c>
    </row>
    <row r="505" spans="1:10" x14ac:dyDescent="0.2">
      <c r="A505" s="383" t="s">
        <v>73</v>
      </c>
      <c r="B505" s="397">
        <v>45597</v>
      </c>
      <c r="C505" s="397" t="s">
        <v>534</v>
      </c>
      <c r="D505" s="383">
        <v>10</v>
      </c>
      <c r="E505" s="383" t="s">
        <v>452</v>
      </c>
      <c r="F505" s="400" t="s">
        <v>365</v>
      </c>
      <c r="G505" s="400"/>
      <c r="H505" s="403" t="s">
        <v>365</v>
      </c>
      <c r="I505" s="396">
        <f>I471+I472+I473+I474+I475+I476+I484+I485+I486+I487+I489+I490+I491+I492+I493+I494+I495+I496+I497+I499+I500+I501+I502+I503+I504</f>
        <v>-3810971.4100203994</v>
      </c>
      <c r="J505" s="352">
        <f>IF(C505="A",-I505/$I$470,I505/$I$470)</f>
        <v>0.62024107232040671</v>
      </c>
    </row>
    <row r="506" spans="1:10" x14ac:dyDescent="0.2">
      <c r="A506" s="383" t="s">
        <v>73</v>
      </c>
      <c r="B506" s="397">
        <v>45597</v>
      </c>
      <c r="C506" s="397" t="s">
        <v>535</v>
      </c>
      <c r="D506" s="383">
        <v>11</v>
      </c>
      <c r="E506" s="383" t="s">
        <v>528</v>
      </c>
      <c r="F506" s="400" t="s">
        <v>367</v>
      </c>
      <c r="G506" s="400"/>
      <c r="H506" s="403" t="s">
        <v>367</v>
      </c>
      <c r="I506" s="395">
        <f>I470+I505</f>
        <v>2333367.5899156001</v>
      </c>
      <c r="J506" s="352">
        <f>IF(C506="A",-I506/$I$470,I506/$I$470)</f>
        <v>0.37975892767959335</v>
      </c>
    </row>
    <row r="507" spans="1:10" x14ac:dyDescent="0.2">
      <c r="A507" s="383" t="s">
        <v>516</v>
      </c>
      <c r="B507" s="397">
        <v>45597</v>
      </c>
      <c r="C507" s="397" t="s">
        <v>536</v>
      </c>
      <c r="D507" s="383">
        <v>1</v>
      </c>
      <c r="E507" s="384" t="s">
        <v>530</v>
      </c>
      <c r="F507" s="400" t="s">
        <v>440</v>
      </c>
      <c r="G507" s="400"/>
      <c r="H507" s="404" t="s">
        <v>440</v>
      </c>
      <c r="I507" s="407">
        <f>[5]Sucumbências!$BM$43</f>
        <v>0</v>
      </c>
      <c r="J507" s="352">
        <v>1</v>
      </c>
    </row>
    <row r="508" spans="1:10" x14ac:dyDescent="0.2">
      <c r="A508" s="383" t="s">
        <v>516</v>
      </c>
      <c r="B508" s="397">
        <v>45597</v>
      </c>
      <c r="C508" s="397" t="s">
        <v>534</v>
      </c>
      <c r="D508" s="383">
        <v>4</v>
      </c>
      <c r="E508" s="383" t="s">
        <v>525</v>
      </c>
      <c r="F508" s="388" t="s">
        <v>340</v>
      </c>
      <c r="G508" s="388"/>
      <c r="H508" s="404" t="s">
        <v>340</v>
      </c>
      <c r="I508" s="407">
        <f>-GLOSAS!$BN$43</f>
        <v>-40923.06</v>
      </c>
    </row>
    <row r="509" spans="1:10" x14ac:dyDescent="0.2">
      <c r="A509" s="383" t="s">
        <v>516</v>
      </c>
      <c r="B509" s="397">
        <v>45597</v>
      </c>
      <c r="C509" s="397" t="s">
        <v>534</v>
      </c>
      <c r="D509" s="383">
        <v>9</v>
      </c>
      <c r="E509" s="383" t="s">
        <v>526</v>
      </c>
      <c r="F509" s="390" t="s">
        <v>363</v>
      </c>
      <c r="G509" s="390"/>
      <c r="H509" s="404" t="s">
        <v>363</v>
      </c>
      <c r="I509" s="407">
        <f>-I507*0.1</f>
        <v>0</v>
      </c>
    </row>
    <row r="510" spans="1:10" x14ac:dyDescent="0.2">
      <c r="A510" s="383" t="s">
        <v>516</v>
      </c>
      <c r="B510" s="397">
        <v>45597</v>
      </c>
      <c r="C510" s="397" t="s">
        <v>535</v>
      </c>
      <c r="D510" s="383">
        <v>11</v>
      </c>
      <c r="E510" s="383" t="s">
        <v>528</v>
      </c>
      <c r="F510" s="400" t="s">
        <v>367</v>
      </c>
      <c r="G510" s="400"/>
      <c r="H510" s="404" t="s">
        <v>367</v>
      </c>
      <c r="I510" s="407">
        <f>I507+I508+I509</f>
        <v>-40923.06</v>
      </c>
      <c r="J510" s="352" t="e">
        <f>IF(C510="A",-I510/I507,I510/I507)</f>
        <v>#DIV/0!</v>
      </c>
    </row>
    <row r="511" spans="1:10" x14ac:dyDescent="0.2">
      <c r="A511" s="383" t="s">
        <v>522</v>
      </c>
      <c r="B511" s="397">
        <v>45597</v>
      </c>
      <c r="C511" s="397" t="s">
        <v>536</v>
      </c>
      <c r="D511" s="383">
        <v>1</v>
      </c>
      <c r="E511" s="384" t="s">
        <v>530</v>
      </c>
      <c r="F511" s="400" t="s">
        <v>440</v>
      </c>
      <c r="G511" s="400"/>
      <c r="H511" s="405" t="s">
        <v>440</v>
      </c>
      <c r="I511" s="396">
        <f>I470-I507</f>
        <v>6144338.9999359995</v>
      </c>
      <c r="J511" s="352">
        <v>1</v>
      </c>
    </row>
    <row r="512" spans="1:10" x14ac:dyDescent="0.2">
      <c r="A512" s="383" t="s">
        <v>522</v>
      </c>
      <c r="B512" s="397">
        <v>45597</v>
      </c>
      <c r="C512" s="397" t="s">
        <v>534</v>
      </c>
      <c r="D512" s="383">
        <v>2</v>
      </c>
      <c r="E512" s="384" t="s">
        <v>325</v>
      </c>
      <c r="F512" s="390" t="s">
        <v>326</v>
      </c>
      <c r="G512" s="390"/>
      <c r="H512" s="384" t="s">
        <v>519</v>
      </c>
      <c r="I512" s="406">
        <f t="shared" ref="I512:I524" si="13">I471</f>
        <v>-283258.96999999997</v>
      </c>
    </row>
    <row r="513" spans="1:9" x14ac:dyDescent="0.2">
      <c r="A513" s="383" t="s">
        <v>522</v>
      </c>
      <c r="B513" s="397">
        <v>45597</v>
      </c>
      <c r="C513" s="397" t="s">
        <v>534</v>
      </c>
      <c r="D513" s="383">
        <v>2</v>
      </c>
      <c r="E513" s="384" t="s">
        <v>325</v>
      </c>
      <c r="F513" s="385" t="s">
        <v>328</v>
      </c>
      <c r="G513" s="385"/>
      <c r="H513" s="384" t="s">
        <v>521</v>
      </c>
      <c r="I513" s="406">
        <f t="shared" si="13"/>
        <v>-4189.25</v>
      </c>
    </row>
    <row r="514" spans="1:9" x14ac:dyDescent="0.2">
      <c r="A514" s="383" t="s">
        <v>522</v>
      </c>
      <c r="B514" s="397">
        <v>45597</v>
      </c>
      <c r="C514" s="397" t="s">
        <v>534</v>
      </c>
      <c r="D514" s="383">
        <v>2</v>
      </c>
      <c r="E514" s="384" t="s">
        <v>325</v>
      </c>
      <c r="F514" s="385" t="s">
        <v>329</v>
      </c>
      <c r="G514" s="385"/>
      <c r="H514" s="384" t="s">
        <v>329</v>
      </c>
      <c r="I514" s="406">
        <f t="shared" si="13"/>
        <v>0</v>
      </c>
    </row>
    <row r="515" spans="1:9" x14ac:dyDescent="0.2">
      <c r="A515" s="383" t="s">
        <v>522</v>
      </c>
      <c r="B515" s="397">
        <v>45597</v>
      </c>
      <c r="C515" s="397" t="s">
        <v>534</v>
      </c>
      <c r="D515" s="383">
        <v>2</v>
      </c>
      <c r="E515" s="384" t="s">
        <v>325</v>
      </c>
      <c r="F515" s="385" t="s">
        <v>330</v>
      </c>
      <c r="G515" s="385"/>
      <c r="H515" s="384" t="s">
        <v>330</v>
      </c>
      <c r="I515" s="406">
        <f t="shared" si="13"/>
        <v>0</v>
      </c>
    </row>
    <row r="516" spans="1:9" x14ac:dyDescent="0.2">
      <c r="A516" s="383" t="s">
        <v>522</v>
      </c>
      <c r="B516" s="397">
        <v>45597</v>
      </c>
      <c r="C516" s="397" t="s">
        <v>534</v>
      </c>
      <c r="D516" s="383">
        <v>2</v>
      </c>
      <c r="E516" s="384" t="s">
        <v>325</v>
      </c>
      <c r="F516" s="385" t="s">
        <v>331</v>
      </c>
      <c r="G516" s="385"/>
      <c r="H516" s="384" t="s">
        <v>331</v>
      </c>
      <c r="I516" s="406">
        <f t="shared" si="13"/>
        <v>-894.94</v>
      </c>
    </row>
    <row r="517" spans="1:9" x14ac:dyDescent="0.2">
      <c r="A517" s="383" t="s">
        <v>522</v>
      </c>
      <c r="B517" s="397">
        <v>45597</v>
      </c>
      <c r="C517" s="397" t="s">
        <v>534</v>
      </c>
      <c r="D517" s="383">
        <v>2</v>
      </c>
      <c r="E517" s="384" t="s">
        <v>325</v>
      </c>
      <c r="F517" s="384" t="s">
        <v>332</v>
      </c>
      <c r="G517" s="384"/>
      <c r="H517" s="384" t="s">
        <v>520</v>
      </c>
      <c r="I517" s="406">
        <f t="shared" si="13"/>
        <v>0</v>
      </c>
    </row>
    <row r="518" spans="1:9" x14ac:dyDescent="0.2">
      <c r="A518" s="383" t="s">
        <v>522</v>
      </c>
      <c r="B518" s="397">
        <v>45597</v>
      </c>
      <c r="C518" s="397" t="s">
        <v>535</v>
      </c>
      <c r="D518" s="383">
        <v>3</v>
      </c>
      <c r="E518" s="384" t="s">
        <v>531</v>
      </c>
      <c r="F518" s="385" t="s">
        <v>334</v>
      </c>
      <c r="G518" s="385"/>
      <c r="H518" s="384" t="s">
        <v>334</v>
      </c>
      <c r="I518" s="406">
        <f t="shared" si="13"/>
        <v>5152175.71</v>
      </c>
    </row>
    <row r="519" spans="1:9" x14ac:dyDescent="0.2">
      <c r="A519" s="383" t="s">
        <v>522</v>
      </c>
      <c r="B519" s="397">
        <v>45597</v>
      </c>
      <c r="C519" s="397" t="s">
        <v>535</v>
      </c>
      <c r="D519" s="383">
        <v>3</v>
      </c>
      <c r="E519" s="384" t="s">
        <v>531</v>
      </c>
      <c r="F519" s="385" t="s">
        <v>335</v>
      </c>
      <c r="G519" s="385"/>
      <c r="H519" s="384" t="s">
        <v>335</v>
      </c>
      <c r="I519" s="406">
        <f t="shared" si="13"/>
        <v>292277.13</v>
      </c>
    </row>
    <row r="520" spans="1:9" x14ac:dyDescent="0.2">
      <c r="A520" s="383" t="s">
        <v>522</v>
      </c>
      <c r="B520" s="397">
        <v>45597</v>
      </c>
      <c r="C520" s="397" t="s">
        <v>535</v>
      </c>
      <c r="D520" s="383">
        <v>3</v>
      </c>
      <c r="E520" s="384" t="s">
        <v>531</v>
      </c>
      <c r="F520" s="385" t="s">
        <v>336</v>
      </c>
      <c r="G520" s="385"/>
      <c r="H520" s="384" t="s">
        <v>336</v>
      </c>
      <c r="I520" s="406">
        <f t="shared" si="13"/>
        <v>0</v>
      </c>
    </row>
    <row r="521" spans="1:9" x14ac:dyDescent="0.2">
      <c r="A521" s="383" t="s">
        <v>522</v>
      </c>
      <c r="B521" s="397">
        <v>45597</v>
      </c>
      <c r="C521" s="397" t="s">
        <v>535</v>
      </c>
      <c r="D521" s="383">
        <v>3</v>
      </c>
      <c r="E521" s="384" t="s">
        <v>531</v>
      </c>
      <c r="F521" s="387" t="s">
        <v>273</v>
      </c>
      <c r="G521" s="387"/>
      <c r="H521" s="384" t="s">
        <v>562</v>
      </c>
      <c r="I521" s="406">
        <f t="shared" si="13"/>
        <v>400000</v>
      </c>
    </row>
    <row r="522" spans="1:9" x14ac:dyDescent="0.2">
      <c r="A522" s="383" t="s">
        <v>522</v>
      </c>
      <c r="B522" s="397">
        <v>45597</v>
      </c>
      <c r="C522" s="397" t="s">
        <v>535</v>
      </c>
      <c r="D522" s="383">
        <v>3</v>
      </c>
      <c r="E522" s="384" t="s">
        <v>531</v>
      </c>
      <c r="F522" s="387" t="s">
        <v>513</v>
      </c>
      <c r="G522" s="387"/>
      <c r="H522" s="384" t="s">
        <v>513</v>
      </c>
      <c r="I522" s="406">
        <f t="shared" si="13"/>
        <v>0</v>
      </c>
    </row>
    <row r="523" spans="1:9" x14ac:dyDescent="0.2">
      <c r="A523" s="383" t="s">
        <v>522</v>
      </c>
      <c r="B523" s="397">
        <v>45597</v>
      </c>
      <c r="C523" s="397" t="s">
        <v>535</v>
      </c>
      <c r="D523" s="383">
        <v>3</v>
      </c>
      <c r="E523" s="384" t="s">
        <v>531</v>
      </c>
      <c r="F523" s="387" t="s">
        <v>514</v>
      </c>
      <c r="G523" s="387"/>
      <c r="H523" s="384" t="s">
        <v>514</v>
      </c>
      <c r="I523" s="406">
        <f t="shared" si="13"/>
        <v>0</v>
      </c>
    </row>
    <row r="524" spans="1:9" x14ac:dyDescent="0.2">
      <c r="A524" s="383" t="s">
        <v>522</v>
      </c>
      <c r="B524" s="397">
        <v>45597</v>
      </c>
      <c r="C524" s="397" t="s">
        <v>535</v>
      </c>
      <c r="D524" s="383">
        <v>3</v>
      </c>
      <c r="E524" s="384" t="s">
        <v>531</v>
      </c>
      <c r="F524" s="385" t="s">
        <v>337</v>
      </c>
      <c r="G524" s="385"/>
      <c r="H524" s="384" t="s">
        <v>337</v>
      </c>
      <c r="I524" s="406">
        <f t="shared" si="13"/>
        <v>11543</v>
      </c>
    </row>
    <row r="525" spans="1:9" x14ac:dyDescent="0.2">
      <c r="A525" s="383" t="s">
        <v>522</v>
      </c>
      <c r="B525" s="397">
        <v>45597</v>
      </c>
      <c r="C525" s="397" t="s">
        <v>534</v>
      </c>
      <c r="D525" s="383">
        <v>4</v>
      </c>
      <c r="E525" s="383" t="s">
        <v>523</v>
      </c>
      <c r="F525" s="388" t="s">
        <v>340</v>
      </c>
      <c r="G525" s="388"/>
      <c r="H525" s="405" t="s">
        <v>340</v>
      </c>
      <c r="I525" s="396">
        <f>I484-I508</f>
        <v>4189.25</v>
      </c>
    </row>
    <row r="526" spans="1:9" x14ac:dyDescent="0.2">
      <c r="A526" s="383" t="s">
        <v>522</v>
      </c>
      <c r="B526" s="397">
        <v>45597</v>
      </c>
      <c r="C526" s="397" t="s">
        <v>534</v>
      </c>
      <c r="D526" s="383">
        <v>4</v>
      </c>
      <c r="E526" s="383" t="s">
        <v>523</v>
      </c>
      <c r="F526" s="388" t="s">
        <v>341</v>
      </c>
      <c r="G526" s="388"/>
      <c r="H526" s="384" t="s">
        <v>341</v>
      </c>
      <c r="I526" s="406">
        <f>I485</f>
        <v>-264809.08</v>
      </c>
    </row>
    <row r="527" spans="1:9" x14ac:dyDescent="0.2">
      <c r="A527" s="383" t="s">
        <v>522</v>
      </c>
      <c r="B527" s="397">
        <v>45597</v>
      </c>
      <c r="C527" s="397" t="s">
        <v>534</v>
      </c>
      <c r="D527" s="383">
        <v>4</v>
      </c>
      <c r="E527" s="383" t="s">
        <v>523</v>
      </c>
      <c r="F527" s="388" t="s">
        <v>342</v>
      </c>
      <c r="G527" s="388"/>
      <c r="H527" s="384" t="s">
        <v>342</v>
      </c>
      <c r="I527" s="406">
        <f>I486</f>
        <v>-1351942.3735999998</v>
      </c>
    </row>
    <row r="528" spans="1:9" x14ac:dyDescent="0.2">
      <c r="A528" s="383" t="s">
        <v>522</v>
      </c>
      <c r="B528" s="397">
        <v>45597</v>
      </c>
      <c r="C528" s="397" t="s">
        <v>534</v>
      </c>
      <c r="D528" s="383">
        <v>4</v>
      </c>
      <c r="E528" s="383" t="s">
        <v>523</v>
      </c>
      <c r="F528" s="388" t="s">
        <v>343</v>
      </c>
      <c r="G528" s="388"/>
      <c r="H528" s="384" t="s">
        <v>343</v>
      </c>
      <c r="I528" s="406">
        <f>I487</f>
        <v>-61669.21</v>
      </c>
    </row>
    <row r="529" spans="1:10" x14ac:dyDescent="0.2">
      <c r="A529" s="383" t="s">
        <v>522</v>
      </c>
      <c r="B529" s="397">
        <v>45597</v>
      </c>
      <c r="C529" s="397" t="s">
        <v>535</v>
      </c>
      <c r="D529" s="383">
        <v>5</v>
      </c>
      <c r="E529" s="383" t="s">
        <v>532</v>
      </c>
      <c r="F529" s="401" t="s">
        <v>345</v>
      </c>
      <c r="G529" s="401"/>
      <c r="H529" s="403" t="s">
        <v>345</v>
      </c>
      <c r="I529" s="406">
        <f>I511+I512+I513+I514+I515+I516+I517+I525+I526+I527+I528</f>
        <v>4181764.4263359997</v>
      </c>
      <c r="J529" s="352">
        <f>IF(C529="A",-I529/$I$511,I529/$I$511)</f>
        <v>0.68058816845547709</v>
      </c>
    </row>
    <row r="530" spans="1:10" x14ac:dyDescent="0.2">
      <c r="A530" s="383" t="s">
        <v>522</v>
      </c>
      <c r="B530" s="397">
        <v>45597</v>
      </c>
      <c r="C530" s="397" t="s">
        <v>534</v>
      </c>
      <c r="D530" s="383">
        <v>6</v>
      </c>
      <c r="E530" s="383" t="s">
        <v>524</v>
      </c>
      <c r="F530" s="388" t="s">
        <v>349</v>
      </c>
      <c r="G530" s="388"/>
      <c r="H530" s="384" t="s">
        <v>473</v>
      </c>
      <c r="I530" s="406">
        <f t="shared" ref="I530:I538" si="14">I489</f>
        <v>-27886.19</v>
      </c>
    </row>
    <row r="531" spans="1:10" x14ac:dyDescent="0.2">
      <c r="A531" s="383" t="s">
        <v>522</v>
      </c>
      <c r="B531" s="397">
        <v>45597</v>
      </c>
      <c r="C531" s="397" t="s">
        <v>534</v>
      </c>
      <c r="D531" s="383">
        <v>6</v>
      </c>
      <c r="E531" s="383" t="s">
        <v>524</v>
      </c>
      <c r="F531" s="388" t="s">
        <v>350</v>
      </c>
      <c r="G531" s="388"/>
      <c r="H531" s="384" t="s">
        <v>474</v>
      </c>
      <c r="I531" s="406">
        <f t="shared" si="14"/>
        <v>-1860.3</v>
      </c>
    </row>
    <row r="532" spans="1:10" x14ac:dyDescent="0.2">
      <c r="A532" s="383" t="s">
        <v>522</v>
      </c>
      <c r="B532" s="397">
        <v>45597</v>
      </c>
      <c r="C532" s="397" t="s">
        <v>534</v>
      </c>
      <c r="D532" s="383">
        <v>6</v>
      </c>
      <c r="E532" s="383" t="s">
        <v>524</v>
      </c>
      <c r="F532" s="388" t="s">
        <v>351</v>
      </c>
      <c r="G532" s="388"/>
      <c r="H532" s="384" t="s">
        <v>475</v>
      </c>
      <c r="I532" s="406">
        <f t="shared" si="14"/>
        <v>-35357.480000000003</v>
      </c>
    </row>
    <row r="533" spans="1:10" x14ac:dyDescent="0.2">
      <c r="A533" s="383" t="s">
        <v>522</v>
      </c>
      <c r="B533" s="397">
        <v>45597</v>
      </c>
      <c r="C533" s="397" t="s">
        <v>534</v>
      </c>
      <c r="D533" s="383">
        <v>6</v>
      </c>
      <c r="E533" s="383" t="s">
        <v>524</v>
      </c>
      <c r="F533" s="388" t="s">
        <v>352</v>
      </c>
      <c r="G533" s="388"/>
      <c r="H533" s="384" t="s">
        <v>476</v>
      </c>
      <c r="I533" s="406">
        <f t="shared" si="14"/>
        <v>-5887.36</v>
      </c>
    </row>
    <row r="534" spans="1:10" x14ac:dyDescent="0.2">
      <c r="A534" s="383" t="s">
        <v>522</v>
      </c>
      <c r="B534" s="397">
        <v>45597</v>
      </c>
      <c r="C534" s="397" t="s">
        <v>534</v>
      </c>
      <c r="D534" s="383">
        <v>6</v>
      </c>
      <c r="E534" s="383" t="s">
        <v>524</v>
      </c>
      <c r="F534" s="388" t="s">
        <v>353</v>
      </c>
      <c r="G534" s="388"/>
      <c r="H534" s="384" t="s">
        <v>477</v>
      </c>
      <c r="I534" s="406">
        <f t="shared" si="14"/>
        <v>-43561.63</v>
      </c>
    </row>
    <row r="535" spans="1:10" x14ac:dyDescent="0.2">
      <c r="A535" s="383" t="s">
        <v>522</v>
      </c>
      <c r="B535" s="397">
        <v>45597</v>
      </c>
      <c r="C535" s="397" t="s">
        <v>534</v>
      </c>
      <c r="D535" s="383">
        <v>6</v>
      </c>
      <c r="E535" s="383" t="s">
        <v>524</v>
      </c>
      <c r="F535" s="388" t="s">
        <v>354</v>
      </c>
      <c r="G535" s="388"/>
      <c r="H535" s="384" t="s">
        <v>478</v>
      </c>
      <c r="I535" s="406">
        <f t="shared" si="14"/>
        <v>-34162.67</v>
      </c>
    </row>
    <row r="536" spans="1:10" x14ac:dyDescent="0.2">
      <c r="A536" s="383" t="s">
        <v>522</v>
      </c>
      <c r="B536" s="397">
        <v>45597</v>
      </c>
      <c r="C536" s="397" t="s">
        <v>534</v>
      </c>
      <c r="D536" s="383">
        <v>6</v>
      </c>
      <c r="E536" s="383" t="s">
        <v>524</v>
      </c>
      <c r="F536" s="390" t="s">
        <v>355</v>
      </c>
      <c r="G536" s="390"/>
      <c r="H536" s="384" t="s">
        <v>355</v>
      </c>
      <c r="I536" s="406">
        <f t="shared" si="14"/>
        <v>-81642.240000000005</v>
      </c>
    </row>
    <row r="537" spans="1:10" x14ac:dyDescent="0.2">
      <c r="A537" s="383" t="s">
        <v>522</v>
      </c>
      <c r="B537" s="397">
        <v>45597</v>
      </c>
      <c r="C537" s="397" t="s">
        <v>534</v>
      </c>
      <c r="D537" s="383">
        <v>6</v>
      </c>
      <c r="E537" s="383" t="s">
        <v>524</v>
      </c>
      <c r="F537" s="390" t="s">
        <v>356</v>
      </c>
      <c r="G537" s="390"/>
      <c r="H537" s="384" t="s">
        <v>356</v>
      </c>
      <c r="I537" s="406">
        <f t="shared" si="14"/>
        <v>-600306.92999999982</v>
      </c>
    </row>
    <row r="538" spans="1:10" x14ac:dyDescent="0.2">
      <c r="A538" s="383" t="s">
        <v>522</v>
      </c>
      <c r="B538" s="397">
        <v>45597</v>
      </c>
      <c r="C538" s="397" t="s">
        <v>534</v>
      </c>
      <c r="D538" s="383">
        <v>6</v>
      </c>
      <c r="E538" s="383" t="s">
        <v>524</v>
      </c>
      <c r="F538" s="390" t="s">
        <v>357</v>
      </c>
      <c r="G538" s="390"/>
      <c r="H538" s="384" t="s">
        <v>357</v>
      </c>
      <c r="I538" s="406">
        <f t="shared" si="14"/>
        <v>-6602.67</v>
      </c>
    </row>
    <row r="539" spans="1:10" x14ac:dyDescent="0.2">
      <c r="A539" s="383" t="s">
        <v>522</v>
      </c>
      <c r="B539" s="397">
        <v>45597</v>
      </c>
      <c r="C539" s="397" t="s">
        <v>535</v>
      </c>
      <c r="D539" s="383">
        <v>7</v>
      </c>
      <c r="E539" s="383" t="s">
        <v>529</v>
      </c>
      <c r="F539" s="400" t="s">
        <v>358</v>
      </c>
      <c r="G539" s="400"/>
      <c r="H539" s="403" t="s">
        <v>358</v>
      </c>
      <c r="I539" s="396">
        <f>I529+I530+I531+I532+I533+I534+I535+I536+I537+I538</f>
        <v>3344496.9563360005</v>
      </c>
      <c r="J539" s="352">
        <f>IF(C539="A",-I539/$I$511,I539/$I$511)</f>
        <v>0.54432168478510667</v>
      </c>
    </row>
    <row r="540" spans="1:10" x14ac:dyDescent="0.2">
      <c r="A540" s="383" t="s">
        <v>522</v>
      </c>
      <c r="B540" s="397">
        <v>45597</v>
      </c>
      <c r="C540" s="397" t="s">
        <v>534</v>
      </c>
      <c r="D540" s="383">
        <v>8</v>
      </c>
      <c r="E540" s="383" t="s">
        <v>527</v>
      </c>
      <c r="F540" s="385" t="s">
        <v>359</v>
      </c>
      <c r="G540" s="385"/>
      <c r="H540" s="384" t="s">
        <v>479</v>
      </c>
      <c r="I540" s="406">
        <f>I499</f>
        <v>0</v>
      </c>
    </row>
    <row r="541" spans="1:10" x14ac:dyDescent="0.2">
      <c r="A541" s="383" t="s">
        <v>522</v>
      </c>
      <c r="B541" s="397">
        <v>45597</v>
      </c>
      <c r="C541" s="397" t="s">
        <v>534</v>
      </c>
      <c r="D541" s="383">
        <v>8</v>
      </c>
      <c r="E541" s="383" t="s">
        <v>527</v>
      </c>
      <c r="F541" s="385" t="s">
        <v>360</v>
      </c>
      <c r="G541" s="385"/>
      <c r="H541" s="384" t="s">
        <v>480</v>
      </c>
      <c r="I541" s="406">
        <f>I500</f>
        <v>47746.04</v>
      </c>
    </row>
    <row r="542" spans="1:10" x14ac:dyDescent="0.2">
      <c r="A542" s="383" t="s">
        <v>522</v>
      </c>
      <c r="B542" s="397">
        <v>45597</v>
      </c>
      <c r="C542" s="397" t="s">
        <v>534</v>
      </c>
      <c r="D542" s="383">
        <v>8</v>
      </c>
      <c r="E542" s="383" t="s">
        <v>527</v>
      </c>
      <c r="F542" s="390" t="s">
        <v>361</v>
      </c>
      <c r="G542" s="390"/>
      <c r="H542" s="384" t="s">
        <v>481</v>
      </c>
      <c r="I542" s="406">
        <f>I501</f>
        <v>-12859.4</v>
      </c>
    </row>
    <row r="543" spans="1:10" x14ac:dyDescent="0.2">
      <c r="A543" s="383" t="s">
        <v>522</v>
      </c>
      <c r="B543" s="397">
        <v>45597</v>
      </c>
      <c r="C543" s="397" t="s">
        <v>534</v>
      </c>
      <c r="D543" s="383">
        <v>9</v>
      </c>
      <c r="E543" s="383" t="s">
        <v>526</v>
      </c>
      <c r="F543" s="390" t="s">
        <v>363</v>
      </c>
      <c r="G543" s="390"/>
      <c r="H543" s="405" t="s">
        <v>363</v>
      </c>
      <c r="I543" s="396">
        <f>I502-I509</f>
        <v>-572999.98</v>
      </c>
    </row>
    <row r="544" spans="1:10" x14ac:dyDescent="0.2">
      <c r="A544" s="383" t="s">
        <v>522</v>
      </c>
      <c r="B544" s="397">
        <v>45597</v>
      </c>
      <c r="C544" s="397" t="s">
        <v>534</v>
      </c>
      <c r="D544" s="383">
        <v>9</v>
      </c>
      <c r="E544" s="383" t="s">
        <v>526</v>
      </c>
      <c r="F544" s="390" t="s">
        <v>364</v>
      </c>
      <c r="G544" s="390"/>
      <c r="H544" s="384" t="s">
        <v>364</v>
      </c>
      <c r="I544" s="406">
        <f>I503</f>
        <v>-32092.9664204</v>
      </c>
    </row>
    <row r="545" spans="1:10" x14ac:dyDescent="0.2">
      <c r="A545" s="383" t="s">
        <v>522</v>
      </c>
      <c r="B545" s="397">
        <v>45597</v>
      </c>
      <c r="C545" s="397" t="s">
        <v>534</v>
      </c>
      <c r="D545" s="383">
        <v>9</v>
      </c>
      <c r="E545" s="383" t="s">
        <v>526</v>
      </c>
      <c r="F545" s="394" t="s">
        <v>273</v>
      </c>
      <c r="G545" s="394"/>
      <c r="H545" s="398" t="s">
        <v>563</v>
      </c>
      <c r="I545" s="406">
        <f>I504</f>
        <v>-400000</v>
      </c>
    </row>
    <row r="546" spans="1:10" x14ac:dyDescent="0.2">
      <c r="A546" s="383" t="s">
        <v>522</v>
      </c>
      <c r="B546" s="397">
        <v>45597</v>
      </c>
      <c r="C546" s="397" t="s">
        <v>534</v>
      </c>
      <c r="D546" s="383">
        <v>10</v>
      </c>
      <c r="E546" s="383" t="s">
        <v>452</v>
      </c>
      <c r="F546" s="400" t="s">
        <v>365</v>
      </c>
      <c r="G546" s="400"/>
      <c r="H546" s="403" t="s">
        <v>365</v>
      </c>
      <c r="I546" s="396">
        <f>I512+I513+I514+I515+I516+I517+I525+I526+I527+I528+I530+I531+I532+I533+I534+I535+I536+I537+I538+I540+I541+I542+I543+I544+I545</f>
        <v>-3770048.3500203993</v>
      </c>
      <c r="J546" s="352">
        <f>IF(C546="A",-I546/$I$511,I546/$I$511)</f>
        <v>0.6135807855099904</v>
      </c>
    </row>
    <row r="547" spans="1:10" x14ac:dyDescent="0.2">
      <c r="A547" s="383" t="s">
        <v>522</v>
      </c>
      <c r="B547" s="397">
        <v>45597</v>
      </c>
      <c r="C547" s="397" t="s">
        <v>535</v>
      </c>
      <c r="D547" s="383">
        <v>11</v>
      </c>
      <c r="E547" s="383" t="s">
        <v>528</v>
      </c>
      <c r="F547" s="400" t="s">
        <v>367</v>
      </c>
      <c r="G547" s="400"/>
      <c r="H547" s="405" t="s">
        <v>367</v>
      </c>
      <c r="I547" s="395">
        <f>I511+I546</f>
        <v>2374290.6499156002</v>
      </c>
      <c r="J547" s="352">
        <f>IF(C547="A",-I547/$I$511,I547/$I$511)</f>
        <v>0.3864192144900096</v>
      </c>
    </row>
    <row r="548" spans="1:10" x14ac:dyDescent="0.2">
      <c r="A548" s="383" t="s">
        <v>73</v>
      </c>
      <c r="B548" s="397">
        <v>45627</v>
      </c>
      <c r="C548" s="397" t="s">
        <v>536</v>
      </c>
      <c r="D548" s="383">
        <v>1</v>
      </c>
      <c r="E548" s="384" t="s">
        <v>530</v>
      </c>
      <c r="F548" s="400" t="s">
        <v>440</v>
      </c>
      <c r="G548" s="400"/>
      <c r="H548" s="384" t="s">
        <v>440</v>
      </c>
      <c r="I548" s="383">
        <v>5312105.9099210007</v>
      </c>
      <c r="J548" s="352">
        <v>1</v>
      </c>
    </row>
    <row r="549" spans="1:10" x14ac:dyDescent="0.2">
      <c r="A549" s="383" t="s">
        <v>73</v>
      </c>
      <c r="B549" s="397">
        <v>45627</v>
      </c>
      <c r="C549" s="397" t="s">
        <v>534</v>
      </c>
      <c r="D549" s="383">
        <v>2</v>
      </c>
      <c r="E549" s="384" t="s">
        <v>325</v>
      </c>
      <c r="F549" s="390" t="s">
        <v>326</v>
      </c>
      <c r="G549" s="390"/>
      <c r="H549" s="384" t="s">
        <v>519</v>
      </c>
      <c r="I549" s="383">
        <v>-194131.24</v>
      </c>
    </row>
    <row r="550" spans="1:10" x14ac:dyDescent="0.2">
      <c r="A550" s="383" t="s">
        <v>73</v>
      </c>
      <c r="B550" s="397">
        <v>45627</v>
      </c>
      <c r="C550" s="397" t="s">
        <v>534</v>
      </c>
      <c r="D550" s="383">
        <v>2</v>
      </c>
      <c r="E550" s="384" t="s">
        <v>325</v>
      </c>
      <c r="F550" s="385" t="s">
        <v>328</v>
      </c>
      <c r="G550" s="385"/>
      <c r="H550" s="384" t="s">
        <v>521</v>
      </c>
      <c r="I550" s="383">
        <v>-11743.11</v>
      </c>
    </row>
    <row r="551" spans="1:10" x14ac:dyDescent="0.2">
      <c r="A551" s="383" t="s">
        <v>73</v>
      </c>
      <c r="B551" s="397">
        <v>45627</v>
      </c>
      <c r="C551" s="397" t="s">
        <v>534</v>
      </c>
      <c r="D551" s="383">
        <v>2</v>
      </c>
      <c r="E551" s="384" t="s">
        <v>325</v>
      </c>
      <c r="F551" s="385" t="s">
        <v>329</v>
      </c>
      <c r="G551" s="385"/>
      <c r="H551" s="384" t="s">
        <v>329</v>
      </c>
      <c r="I551" s="383">
        <v>0</v>
      </c>
    </row>
    <row r="552" spans="1:10" x14ac:dyDescent="0.2">
      <c r="A552" s="383" t="s">
        <v>73</v>
      </c>
      <c r="B552" s="397">
        <v>45627</v>
      </c>
      <c r="C552" s="397" t="s">
        <v>534</v>
      </c>
      <c r="D552" s="383">
        <v>2</v>
      </c>
      <c r="E552" s="384" t="s">
        <v>325</v>
      </c>
      <c r="F552" s="385" t="s">
        <v>330</v>
      </c>
      <c r="G552" s="385"/>
      <c r="H552" s="384" t="s">
        <v>330</v>
      </c>
      <c r="I552" s="383">
        <v>0</v>
      </c>
    </row>
    <row r="553" spans="1:10" x14ac:dyDescent="0.2">
      <c r="A553" s="383" t="s">
        <v>73</v>
      </c>
      <c r="B553" s="397">
        <v>45627</v>
      </c>
      <c r="C553" s="397" t="s">
        <v>534</v>
      </c>
      <c r="D553" s="383">
        <v>2</v>
      </c>
      <c r="E553" s="384" t="s">
        <v>325</v>
      </c>
      <c r="F553" s="385" t="s">
        <v>331</v>
      </c>
      <c r="G553" s="385"/>
      <c r="H553" s="384" t="s">
        <v>331</v>
      </c>
      <c r="I553" s="383">
        <v>-374.46</v>
      </c>
    </row>
    <row r="554" spans="1:10" x14ac:dyDescent="0.2">
      <c r="A554" s="383" t="s">
        <v>73</v>
      </c>
      <c r="B554" s="397">
        <v>45627</v>
      </c>
      <c r="C554" s="397" t="s">
        <v>534</v>
      </c>
      <c r="D554" s="383">
        <v>2</v>
      </c>
      <c r="E554" s="384" t="s">
        <v>325</v>
      </c>
      <c r="F554" s="384" t="s">
        <v>332</v>
      </c>
      <c r="G554" s="384"/>
      <c r="H554" s="384" t="s">
        <v>520</v>
      </c>
    </row>
    <row r="555" spans="1:10" x14ac:dyDescent="0.2">
      <c r="A555" s="383" t="s">
        <v>73</v>
      </c>
      <c r="B555" s="397">
        <v>45627</v>
      </c>
      <c r="C555" s="397" t="s">
        <v>535</v>
      </c>
      <c r="D555" s="383">
        <v>3</v>
      </c>
      <c r="E555" s="384" t="s">
        <v>531</v>
      </c>
      <c r="F555" s="385" t="s">
        <v>334</v>
      </c>
      <c r="G555" s="385"/>
      <c r="H555" s="384" t="s">
        <v>334</v>
      </c>
      <c r="I555" s="383">
        <v>3627014.84</v>
      </c>
    </row>
    <row r="556" spans="1:10" x14ac:dyDescent="0.2">
      <c r="A556" s="383" t="s">
        <v>73</v>
      </c>
      <c r="B556" s="397">
        <v>45627</v>
      </c>
      <c r="C556" s="397" t="s">
        <v>535</v>
      </c>
      <c r="D556" s="383">
        <v>3</v>
      </c>
      <c r="E556" s="384" t="s">
        <v>531</v>
      </c>
      <c r="F556" s="385" t="s">
        <v>335</v>
      </c>
      <c r="G556" s="385"/>
      <c r="H556" s="384" t="s">
        <v>335</v>
      </c>
      <c r="I556" s="383">
        <v>943376.74</v>
      </c>
    </row>
    <row r="557" spans="1:10" x14ac:dyDescent="0.2">
      <c r="A557" s="383" t="s">
        <v>73</v>
      </c>
      <c r="B557" s="397">
        <v>45627</v>
      </c>
      <c r="C557" s="397" t="s">
        <v>535</v>
      </c>
      <c r="D557" s="383">
        <v>3</v>
      </c>
      <c r="E557" s="384" t="s">
        <v>531</v>
      </c>
      <c r="F557" s="385" t="s">
        <v>336</v>
      </c>
      <c r="G557" s="385"/>
      <c r="H557" s="384" t="s">
        <v>336</v>
      </c>
      <c r="I557" s="383">
        <v>9750</v>
      </c>
    </row>
    <row r="558" spans="1:10" x14ac:dyDescent="0.2">
      <c r="A558" s="383" t="s">
        <v>73</v>
      </c>
      <c r="B558" s="397">
        <v>45627</v>
      </c>
      <c r="C558" s="397" t="s">
        <v>535</v>
      </c>
      <c r="D558" s="383">
        <v>3</v>
      </c>
      <c r="E558" s="384" t="s">
        <v>531</v>
      </c>
      <c r="F558" s="387" t="s">
        <v>273</v>
      </c>
      <c r="G558" s="387"/>
      <c r="H558" s="384" t="s">
        <v>562</v>
      </c>
      <c r="I558" s="383">
        <v>500000</v>
      </c>
    </row>
    <row r="559" spans="1:10" x14ac:dyDescent="0.2">
      <c r="A559" s="383" t="s">
        <v>73</v>
      </c>
      <c r="B559" s="397">
        <v>45627</v>
      </c>
      <c r="C559" s="397" t="s">
        <v>535</v>
      </c>
      <c r="D559" s="383">
        <v>3</v>
      </c>
      <c r="E559" s="384" t="s">
        <v>531</v>
      </c>
      <c r="F559" s="387" t="s">
        <v>513</v>
      </c>
      <c r="G559" s="387"/>
      <c r="H559" s="384" t="s">
        <v>513</v>
      </c>
      <c r="I559" s="383">
        <v>0</v>
      </c>
    </row>
    <row r="560" spans="1:10" x14ac:dyDescent="0.2">
      <c r="A560" s="383" t="s">
        <v>73</v>
      </c>
      <c r="B560" s="397">
        <v>45627</v>
      </c>
      <c r="C560" s="397" t="s">
        <v>535</v>
      </c>
      <c r="D560" s="383">
        <v>3</v>
      </c>
      <c r="E560" s="384" t="s">
        <v>531</v>
      </c>
      <c r="F560" s="387" t="s">
        <v>514</v>
      </c>
      <c r="G560" s="387"/>
      <c r="H560" s="384" t="s">
        <v>514</v>
      </c>
      <c r="I560" s="383">
        <v>23224.43</v>
      </c>
    </row>
    <row r="561" spans="1:10" x14ac:dyDescent="0.2">
      <c r="A561" s="383" t="s">
        <v>73</v>
      </c>
      <c r="B561" s="397">
        <v>45627</v>
      </c>
      <c r="C561" s="397" t="s">
        <v>535</v>
      </c>
      <c r="D561" s="383">
        <v>3</v>
      </c>
      <c r="E561" s="384" t="s">
        <v>531</v>
      </c>
      <c r="F561" s="385" t="s">
        <v>337</v>
      </c>
      <c r="G561" s="385"/>
      <c r="H561" s="384" t="s">
        <v>337</v>
      </c>
      <c r="I561" s="383">
        <v>2491.0899999999997</v>
      </c>
    </row>
    <row r="562" spans="1:10" x14ac:dyDescent="0.2">
      <c r="A562" s="383" t="s">
        <v>73</v>
      </c>
      <c r="B562" s="397">
        <v>45627</v>
      </c>
      <c r="C562" s="397" t="s">
        <v>534</v>
      </c>
      <c r="D562" s="383">
        <v>4</v>
      </c>
      <c r="E562" s="383" t="s">
        <v>523</v>
      </c>
      <c r="F562" s="388" t="s">
        <v>340</v>
      </c>
      <c r="G562" s="388"/>
      <c r="H562" s="384" t="s">
        <v>340</v>
      </c>
      <c r="I562" s="383">
        <v>-39949.51</v>
      </c>
    </row>
    <row r="563" spans="1:10" x14ac:dyDescent="0.2">
      <c r="A563" s="383" t="s">
        <v>73</v>
      </c>
      <c r="B563" s="397">
        <v>45627</v>
      </c>
      <c r="C563" s="397" t="s">
        <v>534</v>
      </c>
      <c r="D563" s="383">
        <v>4</v>
      </c>
      <c r="E563" s="383" t="s">
        <v>523</v>
      </c>
      <c r="F563" s="388" t="s">
        <v>341</v>
      </c>
      <c r="G563" s="388"/>
      <c r="H563" s="384" t="s">
        <v>341</v>
      </c>
      <c r="I563" s="383">
        <v>-254639.2</v>
      </c>
    </row>
    <row r="564" spans="1:10" x14ac:dyDescent="0.2">
      <c r="A564" s="383" t="s">
        <v>73</v>
      </c>
      <c r="B564" s="397">
        <v>45627</v>
      </c>
      <c r="C564" s="397" t="s">
        <v>534</v>
      </c>
      <c r="D564" s="383">
        <v>4</v>
      </c>
      <c r="E564" s="383" t="s">
        <v>523</v>
      </c>
      <c r="F564" s="388" t="s">
        <v>342</v>
      </c>
      <c r="G564" s="388"/>
      <c r="H564" s="384" t="s">
        <v>342</v>
      </c>
      <c r="I564" s="383">
        <v>-1333428.7895000002</v>
      </c>
    </row>
    <row r="565" spans="1:10" x14ac:dyDescent="0.2">
      <c r="A565" s="383" t="s">
        <v>73</v>
      </c>
      <c r="B565" s="397">
        <v>45627</v>
      </c>
      <c r="C565" s="397" t="s">
        <v>534</v>
      </c>
      <c r="D565" s="383">
        <v>4</v>
      </c>
      <c r="E565" s="383" t="s">
        <v>523</v>
      </c>
      <c r="F565" s="388" t="s">
        <v>343</v>
      </c>
      <c r="G565" s="388"/>
      <c r="H565" s="384" t="s">
        <v>343</v>
      </c>
      <c r="I565" s="383">
        <v>-74138.52</v>
      </c>
    </row>
    <row r="566" spans="1:10" x14ac:dyDescent="0.2">
      <c r="A566" s="383" t="s">
        <v>73</v>
      </c>
      <c r="B566" s="397">
        <v>45627</v>
      </c>
      <c r="C566" s="397" t="s">
        <v>535</v>
      </c>
      <c r="D566" s="383">
        <v>5</v>
      </c>
      <c r="E566" s="383" t="s">
        <v>532</v>
      </c>
      <c r="F566" s="401" t="s">
        <v>345</v>
      </c>
      <c r="G566" s="401"/>
      <c r="H566" s="402" t="s">
        <v>345</v>
      </c>
      <c r="I566" s="406">
        <f>I555+I556+I557+I558+I559+I560+I561+I562+I563+I564+I565</f>
        <v>3403701.0804999997</v>
      </c>
      <c r="J566" s="352">
        <f>IF(C566="A",-I566/$I$548,I566/$I$548)</f>
        <v>0.64074420544650212</v>
      </c>
    </row>
    <row r="567" spans="1:10" x14ac:dyDescent="0.2">
      <c r="A567" s="383" t="s">
        <v>73</v>
      </c>
      <c r="B567" s="397">
        <v>45627</v>
      </c>
      <c r="C567" s="397" t="s">
        <v>534</v>
      </c>
      <c r="D567" s="383">
        <v>6</v>
      </c>
      <c r="E567" s="383" t="s">
        <v>524</v>
      </c>
      <c r="F567" s="388" t="s">
        <v>349</v>
      </c>
      <c r="G567" s="388"/>
      <c r="H567" s="384" t="s">
        <v>473</v>
      </c>
      <c r="I567" s="383">
        <v>-25292.07</v>
      </c>
    </row>
    <row r="568" spans="1:10" x14ac:dyDescent="0.2">
      <c r="A568" s="383" t="s">
        <v>73</v>
      </c>
      <c r="B568" s="397">
        <v>45627</v>
      </c>
      <c r="C568" s="397" t="s">
        <v>534</v>
      </c>
      <c r="D568" s="383">
        <v>6</v>
      </c>
      <c r="E568" s="383" t="s">
        <v>524</v>
      </c>
      <c r="F568" s="388" t="s">
        <v>350</v>
      </c>
      <c r="G568" s="388"/>
      <c r="H568" s="384" t="s">
        <v>474</v>
      </c>
      <c r="I568" s="383">
        <v>-7664.7900000000009</v>
      </c>
    </row>
    <row r="569" spans="1:10" x14ac:dyDescent="0.2">
      <c r="A569" s="383" t="s">
        <v>73</v>
      </c>
      <c r="B569" s="397">
        <v>45627</v>
      </c>
      <c r="C569" s="397" t="s">
        <v>534</v>
      </c>
      <c r="D569" s="383">
        <v>6</v>
      </c>
      <c r="E569" s="383" t="s">
        <v>524</v>
      </c>
      <c r="F569" s="388" t="s">
        <v>351</v>
      </c>
      <c r="G569" s="388"/>
      <c r="H569" s="384" t="s">
        <v>475</v>
      </c>
      <c r="I569" s="383">
        <v>-82781.58</v>
      </c>
    </row>
    <row r="570" spans="1:10" x14ac:dyDescent="0.2">
      <c r="A570" s="383" t="s">
        <v>73</v>
      </c>
      <c r="B570" s="397">
        <v>45627</v>
      </c>
      <c r="C570" s="397" t="s">
        <v>534</v>
      </c>
      <c r="D570" s="383">
        <v>6</v>
      </c>
      <c r="E570" s="383" t="s">
        <v>524</v>
      </c>
      <c r="F570" s="388" t="s">
        <v>352</v>
      </c>
      <c r="G570" s="388"/>
      <c r="H570" s="384" t="s">
        <v>476</v>
      </c>
      <c r="I570" s="383">
        <v>-5727.88</v>
      </c>
    </row>
    <row r="571" spans="1:10" x14ac:dyDescent="0.2">
      <c r="A571" s="383" t="s">
        <v>73</v>
      </c>
      <c r="B571" s="397">
        <v>45627</v>
      </c>
      <c r="C571" s="397" t="s">
        <v>534</v>
      </c>
      <c r="D571" s="383">
        <v>6</v>
      </c>
      <c r="E571" s="383" t="s">
        <v>524</v>
      </c>
      <c r="F571" s="388" t="s">
        <v>353</v>
      </c>
      <c r="G571" s="388"/>
      <c r="H571" s="384" t="s">
        <v>477</v>
      </c>
      <c r="I571" s="383">
        <v>-42967.49</v>
      </c>
    </row>
    <row r="572" spans="1:10" x14ac:dyDescent="0.2">
      <c r="A572" s="383" t="s">
        <v>73</v>
      </c>
      <c r="B572" s="397">
        <v>45627</v>
      </c>
      <c r="C572" s="397" t="s">
        <v>534</v>
      </c>
      <c r="D572" s="383">
        <v>6</v>
      </c>
      <c r="E572" s="383" t="s">
        <v>524</v>
      </c>
      <c r="F572" s="388" t="s">
        <v>354</v>
      </c>
      <c r="G572" s="388"/>
      <c r="H572" s="384" t="s">
        <v>478</v>
      </c>
      <c r="I572" s="383">
        <v>-19319</v>
      </c>
    </row>
    <row r="573" spans="1:10" x14ac:dyDescent="0.2">
      <c r="A573" s="383" t="s">
        <v>73</v>
      </c>
      <c r="B573" s="397">
        <v>45627</v>
      </c>
      <c r="C573" s="397" t="s">
        <v>534</v>
      </c>
      <c r="D573" s="383">
        <v>6</v>
      </c>
      <c r="E573" s="383" t="s">
        <v>524</v>
      </c>
      <c r="F573" s="390" t="s">
        <v>355</v>
      </c>
      <c r="G573" s="390"/>
      <c r="H573" s="384" t="s">
        <v>355</v>
      </c>
      <c r="I573" s="383">
        <v>-82098.929999999993</v>
      </c>
    </row>
    <row r="574" spans="1:10" x14ac:dyDescent="0.2">
      <c r="A574" s="383" t="s">
        <v>73</v>
      </c>
      <c r="B574" s="397">
        <v>45627</v>
      </c>
      <c r="C574" s="397" t="s">
        <v>534</v>
      </c>
      <c r="D574" s="383">
        <v>6</v>
      </c>
      <c r="E574" s="383" t="s">
        <v>524</v>
      </c>
      <c r="F574" s="390" t="s">
        <v>356</v>
      </c>
      <c r="G574" s="390"/>
      <c r="H574" s="384" t="s">
        <v>356</v>
      </c>
      <c r="I574" s="383">
        <v>-615099.82999999996</v>
      </c>
    </row>
    <row r="575" spans="1:10" x14ac:dyDescent="0.2">
      <c r="A575" s="383" t="s">
        <v>73</v>
      </c>
      <c r="B575" s="397">
        <v>45627</v>
      </c>
      <c r="C575" s="397" t="s">
        <v>534</v>
      </c>
      <c r="D575" s="383">
        <v>6</v>
      </c>
      <c r="E575" s="383" t="s">
        <v>524</v>
      </c>
      <c r="F575" s="390" t="s">
        <v>357</v>
      </c>
      <c r="G575" s="390"/>
      <c r="H575" s="384" t="s">
        <v>357</v>
      </c>
      <c r="I575" s="383">
        <v>-6910.08</v>
      </c>
    </row>
    <row r="576" spans="1:10" x14ac:dyDescent="0.2">
      <c r="A576" s="383" t="s">
        <v>73</v>
      </c>
      <c r="B576" s="397">
        <v>45627</v>
      </c>
      <c r="C576" s="397" t="s">
        <v>535</v>
      </c>
      <c r="D576" s="383">
        <v>7</v>
      </c>
      <c r="E576" s="383" t="s">
        <v>529</v>
      </c>
      <c r="F576" s="400" t="s">
        <v>358</v>
      </c>
      <c r="G576" s="400"/>
      <c r="H576" s="403" t="s">
        <v>358</v>
      </c>
      <c r="I576" s="396">
        <f>I566+I567+I568+I569+I570+I571+I572+I573+I574+I575</f>
        <v>2515839.4304999993</v>
      </c>
      <c r="J576" s="352">
        <f>IF(C576="A",-I576/$I$548,I576/$I$548)</f>
        <v>0.4736049079521108</v>
      </c>
    </row>
    <row r="577" spans="1:10" x14ac:dyDescent="0.2">
      <c r="A577" s="383" t="s">
        <v>73</v>
      </c>
      <c r="B577" s="397">
        <v>45627</v>
      </c>
      <c r="C577" s="397" t="s">
        <v>534</v>
      </c>
      <c r="D577" s="383">
        <v>8</v>
      </c>
      <c r="E577" s="383" t="s">
        <v>527</v>
      </c>
      <c r="F577" s="385" t="s">
        <v>359</v>
      </c>
      <c r="G577" s="385"/>
      <c r="H577" s="384" t="s">
        <v>479</v>
      </c>
      <c r="I577" s="383">
        <v>0</v>
      </c>
    </row>
    <row r="578" spans="1:10" x14ac:dyDescent="0.2">
      <c r="A578" s="383" t="s">
        <v>73</v>
      </c>
      <c r="B578" s="397">
        <v>45627</v>
      </c>
      <c r="C578" s="397" t="s">
        <v>534</v>
      </c>
      <c r="D578" s="383">
        <v>8</v>
      </c>
      <c r="E578" s="383" t="s">
        <v>527</v>
      </c>
      <c r="F578" s="385" t="s">
        <v>360</v>
      </c>
      <c r="G578" s="385"/>
      <c r="H578" s="384" t="s">
        <v>480</v>
      </c>
      <c r="I578" s="383">
        <v>65531.21</v>
      </c>
    </row>
    <row r="579" spans="1:10" x14ac:dyDescent="0.2">
      <c r="A579" s="383" t="s">
        <v>73</v>
      </c>
      <c r="B579" s="397">
        <v>45627</v>
      </c>
      <c r="C579" s="397" t="s">
        <v>534</v>
      </c>
      <c r="D579" s="383">
        <v>8</v>
      </c>
      <c r="E579" s="383" t="s">
        <v>527</v>
      </c>
      <c r="F579" s="390" t="s">
        <v>361</v>
      </c>
      <c r="G579" s="390"/>
      <c r="H579" s="384" t="s">
        <v>481</v>
      </c>
      <c r="I579" s="383">
        <v>-51616.7</v>
      </c>
    </row>
    <row r="580" spans="1:10" x14ac:dyDescent="0.2">
      <c r="A580" s="383" t="s">
        <v>73</v>
      </c>
      <c r="B580" s="397">
        <v>45627</v>
      </c>
      <c r="C580" s="397" t="s">
        <v>534</v>
      </c>
      <c r="D580" s="383">
        <v>9</v>
      </c>
      <c r="E580" s="383" t="s">
        <v>526</v>
      </c>
      <c r="F580" s="390" t="s">
        <v>363</v>
      </c>
      <c r="G580" s="390"/>
      <c r="H580" s="384" t="s">
        <v>363</v>
      </c>
      <c r="I580" s="383">
        <v>-660493.47</v>
      </c>
    </row>
    <row r="581" spans="1:10" x14ac:dyDescent="0.2">
      <c r="A581" s="383" t="s">
        <v>73</v>
      </c>
      <c r="B581" s="397">
        <v>45627</v>
      </c>
      <c r="C581" s="397" t="s">
        <v>534</v>
      </c>
      <c r="D581" s="383">
        <v>9</v>
      </c>
      <c r="E581" s="383" t="s">
        <v>526</v>
      </c>
      <c r="F581" s="390" t="s">
        <v>364</v>
      </c>
      <c r="G581" s="390"/>
      <c r="H581" s="384" t="s">
        <v>364</v>
      </c>
      <c r="I581" s="383">
        <v>-32092.9664204</v>
      </c>
    </row>
    <row r="582" spans="1:10" x14ac:dyDescent="0.2">
      <c r="A582" s="383" t="s">
        <v>73</v>
      </c>
      <c r="B582" s="397">
        <v>45627</v>
      </c>
      <c r="C582" s="397" t="s">
        <v>534</v>
      </c>
      <c r="D582" s="383">
        <v>9</v>
      </c>
      <c r="E582" s="383" t="s">
        <v>526</v>
      </c>
      <c r="F582" s="394" t="s">
        <v>273</v>
      </c>
      <c r="G582" s="394"/>
      <c r="H582" s="398" t="s">
        <v>563</v>
      </c>
      <c r="I582" s="383">
        <v>-500000</v>
      </c>
    </row>
    <row r="583" spans="1:10" x14ac:dyDescent="0.2">
      <c r="A583" s="383" t="s">
        <v>73</v>
      </c>
      <c r="B583" s="397">
        <v>45627</v>
      </c>
      <c r="C583" s="397" t="s">
        <v>534</v>
      </c>
      <c r="D583" s="383">
        <v>10</v>
      </c>
      <c r="E583" s="383" t="s">
        <v>452</v>
      </c>
      <c r="F583" s="400" t="s">
        <v>365</v>
      </c>
      <c r="G583" s="400"/>
      <c r="H583" s="403" t="s">
        <v>365</v>
      </c>
      <c r="I583" s="396">
        <f>I549+I550+I551+I552+I553+I554+I562+I563+I564+I565+I567+I568+I569+I570+I571+I572+I573+I574+I575+I577+I578+I579+I580+I581+I582</f>
        <v>-3974938.4059204003</v>
      </c>
      <c r="J583" s="352">
        <f>IF(C583="A",-I583/$I$548,I583/$I$548)</f>
        <v>0.74827920853323382</v>
      </c>
    </row>
    <row r="584" spans="1:10" x14ac:dyDescent="0.2">
      <c r="A584" s="383" t="s">
        <v>73</v>
      </c>
      <c r="B584" s="397">
        <v>45627</v>
      </c>
      <c r="C584" s="397" t="s">
        <v>535</v>
      </c>
      <c r="D584" s="383">
        <v>11</v>
      </c>
      <c r="E584" s="383" t="s">
        <v>528</v>
      </c>
      <c r="F584" s="400" t="s">
        <v>367</v>
      </c>
      <c r="G584" s="400"/>
      <c r="H584" s="403" t="s">
        <v>367</v>
      </c>
      <c r="I584" s="395">
        <f>I548+I583</f>
        <v>1337167.5040006004</v>
      </c>
      <c r="J584" s="352">
        <f>IF(C584="A",-I584/$I$548,I584/$I$548)</f>
        <v>0.25172079146676618</v>
      </c>
    </row>
    <row r="585" spans="1:10" x14ac:dyDescent="0.2">
      <c r="A585" s="383" t="s">
        <v>516</v>
      </c>
      <c r="B585" s="397">
        <v>45627</v>
      </c>
      <c r="C585" s="397" t="s">
        <v>536</v>
      </c>
      <c r="D585" s="383">
        <v>1</v>
      </c>
      <c r="E585" s="384" t="s">
        <v>530</v>
      </c>
      <c r="F585" s="400" t="s">
        <v>440</v>
      </c>
      <c r="G585" s="400"/>
      <c r="H585" s="404" t="s">
        <v>440</v>
      </c>
      <c r="I585" s="407">
        <f>[5]Sucumbências!$BN$43</f>
        <v>0</v>
      </c>
      <c r="J585" s="352">
        <v>1</v>
      </c>
    </row>
    <row r="586" spans="1:10" x14ac:dyDescent="0.2">
      <c r="A586" s="383" t="s">
        <v>516</v>
      </c>
      <c r="B586" s="397">
        <v>45627</v>
      </c>
      <c r="C586" s="397" t="s">
        <v>534</v>
      </c>
      <c r="D586" s="383">
        <v>4</v>
      </c>
      <c r="E586" s="383" t="s">
        <v>525</v>
      </c>
      <c r="F586" s="388" t="s">
        <v>340</v>
      </c>
      <c r="G586" s="388"/>
      <c r="H586" s="404" t="s">
        <v>340</v>
      </c>
      <c r="I586" s="407">
        <f>-GLOSAS!$BO$43</f>
        <v>-48676.609999999993</v>
      </c>
    </row>
    <row r="587" spans="1:10" x14ac:dyDescent="0.2">
      <c r="A587" s="383" t="s">
        <v>516</v>
      </c>
      <c r="B587" s="397">
        <v>45627</v>
      </c>
      <c r="C587" s="397" t="s">
        <v>534</v>
      </c>
      <c r="D587" s="383">
        <v>9</v>
      </c>
      <c r="E587" s="383" t="s">
        <v>526</v>
      </c>
      <c r="F587" s="390" t="s">
        <v>363</v>
      </c>
      <c r="G587" s="390"/>
      <c r="H587" s="404" t="s">
        <v>363</v>
      </c>
      <c r="I587" s="407">
        <f>-I585*0.1</f>
        <v>0</v>
      </c>
    </row>
    <row r="588" spans="1:10" x14ac:dyDescent="0.2">
      <c r="A588" s="383" t="s">
        <v>516</v>
      </c>
      <c r="B588" s="397">
        <v>45627</v>
      </c>
      <c r="C588" s="397" t="s">
        <v>535</v>
      </c>
      <c r="D588" s="383">
        <v>11</v>
      </c>
      <c r="E588" s="383" t="s">
        <v>528</v>
      </c>
      <c r="F588" s="400" t="s">
        <v>367</v>
      </c>
      <c r="G588" s="400"/>
      <c r="H588" s="404" t="s">
        <v>367</v>
      </c>
      <c r="I588" s="407">
        <f>I585+I586+I587</f>
        <v>-48676.609999999993</v>
      </c>
      <c r="J588" s="352" t="e">
        <f>IF(C588="A",-I588/I585,I588/I585)</f>
        <v>#DIV/0!</v>
      </c>
    </row>
    <row r="589" spans="1:10" x14ac:dyDescent="0.2">
      <c r="A589" s="383" t="s">
        <v>522</v>
      </c>
      <c r="B589" s="397">
        <v>45627</v>
      </c>
      <c r="C589" s="397" t="s">
        <v>536</v>
      </c>
      <c r="D589" s="383">
        <v>1</v>
      </c>
      <c r="E589" s="384" t="s">
        <v>530</v>
      </c>
      <c r="F589" s="400" t="s">
        <v>440</v>
      </c>
      <c r="G589" s="400"/>
      <c r="H589" s="405" t="s">
        <v>440</v>
      </c>
      <c r="I589" s="396">
        <f>I548-I585</f>
        <v>5312105.9099210007</v>
      </c>
      <c r="J589" s="352">
        <v>1</v>
      </c>
    </row>
    <row r="590" spans="1:10" x14ac:dyDescent="0.2">
      <c r="A590" s="383" t="s">
        <v>522</v>
      </c>
      <c r="B590" s="397">
        <v>45627</v>
      </c>
      <c r="C590" s="397" t="s">
        <v>534</v>
      </c>
      <c r="D590" s="383">
        <v>2</v>
      </c>
      <c r="E590" s="384" t="s">
        <v>325</v>
      </c>
      <c r="F590" s="390" t="s">
        <v>326</v>
      </c>
      <c r="G590" s="390"/>
      <c r="H590" s="384" t="s">
        <v>519</v>
      </c>
      <c r="I590" s="406">
        <f t="shared" ref="I590:I602" si="15">I549</f>
        <v>-194131.24</v>
      </c>
    </row>
    <row r="591" spans="1:10" x14ac:dyDescent="0.2">
      <c r="A591" s="383" t="s">
        <v>522</v>
      </c>
      <c r="B591" s="397">
        <v>45627</v>
      </c>
      <c r="C591" s="397" t="s">
        <v>534</v>
      </c>
      <c r="D591" s="383">
        <v>2</v>
      </c>
      <c r="E591" s="384" t="s">
        <v>325</v>
      </c>
      <c r="F591" s="385" t="s">
        <v>328</v>
      </c>
      <c r="G591" s="385"/>
      <c r="H591" s="384" t="s">
        <v>521</v>
      </c>
      <c r="I591" s="406">
        <f t="shared" si="15"/>
        <v>-11743.11</v>
      </c>
    </row>
    <row r="592" spans="1:10" x14ac:dyDescent="0.2">
      <c r="A592" s="383" t="s">
        <v>522</v>
      </c>
      <c r="B592" s="397">
        <v>45627</v>
      </c>
      <c r="C592" s="397" t="s">
        <v>534</v>
      </c>
      <c r="D592" s="383">
        <v>2</v>
      </c>
      <c r="E592" s="384" t="s">
        <v>325</v>
      </c>
      <c r="F592" s="385" t="s">
        <v>329</v>
      </c>
      <c r="G592" s="385"/>
      <c r="H592" s="384" t="s">
        <v>329</v>
      </c>
      <c r="I592" s="406">
        <f t="shared" si="15"/>
        <v>0</v>
      </c>
    </row>
    <row r="593" spans="1:10" x14ac:dyDescent="0.2">
      <c r="A593" s="383" t="s">
        <v>522</v>
      </c>
      <c r="B593" s="397">
        <v>45627</v>
      </c>
      <c r="C593" s="397" t="s">
        <v>534</v>
      </c>
      <c r="D593" s="383">
        <v>2</v>
      </c>
      <c r="E593" s="384" t="s">
        <v>325</v>
      </c>
      <c r="F593" s="385" t="s">
        <v>330</v>
      </c>
      <c r="G593" s="385"/>
      <c r="H593" s="384" t="s">
        <v>330</v>
      </c>
      <c r="I593" s="406">
        <f t="shared" si="15"/>
        <v>0</v>
      </c>
    </row>
    <row r="594" spans="1:10" x14ac:dyDescent="0.2">
      <c r="A594" s="383" t="s">
        <v>522</v>
      </c>
      <c r="B594" s="397">
        <v>45627</v>
      </c>
      <c r="C594" s="397" t="s">
        <v>534</v>
      </c>
      <c r="D594" s="383">
        <v>2</v>
      </c>
      <c r="E594" s="384" t="s">
        <v>325</v>
      </c>
      <c r="F594" s="385" t="s">
        <v>331</v>
      </c>
      <c r="G594" s="385"/>
      <c r="H594" s="384" t="s">
        <v>331</v>
      </c>
      <c r="I594" s="406">
        <f t="shared" si="15"/>
        <v>-374.46</v>
      </c>
    </row>
    <row r="595" spans="1:10" x14ac:dyDescent="0.2">
      <c r="A595" s="383" t="s">
        <v>522</v>
      </c>
      <c r="B595" s="397">
        <v>45627</v>
      </c>
      <c r="C595" s="397" t="s">
        <v>534</v>
      </c>
      <c r="D595" s="383">
        <v>2</v>
      </c>
      <c r="E595" s="384" t="s">
        <v>325</v>
      </c>
      <c r="F595" s="384" t="s">
        <v>332</v>
      </c>
      <c r="G595" s="384"/>
      <c r="H595" s="384" t="s">
        <v>520</v>
      </c>
      <c r="I595" s="406">
        <f t="shared" si="15"/>
        <v>0</v>
      </c>
    </row>
    <row r="596" spans="1:10" x14ac:dyDescent="0.2">
      <c r="A596" s="383" t="s">
        <v>522</v>
      </c>
      <c r="B596" s="397">
        <v>45627</v>
      </c>
      <c r="C596" s="397" t="s">
        <v>535</v>
      </c>
      <c r="D596" s="383">
        <v>3</v>
      </c>
      <c r="E596" s="384" t="s">
        <v>531</v>
      </c>
      <c r="F596" s="385" t="s">
        <v>334</v>
      </c>
      <c r="G596" s="385"/>
      <c r="H596" s="384" t="s">
        <v>334</v>
      </c>
      <c r="I596" s="406">
        <f t="shared" si="15"/>
        <v>3627014.84</v>
      </c>
    </row>
    <row r="597" spans="1:10" x14ac:dyDescent="0.2">
      <c r="A597" s="383" t="s">
        <v>522</v>
      </c>
      <c r="B597" s="397">
        <v>45627</v>
      </c>
      <c r="C597" s="397" t="s">
        <v>535</v>
      </c>
      <c r="D597" s="383">
        <v>3</v>
      </c>
      <c r="E597" s="384" t="s">
        <v>531</v>
      </c>
      <c r="F597" s="385" t="s">
        <v>335</v>
      </c>
      <c r="G597" s="385"/>
      <c r="H597" s="384" t="s">
        <v>335</v>
      </c>
      <c r="I597" s="406">
        <f t="shared" si="15"/>
        <v>943376.74</v>
      </c>
    </row>
    <row r="598" spans="1:10" x14ac:dyDescent="0.2">
      <c r="A598" s="383" t="s">
        <v>522</v>
      </c>
      <c r="B598" s="397">
        <v>45627</v>
      </c>
      <c r="C598" s="397" t="s">
        <v>535</v>
      </c>
      <c r="D598" s="383">
        <v>3</v>
      </c>
      <c r="E598" s="384" t="s">
        <v>531</v>
      </c>
      <c r="F598" s="385" t="s">
        <v>336</v>
      </c>
      <c r="G598" s="385"/>
      <c r="H598" s="384" t="s">
        <v>336</v>
      </c>
      <c r="I598" s="406">
        <f t="shared" si="15"/>
        <v>9750</v>
      </c>
    </row>
    <row r="599" spans="1:10" x14ac:dyDescent="0.2">
      <c r="A599" s="383" t="s">
        <v>522</v>
      </c>
      <c r="B599" s="397">
        <v>45627</v>
      </c>
      <c r="C599" s="397" t="s">
        <v>535</v>
      </c>
      <c r="D599" s="383">
        <v>3</v>
      </c>
      <c r="E599" s="384" t="s">
        <v>531</v>
      </c>
      <c r="F599" s="387" t="s">
        <v>273</v>
      </c>
      <c r="G599" s="387"/>
      <c r="H599" s="384" t="s">
        <v>562</v>
      </c>
      <c r="I599" s="406">
        <f t="shared" si="15"/>
        <v>500000</v>
      </c>
    </row>
    <row r="600" spans="1:10" x14ac:dyDescent="0.2">
      <c r="A600" s="383" t="s">
        <v>522</v>
      </c>
      <c r="B600" s="397">
        <v>45627</v>
      </c>
      <c r="C600" s="397" t="s">
        <v>535</v>
      </c>
      <c r="D600" s="383">
        <v>3</v>
      </c>
      <c r="E600" s="384" t="s">
        <v>531</v>
      </c>
      <c r="F600" s="387" t="s">
        <v>513</v>
      </c>
      <c r="G600" s="387"/>
      <c r="H600" s="384" t="s">
        <v>513</v>
      </c>
      <c r="I600" s="406">
        <f t="shared" si="15"/>
        <v>0</v>
      </c>
    </row>
    <row r="601" spans="1:10" x14ac:dyDescent="0.2">
      <c r="A601" s="383" t="s">
        <v>522</v>
      </c>
      <c r="B601" s="397">
        <v>45627</v>
      </c>
      <c r="C601" s="397" t="s">
        <v>535</v>
      </c>
      <c r="D601" s="383">
        <v>3</v>
      </c>
      <c r="E601" s="384" t="s">
        <v>531</v>
      </c>
      <c r="F601" s="387" t="s">
        <v>514</v>
      </c>
      <c r="G601" s="387"/>
      <c r="H601" s="384" t="s">
        <v>514</v>
      </c>
      <c r="I601" s="406">
        <f t="shared" si="15"/>
        <v>23224.43</v>
      </c>
    </row>
    <row r="602" spans="1:10" x14ac:dyDescent="0.2">
      <c r="A602" s="383" t="s">
        <v>522</v>
      </c>
      <c r="B602" s="397">
        <v>45627</v>
      </c>
      <c r="C602" s="397" t="s">
        <v>535</v>
      </c>
      <c r="D602" s="383">
        <v>3</v>
      </c>
      <c r="E602" s="384" t="s">
        <v>531</v>
      </c>
      <c r="F602" s="385" t="s">
        <v>337</v>
      </c>
      <c r="G602" s="385"/>
      <c r="H602" s="384" t="s">
        <v>337</v>
      </c>
      <c r="I602" s="406">
        <f t="shared" si="15"/>
        <v>2491.0899999999997</v>
      </c>
    </row>
    <row r="603" spans="1:10" x14ac:dyDescent="0.2">
      <c r="A603" s="383" t="s">
        <v>522</v>
      </c>
      <c r="B603" s="397">
        <v>45627</v>
      </c>
      <c r="C603" s="397" t="s">
        <v>534</v>
      </c>
      <c r="D603" s="383">
        <v>4</v>
      </c>
      <c r="E603" s="383" t="s">
        <v>523</v>
      </c>
      <c r="F603" s="388" t="s">
        <v>340</v>
      </c>
      <c r="G603" s="388"/>
      <c r="H603" s="405" t="s">
        <v>340</v>
      </c>
      <c r="I603" s="396">
        <f>I562-I586</f>
        <v>8727.0999999999913</v>
      </c>
    </row>
    <row r="604" spans="1:10" x14ac:dyDescent="0.2">
      <c r="A604" s="383" t="s">
        <v>522</v>
      </c>
      <c r="B604" s="397">
        <v>45627</v>
      </c>
      <c r="C604" s="397" t="s">
        <v>534</v>
      </c>
      <c r="D604" s="383">
        <v>4</v>
      </c>
      <c r="E604" s="383" t="s">
        <v>523</v>
      </c>
      <c r="F604" s="388" t="s">
        <v>341</v>
      </c>
      <c r="G604" s="388"/>
      <c r="H604" s="384" t="s">
        <v>341</v>
      </c>
      <c r="I604" s="406">
        <f>I563</f>
        <v>-254639.2</v>
      </c>
    </row>
    <row r="605" spans="1:10" x14ac:dyDescent="0.2">
      <c r="A605" s="383" t="s">
        <v>522</v>
      </c>
      <c r="B605" s="397">
        <v>45627</v>
      </c>
      <c r="C605" s="397" t="s">
        <v>534</v>
      </c>
      <c r="D605" s="383">
        <v>4</v>
      </c>
      <c r="E605" s="383" t="s">
        <v>523</v>
      </c>
      <c r="F605" s="388" t="s">
        <v>342</v>
      </c>
      <c r="G605" s="388"/>
      <c r="H605" s="384" t="s">
        <v>342</v>
      </c>
      <c r="I605" s="406">
        <f>I564</f>
        <v>-1333428.7895000002</v>
      </c>
    </row>
    <row r="606" spans="1:10" x14ac:dyDescent="0.2">
      <c r="A606" s="383" t="s">
        <v>522</v>
      </c>
      <c r="B606" s="397">
        <v>45627</v>
      </c>
      <c r="C606" s="397" t="s">
        <v>534</v>
      </c>
      <c r="D606" s="383">
        <v>4</v>
      </c>
      <c r="E606" s="383" t="s">
        <v>523</v>
      </c>
      <c r="F606" s="388" t="s">
        <v>343</v>
      </c>
      <c r="G606" s="388"/>
      <c r="H606" s="384" t="s">
        <v>343</v>
      </c>
      <c r="I606" s="406">
        <f>I565</f>
        <v>-74138.52</v>
      </c>
    </row>
    <row r="607" spans="1:10" x14ac:dyDescent="0.2">
      <c r="A607" s="383" t="s">
        <v>522</v>
      </c>
      <c r="B607" s="397">
        <v>45627</v>
      </c>
      <c r="C607" s="397" t="s">
        <v>535</v>
      </c>
      <c r="D607" s="383">
        <v>5</v>
      </c>
      <c r="E607" s="383" t="s">
        <v>532</v>
      </c>
      <c r="F607" s="401" t="s">
        <v>345</v>
      </c>
      <c r="G607" s="401"/>
      <c r="H607" s="403" t="s">
        <v>345</v>
      </c>
      <c r="I607" s="406">
        <f>I589+I590+I591+I592+I593+I594+I595+I603+I604+I605+I606</f>
        <v>3452377.6904209997</v>
      </c>
      <c r="J607" s="352">
        <f>IF(C607="A",-I607/$I$589,I607/$I$589)</f>
        <v>0.64990754118310523</v>
      </c>
    </row>
    <row r="608" spans="1:10" x14ac:dyDescent="0.2">
      <c r="A608" s="383" t="s">
        <v>522</v>
      </c>
      <c r="B608" s="397">
        <v>45627</v>
      </c>
      <c r="C608" s="397" t="s">
        <v>534</v>
      </c>
      <c r="D608" s="383">
        <v>6</v>
      </c>
      <c r="E608" s="383" t="s">
        <v>524</v>
      </c>
      <c r="F608" s="388" t="s">
        <v>349</v>
      </c>
      <c r="G608" s="388"/>
      <c r="H608" s="384" t="s">
        <v>473</v>
      </c>
      <c r="I608" s="406">
        <f t="shared" ref="I608:I616" si="16">I567</f>
        <v>-25292.07</v>
      </c>
    </row>
    <row r="609" spans="1:10" x14ac:dyDescent="0.2">
      <c r="A609" s="383" t="s">
        <v>522</v>
      </c>
      <c r="B609" s="397">
        <v>45627</v>
      </c>
      <c r="C609" s="397" t="s">
        <v>534</v>
      </c>
      <c r="D609" s="383">
        <v>6</v>
      </c>
      <c r="E609" s="383" t="s">
        <v>524</v>
      </c>
      <c r="F609" s="388" t="s">
        <v>350</v>
      </c>
      <c r="G609" s="388"/>
      <c r="H609" s="384" t="s">
        <v>474</v>
      </c>
      <c r="I609" s="406">
        <f t="shared" si="16"/>
        <v>-7664.7900000000009</v>
      </c>
    </row>
    <row r="610" spans="1:10" x14ac:dyDescent="0.2">
      <c r="A610" s="383" t="s">
        <v>522</v>
      </c>
      <c r="B610" s="397">
        <v>45627</v>
      </c>
      <c r="C610" s="397" t="s">
        <v>534</v>
      </c>
      <c r="D610" s="383">
        <v>6</v>
      </c>
      <c r="E610" s="383" t="s">
        <v>524</v>
      </c>
      <c r="F610" s="388" t="s">
        <v>351</v>
      </c>
      <c r="G610" s="388"/>
      <c r="H610" s="384" t="s">
        <v>475</v>
      </c>
      <c r="I610" s="406">
        <f t="shared" si="16"/>
        <v>-82781.58</v>
      </c>
    </row>
    <row r="611" spans="1:10" x14ac:dyDescent="0.2">
      <c r="A611" s="383" t="s">
        <v>522</v>
      </c>
      <c r="B611" s="397">
        <v>45627</v>
      </c>
      <c r="C611" s="397" t="s">
        <v>534</v>
      </c>
      <c r="D611" s="383">
        <v>6</v>
      </c>
      <c r="E611" s="383" t="s">
        <v>524</v>
      </c>
      <c r="F611" s="388" t="s">
        <v>352</v>
      </c>
      <c r="G611" s="388"/>
      <c r="H611" s="384" t="s">
        <v>476</v>
      </c>
      <c r="I611" s="406">
        <f t="shared" si="16"/>
        <v>-5727.88</v>
      </c>
    </row>
    <row r="612" spans="1:10" x14ac:dyDescent="0.2">
      <c r="A612" s="383" t="s">
        <v>522</v>
      </c>
      <c r="B612" s="397">
        <v>45627</v>
      </c>
      <c r="C612" s="397" t="s">
        <v>534</v>
      </c>
      <c r="D612" s="383">
        <v>6</v>
      </c>
      <c r="E612" s="383" t="s">
        <v>524</v>
      </c>
      <c r="F612" s="388" t="s">
        <v>353</v>
      </c>
      <c r="G612" s="388"/>
      <c r="H612" s="384" t="s">
        <v>477</v>
      </c>
      <c r="I612" s="406">
        <f t="shared" si="16"/>
        <v>-42967.49</v>
      </c>
    </row>
    <row r="613" spans="1:10" x14ac:dyDescent="0.2">
      <c r="A613" s="383" t="s">
        <v>522</v>
      </c>
      <c r="B613" s="397">
        <v>45627</v>
      </c>
      <c r="C613" s="397" t="s">
        <v>534</v>
      </c>
      <c r="D613" s="383">
        <v>6</v>
      </c>
      <c r="E613" s="383" t="s">
        <v>524</v>
      </c>
      <c r="F613" s="388" t="s">
        <v>354</v>
      </c>
      <c r="G613" s="388"/>
      <c r="H613" s="384" t="s">
        <v>478</v>
      </c>
      <c r="I613" s="406">
        <f t="shared" si="16"/>
        <v>-19319</v>
      </c>
    </row>
    <row r="614" spans="1:10" x14ac:dyDescent="0.2">
      <c r="A614" s="383" t="s">
        <v>522</v>
      </c>
      <c r="B614" s="397">
        <v>45627</v>
      </c>
      <c r="C614" s="397" t="s">
        <v>534</v>
      </c>
      <c r="D614" s="383">
        <v>6</v>
      </c>
      <c r="E614" s="383" t="s">
        <v>524</v>
      </c>
      <c r="F614" s="390" t="s">
        <v>355</v>
      </c>
      <c r="G614" s="390"/>
      <c r="H614" s="384" t="s">
        <v>355</v>
      </c>
      <c r="I614" s="406">
        <f t="shared" si="16"/>
        <v>-82098.929999999993</v>
      </c>
    </row>
    <row r="615" spans="1:10" x14ac:dyDescent="0.2">
      <c r="A615" s="383" t="s">
        <v>522</v>
      </c>
      <c r="B615" s="397">
        <v>45627</v>
      </c>
      <c r="C615" s="397" t="s">
        <v>534</v>
      </c>
      <c r="D615" s="383">
        <v>6</v>
      </c>
      <c r="E615" s="383" t="s">
        <v>524</v>
      </c>
      <c r="F615" s="390" t="s">
        <v>356</v>
      </c>
      <c r="G615" s="390"/>
      <c r="H615" s="384" t="s">
        <v>356</v>
      </c>
      <c r="I615" s="406">
        <f t="shared" si="16"/>
        <v>-615099.82999999996</v>
      </c>
    </row>
    <row r="616" spans="1:10" x14ac:dyDescent="0.2">
      <c r="A616" s="383" t="s">
        <v>522</v>
      </c>
      <c r="B616" s="397">
        <v>45627</v>
      </c>
      <c r="C616" s="397" t="s">
        <v>534</v>
      </c>
      <c r="D616" s="383">
        <v>6</v>
      </c>
      <c r="E616" s="383" t="s">
        <v>524</v>
      </c>
      <c r="F616" s="390" t="s">
        <v>357</v>
      </c>
      <c r="G616" s="390"/>
      <c r="H616" s="384" t="s">
        <v>357</v>
      </c>
      <c r="I616" s="406">
        <f t="shared" si="16"/>
        <v>-6910.08</v>
      </c>
    </row>
    <row r="617" spans="1:10" x14ac:dyDescent="0.2">
      <c r="A617" s="383" t="s">
        <v>522</v>
      </c>
      <c r="B617" s="397">
        <v>45627</v>
      </c>
      <c r="C617" s="397" t="s">
        <v>535</v>
      </c>
      <c r="D617" s="383">
        <v>7</v>
      </c>
      <c r="E617" s="383" t="s">
        <v>529</v>
      </c>
      <c r="F617" s="400" t="s">
        <v>358</v>
      </c>
      <c r="G617" s="400"/>
      <c r="H617" s="403" t="s">
        <v>358</v>
      </c>
      <c r="I617" s="396">
        <f>I607+I608+I609+I610+I611+I612+I613+I614+I615+I616</f>
        <v>2564516.0404209993</v>
      </c>
      <c r="J617" s="352">
        <f>IF(C617="A",-I617/$I$589,I617/$I$589)</f>
        <v>0.48276824368871396</v>
      </c>
    </row>
    <row r="618" spans="1:10" x14ac:dyDescent="0.2">
      <c r="A618" s="383" t="s">
        <v>522</v>
      </c>
      <c r="B618" s="397">
        <v>45627</v>
      </c>
      <c r="C618" s="397" t="s">
        <v>534</v>
      </c>
      <c r="D618" s="383">
        <v>8</v>
      </c>
      <c r="E618" s="383" t="s">
        <v>527</v>
      </c>
      <c r="F618" s="385" t="s">
        <v>359</v>
      </c>
      <c r="G618" s="385"/>
      <c r="H618" s="384" t="s">
        <v>479</v>
      </c>
      <c r="I618" s="406">
        <f>I577</f>
        <v>0</v>
      </c>
    </row>
    <row r="619" spans="1:10" x14ac:dyDescent="0.2">
      <c r="A619" s="383" t="s">
        <v>522</v>
      </c>
      <c r="B619" s="397">
        <v>45627</v>
      </c>
      <c r="C619" s="397" t="s">
        <v>534</v>
      </c>
      <c r="D619" s="383">
        <v>8</v>
      </c>
      <c r="E619" s="383" t="s">
        <v>527</v>
      </c>
      <c r="F619" s="385" t="s">
        <v>360</v>
      </c>
      <c r="G619" s="385"/>
      <c r="H619" s="384" t="s">
        <v>480</v>
      </c>
      <c r="I619" s="406">
        <f>I578</f>
        <v>65531.21</v>
      </c>
    </row>
    <row r="620" spans="1:10" x14ac:dyDescent="0.2">
      <c r="A620" s="383" t="s">
        <v>522</v>
      </c>
      <c r="B620" s="397">
        <v>45627</v>
      </c>
      <c r="C620" s="397" t="s">
        <v>534</v>
      </c>
      <c r="D620" s="383">
        <v>8</v>
      </c>
      <c r="E620" s="383" t="s">
        <v>527</v>
      </c>
      <c r="F620" s="390" t="s">
        <v>361</v>
      </c>
      <c r="G620" s="390"/>
      <c r="H620" s="384" t="s">
        <v>481</v>
      </c>
      <c r="I620" s="406">
        <f>I579</f>
        <v>-51616.7</v>
      </c>
    </row>
    <row r="621" spans="1:10" x14ac:dyDescent="0.2">
      <c r="A621" s="383" t="s">
        <v>522</v>
      </c>
      <c r="B621" s="397">
        <v>45627</v>
      </c>
      <c r="C621" s="397" t="s">
        <v>534</v>
      </c>
      <c r="D621" s="383">
        <v>9</v>
      </c>
      <c r="E621" s="383" t="s">
        <v>526</v>
      </c>
      <c r="F621" s="390" t="s">
        <v>363</v>
      </c>
      <c r="G621" s="390"/>
      <c r="H621" s="405" t="s">
        <v>363</v>
      </c>
      <c r="I621" s="396">
        <f>I580-I587</f>
        <v>-660493.47</v>
      </c>
    </row>
    <row r="622" spans="1:10" x14ac:dyDescent="0.2">
      <c r="A622" s="383" t="s">
        <v>522</v>
      </c>
      <c r="B622" s="397">
        <v>45627</v>
      </c>
      <c r="C622" s="397" t="s">
        <v>534</v>
      </c>
      <c r="D622" s="383">
        <v>9</v>
      </c>
      <c r="E622" s="383" t="s">
        <v>526</v>
      </c>
      <c r="F622" s="390" t="s">
        <v>364</v>
      </c>
      <c r="G622" s="390"/>
      <c r="H622" s="384" t="s">
        <v>364</v>
      </c>
      <c r="I622" s="406">
        <f>I581</f>
        <v>-32092.9664204</v>
      </c>
    </row>
    <row r="623" spans="1:10" x14ac:dyDescent="0.2">
      <c r="A623" s="383" t="s">
        <v>522</v>
      </c>
      <c r="B623" s="397">
        <v>45627</v>
      </c>
      <c r="C623" s="397" t="s">
        <v>534</v>
      </c>
      <c r="D623" s="383">
        <v>9</v>
      </c>
      <c r="E623" s="383" t="s">
        <v>526</v>
      </c>
      <c r="F623" s="394" t="s">
        <v>273</v>
      </c>
      <c r="G623" s="394"/>
      <c r="H623" s="398" t="s">
        <v>563</v>
      </c>
      <c r="I623" s="406">
        <f>I582</f>
        <v>-500000</v>
      </c>
    </row>
    <row r="624" spans="1:10" x14ac:dyDescent="0.2">
      <c r="A624" s="383" t="s">
        <v>522</v>
      </c>
      <c r="B624" s="397">
        <v>45627</v>
      </c>
      <c r="C624" s="397" t="s">
        <v>534</v>
      </c>
      <c r="D624" s="383">
        <v>10</v>
      </c>
      <c r="E624" s="383" t="s">
        <v>452</v>
      </c>
      <c r="F624" s="400" t="s">
        <v>365</v>
      </c>
      <c r="G624" s="400"/>
      <c r="H624" s="403" t="s">
        <v>365</v>
      </c>
      <c r="I624" s="396">
        <f>I590+I591+I592+I593+I594+I595+I603+I604+I605+I606+I608+I609+I610+I611+I612+I613+I614+I615+I616+I618+I619+I620+I621+I622+I623</f>
        <v>-3926261.7959204009</v>
      </c>
      <c r="J624" s="352">
        <f>IF(C624="A",-I624/$I$589,I624/$I$589)</f>
        <v>0.73911587278175905</v>
      </c>
    </row>
    <row r="625" spans="1:10" x14ac:dyDescent="0.2">
      <c r="A625" s="383" t="s">
        <v>522</v>
      </c>
      <c r="B625" s="397">
        <v>45627</v>
      </c>
      <c r="C625" s="397" t="s">
        <v>535</v>
      </c>
      <c r="D625" s="383">
        <v>11</v>
      </c>
      <c r="E625" s="383" t="s">
        <v>528</v>
      </c>
      <c r="F625" s="400" t="s">
        <v>367</v>
      </c>
      <c r="G625" s="400"/>
      <c r="H625" s="405" t="s">
        <v>367</v>
      </c>
      <c r="I625" s="395">
        <f>I589+I624</f>
        <v>1385844.1140005998</v>
      </c>
      <c r="J625" s="352">
        <f>IF(C625="A",-I625/$I$589,I625/$I$589)</f>
        <v>0.26088412721824095</v>
      </c>
    </row>
    <row r="626" spans="1:10" ht="14.25" x14ac:dyDescent="0.2">
      <c r="A626" s="383" t="s">
        <v>73</v>
      </c>
      <c r="B626" s="397">
        <v>45658</v>
      </c>
      <c r="C626" s="397" t="s">
        <v>536</v>
      </c>
      <c r="D626" s="383">
        <v>1</v>
      </c>
      <c r="E626" s="384" t="s">
        <v>530</v>
      </c>
      <c r="F626" s="400" t="s">
        <v>440</v>
      </c>
      <c r="G626" s="459" t="s">
        <v>324</v>
      </c>
      <c r="H626" s="384" t="s">
        <v>440</v>
      </c>
      <c r="I626" s="383">
        <f>INDEX(DRE!$W$2:$AS$53, MATCH('DRE 2025'!G626,DRE!$D$2:$D$53,0), MATCH(B626, DRE!$W$1:$AS$1, 0))</f>
        <v>4402653.940006</v>
      </c>
      <c r="J626" s="352">
        <v>1</v>
      </c>
    </row>
    <row r="627" spans="1:10" x14ac:dyDescent="0.2">
      <c r="A627" s="383" t="s">
        <v>73</v>
      </c>
      <c r="B627" s="397">
        <v>45658</v>
      </c>
      <c r="C627" s="397" t="s">
        <v>534</v>
      </c>
      <c r="D627" s="383">
        <v>2</v>
      </c>
      <c r="E627" s="384" t="s">
        <v>325</v>
      </c>
      <c r="F627" s="390" t="s">
        <v>326</v>
      </c>
      <c r="G627" s="461" t="s">
        <v>326</v>
      </c>
      <c r="H627" s="384" t="s">
        <v>519</v>
      </c>
      <c r="I627" s="383">
        <f>INDEX(DRE!$W$2:$AS$53, MATCH('DRE 2025'!G627,DRE!$D$2:$D$53,0), MATCH(B627, DRE!$W$1:$AS$1, 0))</f>
        <v>-204134.38</v>
      </c>
    </row>
    <row r="628" spans="1:10" x14ac:dyDescent="0.2">
      <c r="A628" s="383" t="s">
        <v>73</v>
      </c>
      <c r="B628" s="397">
        <v>45658</v>
      </c>
      <c r="C628" s="397" t="s">
        <v>534</v>
      </c>
      <c r="D628" s="383">
        <v>2</v>
      </c>
      <c r="E628" s="384" t="s">
        <v>325</v>
      </c>
      <c r="F628" s="385" t="s">
        <v>328</v>
      </c>
      <c r="G628" s="462" t="s">
        <v>328</v>
      </c>
      <c r="H628" s="384" t="s">
        <v>521</v>
      </c>
      <c r="I628" s="383">
        <f>INDEX(DRE!$W$2:$AS$53, MATCH('DRE 2025'!G628,DRE!$D$2:$D$53,0), MATCH(B628, DRE!$W$1:$AS$1, 0))</f>
        <v>-10130.86</v>
      </c>
    </row>
    <row r="629" spans="1:10" x14ac:dyDescent="0.2">
      <c r="A629" s="383" t="s">
        <v>73</v>
      </c>
      <c r="B629" s="397">
        <v>45658</v>
      </c>
      <c r="C629" s="397" t="s">
        <v>534</v>
      </c>
      <c r="D629" s="383">
        <v>2</v>
      </c>
      <c r="E629" s="384" t="s">
        <v>325</v>
      </c>
      <c r="F629" s="385" t="s">
        <v>329</v>
      </c>
      <c r="G629" s="462" t="s">
        <v>329</v>
      </c>
      <c r="H629" s="384" t="s">
        <v>329</v>
      </c>
      <c r="I629" s="383">
        <f>INDEX(DRE!$W$2:$AS$53, MATCH('DRE 2025'!G629,DRE!$D$2:$D$53,0), MATCH(B629, DRE!$W$1:$AS$1, 0))</f>
        <v>0</v>
      </c>
    </row>
    <row r="630" spans="1:10" x14ac:dyDescent="0.2">
      <c r="A630" s="383" t="s">
        <v>73</v>
      </c>
      <c r="B630" s="397">
        <v>45658</v>
      </c>
      <c r="C630" s="397" t="s">
        <v>534</v>
      </c>
      <c r="D630" s="383">
        <v>2</v>
      </c>
      <c r="E630" s="384" t="s">
        <v>325</v>
      </c>
      <c r="F630" s="385" t="s">
        <v>330</v>
      </c>
      <c r="G630" s="462" t="s">
        <v>565</v>
      </c>
      <c r="H630" s="384" t="s">
        <v>330</v>
      </c>
      <c r="I630" s="383">
        <f>INDEX(DRE!$W$2:$AS$53, MATCH('DRE 2025'!G630,DRE!$D$2:$D$53,0), MATCH(B630, DRE!$W$1:$AS$1, 0))</f>
        <v>0</v>
      </c>
    </row>
    <row r="631" spans="1:10" x14ac:dyDescent="0.2">
      <c r="A631" s="383" t="s">
        <v>73</v>
      </c>
      <c r="B631" s="397">
        <v>45658</v>
      </c>
      <c r="C631" s="397" t="s">
        <v>534</v>
      </c>
      <c r="D631" s="383">
        <v>2</v>
      </c>
      <c r="E631" s="384" t="s">
        <v>325</v>
      </c>
      <c r="F631" s="385" t="s">
        <v>331</v>
      </c>
      <c r="G631" s="462" t="s">
        <v>331</v>
      </c>
      <c r="H631" s="384" t="s">
        <v>331</v>
      </c>
      <c r="I631" s="383">
        <f>INDEX(DRE!$W$2:$AS$53, MATCH('DRE 2025'!G631,DRE!$D$2:$D$53,0), MATCH(B631, DRE!$W$1:$AS$1, 0))</f>
        <v>-666.56</v>
      </c>
    </row>
    <row r="632" spans="1:10" x14ac:dyDescent="0.2">
      <c r="A632" s="383" t="s">
        <v>73</v>
      </c>
      <c r="B632" s="397">
        <v>45658</v>
      </c>
      <c r="C632" s="397" t="s">
        <v>534</v>
      </c>
      <c r="D632" s="383">
        <v>2</v>
      </c>
      <c r="E632" s="384" t="s">
        <v>325</v>
      </c>
      <c r="F632" s="384" t="s">
        <v>332</v>
      </c>
      <c r="G632" s="463" t="s">
        <v>332</v>
      </c>
      <c r="H632" s="384" t="s">
        <v>520</v>
      </c>
      <c r="I632" s="383">
        <f>INDEX(DRE!$W$2:$AS$53, MATCH('DRE 2025'!G632,DRE!$D$2:$D$53,0), MATCH(B632, DRE!$W$1:$AS$1, 0))</f>
        <v>0</v>
      </c>
    </row>
    <row r="633" spans="1:10" x14ac:dyDescent="0.2">
      <c r="A633" s="383" t="s">
        <v>73</v>
      </c>
      <c r="B633" s="397">
        <v>45658</v>
      </c>
      <c r="C633" s="397" t="s">
        <v>535</v>
      </c>
      <c r="D633" s="383">
        <v>3</v>
      </c>
      <c r="E633" s="384" t="s">
        <v>531</v>
      </c>
      <c r="F633" s="385" t="s">
        <v>334</v>
      </c>
      <c r="G633" s="462" t="s">
        <v>334</v>
      </c>
      <c r="H633" s="384" t="s">
        <v>334</v>
      </c>
      <c r="I633" s="383">
        <f>INDEX(DRE!$W$2:$AS$53, MATCH('DRE 2025'!G633,DRE!$D$2:$D$53,0), MATCH(B633, DRE!$W$1:$AS$1, 0))</f>
        <v>3803079.12</v>
      </c>
    </row>
    <row r="634" spans="1:10" x14ac:dyDescent="0.2">
      <c r="A634" s="383" t="s">
        <v>73</v>
      </c>
      <c r="B634" s="397">
        <v>45658</v>
      </c>
      <c r="C634" s="397" t="s">
        <v>535</v>
      </c>
      <c r="D634" s="383">
        <v>3</v>
      </c>
      <c r="E634" s="384" t="s">
        <v>531</v>
      </c>
      <c r="F634" s="385" t="s">
        <v>335</v>
      </c>
      <c r="G634" s="462" t="s">
        <v>335</v>
      </c>
      <c r="H634" s="384" t="s">
        <v>335</v>
      </c>
      <c r="I634" s="383">
        <f>INDEX(DRE!$W$2:$AS$53, MATCH('DRE 2025'!G634,DRE!$D$2:$D$53,0), MATCH(B634, DRE!$W$1:$AS$1, 0))</f>
        <v>367038.29</v>
      </c>
    </row>
    <row r="635" spans="1:10" x14ac:dyDescent="0.2">
      <c r="A635" s="383" t="s">
        <v>73</v>
      </c>
      <c r="B635" s="397">
        <v>45658</v>
      </c>
      <c r="C635" s="397" t="s">
        <v>535</v>
      </c>
      <c r="D635" s="383">
        <v>3</v>
      </c>
      <c r="E635" s="384" t="s">
        <v>531</v>
      </c>
      <c r="F635" s="385" t="s">
        <v>336</v>
      </c>
      <c r="G635" s="462" t="s">
        <v>336</v>
      </c>
      <c r="H635" s="384" t="s">
        <v>336</v>
      </c>
      <c r="I635" s="383">
        <f>INDEX(DRE!$W$2:$AS$53, MATCH('DRE 2025'!G635,DRE!$D$2:$D$53,0), MATCH(B635, DRE!$W$1:$AS$1, 0))</f>
        <v>5150</v>
      </c>
    </row>
    <row r="636" spans="1:10" x14ac:dyDescent="0.2">
      <c r="A636" s="383" t="s">
        <v>73</v>
      </c>
      <c r="B636" s="397">
        <v>45658</v>
      </c>
      <c r="C636" s="397" t="s">
        <v>535</v>
      </c>
      <c r="D636" s="383">
        <v>3</v>
      </c>
      <c r="E636" s="384" t="s">
        <v>531</v>
      </c>
      <c r="F636" s="387" t="s">
        <v>273</v>
      </c>
      <c r="G636" s="464" t="s">
        <v>562</v>
      </c>
      <c r="H636" s="384" t="s">
        <v>562</v>
      </c>
      <c r="I636" s="383">
        <f>INDEX(DRE!$W$2:$AS$53, MATCH('DRE 2025'!G636,DRE!$D$2:$D$53,0), MATCH(B636, DRE!$W$1:$AS$1, 0))</f>
        <v>0</v>
      </c>
    </row>
    <row r="637" spans="1:10" x14ac:dyDescent="0.2">
      <c r="A637" s="383" t="s">
        <v>73</v>
      </c>
      <c r="B637" s="397">
        <v>45658</v>
      </c>
      <c r="C637" s="397" t="s">
        <v>535</v>
      </c>
      <c r="D637" s="383">
        <v>3</v>
      </c>
      <c r="E637" s="384" t="s">
        <v>531</v>
      </c>
      <c r="F637" s="387" t="s">
        <v>513</v>
      </c>
      <c r="G637" s="464" t="s">
        <v>513</v>
      </c>
      <c r="H637" s="384" t="s">
        <v>513</v>
      </c>
      <c r="I637" s="383" t="e">
        <f>INDEX(DRE!$W$2:$AS$53, MATCH('DRE 2025'!G637,DRE!$D$2:$D$53,0), MATCH(B637, DRE!$W$1:$AS$1, 0))</f>
        <v>#N/A</v>
      </c>
    </row>
    <row r="638" spans="1:10" x14ac:dyDescent="0.2">
      <c r="A638" s="383" t="s">
        <v>73</v>
      </c>
      <c r="B638" s="397">
        <v>45658</v>
      </c>
      <c r="C638" s="397" t="s">
        <v>535</v>
      </c>
      <c r="D638" s="383">
        <v>3</v>
      </c>
      <c r="E638" s="384" t="s">
        <v>531</v>
      </c>
      <c r="F638" s="387" t="s">
        <v>514</v>
      </c>
      <c r="G638" s="464" t="s">
        <v>514</v>
      </c>
      <c r="H638" s="384" t="s">
        <v>514</v>
      </c>
      <c r="I638" s="383" t="e">
        <f>INDEX(DRE!$W$2:$AS$53, MATCH('DRE 2025'!G638,DRE!$D$2:$D$53,0), MATCH(B638, DRE!$W$1:$AS$1, 0))</f>
        <v>#N/A</v>
      </c>
    </row>
    <row r="639" spans="1:10" x14ac:dyDescent="0.2">
      <c r="A639" s="383" t="s">
        <v>73</v>
      </c>
      <c r="B639" s="397">
        <v>45658</v>
      </c>
      <c r="C639" s="397" t="s">
        <v>535</v>
      </c>
      <c r="D639" s="383">
        <v>3</v>
      </c>
      <c r="E639" s="384" t="s">
        <v>531</v>
      </c>
      <c r="F639" s="385" t="s">
        <v>337</v>
      </c>
      <c r="G639" s="462" t="s">
        <v>337</v>
      </c>
      <c r="H639" s="384" t="s">
        <v>337</v>
      </c>
      <c r="I639" s="383">
        <f>INDEX(DRE!$W$2:$AS$53, MATCH('DRE 2025'!G639,DRE!$D$2:$D$53,0), MATCH(B639, DRE!$W$1:$AS$1, 0))</f>
        <v>3098</v>
      </c>
    </row>
    <row r="640" spans="1:10" x14ac:dyDescent="0.2">
      <c r="A640" s="383" t="s">
        <v>73</v>
      </c>
      <c r="B640" s="397">
        <v>45658</v>
      </c>
      <c r="C640" s="397" t="s">
        <v>534</v>
      </c>
      <c r="D640" s="383">
        <v>4</v>
      </c>
      <c r="E640" s="383" t="s">
        <v>523</v>
      </c>
      <c r="F640" s="388" t="s">
        <v>340</v>
      </c>
      <c r="G640" s="465" t="s">
        <v>340</v>
      </c>
      <c r="H640" s="384" t="s">
        <v>340</v>
      </c>
      <c r="I640" s="383">
        <f>INDEX(DRE!$W$2:$AS$53, MATCH('DRE 2025'!G640,DRE!$D$2:$D$53,0), MATCH(B640, DRE!$W$1:$AS$1, 0))</f>
        <v>-18249.39</v>
      </c>
    </row>
    <row r="641" spans="1:10" x14ac:dyDescent="0.2">
      <c r="A641" s="383" t="s">
        <v>73</v>
      </c>
      <c r="B641" s="397">
        <v>45658</v>
      </c>
      <c r="C641" s="397" t="s">
        <v>534</v>
      </c>
      <c r="D641" s="383">
        <v>4</v>
      </c>
      <c r="E641" s="383" t="s">
        <v>523</v>
      </c>
      <c r="F641" s="388" t="s">
        <v>341</v>
      </c>
      <c r="G641" s="465" t="s">
        <v>341</v>
      </c>
      <c r="H641" s="384" t="s">
        <v>341</v>
      </c>
      <c r="I641" s="383">
        <f>INDEX(DRE!$W$2:$AS$53, MATCH('DRE 2025'!G641,DRE!$D$2:$D$53,0), MATCH(B641, DRE!$W$1:$AS$1, 0))</f>
        <v>-217634.95</v>
      </c>
    </row>
    <row r="642" spans="1:10" x14ac:dyDescent="0.2">
      <c r="A642" s="383" t="s">
        <v>73</v>
      </c>
      <c r="B642" s="397">
        <v>45658</v>
      </c>
      <c r="C642" s="397" t="s">
        <v>534</v>
      </c>
      <c r="D642" s="383">
        <v>4</v>
      </c>
      <c r="E642" s="383" t="s">
        <v>523</v>
      </c>
      <c r="F642" s="388" t="s">
        <v>342</v>
      </c>
      <c r="G642" s="465" t="s">
        <v>342</v>
      </c>
      <c r="H642" s="384" t="s">
        <v>342</v>
      </c>
      <c r="I642" s="383">
        <f>INDEX(DRE!$W$2:$AS$53, MATCH('DRE 2025'!G642,DRE!$D$2:$D$53,0), MATCH(B642, DRE!$W$1:$AS$1, 0))</f>
        <v>-1388902.2948</v>
      </c>
    </row>
    <row r="643" spans="1:10" x14ac:dyDescent="0.2">
      <c r="A643" s="383" t="s">
        <v>73</v>
      </c>
      <c r="B643" s="397">
        <v>45658</v>
      </c>
      <c r="C643" s="397" t="s">
        <v>534</v>
      </c>
      <c r="D643" s="383">
        <v>4</v>
      </c>
      <c r="E643" s="383" t="s">
        <v>523</v>
      </c>
      <c r="F643" s="388" t="s">
        <v>343</v>
      </c>
      <c r="G643" s="465" t="s">
        <v>343</v>
      </c>
      <c r="H643" s="384" t="s">
        <v>343</v>
      </c>
      <c r="I643" s="383">
        <f>INDEX(DRE!$W$2:$AS$53, MATCH('DRE 2025'!G643,DRE!$D$2:$D$53,0), MATCH(B643, DRE!$W$1:$AS$1, 0))</f>
        <v>-43544.49</v>
      </c>
    </row>
    <row r="644" spans="1:10" x14ac:dyDescent="0.2">
      <c r="A644" s="383" t="s">
        <v>73</v>
      </c>
      <c r="B644" s="397">
        <v>45658</v>
      </c>
      <c r="C644" s="397" t="s">
        <v>535</v>
      </c>
      <c r="D644" s="383">
        <v>5</v>
      </c>
      <c r="E644" s="383" t="s">
        <v>532</v>
      </c>
      <c r="F644" s="401" t="s">
        <v>345</v>
      </c>
      <c r="G644" s="401"/>
      <c r="H644" s="402" t="s">
        <v>345</v>
      </c>
      <c r="I644" s="406" t="e">
        <f>I633+I634+I635+I636+I637+I638+I639+I640+I641+I642+I643</f>
        <v>#N/A</v>
      </c>
      <c r="J644" s="352" t="e">
        <f>IF(C644="A",-I644/I626,I644/I626)</f>
        <v>#N/A</v>
      </c>
    </row>
    <row r="645" spans="1:10" x14ac:dyDescent="0.2">
      <c r="A645" s="383" t="s">
        <v>73</v>
      </c>
      <c r="B645" s="397">
        <v>45658</v>
      </c>
      <c r="C645" s="397" t="s">
        <v>534</v>
      </c>
      <c r="D645" s="383">
        <v>6</v>
      </c>
      <c r="E645" s="383" t="s">
        <v>524</v>
      </c>
      <c r="F645" s="388" t="s">
        <v>349</v>
      </c>
      <c r="G645" s="465" t="s">
        <v>349</v>
      </c>
      <c r="H645" s="384" t="s">
        <v>473</v>
      </c>
      <c r="I645" s="383">
        <f>INDEX(DRE!$W$2:$AS$53, MATCH('DRE 2025'!G645,DRE!$D$2:$D$53,0), MATCH(B645, DRE!$W$1:$AS$1, 0))</f>
        <v>-31228.29</v>
      </c>
    </row>
    <row r="646" spans="1:10" x14ac:dyDescent="0.2">
      <c r="A646" s="383" t="s">
        <v>73</v>
      </c>
      <c r="B646" s="397">
        <v>45658</v>
      </c>
      <c r="C646" s="397" t="s">
        <v>534</v>
      </c>
      <c r="D646" s="383">
        <v>6</v>
      </c>
      <c r="E646" s="383" t="s">
        <v>524</v>
      </c>
      <c r="F646" s="388" t="s">
        <v>350</v>
      </c>
      <c r="G646" s="465" t="s">
        <v>350</v>
      </c>
      <c r="H646" s="384" t="s">
        <v>474</v>
      </c>
      <c r="I646" s="383">
        <f>INDEX(DRE!$W$2:$AS$53, MATCH('DRE 2025'!G646,DRE!$D$2:$D$53,0), MATCH(B646, DRE!$W$1:$AS$1, 0))</f>
        <v>-1521.59</v>
      </c>
    </row>
    <row r="647" spans="1:10" x14ac:dyDescent="0.2">
      <c r="A647" s="383" t="s">
        <v>73</v>
      </c>
      <c r="B647" s="397">
        <v>45658</v>
      </c>
      <c r="C647" s="397" t="s">
        <v>534</v>
      </c>
      <c r="D647" s="383">
        <v>6</v>
      </c>
      <c r="E647" s="383" t="s">
        <v>524</v>
      </c>
      <c r="F647" s="388" t="s">
        <v>351</v>
      </c>
      <c r="G647" s="465" t="s">
        <v>351</v>
      </c>
      <c r="H647" s="384" t="s">
        <v>475</v>
      </c>
      <c r="I647" s="383">
        <f>INDEX(DRE!$W$2:$AS$53, MATCH('DRE 2025'!G647,DRE!$D$2:$D$53,0), MATCH(B647, DRE!$W$1:$AS$1, 0))</f>
        <v>-48394.3</v>
      </c>
    </row>
    <row r="648" spans="1:10" x14ac:dyDescent="0.2">
      <c r="A648" s="383" t="s">
        <v>73</v>
      </c>
      <c r="B648" s="397">
        <v>45658</v>
      </c>
      <c r="C648" s="397" t="s">
        <v>534</v>
      </c>
      <c r="D648" s="383">
        <v>6</v>
      </c>
      <c r="E648" s="383" t="s">
        <v>524</v>
      </c>
      <c r="F648" s="388" t="s">
        <v>352</v>
      </c>
      <c r="G648" s="465" t="s">
        <v>352</v>
      </c>
      <c r="H648" s="384" t="s">
        <v>476</v>
      </c>
      <c r="I648" s="383">
        <f>INDEX(DRE!$W$2:$AS$53, MATCH('DRE 2025'!G648,DRE!$D$2:$D$53,0), MATCH(B648, DRE!$W$1:$AS$1, 0))</f>
        <v>-8625.2900000000009</v>
      </c>
    </row>
    <row r="649" spans="1:10" x14ac:dyDescent="0.2">
      <c r="A649" s="383" t="s">
        <v>73</v>
      </c>
      <c r="B649" s="397">
        <v>45658</v>
      </c>
      <c r="C649" s="397" t="s">
        <v>534</v>
      </c>
      <c r="D649" s="383">
        <v>6</v>
      </c>
      <c r="E649" s="383" t="s">
        <v>524</v>
      </c>
      <c r="F649" s="388" t="s">
        <v>353</v>
      </c>
      <c r="G649" s="465" t="s">
        <v>353</v>
      </c>
      <c r="H649" s="384" t="s">
        <v>477</v>
      </c>
      <c r="I649" s="383">
        <f>INDEX(DRE!$W$2:$AS$53, MATCH('DRE 2025'!G649,DRE!$D$2:$D$53,0), MATCH(B649, DRE!$W$1:$AS$1, 0))</f>
        <v>-50914.1</v>
      </c>
    </row>
    <row r="650" spans="1:10" x14ac:dyDescent="0.2">
      <c r="A650" s="383" t="s">
        <v>73</v>
      </c>
      <c r="B650" s="397">
        <v>45658</v>
      </c>
      <c r="C650" s="397" t="s">
        <v>534</v>
      </c>
      <c r="D650" s="383">
        <v>6</v>
      </c>
      <c r="E650" s="383" t="s">
        <v>524</v>
      </c>
      <c r="F650" s="388" t="s">
        <v>354</v>
      </c>
      <c r="G650" s="465" t="s">
        <v>354</v>
      </c>
      <c r="H650" s="384" t="s">
        <v>478</v>
      </c>
      <c r="I650" s="383">
        <f>INDEX(DRE!$W$2:$AS$53, MATCH('DRE 2025'!G650,DRE!$D$2:$D$53,0), MATCH(B650, DRE!$W$1:$AS$1, 0))</f>
        <v>-27717.360000000001</v>
      </c>
    </row>
    <row r="651" spans="1:10" x14ac:dyDescent="0.2">
      <c r="A651" s="383" t="s">
        <v>73</v>
      </c>
      <c r="B651" s="397">
        <v>45658</v>
      </c>
      <c r="C651" s="397" t="s">
        <v>534</v>
      </c>
      <c r="D651" s="383">
        <v>6</v>
      </c>
      <c r="E651" s="383" t="s">
        <v>524</v>
      </c>
      <c r="F651" s="390" t="s">
        <v>355</v>
      </c>
      <c r="G651" s="461" t="s">
        <v>355</v>
      </c>
      <c r="H651" s="384" t="s">
        <v>355</v>
      </c>
      <c r="I651" s="383">
        <f>INDEX(DRE!$W$2:$AS$53, MATCH('DRE 2025'!G651,DRE!$D$2:$D$53,0), MATCH(B651, DRE!$W$1:$AS$1, 0))</f>
        <v>-47101.599999999999</v>
      </c>
    </row>
    <row r="652" spans="1:10" x14ac:dyDescent="0.2">
      <c r="A652" s="383" t="s">
        <v>73</v>
      </c>
      <c r="B652" s="397">
        <v>45658</v>
      </c>
      <c r="C652" s="397" t="s">
        <v>534</v>
      </c>
      <c r="D652" s="383">
        <v>6</v>
      </c>
      <c r="E652" s="383" t="s">
        <v>524</v>
      </c>
      <c r="F652" s="390" t="s">
        <v>356</v>
      </c>
      <c r="G652" s="461" t="s">
        <v>356</v>
      </c>
      <c r="H652" s="384" t="s">
        <v>356</v>
      </c>
      <c r="I652" s="383">
        <f>INDEX(DRE!$W$2:$AS$53, MATCH('DRE 2025'!G652,DRE!$D$2:$D$53,0), MATCH(B652, DRE!$W$1:$AS$1, 0))</f>
        <v>-526895.42879999999</v>
      </c>
    </row>
    <row r="653" spans="1:10" x14ac:dyDescent="0.2">
      <c r="A653" s="383" t="s">
        <v>73</v>
      </c>
      <c r="B653" s="397">
        <v>45658</v>
      </c>
      <c r="C653" s="397" t="s">
        <v>534</v>
      </c>
      <c r="D653" s="383">
        <v>6</v>
      </c>
      <c r="E653" s="383" t="s">
        <v>524</v>
      </c>
      <c r="F653" s="390" t="s">
        <v>357</v>
      </c>
      <c r="G653" s="461" t="s">
        <v>357</v>
      </c>
      <c r="H653" s="384" t="s">
        <v>357</v>
      </c>
      <c r="I653" s="383">
        <f>INDEX(DRE!$W$2:$AS$53, MATCH('DRE 2025'!G653,DRE!$D$2:$D$53,0), MATCH(B653, DRE!$W$1:$AS$1, 0))</f>
        <v>-6479.54</v>
      </c>
    </row>
    <row r="654" spans="1:10" x14ac:dyDescent="0.2">
      <c r="A654" s="383" t="s">
        <v>73</v>
      </c>
      <c r="B654" s="397">
        <v>45658</v>
      </c>
      <c r="C654" s="397" t="s">
        <v>535</v>
      </c>
      <c r="D654" s="383">
        <v>7</v>
      </c>
      <c r="E654" s="383" t="s">
        <v>529</v>
      </c>
      <c r="F654" s="400" t="s">
        <v>358</v>
      </c>
      <c r="G654" s="400"/>
      <c r="H654" s="403" t="s">
        <v>358</v>
      </c>
      <c r="I654" s="396" t="e">
        <f>I644+I645+I646+I647+I648+I649+I650+I651+I652+I653</f>
        <v>#N/A</v>
      </c>
      <c r="J654" s="352" t="e">
        <f>IF(C654="A",-I654/I626,I654/I626)</f>
        <v>#N/A</v>
      </c>
    </row>
    <row r="655" spans="1:10" x14ac:dyDescent="0.2">
      <c r="A655" s="383" t="s">
        <v>73</v>
      </c>
      <c r="B655" s="397">
        <v>45658</v>
      </c>
      <c r="C655" s="397" t="s">
        <v>534</v>
      </c>
      <c r="D655" s="383">
        <v>8</v>
      </c>
      <c r="E655" s="383" t="s">
        <v>527</v>
      </c>
      <c r="F655" s="385" t="s">
        <v>359</v>
      </c>
      <c r="G655" s="462" t="s">
        <v>359</v>
      </c>
      <c r="H655" s="384" t="s">
        <v>479</v>
      </c>
      <c r="I655" s="383">
        <f>INDEX(DRE!$W$2:$AS$53, MATCH('DRE 2025'!G655,DRE!$D$2:$D$53,0), MATCH(B655, DRE!$W$1:$AS$1, 0))</f>
        <v>0</v>
      </c>
    </row>
    <row r="656" spans="1:10" x14ac:dyDescent="0.2">
      <c r="A656" s="383" t="s">
        <v>73</v>
      </c>
      <c r="B656" s="397">
        <v>45658</v>
      </c>
      <c r="C656" s="397" t="s">
        <v>534</v>
      </c>
      <c r="D656" s="383">
        <v>8</v>
      </c>
      <c r="E656" s="383" t="s">
        <v>527</v>
      </c>
      <c r="F656" s="385" t="s">
        <v>360</v>
      </c>
      <c r="G656" s="462" t="s">
        <v>360</v>
      </c>
      <c r="H656" s="384" t="s">
        <v>480</v>
      </c>
      <c r="I656" s="383">
        <f>INDEX(DRE!$W$2:$AS$53, MATCH('DRE 2025'!G656,DRE!$D$2:$D$53,0), MATCH(B656, DRE!$W$1:$AS$1, 0))</f>
        <v>82059.86</v>
      </c>
    </row>
    <row r="657" spans="1:10" x14ac:dyDescent="0.2">
      <c r="A657" s="383" t="s">
        <v>73</v>
      </c>
      <c r="B657" s="397">
        <v>45658</v>
      </c>
      <c r="C657" s="397" t="s">
        <v>534</v>
      </c>
      <c r="D657" s="383">
        <v>8</v>
      </c>
      <c r="E657" s="383" t="s">
        <v>527</v>
      </c>
      <c r="F657" s="390" t="s">
        <v>361</v>
      </c>
      <c r="G657" s="466" t="s">
        <v>361</v>
      </c>
      <c r="H657" s="384" t="s">
        <v>481</v>
      </c>
      <c r="I657" s="383">
        <f>INDEX(DRE!$W$2:$AS$53, MATCH('DRE 2025'!G657,DRE!$D$2:$D$53,0), MATCH(B657, DRE!$W$1:$AS$1, 0))</f>
        <v>-13926.67</v>
      </c>
    </row>
    <row r="658" spans="1:10" x14ac:dyDescent="0.2">
      <c r="A658" s="383" t="s">
        <v>73</v>
      </c>
      <c r="B658" s="397">
        <v>45658</v>
      </c>
      <c r="C658" s="397" t="s">
        <v>534</v>
      </c>
      <c r="D658" s="383">
        <v>9</v>
      </c>
      <c r="E658" s="383" t="s">
        <v>526</v>
      </c>
      <c r="F658" s="390" t="s">
        <v>363</v>
      </c>
      <c r="G658" s="461" t="s">
        <v>363</v>
      </c>
      <c r="H658" s="384" t="s">
        <v>363</v>
      </c>
      <c r="I658" s="383">
        <f>INDEX(DRE!$W$2:$AS$53, MATCH('DRE 2025'!G658,DRE!$D$2:$D$53,0), MATCH(B658, DRE!$W$1:$AS$1, 0))</f>
        <v>-837857.96</v>
      </c>
    </row>
    <row r="659" spans="1:10" x14ac:dyDescent="0.2">
      <c r="A659" s="383" t="s">
        <v>73</v>
      </c>
      <c r="B659" s="397">
        <v>45658</v>
      </c>
      <c r="C659" s="397" t="s">
        <v>534</v>
      </c>
      <c r="D659" s="383">
        <v>9</v>
      </c>
      <c r="E659" s="383" t="s">
        <v>526</v>
      </c>
      <c r="F659" s="390" t="s">
        <v>364</v>
      </c>
      <c r="G659" s="461" t="s">
        <v>364</v>
      </c>
      <c r="H659" s="384" t="s">
        <v>364</v>
      </c>
      <c r="I659" s="383">
        <f>INDEX(DRE!$W$2:$AS$53, MATCH('DRE 2025'!G659,DRE!$D$2:$D$53,0), MATCH(B659, DRE!$W$1:$AS$1, 0))</f>
        <v>-32092.9664204</v>
      </c>
    </row>
    <row r="660" spans="1:10" x14ac:dyDescent="0.2">
      <c r="A660" s="383" t="s">
        <v>73</v>
      </c>
      <c r="B660" s="397">
        <v>45658</v>
      </c>
      <c r="C660" s="397" t="s">
        <v>534</v>
      </c>
      <c r="D660" s="383">
        <v>9</v>
      </c>
      <c r="E660" s="383" t="s">
        <v>526</v>
      </c>
      <c r="F660" s="394" t="s">
        <v>273</v>
      </c>
      <c r="G660" s="467" t="s">
        <v>563</v>
      </c>
      <c r="H660" s="398" t="s">
        <v>563</v>
      </c>
      <c r="I660" s="383">
        <f>INDEX(DRE!$W$2:$AS$53, MATCH('DRE 2025'!G660,DRE!$D$2:$D$53,0), MATCH(B660, DRE!$W$1:$AS$1, 0))</f>
        <v>0</v>
      </c>
    </row>
    <row r="661" spans="1:10" x14ac:dyDescent="0.2">
      <c r="A661" s="383" t="s">
        <v>73</v>
      </c>
      <c r="B661" s="397">
        <v>45658</v>
      </c>
      <c r="C661" s="397" t="s">
        <v>534</v>
      </c>
      <c r="D661" s="383">
        <v>10</v>
      </c>
      <c r="E661" s="383" t="s">
        <v>452</v>
      </c>
      <c r="F661" s="400" t="s">
        <v>365</v>
      </c>
      <c r="G661" s="400"/>
      <c r="H661" s="403" t="s">
        <v>365</v>
      </c>
      <c r="I661" s="396">
        <f>I627+I628+I629+I630+I631+I632+I640+I641+I642+I643+I645+I646+I647+I648+I649+I650+I651+I652+I653+I655+I656+I657+I658+I659+I660</f>
        <v>-3433958.1600204003</v>
      </c>
      <c r="J661" s="352">
        <f>IF(C661="A",-I661/I626,I661/I626)</f>
        <v>0.77997458051761404</v>
      </c>
    </row>
    <row r="662" spans="1:10" x14ac:dyDescent="0.2">
      <c r="A662" s="383" t="s">
        <v>73</v>
      </c>
      <c r="B662" s="397">
        <v>45658</v>
      </c>
      <c r="C662" s="397" t="s">
        <v>535</v>
      </c>
      <c r="D662" s="383">
        <v>11</v>
      </c>
      <c r="E662" s="383" t="s">
        <v>528</v>
      </c>
      <c r="F662" s="400" t="s">
        <v>367</v>
      </c>
      <c r="G662" s="400"/>
      <c r="H662" s="403" t="s">
        <v>367</v>
      </c>
      <c r="I662" s="395">
        <f>I626+I661</f>
        <v>968695.77998559969</v>
      </c>
      <c r="J662" s="352">
        <f>IF(C662="A",-I662/I626,I662/I626)</f>
        <v>0.22002541948238602</v>
      </c>
    </row>
    <row r="663" spans="1:10" x14ac:dyDescent="0.2">
      <c r="A663" s="383" t="s">
        <v>516</v>
      </c>
      <c r="B663" s="397">
        <v>45658</v>
      </c>
      <c r="C663" s="397" t="s">
        <v>536</v>
      </c>
      <c r="D663" s="383">
        <v>1</v>
      </c>
      <c r="E663" s="384" t="s">
        <v>530</v>
      </c>
      <c r="F663" s="400" t="s">
        <v>440</v>
      </c>
      <c r="G663" s="400"/>
      <c r="H663" s="404" t="s">
        <v>440</v>
      </c>
      <c r="I663" s="407">
        <f>HLOOKUP(B663,[5]Sucumbências!$BP$2:$CA$43,31,0)</f>
        <v>97397.95</v>
      </c>
      <c r="J663" s="352">
        <v>1</v>
      </c>
    </row>
    <row r="664" spans="1:10" x14ac:dyDescent="0.2">
      <c r="A664" s="383" t="s">
        <v>516</v>
      </c>
      <c r="B664" s="397">
        <v>45658</v>
      </c>
      <c r="C664" s="397" t="s">
        <v>534</v>
      </c>
      <c r="D664" s="383">
        <v>4</v>
      </c>
      <c r="E664" s="383" t="s">
        <v>525</v>
      </c>
      <c r="F664" s="388" t="s">
        <v>340</v>
      </c>
      <c r="G664" s="388"/>
      <c r="H664" s="404" t="s">
        <v>340</v>
      </c>
      <c r="I664" s="407">
        <f>-HLOOKUP(B664,GLOSAS!$BQ$1:$CB$43,30,0)</f>
        <v>0</v>
      </c>
    </row>
    <row r="665" spans="1:10" x14ac:dyDescent="0.2">
      <c r="A665" s="383" t="s">
        <v>516</v>
      </c>
      <c r="B665" s="397">
        <v>45658</v>
      </c>
      <c r="C665" s="397" t="s">
        <v>534</v>
      </c>
      <c r="D665" s="383">
        <v>9</v>
      </c>
      <c r="E665" s="383" t="s">
        <v>526</v>
      </c>
      <c r="F665" s="390" t="s">
        <v>363</v>
      </c>
      <c r="G665" s="390"/>
      <c r="H665" s="404" t="s">
        <v>363</v>
      </c>
      <c r="I665" s="407">
        <f>-I663*0.1</f>
        <v>-9739.7950000000001</v>
      </c>
    </row>
    <row r="666" spans="1:10" x14ac:dyDescent="0.2">
      <c r="A666" s="383" t="s">
        <v>516</v>
      </c>
      <c r="B666" s="397">
        <v>45658</v>
      </c>
      <c r="C666" s="397" t="s">
        <v>535</v>
      </c>
      <c r="D666" s="383">
        <v>11</v>
      </c>
      <c r="E666" s="383" t="s">
        <v>528</v>
      </c>
      <c r="F666" s="400" t="s">
        <v>367</v>
      </c>
      <c r="G666" s="400"/>
      <c r="H666" s="404" t="s">
        <v>367</v>
      </c>
      <c r="I666" s="407">
        <f>I663+I664+I665</f>
        <v>87658.154999999999</v>
      </c>
      <c r="J666" s="352">
        <f>IF(C666="A",-I666/I663,I666/I663)</f>
        <v>0.9</v>
      </c>
    </row>
    <row r="667" spans="1:10" x14ac:dyDescent="0.2">
      <c r="A667" s="383" t="s">
        <v>522</v>
      </c>
      <c r="B667" s="397">
        <v>45658</v>
      </c>
      <c r="C667" s="397" t="s">
        <v>536</v>
      </c>
      <c r="D667" s="383">
        <v>1</v>
      </c>
      <c r="E667" s="384" t="s">
        <v>530</v>
      </c>
      <c r="F667" s="400" t="s">
        <v>440</v>
      </c>
      <c r="G667" s="400"/>
      <c r="H667" s="405" t="s">
        <v>440</v>
      </c>
      <c r="I667" s="396">
        <f>I626-I663</f>
        <v>4305255.9900059998</v>
      </c>
      <c r="J667" s="352">
        <v>1</v>
      </c>
    </row>
    <row r="668" spans="1:10" x14ac:dyDescent="0.2">
      <c r="A668" s="383" t="s">
        <v>522</v>
      </c>
      <c r="B668" s="397">
        <v>45658</v>
      </c>
      <c r="C668" s="397" t="s">
        <v>534</v>
      </c>
      <c r="D668" s="383">
        <v>2</v>
      </c>
      <c r="E668" s="384" t="s">
        <v>325</v>
      </c>
      <c r="F668" s="390" t="s">
        <v>326</v>
      </c>
      <c r="G668" s="390"/>
      <c r="H668" s="384" t="s">
        <v>519</v>
      </c>
      <c r="I668" s="406">
        <f t="shared" ref="I668:I680" si="17">I627</f>
        <v>-204134.38</v>
      </c>
    </row>
    <row r="669" spans="1:10" x14ac:dyDescent="0.2">
      <c r="A669" s="383" t="s">
        <v>522</v>
      </c>
      <c r="B669" s="397">
        <v>45658</v>
      </c>
      <c r="C669" s="397" t="s">
        <v>534</v>
      </c>
      <c r="D669" s="383">
        <v>2</v>
      </c>
      <c r="E669" s="384" t="s">
        <v>325</v>
      </c>
      <c r="F669" s="385" t="s">
        <v>328</v>
      </c>
      <c r="G669" s="385"/>
      <c r="H669" s="384" t="s">
        <v>521</v>
      </c>
      <c r="I669" s="406">
        <f t="shared" si="17"/>
        <v>-10130.86</v>
      </c>
    </row>
    <row r="670" spans="1:10" x14ac:dyDescent="0.2">
      <c r="A670" s="383" t="s">
        <v>522</v>
      </c>
      <c r="B670" s="397">
        <v>45658</v>
      </c>
      <c r="C670" s="397" t="s">
        <v>534</v>
      </c>
      <c r="D670" s="383">
        <v>2</v>
      </c>
      <c r="E670" s="384" t="s">
        <v>325</v>
      </c>
      <c r="F670" s="385" t="s">
        <v>329</v>
      </c>
      <c r="G670" s="385"/>
      <c r="H670" s="384" t="s">
        <v>329</v>
      </c>
      <c r="I670" s="406">
        <f t="shared" si="17"/>
        <v>0</v>
      </c>
    </row>
    <row r="671" spans="1:10" x14ac:dyDescent="0.2">
      <c r="A671" s="383" t="s">
        <v>522</v>
      </c>
      <c r="B671" s="397">
        <v>45658</v>
      </c>
      <c r="C671" s="397" t="s">
        <v>534</v>
      </c>
      <c r="D671" s="383">
        <v>2</v>
      </c>
      <c r="E671" s="384" t="s">
        <v>325</v>
      </c>
      <c r="F671" s="385" t="s">
        <v>330</v>
      </c>
      <c r="G671" s="385"/>
      <c r="H671" s="384" t="s">
        <v>330</v>
      </c>
      <c r="I671" s="406">
        <f t="shared" si="17"/>
        <v>0</v>
      </c>
    </row>
    <row r="672" spans="1:10" x14ac:dyDescent="0.2">
      <c r="A672" s="383" t="s">
        <v>522</v>
      </c>
      <c r="B672" s="397">
        <v>45658</v>
      </c>
      <c r="C672" s="397" t="s">
        <v>534</v>
      </c>
      <c r="D672" s="383">
        <v>2</v>
      </c>
      <c r="E672" s="384" t="s">
        <v>325</v>
      </c>
      <c r="F672" s="385" t="s">
        <v>331</v>
      </c>
      <c r="G672" s="385"/>
      <c r="H672" s="384" t="s">
        <v>331</v>
      </c>
      <c r="I672" s="406">
        <f t="shared" si="17"/>
        <v>-666.56</v>
      </c>
    </row>
    <row r="673" spans="1:10" x14ac:dyDescent="0.2">
      <c r="A673" s="383" t="s">
        <v>522</v>
      </c>
      <c r="B673" s="397">
        <v>45658</v>
      </c>
      <c r="C673" s="397" t="s">
        <v>534</v>
      </c>
      <c r="D673" s="383">
        <v>2</v>
      </c>
      <c r="E673" s="384" t="s">
        <v>325</v>
      </c>
      <c r="F673" s="384" t="s">
        <v>332</v>
      </c>
      <c r="G673" s="384"/>
      <c r="H673" s="384" t="s">
        <v>520</v>
      </c>
      <c r="I673" s="406">
        <f t="shared" si="17"/>
        <v>0</v>
      </c>
    </row>
    <row r="674" spans="1:10" x14ac:dyDescent="0.2">
      <c r="A674" s="383" t="s">
        <v>522</v>
      </c>
      <c r="B674" s="397">
        <v>45658</v>
      </c>
      <c r="C674" s="397" t="s">
        <v>535</v>
      </c>
      <c r="D674" s="383">
        <v>3</v>
      </c>
      <c r="E674" s="384" t="s">
        <v>531</v>
      </c>
      <c r="F674" s="385" t="s">
        <v>334</v>
      </c>
      <c r="G674" s="385"/>
      <c r="H674" s="384" t="s">
        <v>334</v>
      </c>
      <c r="I674" s="406">
        <f t="shared" si="17"/>
        <v>3803079.12</v>
      </c>
    </row>
    <row r="675" spans="1:10" x14ac:dyDescent="0.2">
      <c r="A675" s="383" t="s">
        <v>522</v>
      </c>
      <c r="B675" s="397">
        <v>45658</v>
      </c>
      <c r="C675" s="397" t="s">
        <v>535</v>
      </c>
      <c r="D675" s="383">
        <v>3</v>
      </c>
      <c r="E675" s="384" t="s">
        <v>531</v>
      </c>
      <c r="F675" s="385" t="s">
        <v>335</v>
      </c>
      <c r="G675" s="385"/>
      <c r="H675" s="384" t="s">
        <v>335</v>
      </c>
      <c r="I675" s="406">
        <f t="shared" si="17"/>
        <v>367038.29</v>
      </c>
    </row>
    <row r="676" spans="1:10" x14ac:dyDescent="0.2">
      <c r="A676" s="383" t="s">
        <v>522</v>
      </c>
      <c r="B676" s="397">
        <v>45658</v>
      </c>
      <c r="C676" s="397" t="s">
        <v>535</v>
      </c>
      <c r="D676" s="383">
        <v>3</v>
      </c>
      <c r="E676" s="384" t="s">
        <v>531</v>
      </c>
      <c r="F676" s="385" t="s">
        <v>336</v>
      </c>
      <c r="G676" s="385"/>
      <c r="H676" s="384" t="s">
        <v>336</v>
      </c>
      <c r="I676" s="406">
        <f t="shared" si="17"/>
        <v>5150</v>
      </c>
    </row>
    <row r="677" spans="1:10" x14ac:dyDescent="0.2">
      <c r="A677" s="383" t="s">
        <v>522</v>
      </c>
      <c r="B677" s="397">
        <v>45658</v>
      </c>
      <c r="C677" s="397" t="s">
        <v>535</v>
      </c>
      <c r="D677" s="383">
        <v>3</v>
      </c>
      <c r="E677" s="384" t="s">
        <v>531</v>
      </c>
      <c r="F677" s="387" t="s">
        <v>273</v>
      </c>
      <c r="G677" s="387"/>
      <c r="H677" s="384" t="s">
        <v>562</v>
      </c>
      <c r="I677" s="406">
        <f t="shared" si="17"/>
        <v>0</v>
      </c>
    </row>
    <row r="678" spans="1:10" x14ac:dyDescent="0.2">
      <c r="A678" s="383" t="s">
        <v>522</v>
      </c>
      <c r="B678" s="397">
        <v>45658</v>
      </c>
      <c r="C678" s="397" t="s">
        <v>535</v>
      </c>
      <c r="D678" s="383">
        <v>3</v>
      </c>
      <c r="E678" s="384" t="s">
        <v>531</v>
      </c>
      <c r="F678" s="387" t="s">
        <v>513</v>
      </c>
      <c r="G678" s="387"/>
      <c r="H678" s="384" t="s">
        <v>513</v>
      </c>
      <c r="I678" s="406" t="e">
        <f t="shared" si="17"/>
        <v>#N/A</v>
      </c>
    </row>
    <row r="679" spans="1:10" x14ac:dyDescent="0.2">
      <c r="A679" s="383" t="s">
        <v>522</v>
      </c>
      <c r="B679" s="397">
        <v>45658</v>
      </c>
      <c r="C679" s="397" t="s">
        <v>535</v>
      </c>
      <c r="D679" s="383">
        <v>3</v>
      </c>
      <c r="E679" s="384" t="s">
        <v>531</v>
      </c>
      <c r="F679" s="387" t="s">
        <v>514</v>
      </c>
      <c r="G679" s="387"/>
      <c r="H679" s="384" t="s">
        <v>514</v>
      </c>
      <c r="I679" s="406" t="e">
        <f t="shared" si="17"/>
        <v>#N/A</v>
      </c>
    </row>
    <row r="680" spans="1:10" x14ac:dyDescent="0.2">
      <c r="A680" s="383" t="s">
        <v>522</v>
      </c>
      <c r="B680" s="397">
        <v>45658</v>
      </c>
      <c r="C680" s="397" t="s">
        <v>535</v>
      </c>
      <c r="D680" s="383">
        <v>3</v>
      </c>
      <c r="E680" s="384" t="s">
        <v>531</v>
      </c>
      <c r="F680" s="385" t="s">
        <v>337</v>
      </c>
      <c r="G680" s="385"/>
      <c r="H680" s="384" t="s">
        <v>337</v>
      </c>
      <c r="I680" s="406">
        <f t="shared" si="17"/>
        <v>3098</v>
      </c>
    </row>
    <row r="681" spans="1:10" x14ac:dyDescent="0.2">
      <c r="A681" s="383" t="s">
        <v>522</v>
      </c>
      <c r="B681" s="397">
        <v>45658</v>
      </c>
      <c r="C681" s="397" t="s">
        <v>534</v>
      </c>
      <c r="D681" s="383">
        <v>4</v>
      </c>
      <c r="E681" s="383" t="s">
        <v>523</v>
      </c>
      <c r="F681" s="388" t="s">
        <v>340</v>
      </c>
      <c r="G681" s="388"/>
      <c r="H681" s="405" t="s">
        <v>340</v>
      </c>
      <c r="I681" s="396">
        <f>I640-I664</f>
        <v>-18249.39</v>
      </c>
    </row>
    <row r="682" spans="1:10" x14ac:dyDescent="0.2">
      <c r="A682" s="383" t="s">
        <v>522</v>
      </c>
      <c r="B682" s="397">
        <v>45658</v>
      </c>
      <c r="C682" s="397" t="s">
        <v>534</v>
      </c>
      <c r="D682" s="383">
        <v>4</v>
      </c>
      <c r="E682" s="383" t="s">
        <v>523</v>
      </c>
      <c r="F682" s="388" t="s">
        <v>341</v>
      </c>
      <c r="G682" s="388"/>
      <c r="H682" s="384" t="s">
        <v>341</v>
      </c>
      <c r="I682" s="406">
        <f>I641</f>
        <v>-217634.95</v>
      </c>
    </row>
    <row r="683" spans="1:10" x14ac:dyDescent="0.2">
      <c r="A683" s="383" t="s">
        <v>522</v>
      </c>
      <c r="B683" s="397">
        <v>45658</v>
      </c>
      <c r="C683" s="397" t="s">
        <v>534</v>
      </c>
      <c r="D683" s="383">
        <v>4</v>
      </c>
      <c r="E683" s="383" t="s">
        <v>523</v>
      </c>
      <c r="F683" s="388" t="s">
        <v>342</v>
      </c>
      <c r="G683" s="388"/>
      <c r="H683" s="384" t="s">
        <v>342</v>
      </c>
      <c r="I683" s="406">
        <f>I642</f>
        <v>-1388902.2948</v>
      </c>
    </row>
    <row r="684" spans="1:10" x14ac:dyDescent="0.2">
      <c r="A684" s="383" t="s">
        <v>522</v>
      </c>
      <c r="B684" s="397">
        <v>45658</v>
      </c>
      <c r="C684" s="397" t="s">
        <v>534</v>
      </c>
      <c r="D684" s="383">
        <v>4</v>
      </c>
      <c r="E684" s="383" t="s">
        <v>523</v>
      </c>
      <c r="F684" s="388" t="s">
        <v>343</v>
      </c>
      <c r="G684" s="388"/>
      <c r="H684" s="384" t="s">
        <v>343</v>
      </c>
      <c r="I684" s="406">
        <f>I643</f>
        <v>-43544.49</v>
      </c>
    </row>
    <row r="685" spans="1:10" x14ac:dyDescent="0.2">
      <c r="A685" s="383" t="s">
        <v>522</v>
      </c>
      <c r="B685" s="397">
        <v>45658</v>
      </c>
      <c r="C685" s="397" t="s">
        <v>535</v>
      </c>
      <c r="D685" s="383">
        <v>5</v>
      </c>
      <c r="E685" s="383" t="s">
        <v>532</v>
      </c>
      <c r="F685" s="401" t="s">
        <v>345</v>
      </c>
      <c r="G685" s="401"/>
      <c r="H685" s="403" t="s">
        <v>345</v>
      </c>
      <c r="I685" s="406">
        <f>I667+I668+I669+I670+I671+I672+I673+I681+I682+I683+I684</f>
        <v>2421993.0652059997</v>
      </c>
      <c r="J685" s="352">
        <f>IF(C685="A",-I685/I667,I685/I667)</f>
        <v>0.56256656301699359</v>
      </c>
    </row>
    <row r="686" spans="1:10" x14ac:dyDescent="0.2">
      <c r="A686" s="383" t="s">
        <v>522</v>
      </c>
      <c r="B686" s="397">
        <v>45658</v>
      </c>
      <c r="C686" s="397" t="s">
        <v>534</v>
      </c>
      <c r="D686" s="383">
        <v>6</v>
      </c>
      <c r="E686" s="383" t="s">
        <v>524</v>
      </c>
      <c r="F686" s="388" t="s">
        <v>349</v>
      </c>
      <c r="G686" s="388"/>
      <c r="H686" s="384" t="s">
        <v>473</v>
      </c>
      <c r="I686" s="406">
        <f t="shared" ref="I686:I694" si="18">I645</f>
        <v>-31228.29</v>
      </c>
    </row>
    <row r="687" spans="1:10" x14ac:dyDescent="0.2">
      <c r="A687" s="383" t="s">
        <v>522</v>
      </c>
      <c r="B687" s="397">
        <v>45658</v>
      </c>
      <c r="C687" s="397" t="s">
        <v>534</v>
      </c>
      <c r="D687" s="383">
        <v>6</v>
      </c>
      <c r="E687" s="383" t="s">
        <v>524</v>
      </c>
      <c r="F687" s="388" t="s">
        <v>350</v>
      </c>
      <c r="G687" s="388"/>
      <c r="H687" s="384" t="s">
        <v>474</v>
      </c>
      <c r="I687" s="406">
        <f t="shared" si="18"/>
        <v>-1521.59</v>
      </c>
    </row>
    <row r="688" spans="1:10" x14ac:dyDescent="0.2">
      <c r="A688" s="383" t="s">
        <v>522</v>
      </c>
      <c r="B688" s="397">
        <v>45658</v>
      </c>
      <c r="C688" s="397" t="s">
        <v>534</v>
      </c>
      <c r="D688" s="383">
        <v>6</v>
      </c>
      <c r="E688" s="383" t="s">
        <v>524</v>
      </c>
      <c r="F688" s="388" t="s">
        <v>351</v>
      </c>
      <c r="G688" s="388"/>
      <c r="H688" s="384" t="s">
        <v>475</v>
      </c>
      <c r="I688" s="406">
        <f t="shared" si="18"/>
        <v>-48394.3</v>
      </c>
    </row>
    <row r="689" spans="1:10" x14ac:dyDescent="0.2">
      <c r="A689" s="383" t="s">
        <v>522</v>
      </c>
      <c r="B689" s="397">
        <v>45658</v>
      </c>
      <c r="C689" s="397" t="s">
        <v>534</v>
      </c>
      <c r="D689" s="383">
        <v>6</v>
      </c>
      <c r="E689" s="383" t="s">
        <v>524</v>
      </c>
      <c r="F689" s="388" t="s">
        <v>352</v>
      </c>
      <c r="G689" s="388"/>
      <c r="H689" s="384" t="s">
        <v>476</v>
      </c>
      <c r="I689" s="406">
        <f t="shared" si="18"/>
        <v>-8625.2900000000009</v>
      </c>
    </row>
    <row r="690" spans="1:10" x14ac:dyDescent="0.2">
      <c r="A690" s="383" t="s">
        <v>522</v>
      </c>
      <c r="B690" s="397">
        <v>45658</v>
      </c>
      <c r="C690" s="397" t="s">
        <v>534</v>
      </c>
      <c r="D690" s="383">
        <v>6</v>
      </c>
      <c r="E690" s="383" t="s">
        <v>524</v>
      </c>
      <c r="F690" s="388" t="s">
        <v>353</v>
      </c>
      <c r="G690" s="388"/>
      <c r="H690" s="384" t="s">
        <v>477</v>
      </c>
      <c r="I690" s="406">
        <f t="shared" si="18"/>
        <v>-50914.1</v>
      </c>
    </row>
    <row r="691" spans="1:10" x14ac:dyDescent="0.2">
      <c r="A691" s="383" t="s">
        <v>522</v>
      </c>
      <c r="B691" s="397">
        <v>45658</v>
      </c>
      <c r="C691" s="397" t="s">
        <v>534</v>
      </c>
      <c r="D691" s="383">
        <v>6</v>
      </c>
      <c r="E691" s="383" t="s">
        <v>524</v>
      </c>
      <c r="F691" s="388" t="s">
        <v>354</v>
      </c>
      <c r="G691" s="388"/>
      <c r="H691" s="384" t="s">
        <v>478</v>
      </c>
      <c r="I691" s="406">
        <f t="shared" si="18"/>
        <v>-27717.360000000001</v>
      </c>
    </row>
    <row r="692" spans="1:10" x14ac:dyDescent="0.2">
      <c r="A692" s="383" t="s">
        <v>522</v>
      </c>
      <c r="B692" s="397">
        <v>45658</v>
      </c>
      <c r="C692" s="397" t="s">
        <v>534</v>
      </c>
      <c r="D692" s="383">
        <v>6</v>
      </c>
      <c r="E692" s="383" t="s">
        <v>524</v>
      </c>
      <c r="F692" s="390" t="s">
        <v>355</v>
      </c>
      <c r="G692" s="390"/>
      <c r="H692" s="384" t="s">
        <v>355</v>
      </c>
      <c r="I692" s="406">
        <f t="shared" si="18"/>
        <v>-47101.599999999999</v>
      </c>
    </row>
    <row r="693" spans="1:10" x14ac:dyDescent="0.2">
      <c r="A693" s="383" t="s">
        <v>522</v>
      </c>
      <c r="B693" s="397">
        <v>45658</v>
      </c>
      <c r="C693" s="397" t="s">
        <v>534</v>
      </c>
      <c r="D693" s="383">
        <v>6</v>
      </c>
      <c r="E693" s="383" t="s">
        <v>524</v>
      </c>
      <c r="F693" s="390" t="s">
        <v>356</v>
      </c>
      <c r="G693" s="390"/>
      <c r="H693" s="384" t="s">
        <v>356</v>
      </c>
      <c r="I693" s="406">
        <f t="shared" si="18"/>
        <v>-526895.42879999999</v>
      </c>
    </row>
    <row r="694" spans="1:10" x14ac:dyDescent="0.2">
      <c r="A694" s="383" t="s">
        <v>522</v>
      </c>
      <c r="B694" s="397">
        <v>45658</v>
      </c>
      <c r="C694" s="397" t="s">
        <v>534</v>
      </c>
      <c r="D694" s="383">
        <v>6</v>
      </c>
      <c r="E694" s="383" t="s">
        <v>524</v>
      </c>
      <c r="F694" s="390" t="s">
        <v>357</v>
      </c>
      <c r="G694" s="390"/>
      <c r="H694" s="384" t="s">
        <v>357</v>
      </c>
      <c r="I694" s="406">
        <f t="shared" si="18"/>
        <v>-6479.54</v>
      </c>
    </row>
    <row r="695" spans="1:10" x14ac:dyDescent="0.2">
      <c r="A695" s="383" t="s">
        <v>522</v>
      </c>
      <c r="B695" s="397">
        <v>45658</v>
      </c>
      <c r="C695" s="397" t="s">
        <v>535</v>
      </c>
      <c r="D695" s="383">
        <v>7</v>
      </c>
      <c r="E695" s="383" t="s">
        <v>529</v>
      </c>
      <c r="F695" s="400" t="s">
        <v>358</v>
      </c>
      <c r="G695" s="400"/>
      <c r="H695" s="403" t="s">
        <v>358</v>
      </c>
      <c r="I695" s="396">
        <f>I685+I686+I687+I688+I689+I690+I691+I692+I693+I694</f>
        <v>1673115.5664059999</v>
      </c>
      <c r="J695" s="352">
        <f>IF(C695="A",-I695/I667,I695/I667)</f>
        <v>0.38862162210328133</v>
      </c>
    </row>
    <row r="696" spans="1:10" x14ac:dyDescent="0.2">
      <c r="A696" s="383" t="s">
        <v>522</v>
      </c>
      <c r="B696" s="397">
        <v>45658</v>
      </c>
      <c r="C696" s="397" t="s">
        <v>534</v>
      </c>
      <c r="D696" s="383">
        <v>8</v>
      </c>
      <c r="E696" s="383" t="s">
        <v>527</v>
      </c>
      <c r="F696" s="385" t="s">
        <v>359</v>
      </c>
      <c r="G696" s="385"/>
      <c r="H696" s="384" t="s">
        <v>479</v>
      </c>
      <c r="I696" s="406">
        <f>I655</f>
        <v>0</v>
      </c>
    </row>
    <row r="697" spans="1:10" x14ac:dyDescent="0.2">
      <c r="A697" s="383" t="s">
        <v>522</v>
      </c>
      <c r="B697" s="397">
        <v>45658</v>
      </c>
      <c r="C697" s="397" t="s">
        <v>534</v>
      </c>
      <c r="D697" s="383">
        <v>8</v>
      </c>
      <c r="E697" s="383" t="s">
        <v>527</v>
      </c>
      <c r="F697" s="385" t="s">
        <v>360</v>
      </c>
      <c r="G697" s="385"/>
      <c r="H697" s="384" t="s">
        <v>480</v>
      </c>
      <c r="I697" s="406">
        <f>I656</f>
        <v>82059.86</v>
      </c>
    </row>
    <row r="698" spans="1:10" x14ac:dyDescent="0.2">
      <c r="A698" s="383" t="s">
        <v>522</v>
      </c>
      <c r="B698" s="397">
        <v>45658</v>
      </c>
      <c r="C698" s="397" t="s">
        <v>534</v>
      </c>
      <c r="D698" s="383">
        <v>8</v>
      </c>
      <c r="E698" s="383" t="s">
        <v>527</v>
      </c>
      <c r="F698" s="390" t="s">
        <v>361</v>
      </c>
      <c r="G698" s="390"/>
      <c r="H698" s="384" t="s">
        <v>481</v>
      </c>
      <c r="I698" s="406">
        <f>I657</f>
        <v>-13926.67</v>
      </c>
    </row>
    <row r="699" spans="1:10" x14ac:dyDescent="0.2">
      <c r="A699" s="383" t="s">
        <v>522</v>
      </c>
      <c r="B699" s="397">
        <v>45658</v>
      </c>
      <c r="C699" s="397" t="s">
        <v>534</v>
      </c>
      <c r="D699" s="383">
        <v>9</v>
      </c>
      <c r="E699" s="383" t="s">
        <v>526</v>
      </c>
      <c r="F699" s="390" t="s">
        <v>363</v>
      </c>
      <c r="G699" s="390"/>
      <c r="H699" s="405" t="s">
        <v>363</v>
      </c>
      <c r="I699" s="396">
        <f>I658-I665</f>
        <v>-828118.16499999992</v>
      </c>
    </row>
    <row r="700" spans="1:10" x14ac:dyDescent="0.2">
      <c r="A700" s="383" t="s">
        <v>522</v>
      </c>
      <c r="B700" s="397">
        <v>45658</v>
      </c>
      <c r="C700" s="397" t="s">
        <v>534</v>
      </c>
      <c r="D700" s="383">
        <v>9</v>
      </c>
      <c r="E700" s="383" t="s">
        <v>526</v>
      </c>
      <c r="F700" s="390" t="s">
        <v>364</v>
      </c>
      <c r="G700" s="390"/>
      <c r="H700" s="384" t="s">
        <v>364</v>
      </c>
      <c r="I700" s="406">
        <f>I659</f>
        <v>-32092.9664204</v>
      </c>
    </row>
    <row r="701" spans="1:10" x14ac:dyDescent="0.2">
      <c r="A701" s="383" t="s">
        <v>522</v>
      </c>
      <c r="B701" s="397">
        <v>45658</v>
      </c>
      <c r="C701" s="397" t="s">
        <v>534</v>
      </c>
      <c r="D701" s="383">
        <v>9</v>
      </c>
      <c r="E701" s="383" t="s">
        <v>526</v>
      </c>
      <c r="F701" s="394" t="s">
        <v>273</v>
      </c>
      <c r="G701" s="394"/>
      <c r="H701" s="398" t="s">
        <v>563</v>
      </c>
      <c r="I701" s="406">
        <f>I660</f>
        <v>0</v>
      </c>
    </row>
    <row r="702" spans="1:10" x14ac:dyDescent="0.2">
      <c r="A702" s="383" t="s">
        <v>522</v>
      </c>
      <c r="B702" s="397">
        <v>45658</v>
      </c>
      <c r="C702" s="397" t="s">
        <v>534</v>
      </c>
      <c r="D702" s="383">
        <v>10</v>
      </c>
      <c r="E702" s="383" t="s">
        <v>452</v>
      </c>
      <c r="F702" s="400" t="s">
        <v>365</v>
      </c>
      <c r="G702" s="400"/>
      <c r="H702" s="403" t="s">
        <v>365</v>
      </c>
      <c r="I702" s="396">
        <f>I668+I669+I670+I671+I672+I673+I681+I682+I683+I684+I686+I687+I688+I689+I690+I691+I692+I693+I694+I696+I697+I698+I699+I700+I701</f>
        <v>-3424218.3650204004</v>
      </c>
      <c r="J702" s="352">
        <f>IF(C702="A",-I702/I667,I702/I667)</f>
        <v>0.7953576681547404</v>
      </c>
    </row>
    <row r="703" spans="1:10" x14ac:dyDescent="0.2">
      <c r="A703" s="383" t="s">
        <v>522</v>
      </c>
      <c r="B703" s="397">
        <v>45658</v>
      </c>
      <c r="C703" s="397" t="s">
        <v>535</v>
      </c>
      <c r="D703" s="383">
        <v>11</v>
      </c>
      <c r="E703" s="383" t="s">
        <v>528</v>
      </c>
      <c r="F703" s="400" t="s">
        <v>367</v>
      </c>
      <c r="G703" s="400"/>
      <c r="H703" s="405" t="s">
        <v>367</v>
      </c>
      <c r="I703" s="395">
        <f>I667+I702</f>
        <v>881037.62498559942</v>
      </c>
      <c r="J703" s="352">
        <f>IF(C703="A",-I703/I667,I703/I667)</f>
        <v>0.2046423318452596</v>
      </c>
    </row>
    <row r="704" spans="1:10" ht="14.25" x14ac:dyDescent="0.2">
      <c r="A704" s="383" t="s">
        <v>73</v>
      </c>
      <c r="B704" s="397">
        <v>45689</v>
      </c>
      <c r="C704" s="397" t="s">
        <v>536</v>
      </c>
      <c r="D704" s="383">
        <v>1</v>
      </c>
      <c r="E704" s="384" t="s">
        <v>530</v>
      </c>
      <c r="F704" s="400" t="s">
        <v>440</v>
      </c>
      <c r="G704" s="459" t="s">
        <v>324</v>
      </c>
      <c r="H704" s="384" t="s">
        <v>440</v>
      </c>
      <c r="I704" s="383">
        <f>INDEX(DRE!$W$2:$AS$53, MATCH('DRE 2025'!G704,DRE!$D$2:$D$53,0), MATCH(B704, DRE!$W$1:$AS$1, 0))</f>
        <v>4086254.2800000003</v>
      </c>
      <c r="J704" s="352">
        <v>1</v>
      </c>
    </row>
    <row r="705" spans="1:9" x14ac:dyDescent="0.2">
      <c r="A705" s="383" t="s">
        <v>73</v>
      </c>
      <c r="B705" s="397">
        <v>45689</v>
      </c>
      <c r="C705" s="397" t="s">
        <v>534</v>
      </c>
      <c r="D705" s="383">
        <v>2</v>
      </c>
      <c r="E705" s="384" t="s">
        <v>325</v>
      </c>
      <c r="F705" s="390" t="s">
        <v>326</v>
      </c>
      <c r="G705" s="461" t="s">
        <v>326</v>
      </c>
      <c r="H705" s="384" t="s">
        <v>519</v>
      </c>
      <c r="I705" s="383">
        <f>INDEX(DRE!$W$2:$AS$53, MATCH('DRE 2025'!G705,DRE!$D$2:$D$53,0), MATCH(B705, DRE!$W$1:$AS$1, 0))</f>
        <v>-198673.46</v>
      </c>
    </row>
    <row r="706" spans="1:9" x14ac:dyDescent="0.2">
      <c r="A706" s="383" t="s">
        <v>73</v>
      </c>
      <c r="B706" s="397">
        <v>45689</v>
      </c>
      <c r="C706" s="397" t="s">
        <v>534</v>
      </c>
      <c r="D706" s="383">
        <v>2</v>
      </c>
      <c r="E706" s="384" t="s">
        <v>325</v>
      </c>
      <c r="F706" s="385" t="s">
        <v>328</v>
      </c>
      <c r="G706" s="462" t="s">
        <v>328</v>
      </c>
      <c r="H706" s="384" t="s">
        <v>521</v>
      </c>
      <c r="I706" s="383">
        <f>INDEX(DRE!$W$2:$AS$53, MATCH('DRE 2025'!G706,DRE!$D$2:$D$53,0), MATCH(B706, DRE!$W$1:$AS$1, 0))</f>
        <v>-3222.51</v>
      </c>
    </row>
    <row r="707" spans="1:9" x14ac:dyDescent="0.2">
      <c r="A707" s="383" t="s">
        <v>73</v>
      </c>
      <c r="B707" s="397">
        <v>45689</v>
      </c>
      <c r="C707" s="397" t="s">
        <v>534</v>
      </c>
      <c r="D707" s="383">
        <v>2</v>
      </c>
      <c r="E707" s="384" t="s">
        <v>325</v>
      </c>
      <c r="F707" s="385" t="s">
        <v>329</v>
      </c>
      <c r="G707" s="462" t="s">
        <v>329</v>
      </c>
      <c r="H707" s="384" t="s">
        <v>329</v>
      </c>
      <c r="I707" s="383">
        <f>INDEX(DRE!$W$2:$AS$53, MATCH('DRE 2025'!G707,DRE!$D$2:$D$53,0), MATCH(B707, DRE!$W$1:$AS$1, 0))</f>
        <v>0</v>
      </c>
    </row>
    <row r="708" spans="1:9" x14ac:dyDescent="0.2">
      <c r="A708" s="383" t="s">
        <v>73</v>
      </c>
      <c r="B708" s="397">
        <v>45689</v>
      </c>
      <c r="C708" s="397" t="s">
        <v>534</v>
      </c>
      <c r="D708" s="383">
        <v>2</v>
      </c>
      <c r="E708" s="384" t="s">
        <v>325</v>
      </c>
      <c r="F708" s="385" t="s">
        <v>330</v>
      </c>
      <c r="G708" s="462" t="s">
        <v>565</v>
      </c>
      <c r="H708" s="384" t="s">
        <v>330</v>
      </c>
      <c r="I708" s="383">
        <f>INDEX(DRE!$W$2:$AS$53, MATCH('DRE 2025'!G708,DRE!$D$2:$D$53,0), MATCH(B708, DRE!$W$1:$AS$1, 0))</f>
        <v>-4442.21</v>
      </c>
    </row>
    <row r="709" spans="1:9" x14ac:dyDescent="0.2">
      <c r="A709" s="383" t="s">
        <v>73</v>
      </c>
      <c r="B709" s="397">
        <v>45689</v>
      </c>
      <c r="C709" s="397" t="s">
        <v>534</v>
      </c>
      <c r="D709" s="383">
        <v>2</v>
      </c>
      <c r="E709" s="384" t="s">
        <v>325</v>
      </c>
      <c r="F709" s="385" t="s">
        <v>331</v>
      </c>
      <c r="G709" s="462" t="s">
        <v>331</v>
      </c>
      <c r="H709" s="384" t="s">
        <v>331</v>
      </c>
      <c r="I709" s="383">
        <f>INDEX(DRE!$W$2:$AS$53, MATCH('DRE 2025'!G709,DRE!$D$2:$D$53,0), MATCH(B709, DRE!$W$1:$AS$1, 0))</f>
        <v>-11.39</v>
      </c>
    </row>
    <row r="710" spans="1:9" x14ac:dyDescent="0.2">
      <c r="A710" s="383" t="s">
        <v>73</v>
      </c>
      <c r="B710" s="397">
        <v>45689</v>
      </c>
      <c r="C710" s="397" t="s">
        <v>534</v>
      </c>
      <c r="D710" s="383">
        <v>2</v>
      </c>
      <c r="E710" s="384" t="s">
        <v>325</v>
      </c>
      <c r="F710" s="384" t="s">
        <v>332</v>
      </c>
      <c r="G710" s="463" t="s">
        <v>332</v>
      </c>
      <c r="H710" s="384" t="s">
        <v>520</v>
      </c>
      <c r="I710" s="383">
        <f>INDEX(DRE!$W$2:$AS$53, MATCH('DRE 2025'!G710,DRE!$D$2:$D$53,0), MATCH(B710, DRE!$W$1:$AS$1, 0))</f>
        <v>0</v>
      </c>
    </row>
    <row r="711" spans="1:9" x14ac:dyDescent="0.2">
      <c r="A711" s="383" t="s">
        <v>73</v>
      </c>
      <c r="B711" s="397">
        <v>45689</v>
      </c>
      <c r="C711" s="397" t="s">
        <v>535</v>
      </c>
      <c r="D711" s="383">
        <v>3</v>
      </c>
      <c r="E711" s="384" t="s">
        <v>531</v>
      </c>
      <c r="F711" s="385" t="s">
        <v>334</v>
      </c>
      <c r="G711" s="462" t="s">
        <v>334</v>
      </c>
      <c r="H711" s="384" t="s">
        <v>334</v>
      </c>
      <c r="I711" s="383">
        <f>INDEX(DRE!$W$2:$AS$53, MATCH('DRE 2025'!G711,DRE!$D$2:$D$53,0), MATCH(B711, DRE!$W$1:$AS$1, 0))</f>
        <v>3511184.91</v>
      </c>
    </row>
    <row r="712" spans="1:9" x14ac:dyDescent="0.2">
      <c r="A712" s="383" t="s">
        <v>73</v>
      </c>
      <c r="B712" s="397">
        <v>45689</v>
      </c>
      <c r="C712" s="397" t="s">
        <v>535</v>
      </c>
      <c r="D712" s="383">
        <v>3</v>
      </c>
      <c r="E712" s="384" t="s">
        <v>531</v>
      </c>
      <c r="F712" s="385" t="s">
        <v>335</v>
      </c>
      <c r="G712" s="462" t="s">
        <v>335</v>
      </c>
      <c r="H712" s="384" t="s">
        <v>335</v>
      </c>
      <c r="I712" s="383">
        <f>INDEX(DRE!$W$2:$AS$53, MATCH('DRE 2025'!G712,DRE!$D$2:$D$53,0), MATCH(B712, DRE!$W$1:$AS$1, 0))</f>
        <v>389371.93</v>
      </c>
    </row>
    <row r="713" spans="1:9" x14ac:dyDescent="0.2">
      <c r="A713" s="383" t="s">
        <v>73</v>
      </c>
      <c r="B713" s="397">
        <v>45689</v>
      </c>
      <c r="C713" s="397" t="s">
        <v>535</v>
      </c>
      <c r="D713" s="383">
        <v>3</v>
      </c>
      <c r="E713" s="384" t="s">
        <v>531</v>
      </c>
      <c r="F713" s="385" t="s">
        <v>336</v>
      </c>
      <c r="G713" s="462" t="s">
        <v>336</v>
      </c>
      <c r="H713" s="384" t="s">
        <v>336</v>
      </c>
      <c r="I713" s="383">
        <f>INDEX(DRE!$W$2:$AS$53, MATCH('DRE 2025'!G713,DRE!$D$2:$D$53,0), MATCH(B713, DRE!$W$1:$AS$1, 0))</f>
        <v>0</v>
      </c>
    </row>
    <row r="714" spans="1:9" x14ac:dyDescent="0.2">
      <c r="A714" s="383" t="s">
        <v>73</v>
      </c>
      <c r="B714" s="397">
        <v>45689</v>
      </c>
      <c r="C714" s="397" t="s">
        <v>535</v>
      </c>
      <c r="D714" s="383">
        <v>3</v>
      </c>
      <c r="E714" s="384" t="s">
        <v>531</v>
      </c>
      <c r="F714" s="387" t="s">
        <v>273</v>
      </c>
      <c r="G714" s="464" t="s">
        <v>562</v>
      </c>
      <c r="H714" s="384" t="s">
        <v>562</v>
      </c>
      <c r="I714" s="383">
        <f>INDEX(DRE!$W$2:$AS$53, MATCH('DRE 2025'!G714,DRE!$D$2:$D$53,0), MATCH(B714, DRE!$W$1:$AS$1, 0))</f>
        <v>0</v>
      </c>
    </row>
    <row r="715" spans="1:9" x14ac:dyDescent="0.2">
      <c r="A715" s="383" t="s">
        <v>73</v>
      </c>
      <c r="B715" s="397">
        <v>45689</v>
      </c>
      <c r="C715" s="397" t="s">
        <v>535</v>
      </c>
      <c r="D715" s="383">
        <v>3</v>
      </c>
      <c r="E715" s="384" t="s">
        <v>531</v>
      </c>
      <c r="F715" s="387" t="s">
        <v>513</v>
      </c>
      <c r="G715" s="464" t="s">
        <v>513</v>
      </c>
      <c r="H715" s="384" t="s">
        <v>513</v>
      </c>
      <c r="I715" s="383" t="e">
        <f>INDEX(DRE!$W$2:$AS$53, MATCH('DRE 2025'!G715,DRE!$D$2:$D$53,0), MATCH(B715, DRE!$W$1:$AS$1, 0))</f>
        <v>#N/A</v>
      </c>
    </row>
    <row r="716" spans="1:9" x14ac:dyDescent="0.2">
      <c r="A716" s="383" t="s">
        <v>73</v>
      </c>
      <c r="B716" s="397">
        <v>45689</v>
      </c>
      <c r="C716" s="397" t="s">
        <v>535</v>
      </c>
      <c r="D716" s="383">
        <v>3</v>
      </c>
      <c r="E716" s="384" t="s">
        <v>531</v>
      </c>
      <c r="F716" s="387" t="s">
        <v>514</v>
      </c>
      <c r="G716" s="464" t="s">
        <v>514</v>
      </c>
      <c r="H716" s="384" t="s">
        <v>514</v>
      </c>
      <c r="I716" s="383" t="e">
        <f>INDEX(DRE!$W$2:$AS$53, MATCH('DRE 2025'!G716,DRE!$D$2:$D$53,0), MATCH(B716, DRE!$W$1:$AS$1, 0))</f>
        <v>#N/A</v>
      </c>
    </row>
    <row r="717" spans="1:9" x14ac:dyDescent="0.2">
      <c r="A717" s="383" t="s">
        <v>73</v>
      </c>
      <c r="B717" s="397">
        <v>45689</v>
      </c>
      <c r="C717" s="397" t="s">
        <v>535</v>
      </c>
      <c r="D717" s="383">
        <v>3</v>
      </c>
      <c r="E717" s="384" t="s">
        <v>531</v>
      </c>
      <c r="F717" s="385" t="s">
        <v>337</v>
      </c>
      <c r="G717" s="462" t="s">
        <v>337</v>
      </c>
      <c r="H717" s="384" t="s">
        <v>337</v>
      </c>
      <c r="I717" s="383">
        <f>INDEX(DRE!$W$2:$AS$53, MATCH('DRE 2025'!G717,DRE!$D$2:$D$53,0), MATCH(B717, DRE!$W$1:$AS$1, 0))</f>
        <v>4348</v>
      </c>
    </row>
    <row r="718" spans="1:9" x14ac:dyDescent="0.2">
      <c r="A718" s="383" t="s">
        <v>73</v>
      </c>
      <c r="B718" s="397">
        <v>45689</v>
      </c>
      <c r="C718" s="397" t="s">
        <v>534</v>
      </c>
      <c r="D718" s="383">
        <v>4</v>
      </c>
      <c r="E718" s="383" t="s">
        <v>523</v>
      </c>
      <c r="F718" s="388" t="s">
        <v>340</v>
      </c>
      <c r="G718" s="465" t="s">
        <v>340</v>
      </c>
      <c r="H718" s="384" t="s">
        <v>340</v>
      </c>
      <c r="I718" s="383">
        <f>INDEX(DRE!$W$2:$AS$53, MATCH('DRE 2025'!G718,DRE!$D$2:$D$53,0), MATCH(B718, DRE!$W$1:$AS$1, 0))</f>
        <v>-43101.16</v>
      </c>
    </row>
    <row r="719" spans="1:9" x14ac:dyDescent="0.2">
      <c r="A719" s="383" t="s">
        <v>73</v>
      </c>
      <c r="B719" s="397">
        <v>45689</v>
      </c>
      <c r="C719" s="397" t="s">
        <v>534</v>
      </c>
      <c r="D719" s="383">
        <v>4</v>
      </c>
      <c r="E719" s="383" t="s">
        <v>523</v>
      </c>
      <c r="F719" s="388" t="s">
        <v>341</v>
      </c>
      <c r="G719" s="465" t="s">
        <v>341</v>
      </c>
      <c r="H719" s="384" t="s">
        <v>341</v>
      </c>
      <c r="I719" s="383">
        <f>INDEX(DRE!$W$2:$AS$53, MATCH('DRE 2025'!G719,DRE!$D$2:$D$53,0), MATCH(B719, DRE!$W$1:$AS$1, 0))</f>
        <v>-151787.51</v>
      </c>
    </row>
    <row r="720" spans="1:9" x14ac:dyDescent="0.2">
      <c r="A720" s="383" t="s">
        <v>73</v>
      </c>
      <c r="B720" s="397">
        <v>45689</v>
      </c>
      <c r="C720" s="397" t="s">
        <v>534</v>
      </c>
      <c r="D720" s="383">
        <v>4</v>
      </c>
      <c r="E720" s="383" t="s">
        <v>523</v>
      </c>
      <c r="F720" s="388" t="s">
        <v>342</v>
      </c>
      <c r="G720" s="465" t="s">
        <v>342</v>
      </c>
      <c r="H720" s="384" t="s">
        <v>342</v>
      </c>
      <c r="I720" s="383">
        <f>INDEX(DRE!$W$2:$AS$53, MATCH('DRE 2025'!G720,DRE!$D$2:$D$53,0), MATCH(B720, DRE!$W$1:$AS$1, 0))</f>
        <v>-1404814.5481999996</v>
      </c>
    </row>
    <row r="721" spans="1:10" x14ac:dyDescent="0.2">
      <c r="A721" s="383" t="s">
        <v>73</v>
      </c>
      <c r="B721" s="397">
        <v>45689</v>
      </c>
      <c r="C721" s="397" t="s">
        <v>534</v>
      </c>
      <c r="D721" s="383">
        <v>4</v>
      </c>
      <c r="E721" s="383" t="s">
        <v>523</v>
      </c>
      <c r="F721" s="388" t="s">
        <v>343</v>
      </c>
      <c r="G721" s="465" t="s">
        <v>343</v>
      </c>
      <c r="H721" s="384" t="s">
        <v>343</v>
      </c>
      <c r="I721" s="383">
        <f>INDEX(DRE!$W$2:$AS$53, MATCH('DRE 2025'!G721,DRE!$D$2:$D$53,0), MATCH(B721, DRE!$W$1:$AS$1, 0))</f>
        <v>-55514.86</v>
      </c>
    </row>
    <row r="722" spans="1:10" x14ac:dyDescent="0.2">
      <c r="A722" s="383" t="s">
        <v>73</v>
      </c>
      <c r="B722" s="397">
        <v>45689</v>
      </c>
      <c r="C722" s="397" t="s">
        <v>535</v>
      </c>
      <c r="D722" s="383">
        <v>5</v>
      </c>
      <c r="E722" s="383" t="s">
        <v>532</v>
      </c>
      <c r="F722" s="401" t="s">
        <v>345</v>
      </c>
      <c r="G722" s="401"/>
      <c r="H722" s="402" t="s">
        <v>345</v>
      </c>
      <c r="I722" s="406" t="e">
        <f>I711+I712+I713+I714+I715+I716+I717+I718+I719+I720+I721</f>
        <v>#N/A</v>
      </c>
      <c r="J722" s="352" t="e">
        <f>IF(C722="A",-I722/I704,I722/I704)</f>
        <v>#N/A</v>
      </c>
    </row>
    <row r="723" spans="1:10" x14ac:dyDescent="0.2">
      <c r="A723" s="383" t="s">
        <v>73</v>
      </c>
      <c r="B723" s="397">
        <v>45689</v>
      </c>
      <c r="C723" s="397" t="s">
        <v>534</v>
      </c>
      <c r="D723" s="383">
        <v>6</v>
      </c>
      <c r="E723" s="383" t="s">
        <v>524</v>
      </c>
      <c r="F723" s="388" t="s">
        <v>349</v>
      </c>
      <c r="G723" s="465" t="s">
        <v>349</v>
      </c>
      <c r="H723" s="384" t="s">
        <v>473</v>
      </c>
      <c r="I723" s="383">
        <f>INDEX(DRE!$W$2:$AS$53, MATCH('DRE 2025'!G723,DRE!$D$2:$D$53,0), MATCH(B723, DRE!$W$1:$AS$1, 0))</f>
        <v>-30476.55</v>
      </c>
    </row>
    <row r="724" spans="1:10" x14ac:dyDescent="0.2">
      <c r="A724" s="383" t="s">
        <v>73</v>
      </c>
      <c r="B724" s="397">
        <v>45689</v>
      </c>
      <c r="C724" s="397" t="s">
        <v>534</v>
      </c>
      <c r="D724" s="383">
        <v>6</v>
      </c>
      <c r="E724" s="383" t="s">
        <v>524</v>
      </c>
      <c r="F724" s="388" t="s">
        <v>350</v>
      </c>
      <c r="G724" s="465" t="s">
        <v>350</v>
      </c>
      <c r="H724" s="384" t="s">
        <v>474</v>
      </c>
      <c r="I724" s="383">
        <f>INDEX(DRE!$W$2:$AS$53, MATCH('DRE 2025'!G724,DRE!$D$2:$D$53,0), MATCH(B724, DRE!$W$1:$AS$1, 0))</f>
        <v>-9308.48</v>
      </c>
    </row>
    <row r="725" spans="1:10" x14ac:dyDescent="0.2">
      <c r="A725" s="383" t="s">
        <v>73</v>
      </c>
      <c r="B725" s="397">
        <v>45689</v>
      </c>
      <c r="C725" s="397" t="s">
        <v>534</v>
      </c>
      <c r="D725" s="383">
        <v>6</v>
      </c>
      <c r="E725" s="383" t="s">
        <v>524</v>
      </c>
      <c r="F725" s="388" t="s">
        <v>351</v>
      </c>
      <c r="G725" s="465" t="s">
        <v>351</v>
      </c>
      <c r="H725" s="384" t="s">
        <v>475</v>
      </c>
      <c r="I725" s="383">
        <f>INDEX(DRE!$W$2:$AS$53, MATCH('DRE 2025'!G725,DRE!$D$2:$D$53,0), MATCH(B725, DRE!$W$1:$AS$1, 0))</f>
        <v>-133784.15</v>
      </c>
    </row>
    <row r="726" spans="1:10" x14ac:dyDescent="0.2">
      <c r="A726" s="383" t="s">
        <v>73</v>
      </c>
      <c r="B726" s="397">
        <v>45689</v>
      </c>
      <c r="C726" s="397" t="s">
        <v>534</v>
      </c>
      <c r="D726" s="383">
        <v>6</v>
      </c>
      <c r="E726" s="383" t="s">
        <v>524</v>
      </c>
      <c r="F726" s="388" t="s">
        <v>352</v>
      </c>
      <c r="G726" s="465" t="s">
        <v>352</v>
      </c>
      <c r="H726" s="384" t="s">
        <v>476</v>
      </c>
      <c r="I726" s="383">
        <f>INDEX(DRE!$W$2:$AS$53, MATCH('DRE 2025'!G726,DRE!$D$2:$D$53,0), MATCH(B726, DRE!$W$1:$AS$1, 0))</f>
        <v>-8967.49</v>
      </c>
    </row>
    <row r="727" spans="1:10" x14ac:dyDescent="0.2">
      <c r="A727" s="383" t="s">
        <v>73</v>
      </c>
      <c r="B727" s="397">
        <v>45689</v>
      </c>
      <c r="C727" s="397" t="s">
        <v>534</v>
      </c>
      <c r="D727" s="383">
        <v>6</v>
      </c>
      <c r="E727" s="383" t="s">
        <v>524</v>
      </c>
      <c r="F727" s="388" t="s">
        <v>353</v>
      </c>
      <c r="G727" s="465" t="s">
        <v>353</v>
      </c>
      <c r="H727" s="384" t="s">
        <v>477</v>
      </c>
      <c r="I727" s="383">
        <f>INDEX(DRE!$W$2:$AS$53, MATCH('DRE 2025'!G727,DRE!$D$2:$D$53,0), MATCH(B727, DRE!$W$1:$AS$1, 0))</f>
        <v>-65071.91</v>
      </c>
    </row>
    <row r="728" spans="1:10" x14ac:dyDescent="0.2">
      <c r="A728" s="383" t="s">
        <v>73</v>
      </c>
      <c r="B728" s="397">
        <v>45689</v>
      </c>
      <c r="C728" s="397" t="s">
        <v>534</v>
      </c>
      <c r="D728" s="383">
        <v>6</v>
      </c>
      <c r="E728" s="383" t="s">
        <v>524</v>
      </c>
      <c r="F728" s="388" t="s">
        <v>354</v>
      </c>
      <c r="G728" s="465" t="s">
        <v>354</v>
      </c>
      <c r="H728" s="384" t="s">
        <v>478</v>
      </c>
      <c r="I728" s="383">
        <f>INDEX(DRE!$W$2:$AS$53, MATCH('DRE 2025'!G728,DRE!$D$2:$D$53,0), MATCH(B728, DRE!$W$1:$AS$1, 0))</f>
        <v>-19043.96</v>
      </c>
    </row>
    <row r="729" spans="1:10" x14ac:dyDescent="0.2">
      <c r="A729" s="383" t="s">
        <v>73</v>
      </c>
      <c r="B729" s="397">
        <v>45689</v>
      </c>
      <c r="C729" s="397" t="s">
        <v>534</v>
      </c>
      <c r="D729" s="383">
        <v>6</v>
      </c>
      <c r="E729" s="383" t="s">
        <v>524</v>
      </c>
      <c r="F729" s="390" t="s">
        <v>355</v>
      </c>
      <c r="G729" s="461" t="s">
        <v>355</v>
      </c>
      <c r="H729" s="384" t="s">
        <v>355</v>
      </c>
      <c r="I729" s="383">
        <f>INDEX(DRE!$W$2:$AS$53, MATCH('DRE 2025'!G729,DRE!$D$2:$D$53,0), MATCH(B729, DRE!$W$1:$AS$1, 0))</f>
        <v>-78225.320000000007</v>
      </c>
    </row>
    <row r="730" spans="1:10" x14ac:dyDescent="0.2">
      <c r="A730" s="383" t="s">
        <v>73</v>
      </c>
      <c r="B730" s="397">
        <v>45689</v>
      </c>
      <c r="C730" s="397" t="s">
        <v>534</v>
      </c>
      <c r="D730" s="383">
        <v>6</v>
      </c>
      <c r="E730" s="383" t="s">
        <v>524</v>
      </c>
      <c r="F730" s="390" t="s">
        <v>356</v>
      </c>
      <c r="G730" s="461" t="s">
        <v>356</v>
      </c>
      <c r="H730" s="384" t="s">
        <v>356</v>
      </c>
      <c r="I730" s="383">
        <f>INDEX(DRE!$W$2:$AS$53, MATCH('DRE 2025'!G730,DRE!$D$2:$D$53,0), MATCH(B730, DRE!$W$1:$AS$1, 0))</f>
        <v>-475823.33700000006</v>
      </c>
    </row>
    <row r="731" spans="1:10" x14ac:dyDescent="0.2">
      <c r="A731" s="383" t="s">
        <v>73</v>
      </c>
      <c r="B731" s="397">
        <v>45689</v>
      </c>
      <c r="C731" s="397" t="s">
        <v>534</v>
      </c>
      <c r="D731" s="383">
        <v>6</v>
      </c>
      <c r="E731" s="383" t="s">
        <v>524</v>
      </c>
      <c r="F731" s="390" t="s">
        <v>357</v>
      </c>
      <c r="G731" s="461" t="s">
        <v>357</v>
      </c>
      <c r="H731" s="384" t="s">
        <v>357</v>
      </c>
      <c r="I731" s="383">
        <f>INDEX(DRE!$W$2:$AS$53, MATCH('DRE 2025'!G731,DRE!$D$2:$D$53,0), MATCH(B731, DRE!$W$1:$AS$1, 0))</f>
        <v>-3622.44</v>
      </c>
    </row>
    <row r="732" spans="1:10" x14ac:dyDescent="0.2">
      <c r="A732" s="383" t="s">
        <v>73</v>
      </c>
      <c r="B732" s="397">
        <v>45689</v>
      </c>
      <c r="C732" s="397" t="s">
        <v>535</v>
      </c>
      <c r="D732" s="383">
        <v>7</v>
      </c>
      <c r="E732" s="383" t="s">
        <v>529</v>
      </c>
      <c r="F732" s="400" t="s">
        <v>358</v>
      </c>
      <c r="G732" s="400"/>
      <c r="H732" s="403" t="s">
        <v>358</v>
      </c>
      <c r="I732" s="396" t="e">
        <f>I722+I723+I724+I725+I726+I727+I728+I729+I730+I731</f>
        <v>#N/A</v>
      </c>
      <c r="J732" s="352" t="e">
        <f>IF(C732="A",-I732/I704,I732/I704)</f>
        <v>#N/A</v>
      </c>
    </row>
    <row r="733" spans="1:10" x14ac:dyDescent="0.2">
      <c r="A733" s="383" t="s">
        <v>73</v>
      </c>
      <c r="B733" s="397">
        <v>45689</v>
      </c>
      <c r="C733" s="397" t="s">
        <v>534</v>
      </c>
      <c r="D733" s="383">
        <v>8</v>
      </c>
      <c r="E733" s="383" t="s">
        <v>527</v>
      </c>
      <c r="F733" s="385" t="s">
        <v>359</v>
      </c>
      <c r="G733" s="462" t="s">
        <v>359</v>
      </c>
      <c r="H733" s="384" t="s">
        <v>479</v>
      </c>
      <c r="I733" s="383">
        <f>INDEX(DRE!$W$2:$AS$53, MATCH('DRE 2025'!G733,DRE!$D$2:$D$53,0), MATCH(B733, DRE!$W$1:$AS$1, 0))</f>
        <v>0</v>
      </c>
    </row>
    <row r="734" spans="1:10" x14ac:dyDescent="0.2">
      <c r="A734" s="383" t="s">
        <v>73</v>
      </c>
      <c r="B734" s="397">
        <v>45689</v>
      </c>
      <c r="C734" s="397" t="s">
        <v>534</v>
      </c>
      <c r="D734" s="383">
        <v>8</v>
      </c>
      <c r="E734" s="383" t="s">
        <v>527</v>
      </c>
      <c r="F734" s="385" t="s">
        <v>360</v>
      </c>
      <c r="G734" s="462" t="s">
        <v>360</v>
      </c>
      <c r="H734" s="384" t="s">
        <v>480</v>
      </c>
      <c r="I734" s="383">
        <f>INDEX(DRE!$W$2:$AS$53, MATCH('DRE 2025'!G734,DRE!$D$2:$D$53,0), MATCH(B734, DRE!$W$1:$AS$1, 0))</f>
        <v>18015.32</v>
      </c>
    </row>
    <row r="735" spans="1:10" x14ac:dyDescent="0.2">
      <c r="A735" s="383" t="s">
        <v>73</v>
      </c>
      <c r="B735" s="397">
        <v>45689</v>
      </c>
      <c r="C735" s="397" t="s">
        <v>534</v>
      </c>
      <c r="D735" s="383">
        <v>8</v>
      </c>
      <c r="E735" s="383" t="s">
        <v>527</v>
      </c>
      <c r="F735" s="390" t="s">
        <v>361</v>
      </c>
      <c r="G735" s="466" t="s">
        <v>361</v>
      </c>
      <c r="H735" s="384" t="s">
        <v>481</v>
      </c>
      <c r="I735" s="383">
        <f>INDEX(DRE!$W$2:$AS$53, MATCH('DRE 2025'!G735,DRE!$D$2:$D$53,0), MATCH(B735, DRE!$W$1:$AS$1, 0))</f>
        <v>-27090.600000000002</v>
      </c>
    </row>
    <row r="736" spans="1:10" x14ac:dyDescent="0.2">
      <c r="A736" s="383" t="s">
        <v>73</v>
      </c>
      <c r="B736" s="397">
        <v>45689</v>
      </c>
      <c r="C736" s="397" t="s">
        <v>534</v>
      </c>
      <c r="D736" s="383">
        <v>9</v>
      </c>
      <c r="E736" s="383" t="s">
        <v>526</v>
      </c>
      <c r="F736" s="390" t="s">
        <v>363</v>
      </c>
      <c r="G736" s="461" t="s">
        <v>363</v>
      </c>
      <c r="H736" s="384" t="s">
        <v>363</v>
      </c>
      <c r="I736" s="383">
        <f>INDEX(DRE!$W$2:$AS$53, MATCH('DRE 2025'!G736,DRE!$D$2:$D$53,0), MATCH(B736, DRE!$W$1:$AS$1, 0))</f>
        <v>-648920.18000000005</v>
      </c>
    </row>
    <row r="737" spans="1:10" x14ac:dyDescent="0.2">
      <c r="A737" s="383" t="s">
        <v>73</v>
      </c>
      <c r="B737" s="397">
        <v>45689</v>
      </c>
      <c r="C737" s="397" t="s">
        <v>534</v>
      </c>
      <c r="D737" s="383">
        <v>9</v>
      </c>
      <c r="E737" s="383" t="s">
        <v>526</v>
      </c>
      <c r="F737" s="390" t="s">
        <v>364</v>
      </c>
      <c r="G737" s="461" t="s">
        <v>364</v>
      </c>
      <c r="H737" s="384" t="s">
        <v>364</v>
      </c>
      <c r="I737" s="383">
        <f>INDEX(DRE!$W$2:$AS$53, MATCH('DRE 2025'!G737,DRE!$D$2:$D$53,0), MATCH(B737, DRE!$W$1:$AS$1, 0))</f>
        <v>-32092.9664204</v>
      </c>
    </row>
    <row r="738" spans="1:10" x14ac:dyDescent="0.2">
      <c r="A738" s="383" t="s">
        <v>73</v>
      </c>
      <c r="B738" s="397">
        <v>45689</v>
      </c>
      <c r="C738" s="397" t="s">
        <v>534</v>
      </c>
      <c r="D738" s="383">
        <v>9</v>
      </c>
      <c r="E738" s="383" t="s">
        <v>526</v>
      </c>
      <c r="F738" s="394" t="s">
        <v>273</v>
      </c>
      <c r="G738" s="467" t="s">
        <v>563</v>
      </c>
      <c r="H738" s="398" t="s">
        <v>563</v>
      </c>
      <c r="I738" s="383">
        <f>INDEX(DRE!$W$2:$AS$53, MATCH('DRE 2025'!G738,DRE!$D$2:$D$53,0), MATCH(B738, DRE!$W$1:$AS$1, 0))</f>
        <v>0</v>
      </c>
    </row>
    <row r="739" spans="1:10" x14ac:dyDescent="0.2">
      <c r="A739" s="383" t="s">
        <v>73</v>
      </c>
      <c r="B739" s="397">
        <v>45689</v>
      </c>
      <c r="C739" s="397" t="s">
        <v>534</v>
      </c>
      <c r="D739" s="383">
        <v>10</v>
      </c>
      <c r="E739" s="383" t="s">
        <v>452</v>
      </c>
      <c r="F739" s="400" t="s">
        <v>365</v>
      </c>
      <c r="G739" s="400"/>
      <c r="H739" s="403" t="s">
        <v>365</v>
      </c>
      <c r="I739" s="396">
        <f>I705+I706+I707+I708+I709+I710+I718+I719+I720+I721+I723+I724+I725+I726+I727+I728+I729+I730+I731+I733+I734+I735+I736+I737+I738</f>
        <v>-3375979.7116203997</v>
      </c>
      <c r="J739" s="352">
        <f>IF(C739="A",-I739/I704,I739/I704)</f>
        <v>0.82617954740212585</v>
      </c>
    </row>
    <row r="740" spans="1:10" x14ac:dyDescent="0.2">
      <c r="A740" s="383" t="s">
        <v>73</v>
      </c>
      <c r="B740" s="397">
        <v>45689</v>
      </c>
      <c r="C740" s="397" t="s">
        <v>535</v>
      </c>
      <c r="D740" s="383">
        <v>11</v>
      </c>
      <c r="E740" s="383" t="s">
        <v>528</v>
      </c>
      <c r="F740" s="400" t="s">
        <v>367</v>
      </c>
      <c r="G740" s="400"/>
      <c r="H740" s="403" t="s">
        <v>367</v>
      </c>
      <c r="I740" s="395">
        <f>I704+I739</f>
        <v>710274.56837960053</v>
      </c>
      <c r="J740" s="352">
        <f>IF(C740="A",-I740/I704,I740/I704)</f>
        <v>0.17382045259787418</v>
      </c>
    </row>
    <row r="741" spans="1:10" x14ac:dyDescent="0.2">
      <c r="A741" s="383" t="s">
        <v>516</v>
      </c>
      <c r="B741" s="397">
        <v>45689</v>
      </c>
      <c r="C741" s="397" t="s">
        <v>536</v>
      </c>
      <c r="D741" s="383">
        <v>1</v>
      </c>
      <c r="E741" s="384" t="s">
        <v>530</v>
      </c>
      <c r="F741" s="400" t="s">
        <v>440</v>
      </c>
      <c r="G741" s="400"/>
      <c r="H741" s="404" t="s">
        <v>440</v>
      </c>
      <c r="I741" s="407">
        <f>HLOOKUP(B741,[5]Sucumbências!$BP$2:$CA$43,31,0)</f>
        <v>15000</v>
      </c>
      <c r="J741" s="352">
        <v>1</v>
      </c>
    </row>
    <row r="742" spans="1:10" x14ac:dyDescent="0.2">
      <c r="A742" s="383" t="s">
        <v>516</v>
      </c>
      <c r="B742" s="397">
        <v>45689</v>
      </c>
      <c r="C742" s="397" t="s">
        <v>534</v>
      </c>
      <c r="D742" s="383">
        <v>4</v>
      </c>
      <c r="E742" s="383" t="s">
        <v>525</v>
      </c>
      <c r="F742" s="388" t="s">
        <v>340</v>
      </c>
      <c r="G742" s="388"/>
      <c r="H742" s="404" t="s">
        <v>340</v>
      </c>
      <c r="I742" s="407">
        <f>-HLOOKUP(B742,GLOSAS!$BQ$1:$CB$43,30,0)</f>
        <v>0</v>
      </c>
    </row>
    <row r="743" spans="1:10" x14ac:dyDescent="0.2">
      <c r="A743" s="383" t="s">
        <v>516</v>
      </c>
      <c r="B743" s="397">
        <v>45689</v>
      </c>
      <c r="C743" s="397" t="s">
        <v>534</v>
      </c>
      <c r="D743" s="383">
        <v>9</v>
      </c>
      <c r="E743" s="383" t="s">
        <v>526</v>
      </c>
      <c r="F743" s="390" t="s">
        <v>363</v>
      </c>
      <c r="G743" s="390"/>
      <c r="H743" s="404" t="s">
        <v>363</v>
      </c>
      <c r="I743" s="407">
        <f>-I741*0.1</f>
        <v>-1500</v>
      </c>
    </row>
    <row r="744" spans="1:10" x14ac:dyDescent="0.2">
      <c r="A744" s="383" t="s">
        <v>516</v>
      </c>
      <c r="B744" s="397">
        <v>45689</v>
      </c>
      <c r="C744" s="397" t="s">
        <v>535</v>
      </c>
      <c r="D744" s="383">
        <v>11</v>
      </c>
      <c r="E744" s="383" t="s">
        <v>528</v>
      </c>
      <c r="F744" s="400" t="s">
        <v>367</v>
      </c>
      <c r="G744" s="400"/>
      <c r="H744" s="404" t="s">
        <v>367</v>
      </c>
      <c r="I744" s="407">
        <f>I741+I742+I743</f>
        <v>13500</v>
      </c>
      <c r="J744" s="352">
        <f>IF(C744="A",-I744/I741,I744/I741)</f>
        <v>0.9</v>
      </c>
    </row>
    <row r="745" spans="1:10" x14ac:dyDescent="0.2">
      <c r="A745" s="383" t="s">
        <v>522</v>
      </c>
      <c r="B745" s="397">
        <v>45689</v>
      </c>
      <c r="C745" s="397" t="s">
        <v>536</v>
      </c>
      <c r="D745" s="383">
        <v>1</v>
      </c>
      <c r="E745" s="384" t="s">
        <v>530</v>
      </c>
      <c r="F745" s="400" t="s">
        <v>440</v>
      </c>
      <c r="G745" s="400"/>
      <c r="H745" s="405" t="s">
        <v>440</v>
      </c>
      <c r="I745" s="396">
        <f>I704-I741</f>
        <v>4071254.2800000003</v>
      </c>
      <c r="J745" s="352">
        <v>1</v>
      </c>
    </row>
    <row r="746" spans="1:10" x14ac:dyDescent="0.2">
      <c r="A746" s="383" t="s">
        <v>522</v>
      </c>
      <c r="B746" s="397">
        <v>45689</v>
      </c>
      <c r="C746" s="397" t="s">
        <v>534</v>
      </c>
      <c r="D746" s="383">
        <v>2</v>
      </c>
      <c r="E746" s="384" t="s">
        <v>325</v>
      </c>
      <c r="F746" s="390" t="s">
        <v>326</v>
      </c>
      <c r="G746" s="390"/>
      <c r="H746" s="384" t="s">
        <v>519</v>
      </c>
      <c r="I746" s="406">
        <f t="shared" ref="I746:I758" si="19">I705</f>
        <v>-198673.46</v>
      </c>
    </row>
    <row r="747" spans="1:10" x14ac:dyDescent="0.2">
      <c r="A747" s="383" t="s">
        <v>522</v>
      </c>
      <c r="B747" s="397">
        <v>45689</v>
      </c>
      <c r="C747" s="397" t="s">
        <v>534</v>
      </c>
      <c r="D747" s="383">
        <v>2</v>
      </c>
      <c r="E747" s="384" t="s">
        <v>325</v>
      </c>
      <c r="F747" s="385" t="s">
        <v>328</v>
      </c>
      <c r="G747" s="385"/>
      <c r="H747" s="384" t="s">
        <v>521</v>
      </c>
      <c r="I747" s="406">
        <f t="shared" si="19"/>
        <v>-3222.51</v>
      </c>
    </row>
    <row r="748" spans="1:10" x14ac:dyDescent="0.2">
      <c r="A748" s="383" t="s">
        <v>522</v>
      </c>
      <c r="B748" s="397">
        <v>45689</v>
      </c>
      <c r="C748" s="397" t="s">
        <v>534</v>
      </c>
      <c r="D748" s="383">
        <v>2</v>
      </c>
      <c r="E748" s="384" t="s">
        <v>325</v>
      </c>
      <c r="F748" s="385" t="s">
        <v>329</v>
      </c>
      <c r="G748" s="385"/>
      <c r="H748" s="384" t="s">
        <v>329</v>
      </c>
      <c r="I748" s="406">
        <f t="shared" si="19"/>
        <v>0</v>
      </c>
    </row>
    <row r="749" spans="1:10" x14ac:dyDescent="0.2">
      <c r="A749" s="383" t="s">
        <v>522</v>
      </c>
      <c r="B749" s="397">
        <v>45689</v>
      </c>
      <c r="C749" s="397" t="s">
        <v>534</v>
      </c>
      <c r="D749" s="383">
        <v>2</v>
      </c>
      <c r="E749" s="384" t="s">
        <v>325</v>
      </c>
      <c r="F749" s="385" t="s">
        <v>330</v>
      </c>
      <c r="G749" s="385"/>
      <c r="H749" s="384" t="s">
        <v>330</v>
      </c>
      <c r="I749" s="406">
        <f t="shared" si="19"/>
        <v>-4442.21</v>
      </c>
    </row>
    <row r="750" spans="1:10" x14ac:dyDescent="0.2">
      <c r="A750" s="383" t="s">
        <v>522</v>
      </c>
      <c r="B750" s="397">
        <v>45689</v>
      </c>
      <c r="C750" s="397" t="s">
        <v>534</v>
      </c>
      <c r="D750" s="383">
        <v>2</v>
      </c>
      <c r="E750" s="384" t="s">
        <v>325</v>
      </c>
      <c r="F750" s="385" t="s">
        <v>331</v>
      </c>
      <c r="G750" s="385"/>
      <c r="H750" s="384" t="s">
        <v>331</v>
      </c>
      <c r="I750" s="406">
        <f t="shared" si="19"/>
        <v>-11.39</v>
      </c>
    </row>
    <row r="751" spans="1:10" x14ac:dyDescent="0.2">
      <c r="A751" s="383" t="s">
        <v>522</v>
      </c>
      <c r="B751" s="397">
        <v>45689</v>
      </c>
      <c r="C751" s="397" t="s">
        <v>534</v>
      </c>
      <c r="D751" s="383">
        <v>2</v>
      </c>
      <c r="E751" s="384" t="s">
        <v>325</v>
      </c>
      <c r="F751" s="384" t="s">
        <v>332</v>
      </c>
      <c r="G751" s="384"/>
      <c r="H751" s="384" t="s">
        <v>520</v>
      </c>
      <c r="I751" s="406">
        <f t="shared" si="19"/>
        <v>0</v>
      </c>
    </row>
    <row r="752" spans="1:10" x14ac:dyDescent="0.2">
      <c r="A752" s="383" t="s">
        <v>522</v>
      </c>
      <c r="B752" s="397">
        <v>45689</v>
      </c>
      <c r="C752" s="397" t="s">
        <v>535</v>
      </c>
      <c r="D752" s="383">
        <v>3</v>
      </c>
      <c r="E752" s="384" t="s">
        <v>531</v>
      </c>
      <c r="F752" s="385" t="s">
        <v>334</v>
      </c>
      <c r="G752" s="385"/>
      <c r="H752" s="384" t="s">
        <v>334</v>
      </c>
      <c r="I752" s="406">
        <f t="shared" si="19"/>
        <v>3511184.91</v>
      </c>
    </row>
    <row r="753" spans="1:10" x14ac:dyDescent="0.2">
      <c r="A753" s="383" t="s">
        <v>522</v>
      </c>
      <c r="B753" s="397">
        <v>45689</v>
      </c>
      <c r="C753" s="397" t="s">
        <v>535</v>
      </c>
      <c r="D753" s="383">
        <v>3</v>
      </c>
      <c r="E753" s="384" t="s">
        <v>531</v>
      </c>
      <c r="F753" s="385" t="s">
        <v>335</v>
      </c>
      <c r="G753" s="385"/>
      <c r="H753" s="384" t="s">
        <v>335</v>
      </c>
      <c r="I753" s="406">
        <f t="shared" si="19"/>
        <v>389371.93</v>
      </c>
    </row>
    <row r="754" spans="1:10" x14ac:dyDescent="0.2">
      <c r="A754" s="383" t="s">
        <v>522</v>
      </c>
      <c r="B754" s="397">
        <v>45689</v>
      </c>
      <c r="C754" s="397" t="s">
        <v>535</v>
      </c>
      <c r="D754" s="383">
        <v>3</v>
      </c>
      <c r="E754" s="384" t="s">
        <v>531</v>
      </c>
      <c r="F754" s="385" t="s">
        <v>336</v>
      </c>
      <c r="G754" s="385"/>
      <c r="H754" s="384" t="s">
        <v>336</v>
      </c>
      <c r="I754" s="406">
        <f t="shared" si="19"/>
        <v>0</v>
      </c>
    </row>
    <row r="755" spans="1:10" x14ac:dyDescent="0.2">
      <c r="A755" s="383" t="s">
        <v>522</v>
      </c>
      <c r="B755" s="397">
        <v>45689</v>
      </c>
      <c r="C755" s="397" t="s">
        <v>535</v>
      </c>
      <c r="D755" s="383">
        <v>3</v>
      </c>
      <c r="E755" s="384" t="s">
        <v>531</v>
      </c>
      <c r="F755" s="387" t="s">
        <v>273</v>
      </c>
      <c r="G755" s="387"/>
      <c r="H755" s="384" t="s">
        <v>562</v>
      </c>
      <c r="I755" s="406">
        <f t="shared" si="19"/>
        <v>0</v>
      </c>
    </row>
    <row r="756" spans="1:10" x14ac:dyDescent="0.2">
      <c r="A756" s="383" t="s">
        <v>522</v>
      </c>
      <c r="B756" s="397">
        <v>45689</v>
      </c>
      <c r="C756" s="397" t="s">
        <v>535</v>
      </c>
      <c r="D756" s="383">
        <v>3</v>
      </c>
      <c r="E756" s="384" t="s">
        <v>531</v>
      </c>
      <c r="F756" s="387" t="s">
        <v>513</v>
      </c>
      <c r="G756" s="387"/>
      <c r="H756" s="384" t="s">
        <v>513</v>
      </c>
      <c r="I756" s="406" t="e">
        <f t="shared" si="19"/>
        <v>#N/A</v>
      </c>
    </row>
    <row r="757" spans="1:10" x14ac:dyDescent="0.2">
      <c r="A757" s="383" t="s">
        <v>522</v>
      </c>
      <c r="B757" s="397">
        <v>45689</v>
      </c>
      <c r="C757" s="397" t="s">
        <v>535</v>
      </c>
      <c r="D757" s="383">
        <v>3</v>
      </c>
      <c r="E757" s="384" t="s">
        <v>531</v>
      </c>
      <c r="F757" s="387" t="s">
        <v>514</v>
      </c>
      <c r="G757" s="387"/>
      <c r="H757" s="384" t="s">
        <v>514</v>
      </c>
      <c r="I757" s="406" t="e">
        <f t="shared" si="19"/>
        <v>#N/A</v>
      </c>
    </row>
    <row r="758" spans="1:10" x14ac:dyDescent="0.2">
      <c r="A758" s="383" t="s">
        <v>522</v>
      </c>
      <c r="B758" s="397">
        <v>45689</v>
      </c>
      <c r="C758" s="397" t="s">
        <v>535</v>
      </c>
      <c r="D758" s="383">
        <v>3</v>
      </c>
      <c r="E758" s="384" t="s">
        <v>531</v>
      </c>
      <c r="F758" s="385" t="s">
        <v>337</v>
      </c>
      <c r="G758" s="385"/>
      <c r="H758" s="384" t="s">
        <v>337</v>
      </c>
      <c r="I758" s="406">
        <f t="shared" si="19"/>
        <v>4348</v>
      </c>
    </row>
    <row r="759" spans="1:10" x14ac:dyDescent="0.2">
      <c r="A759" s="383" t="s">
        <v>522</v>
      </c>
      <c r="B759" s="397">
        <v>45689</v>
      </c>
      <c r="C759" s="397" t="s">
        <v>534</v>
      </c>
      <c r="D759" s="383">
        <v>4</v>
      </c>
      <c r="E759" s="383" t="s">
        <v>523</v>
      </c>
      <c r="F759" s="388" t="s">
        <v>340</v>
      </c>
      <c r="G759" s="388"/>
      <c r="H759" s="405" t="s">
        <v>340</v>
      </c>
      <c r="I759" s="396">
        <f>I718-I742</f>
        <v>-43101.16</v>
      </c>
    </row>
    <row r="760" spans="1:10" x14ac:dyDescent="0.2">
      <c r="A760" s="383" t="s">
        <v>522</v>
      </c>
      <c r="B760" s="397">
        <v>45689</v>
      </c>
      <c r="C760" s="397" t="s">
        <v>534</v>
      </c>
      <c r="D760" s="383">
        <v>4</v>
      </c>
      <c r="E760" s="383" t="s">
        <v>523</v>
      </c>
      <c r="F760" s="388" t="s">
        <v>341</v>
      </c>
      <c r="G760" s="388"/>
      <c r="H760" s="384" t="s">
        <v>341</v>
      </c>
      <c r="I760" s="406">
        <f>I719</f>
        <v>-151787.51</v>
      </c>
    </row>
    <row r="761" spans="1:10" x14ac:dyDescent="0.2">
      <c r="A761" s="383" t="s">
        <v>522</v>
      </c>
      <c r="B761" s="397">
        <v>45689</v>
      </c>
      <c r="C761" s="397" t="s">
        <v>534</v>
      </c>
      <c r="D761" s="383">
        <v>4</v>
      </c>
      <c r="E761" s="383" t="s">
        <v>523</v>
      </c>
      <c r="F761" s="388" t="s">
        <v>342</v>
      </c>
      <c r="G761" s="388"/>
      <c r="H761" s="384" t="s">
        <v>342</v>
      </c>
      <c r="I761" s="406">
        <f>I720</f>
        <v>-1404814.5481999996</v>
      </c>
    </row>
    <row r="762" spans="1:10" x14ac:dyDescent="0.2">
      <c r="A762" s="383" t="s">
        <v>522</v>
      </c>
      <c r="B762" s="397">
        <v>45689</v>
      </c>
      <c r="C762" s="397" t="s">
        <v>534</v>
      </c>
      <c r="D762" s="383">
        <v>4</v>
      </c>
      <c r="E762" s="383" t="s">
        <v>523</v>
      </c>
      <c r="F762" s="388" t="s">
        <v>343</v>
      </c>
      <c r="G762" s="388"/>
      <c r="H762" s="384" t="s">
        <v>343</v>
      </c>
      <c r="I762" s="406">
        <f>I721</f>
        <v>-55514.86</v>
      </c>
    </row>
    <row r="763" spans="1:10" x14ac:dyDescent="0.2">
      <c r="A763" s="383" t="s">
        <v>522</v>
      </c>
      <c r="B763" s="397">
        <v>45689</v>
      </c>
      <c r="C763" s="397" t="s">
        <v>535</v>
      </c>
      <c r="D763" s="383">
        <v>5</v>
      </c>
      <c r="E763" s="383" t="s">
        <v>532</v>
      </c>
      <c r="F763" s="401" t="s">
        <v>345</v>
      </c>
      <c r="G763" s="401"/>
      <c r="H763" s="403" t="s">
        <v>345</v>
      </c>
      <c r="I763" s="406">
        <f>I745+I746+I747+I748+I749+I750+I751+I759+I760+I761+I762</f>
        <v>2209686.6318000006</v>
      </c>
      <c r="J763" s="352">
        <f>IF(C763="A",-I763/I745,I763/I745)</f>
        <v>0.54275328432691272</v>
      </c>
    </row>
    <row r="764" spans="1:10" x14ac:dyDescent="0.2">
      <c r="A764" s="383" t="s">
        <v>522</v>
      </c>
      <c r="B764" s="397">
        <v>45689</v>
      </c>
      <c r="C764" s="397" t="s">
        <v>534</v>
      </c>
      <c r="D764" s="383">
        <v>6</v>
      </c>
      <c r="E764" s="383" t="s">
        <v>524</v>
      </c>
      <c r="F764" s="388" t="s">
        <v>349</v>
      </c>
      <c r="G764" s="388"/>
      <c r="H764" s="384" t="s">
        <v>473</v>
      </c>
      <c r="I764" s="406">
        <f t="shared" ref="I764:I772" si="20">I723</f>
        <v>-30476.55</v>
      </c>
    </row>
    <row r="765" spans="1:10" x14ac:dyDescent="0.2">
      <c r="A765" s="383" t="s">
        <v>522</v>
      </c>
      <c r="B765" s="397">
        <v>45689</v>
      </c>
      <c r="C765" s="397" t="s">
        <v>534</v>
      </c>
      <c r="D765" s="383">
        <v>6</v>
      </c>
      <c r="E765" s="383" t="s">
        <v>524</v>
      </c>
      <c r="F765" s="388" t="s">
        <v>350</v>
      </c>
      <c r="G765" s="388"/>
      <c r="H765" s="384" t="s">
        <v>474</v>
      </c>
      <c r="I765" s="406">
        <f t="shared" si="20"/>
        <v>-9308.48</v>
      </c>
    </row>
    <row r="766" spans="1:10" x14ac:dyDescent="0.2">
      <c r="A766" s="383" t="s">
        <v>522</v>
      </c>
      <c r="B766" s="397">
        <v>45689</v>
      </c>
      <c r="C766" s="397" t="s">
        <v>534</v>
      </c>
      <c r="D766" s="383">
        <v>6</v>
      </c>
      <c r="E766" s="383" t="s">
        <v>524</v>
      </c>
      <c r="F766" s="388" t="s">
        <v>351</v>
      </c>
      <c r="G766" s="388"/>
      <c r="H766" s="384" t="s">
        <v>475</v>
      </c>
      <c r="I766" s="406">
        <f t="shared" si="20"/>
        <v>-133784.15</v>
      </c>
    </row>
    <row r="767" spans="1:10" x14ac:dyDescent="0.2">
      <c r="A767" s="383" t="s">
        <v>522</v>
      </c>
      <c r="B767" s="397">
        <v>45689</v>
      </c>
      <c r="C767" s="397" t="s">
        <v>534</v>
      </c>
      <c r="D767" s="383">
        <v>6</v>
      </c>
      <c r="E767" s="383" t="s">
        <v>524</v>
      </c>
      <c r="F767" s="388" t="s">
        <v>352</v>
      </c>
      <c r="G767" s="388"/>
      <c r="H767" s="384" t="s">
        <v>476</v>
      </c>
      <c r="I767" s="406">
        <f t="shared" si="20"/>
        <v>-8967.49</v>
      </c>
    </row>
    <row r="768" spans="1:10" x14ac:dyDescent="0.2">
      <c r="A768" s="383" t="s">
        <v>522</v>
      </c>
      <c r="B768" s="397">
        <v>45689</v>
      </c>
      <c r="C768" s="397" t="s">
        <v>534</v>
      </c>
      <c r="D768" s="383">
        <v>6</v>
      </c>
      <c r="E768" s="383" t="s">
        <v>524</v>
      </c>
      <c r="F768" s="388" t="s">
        <v>353</v>
      </c>
      <c r="G768" s="388"/>
      <c r="H768" s="384" t="s">
        <v>477</v>
      </c>
      <c r="I768" s="406">
        <f t="shared" si="20"/>
        <v>-65071.91</v>
      </c>
    </row>
    <row r="769" spans="1:10" x14ac:dyDescent="0.2">
      <c r="A769" s="383" t="s">
        <v>522</v>
      </c>
      <c r="B769" s="397">
        <v>45689</v>
      </c>
      <c r="C769" s="397" t="s">
        <v>534</v>
      </c>
      <c r="D769" s="383">
        <v>6</v>
      </c>
      <c r="E769" s="383" t="s">
        <v>524</v>
      </c>
      <c r="F769" s="388" t="s">
        <v>354</v>
      </c>
      <c r="G769" s="388"/>
      <c r="H769" s="384" t="s">
        <v>478</v>
      </c>
      <c r="I769" s="406">
        <f t="shared" si="20"/>
        <v>-19043.96</v>
      </c>
    </row>
    <row r="770" spans="1:10" x14ac:dyDescent="0.2">
      <c r="A770" s="383" t="s">
        <v>522</v>
      </c>
      <c r="B770" s="397">
        <v>45689</v>
      </c>
      <c r="C770" s="397" t="s">
        <v>534</v>
      </c>
      <c r="D770" s="383">
        <v>6</v>
      </c>
      <c r="E770" s="383" t="s">
        <v>524</v>
      </c>
      <c r="F770" s="390" t="s">
        <v>355</v>
      </c>
      <c r="G770" s="390"/>
      <c r="H770" s="384" t="s">
        <v>355</v>
      </c>
      <c r="I770" s="406">
        <f t="shared" si="20"/>
        <v>-78225.320000000007</v>
      </c>
    </row>
    <row r="771" spans="1:10" x14ac:dyDescent="0.2">
      <c r="A771" s="383" t="s">
        <v>522</v>
      </c>
      <c r="B771" s="397">
        <v>45689</v>
      </c>
      <c r="C771" s="397" t="s">
        <v>534</v>
      </c>
      <c r="D771" s="383">
        <v>6</v>
      </c>
      <c r="E771" s="383" t="s">
        <v>524</v>
      </c>
      <c r="F771" s="390" t="s">
        <v>356</v>
      </c>
      <c r="G771" s="390"/>
      <c r="H771" s="384" t="s">
        <v>356</v>
      </c>
      <c r="I771" s="406">
        <f t="shared" si="20"/>
        <v>-475823.33700000006</v>
      </c>
    </row>
    <row r="772" spans="1:10" x14ac:dyDescent="0.2">
      <c r="A772" s="383" t="s">
        <v>522</v>
      </c>
      <c r="B772" s="397">
        <v>45689</v>
      </c>
      <c r="C772" s="397" t="s">
        <v>534</v>
      </c>
      <c r="D772" s="383">
        <v>6</v>
      </c>
      <c r="E772" s="383" t="s">
        <v>524</v>
      </c>
      <c r="F772" s="390" t="s">
        <v>357</v>
      </c>
      <c r="G772" s="390"/>
      <c r="H772" s="384" t="s">
        <v>357</v>
      </c>
      <c r="I772" s="406">
        <f t="shared" si="20"/>
        <v>-3622.44</v>
      </c>
    </row>
    <row r="773" spans="1:10" x14ac:dyDescent="0.2">
      <c r="A773" s="383" t="s">
        <v>522</v>
      </c>
      <c r="B773" s="397">
        <v>45689</v>
      </c>
      <c r="C773" s="397" t="s">
        <v>535</v>
      </c>
      <c r="D773" s="383">
        <v>7</v>
      </c>
      <c r="E773" s="383" t="s">
        <v>529</v>
      </c>
      <c r="F773" s="400" t="s">
        <v>358</v>
      </c>
      <c r="G773" s="400"/>
      <c r="H773" s="403" t="s">
        <v>358</v>
      </c>
      <c r="I773" s="396">
        <f>I763+I764+I765+I766+I767+I768+I769+I770+I771+I772</f>
        <v>1385362.9948000009</v>
      </c>
      <c r="J773" s="352">
        <f>IF(C773="A",-I773/I745,I773/I745)</f>
        <v>0.34027916202767883</v>
      </c>
    </row>
    <row r="774" spans="1:10" x14ac:dyDescent="0.2">
      <c r="A774" s="383" t="s">
        <v>522</v>
      </c>
      <c r="B774" s="397">
        <v>45689</v>
      </c>
      <c r="C774" s="397" t="s">
        <v>534</v>
      </c>
      <c r="D774" s="383">
        <v>8</v>
      </c>
      <c r="E774" s="383" t="s">
        <v>527</v>
      </c>
      <c r="F774" s="385" t="s">
        <v>359</v>
      </c>
      <c r="G774" s="385"/>
      <c r="H774" s="384" t="s">
        <v>479</v>
      </c>
      <c r="I774" s="406">
        <f>I733</f>
        <v>0</v>
      </c>
    </row>
    <row r="775" spans="1:10" x14ac:dyDescent="0.2">
      <c r="A775" s="383" t="s">
        <v>522</v>
      </c>
      <c r="B775" s="397">
        <v>45689</v>
      </c>
      <c r="C775" s="397" t="s">
        <v>534</v>
      </c>
      <c r="D775" s="383">
        <v>8</v>
      </c>
      <c r="E775" s="383" t="s">
        <v>527</v>
      </c>
      <c r="F775" s="385" t="s">
        <v>360</v>
      </c>
      <c r="G775" s="385"/>
      <c r="H775" s="384" t="s">
        <v>480</v>
      </c>
      <c r="I775" s="406">
        <f>I734</f>
        <v>18015.32</v>
      </c>
    </row>
    <row r="776" spans="1:10" x14ac:dyDescent="0.2">
      <c r="A776" s="383" t="s">
        <v>522</v>
      </c>
      <c r="B776" s="397">
        <v>45689</v>
      </c>
      <c r="C776" s="397" t="s">
        <v>534</v>
      </c>
      <c r="D776" s="383">
        <v>8</v>
      </c>
      <c r="E776" s="383" t="s">
        <v>527</v>
      </c>
      <c r="F776" s="390" t="s">
        <v>361</v>
      </c>
      <c r="G776" s="390"/>
      <c r="H776" s="384" t="s">
        <v>481</v>
      </c>
      <c r="I776" s="406">
        <f>I735</f>
        <v>-27090.600000000002</v>
      </c>
    </row>
    <row r="777" spans="1:10" x14ac:dyDescent="0.2">
      <c r="A777" s="383" t="s">
        <v>522</v>
      </c>
      <c r="B777" s="397">
        <v>45689</v>
      </c>
      <c r="C777" s="397" t="s">
        <v>534</v>
      </c>
      <c r="D777" s="383">
        <v>9</v>
      </c>
      <c r="E777" s="383" t="s">
        <v>526</v>
      </c>
      <c r="F777" s="390" t="s">
        <v>363</v>
      </c>
      <c r="G777" s="390"/>
      <c r="H777" s="405" t="s">
        <v>363</v>
      </c>
      <c r="I777" s="396">
        <f>I736-I743</f>
        <v>-647420.18000000005</v>
      </c>
    </row>
    <row r="778" spans="1:10" x14ac:dyDescent="0.2">
      <c r="A778" s="383" t="s">
        <v>522</v>
      </c>
      <c r="B778" s="397">
        <v>45689</v>
      </c>
      <c r="C778" s="397" t="s">
        <v>534</v>
      </c>
      <c r="D778" s="383">
        <v>9</v>
      </c>
      <c r="E778" s="383" t="s">
        <v>526</v>
      </c>
      <c r="F778" s="390" t="s">
        <v>364</v>
      </c>
      <c r="G778" s="390"/>
      <c r="H778" s="384" t="s">
        <v>364</v>
      </c>
      <c r="I778" s="406">
        <f>I737</f>
        <v>-32092.9664204</v>
      </c>
    </row>
    <row r="779" spans="1:10" x14ac:dyDescent="0.2">
      <c r="A779" s="383" t="s">
        <v>522</v>
      </c>
      <c r="B779" s="397">
        <v>45689</v>
      </c>
      <c r="C779" s="397" t="s">
        <v>534</v>
      </c>
      <c r="D779" s="383">
        <v>9</v>
      </c>
      <c r="E779" s="383" t="s">
        <v>526</v>
      </c>
      <c r="F779" s="394" t="s">
        <v>273</v>
      </c>
      <c r="G779" s="394"/>
      <c r="H779" s="398" t="s">
        <v>563</v>
      </c>
      <c r="I779" s="406">
        <f>I738</f>
        <v>0</v>
      </c>
    </row>
    <row r="780" spans="1:10" x14ac:dyDescent="0.2">
      <c r="A780" s="383" t="s">
        <v>522</v>
      </c>
      <c r="B780" s="397">
        <v>45689</v>
      </c>
      <c r="C780" s="397" t="s">
        <v>534</v>
      </c>
      <c r="D780" s="383">
        <v>10</v>
      </c>
      <c r="E780" s="383" t="s">
        <v>452</v>
      </c>
      <c r="F780" s="400" t="s">
        <v>365</v>
      </c>
      <c r="G780" s="400"/>
      <c r="H780" s="403" t="s">
        <v>365</v>
      </c>
      <c r="I780" s="396">
        <f>I746+I747+I748+I749+I750+I751+I759+I760+I761+I762+I764+I765+I766+I767+I768+I769+I770+I771+I772+I774+I775+I776+I777+I778+I779</f>
        <v>-3374479.7116203997</v>
      </c>
      <c r="J780" s="352">
        <f>IF(C780="A",-I780/I745,I780/I745)</f>
        <v>0.82885506026914135</v>
      </c>
    </row>
    <row r="781" spans="1:10" x14ac:dyDescent="0.2">
      <c r="A781" s="383" t="s">
        <v>522</v>
      </c>
      <c r="B781" s="397">
        <v>45689</v>
      </c>
      <c r="C781" s="397" t="s">
        <v>535</v>
      </c>
      <c r="D781" s="383">
        <v>11</v>
      </c>
      <c r="E781" s="383" t="s">
        <v>528</v>
      </c>
      <c r="F781" s="400" t="s">
        <v>367</v>
      </c>
      <c r="G781" s="400"/>
      <c r="H781" s="405" t="s">
        <v>367</v>
      </c>
      <c r="I781" s="395">
        <f>I745+I780</f>
        <v>696774.56837960053</v>
      </c>
      <c r="J781" s="352">
        <f>IF(C781="A",-I781/I745,I781/I745)</f>
        <v>0.1711449397308587</v>
      </c>
    </row>
    <row r="782" spans="1:10" ht="14.25" x14ac:dyDescent="0.2">
      <c r="A782" s="383" t="s">
        <v>73</v>
      </c>
      <c r="B782" s="397">
        <v>45717</v>
      </c>
      <c r="C782" s="397" t="s">
        <v>536</v>
      </c>
      <c r="D782" s="383">
        <v>1</v>
      </c>
      <c r="E782" s="384" t="s">
        <v>530</v>
      </c>
      <c r="F782" s="400" t="s">
        <v>440</v>
      </c>
      <c r="G782" s="459" t="s">
        <v>324</v>
      </c>
      <c r="H782" s="384" t="s">
        <v>440</v>
      </c>
      <c r="I782" s="383">
        <f>INDEX(DRE!$W$2:$AS$53, MATCH('DRE 2025'!G782,DRE!$D$2:$D$53,0), MATCH(B782, DRE!$W$1:$AS$1, 0))</f>
        <v>4048194.34</v>
      </c>
      <c r="J782" s="352">
        <v>1</v>
      </c>
    </row>
    <row r="783" spans="1:10" x14ac:dyDescent="0.2">
      <c r="A783" s="383" t="s">
        <v>73</v>
      </c>
      <c r="B783" s="397">
        <v>45717</v>
      </c>
      <c r="C783" s="397" t="s">
        <v>534</v>
      </c>
      <c r="D783" s="383">
        <v>2</v>
      </c>
      <c r="E783" s="384" t="s">
        <v>325</v>
      </c>
      <c r="F783" s="390" t="s">
        <v>326</v>
      </c>
      <c r="G783" s="461" t="s">
        <v>326</v>
      </c>
      <c r="H783" s="384" t="s">
        <v>519</v>
      </c>
      <c r="I783" s="383">
        <f>INDEX(DRE!$W$2:$AS$53, MATCH('DRE 2025'!G783,DRE!$D$2:$D$53,0), MATCH(B783, DRE!$W$1:$AS$1, 0))</f>
        <v>-195732.17</v>
      </c>
    </row>
    <row r="784" spans="1:10" x14ac:dyDescent="0.2">
      <c r="A784" s="383" t="s">
        <v>73</v>
      </c>
      <c r="B784" s="397">
        <v>45717</v>
      </c>
      <c r="C784" s="397" t="s">
        <v>534</v>
      </c>
      <c r="D784" s="383">
        <v>2</v>
      </c>
      <c r="E784" s="384" t="s">
        <v>325</v>
      </c>
      <c r="F784" s="385" t="s">
        <v>328</v>
      </c>
      <c r="G784" s="462" t="s">
        <v>328</v>
      </c>
      <c r="H784" s="384" t="s">
        <v>521</v>
      </c>
      <c r="I784" s="383">
        <f>INDEX(DRE!$W$2:$AS$53, MATCH('DRE 2025'!G784,DRE!$D$2:$D$53,0), MATCH(B784, DRE!$W$1:$AS$1, 0))</f>
        <v>-5578.97</v>
      </c>
    </row>
    <row r="785" spans="1:10" x14ac:dyDescent="0.2">
      <c r="A785" s="383" t="s">
        <v>73</v>
      </c>
      <c r="B785" s="397">
        <v>45717</v>
      </c>
      <c r="C785" s="397" t="s">
        <v>534</v>
      </c>
      <c r="D785" s="383">
        <v>2</v>
      </c>
      <c r="E785" s="384" t="s">
        <v>325</v>
      </c>
      <c r="F785" s="385" t="s">
        <v>329</v>
      </c>
      <c r="G785" s="462" t="s">
        <v>329</v>
      </c>
      <c r="H785" s="384" t="s">
        <v>329</v>
      </c>
      <c r="I785" s="383">
        <f>INDEX(DRE!$W$2:$AS$53, MATCH('DRE 2025'!G785,DRE!$D$2:$D$53,0), MATCH(B785, DRE!$W$1:$AS$1, 0))</f>
        <v>0</v>
      </c>
    </row>
    <row r="786" spans="1:10" x14ac:dyDescent="0.2">
      <c r="A786" s="383" t="s">
        <v>73</v>
      </c>
      <c r="B786" s="397">
        <v>45717</v>
      </c>
      <c r="C786" s="397" t="s">
        <v>534</v>
      </c>
      <c r="D786" s="383">
        <v>2</v>
      </c>
      <c r="E786" s="384" t="s">
        <v>325</v>
      </c>
      <c r="F786" s="385" t="s">
        <v>330</v>
      </c>
      <c r="G786" s="462" t="s">
        <v>565</v>
      </c>
      <c r="H786" s="384" t="s">
        <v>330</v>
      </c>
      <c r="I786" s="383">
        <f>INDEX(DRE!$W$2:$AS$53, MATCH('DRE 2025'!G786,DRE!$D$2:$D$53,0), MATCH(B786, DRE!$W$1:$AS$1, 0))</f>
        <v>0</v>
      </c>
    </row>
    <row r="787" spans="1:10" x14ac:dyDescent="0.2">
      <c r="A787" s="383" t="s">
        <v>73</v>
      </c>
      <c r="B787" s="397">
        <v>45717</v>
      </c>
      <c r="C787" s="397" t="s">
        <v>534</v>
      </c>
      <c r="D787" s="383">
        <v>2</v>
      </c>
      <c r="E787" s="384" t="s">
        <v>325</v>
      </c>
      <c r="F787" s="385" t="s">
        <v>331</v>
      </c>
      <c r="G787" s="462" t="s">
        <v>331</v>
      </c>
      <c r="H787" s="384" t="s">
        <v>331</v>
      </c>
      <c r="I787" s="383">
        <f>INDEX(DRE!$W$2:$AS$53, MATCH('DRE 2025'!G787,DRE!$D$2:$D$53,0), MATCH(B787, DRE!$W$1:$AS$1, 0))</f>
        <v>-7.0000000000000007E-2</v>
      </c>
    </row>
    <row r="788" spans="1:10" x14ac:dyDescent="0.2">
      <c r="A788" s="383" t="s">
        <v>73</v>
      </c>
      <c r="B788" s="397">
        <v>45717</v>
      </c>
      <c r="C788" s="397" t="s">
        <v>534</v>
      </c>
      <c r="D788" s="383">
        <v>2</v>
      </c>
      <c r="E788" s="384" t="s">
        <v>325</v>
      </c>
      <c r="F788" s="384" t="s">
        <v>332</v>
      </c>
      <c r="G788" s="463" t="s">
        <v>332</v>
      </c>
      <c r="H788" s="384" t="s">
        <v>520</v>
      </c>
      <c r="I788" s="383">
        <f>INDEX(DRE!$W$2:$AS$53, MATCH('DRE 2025'!G788,DRE!$D$2:$D$53,0), MATCH(B788, DRE!$W$1:$AS$1, 0))</f>
        <v>0</v>
      </c>
    </row>
    <row r="789" spans="1:10" x14ac:dyDescent="0.2">
      <c r="A789" s="383" t="s">
        <v>73</v>
      </c>
      <c r="B789" s="397">
        <v>45717</v>
      </c>
      <c r="C789" s="397" t="s">
        <v>535</v>
      </c>
      <c r="D789" s="383">
        <v>3</v>
      </c>
      <c r="E789" s="384" t="s">
        <v>531</v>
      </c>
      <c r="F789" s="385" t="s">
        <v>334</v>
      </c>
      <c r="G789" s="462" t="s">
        <v>334</v>
      </c>
      <c r="H789" s="384" t="s">
        <v>334</v>
      </c>
      <c r="I789" s="383">
        <f>INDEX(DRE!$W$2:$AS$53, MATCH('DRE 2025'!G789,DRE!$D$2:$D$53,0), MATCH(B789, DRE!$W$1:$AS$1, 0))</f>
        <v>3100368.47</v>
      </c>
    </row>
    <row r="790" spans="1:10" x14ac:dyDescent="0.2">
      <c r="A790" s="383" t="s">
        <v>73</v>
      </c>
      <c r="B790" s="397">
        <v>45717</v>
      </c>
      <c r="C790" s="397" t="s">
        <v>535</v>
      </c>
      <c r="D790" s="383">
        <v>3</v>
      </c>
      <c r="E790" s="384" t="s">
        <v>531</v>
      </c>
      <c r="F790" s="385" t="s">
        <v>335</v>
      </c>
      <c r="G790" s="462" t="s">
        <v>335</v>
      </c>
      <c r="H790" s="384" t="s">
        <v>335</v>
      </c>
      <c r="I790" s="383">
        <f>INDEX(DRE!$W$2:$AS$53, MATCH('DRE 2025'!G790,DRE!$D$2:$D$53,0), MATCH(B790, DRE!$W$1:$AS$1, 0))</f>
        <v>397295.7</v>
      </c>
    </row>
    <row r="791" spans="1:10" x14ac:dyDescent="0.2">
      <c r="A791" s="383" t="s">
        <v>73</v>
      </c>
      <c r="B791" s="397">
        <v>45717</v>
      </c>
      <c r="C791" s="397" t="s">
        <v>535</v>
      </c>
      <c r="D791" s="383">
        <v>3</v>
      </c>
      <c r="E791" s="384" t="s">
        <v>531</v>
      </c>
      <c r="F791" s="385" t="s">
        <v>336</v>
      </c>
      <c r="G791" s="462" t="s">
        <v>336</v>
      </c>
      <c r="H791" s="384" t="s">
        <v>336</v>
      </c>
      <c r="I791" s="383">
        <f>INDEX(DRE!$W$2:$AS$53, MATCH('DRE 2025'!G791,DRE!$D$2:$D$53,0), MATCH(B791, DRE!$W$1:$AS$1, 0))</f>
        <v>0</v>
      </c>
    </row>
    <row r="792" spans="1:10" x14ac:dyDescent="0.2">
      <c r="A792" s="383" t="s">
        <v>73</v>
      </c>
      <c r="B792" s="397">
        <v>45717</v>
      </c>
      <c r="C792" s="397" t="s">
        <v>535</v>
      </c>
      <c r="D792" s="383">
        <v>3</v>
      </c>
      <c r="E792" s="384" t="s">
        <v>531</v>
      </c>
      <c r="F792" s="387" t="s">
        <v>273</v>
      </c>
      <c r="G792" s="464" t="s">
        <v>562</v>
      </c>
      <c r="H792" s="384" t="s">
        <v>562</v>
      </c>
      <c r="I792" s="383">
        <f>INDEX(DRE!$W$2:$AS$53, MATCH('DRE 2025'!G792,DRE!$D$2:$D$53,0), MATCH(B792, DRE!$W$1:$AS$1, 0))</f>
        <v>0</v>
      </c>
    </row>
    <row r="793" spans="1:10" x14ac:dyDescent="0.2">
      <c r="A793" s="383" t="s">
        <v>73</v>
      </c>
      <c r="B793" s="397">
        <v>45717</v>
      </c>
      <c r="C793" s="397" t="s">
        <v>535</v>
      </c>
      <c r="D793" s="383">
        <v>3</v>
      </c>
      <c r="E793" s="384" t="s">
        <v>531</v>
      </c>
      <c r="F793" s="387" t="s">
        <v>513</v>
      </c>
      <c r="G793" s="464" t="s">
        <v>513</v>
      </c>
      <c r="H793" s="384" t="s">
        <v>513</v>
      </c>
      <c r="I793" s="383" t="e">
        <f>INDEX(DRE!$W$2:$AS$53, MATCH('DRE 2025'!G793,DRE!$D$2:$D$53,0), MATCH(B793, DRE!$W$1:$AS$1, 0))</f>
        <v>#N/A</v>
      </c>
    </row>
    <row r="794" spans="1:10" x14ac:dyDescent="0.2">
      <c r="A794" s="383" t="s">
        <v>73</v>
      </c>
      <c r="B794" s="397">
        <v>45717</v>
      </c>
      <c r="C794" s="397" t="s">
        <v>535</v>
      </c>
      <c r="D794" s="383">
        <v>3</v>
      </c>
      <c r="E794" s="384" t="s">
        <v>531</v>
      </c>
      <c r="F794" s="387" t="s">
        <v>514</v>
      </c>
      <c r="G794" s="464" t="s">
        <v>514</v>
      </c>
      <c r="H794" s="384" t="s">
        <v>514</v>
      </c>
      <c r="I794" s="383" t="e">
        <f>INDEX(DRE!$W$2:$AS$53, MATCH('DRE 2025'!G794,DRE!$D$2:$D$53,0), MATCH(B794, DRE!$W$1:$AS$1, 0))</f>
        <v>#N/A</v>
      </c>
    </row>
    <row r="795" spans="1:10" x14ac:dyDescent="0.2">
      <c r="A795" s="383" t="s">
        <v>73</v>
      </c>
      <c r="B795" s="397">
        <v>45717</v>
      </c>
      <c r="C795" s="397" t="s">
        <v>535</v>
      </c>
      <c r="D795" s="383">
        <v>3</v>
      </c>
      <c r="E795" s="384" t="s">
        <v>531</v>
      </c>
      <c r="F795" s="385" t="s">
        <v>337</v>
      </c>
      <c r="G795" s="462" t="s">
        <v>337</v>
      </c>
      <c r="H795" s="384" t="s">
        <v>337</v>
      </c>
      <c r="I795" s="383">
        <f>INDEX(DRE!$W$2:$AS$53, MATCH('DRE 2025'!G795,DRE!$D$2:$D$53,0), MATCH(B795, DRE!$W$1:$AS$1, 0))</f>
        <v>4798</v>
      </c>
    </row>
    <row r="796" spans="1:10" x14ac:dyDescent="0.2">
      <c r="A796" s="383" t="s">
        <v>73</v>
      </c>
      <c r="B796" s="397">
        <v>45717</v>
      </c>
      <c r="C796" s="397" t="s">
        <v>534</v>
      </c>
      <c r="D796" s="383">
        <v>4</v>
      </c>
      <c r="E796" s="383" t="s">
        <v>523</v>
      </c>
      <c r="F796" s="388" t="s">
        <v>340</v>
      </c>
      <c r="G796" s="465" t="s">
        <v>340</v>
      </c>
      <c r="H796" s="384" t="s">
        <v>340</v>
      </c>
      <c r="I796" s="383">
        <f>INDEX(DRE!$W$2:$AS$53, MATCH('DRE 2025'!G796,DRE!$D$2:$D$53,0), MATCH(B796, DRE!$W$1:$AS$1, 0))</f>
        <v>-24888.149000000001</v>
      </c>
    </row>
    <row r="797" spans="1:10" x14ac:dyDescent="0.2">
      <c r="A797" s="383" t="s">
        <v>73</v>
      </c>
      <c r="B797" s="397">
        <v>45717</v>
      </c>
      <c r="C797" s="397" t="s">
        <v>534</v>
      </c>
      <c r="D797" s="383">
        <v>4</v>
      </c>
      <c r="E797" s="383" t="s">
        <v>523</v>
      </c>
      <c r="F797" s="388" t="s">
        <v>341</v>
      </c>
      <c r="G797" s="465" t="s">
        <v>341</v>
      </c>
      <c r="H797" s="384" t="s">
        <v>341</v>
      </c>
      <c r="I797" s="383">
        <f>INDEX(DRE!$W$2:$AS$53, MATCH('DRE 2025'!G797,DRE!$D$2:$D$53,0), MATCH(B797, DRE!$W$1:$AS$1, 0))</f>
        <v>-127979.75</v>
      </c>
    </row>
    <row r="798" spans="1:10" x14ac:dyDescent="0.2">
      <c r="A798" s="383" t="s">
        <v>73</v>
      </c>
      <c r="B798" s="397">
        <v>45717</v>
      </c>
      <c r="C798" s="397" t="s">
        <v>534</v>
      </c>
      <c r="D798" s="383">
        <v>4</v>
      </c>
      <c r="E798" s="383" t="s">
        <v>523</v>
      </c>
      <c r="F798" s="388" t="s">
        <v>342</v>
      </c>
      <c r="G798" s="465" t="s">
        <v>342</v>
      </c>
      <c r="H798" s="384" t="s">
        <v>342</v>
      </c>
      <c r="I798" s="383">
        <f>INDEX(DRE!$W$2:$AS$53, MATCH('DRE 2025'!G798,DRE!$D$2:$D$53,0), MATCH(B798, DRE!$W$1:$AS$1, 0))</f>
        <v>-1420450.1930999998</v>
      </c>
    </row>
    <row r="799" spans="1:10" x14ac:dyDescent="0.2">
      <c r="A799" s="383" t="s">
        <v>73</v>
      </c>
      <c r="B799" s="397">
        <v>45717</v>
      </c>
      <c r="C799" s="397" t="s">
        <v>534</v>
      </c>
      <c r="D799" s="383">
        <v>4</v>
      </c>
      <c r="E799" s="383" t="s">
        <v>523</v>
      </c>
      <c r="F799" s="388" t="s">
        <v>343</v>
      </c>
      <c r="G799" s="465" t="s">
        <v>343</v>
      </c>
      <c r="H799" s="384" t="s">
        <v>343</v>
      </c>
      <c r="I799" s="383">
        <f>INDEX(DRE!$W$2:$AS$53, MATCH('DRE 2025'!G799,DRE!$D$2:$D$53,0), MATCH(B799, DRE!$W$1:$AS$1, 0))</f>
        <v>-51427.57</v>
      </c>
    </row>
    <row r="800" spans="1:10" x14ac:dyDescent="0.2">
      <c r="A800" s="383" t="s">
        <v>73</v>
      </c>
      <c r="B800" s="397">
        <v>45717</v>
      </c>
      <c r="C800" s="397" t="s">
        <v>535</v>
      </c>
      <c r="D800" s="383">
        <v>5</v>
      </c>
      <c r="E800" s="383" t="s">
        <v>532</v>
      </c>
      <c r="F800" s="401" t="s">
        <v>345</v>
      </c>
      <c r="G800" s="401"/>
      <c r="H800" s="402" t="s">
        <v>345</v>
      </c>
      <c r="I800" s="406" t="e">
        <f>I789+I790+I791+I792+I793+I794+I795+I796+I797+I798+I799</f>
        <v>#N/A</v>
      </c>
      <c r="J800" s="352" t="e">
        <f>IF(C800="A",-I800/I782,I800/I782)</f>
        <v>#N/A</v>
      </c>
    </row>
    <row r="801" spans="1:10" x14ac:dyDescent="0.2">
      <c r="A801" s="383" t="s">
        <v>73</v>
      </c>
      <c r="B801" s="397">
        <v>45717</v>
      </c>
      <c r="C801" s="397" t="s">
        <v>534</v>
      </c>
      <c r="D801" s="383">
        <v>6</v>
      </c>
      <c r="E801" s="383" t="s">
        <v>524</v>
      </c>
      <c r="F801" s="388" t="s">
        <v>349</v>
      </c>
      <c r="G801" s="465" t="s">
        <v>349</v>
      </c>
      <c r="H801" s="384" t="s">
        <v>473</v>
      </c>
      <c r="I801" s="383">
        <f>INDEX(DRE!$W$2:$AS$53, MATCH('DRE 2025'!G801,DRE!$D$2:$D$53,0), MATCH(B801, DRE!$W$1:$AS$1, 0))</f>
        <v>-29928.35</v>
      </c>
    </row>
    <row r="802" spans="1:10" x14ac:dyDescent="0.2">
      <c r="A802" s="383" t="s">
        <v>73</v>
      </c>
      <c r="B802" s="397">
        <v>45717</v>
      </c>
      <c r="C802" s="397" t="s">
        <v>534</v>
      </c>
      <c r="D802" s="383">
        <v>6</v>
      </c>
      <c r="E802" s="383" t="s">
        <v>524</v>
      </c>
      <c r="F802" s="388" t="s">
        <v>350</v>
      </c>
      <c r="G802" s="465" t="s">
        <v>350</v>
      </c>
      <c r="H802" s="384" t="s">
        <v>474</v>
      </c>
      <c r="I802" s="383">
        <f>INDEX(DRE!$W$2:$AS$53, MATCH('DRE 2025'!G802,DRE!$D$2:$D$53,0), MATCH(B802, DRE!$W$1:$AS$1, 0))</f>
        <v>-6626.51</v>
      </c>
    </row>
    <row r="803" spans="1:10" x14ac:dyDescent="0.2">
      <c r="A803" s="383" t="s">
        <v>73</v>
      </c>
      <c r="B803" s="397">
        <v>45717</v>
      </c>
      <c r="C803" s="397" t="s">
        <v>534</v>
      </c>
      <c r="D803" s="383">
        <v>6</v>
      </c>
      <c r="E803" s="383" t="s">
        <v>524</v>
      </c>
      <c r="F803" s="388" t="s">
        <v>351</v>
      </c>
      <c r="G803" s="465" t="s">
        <v>351</v>
      </c>
      <c r="H803" s="384" t="s">
        <v>475</v>
      </c>
      <c r="I803" s="383">
        <f>INDEX(DRE!$W$2:$AS$53, MATCH('DRE 2025'!G803,DRE!$D$2:$D$53,0), MATCH(B803, DRE!$W$1:$AS$1, 0))</f>
        <v>-106129.56999999998</v>
      </c>
    </row>
    <row r="804" spans="1:10" x14ac:dyDescent="0.2">
      <c r="A804" s="383" t="s">
        <v>73</v>
      </c>
      <c r="B804" s="397">
        <v>45717</v>
      </c>
      <c r="C804" s="397" t="s">
        <v>534</v>
      </c>
      <c r="D804" s="383">
        <v>6</v>
      </c>
      <c r="E804" s="383" t="s">
        <v>524</v>
      </c>
      <c r="F804" s="388" t="s">
        <v>352</v>
      </c>
      <c r="G804" s="465" t="s">
        <v>352</v>
      </c>
      <c r="H804" s="384" t="s">
        <v>476</v>
      </c>
      <c r="I804" s="383">
        <f>INDEX(DRE!$W$2:$AS$53, MATCH('DRE 2025'!G804,DRE!$D$2:$D$53,0), MATCH(B804, DRE!$W$1:$AS$1, 0))</f>
        <v>-15225.14</v>
      </c>
    </row>
    <row r="805" spans="1:10" x14ac:dyDescent="0.2">
      <c r="A805" s="383" t="s">
        <v>73</v>
      </c>
      <c r="B805" s="397">
        <v>45717</v>
      </c>
      <c r="C805" s="397" t="s">
        <v>534</v>
      </c>
      <c r="D805" s="383">
        <v>6</v>
      </c>
      <c r="E805" s="383" t="s">
        <v>524</v>
      </c>
      <c r="F805" s="388" t="s">
        <v>353</v>
      </c>
      <c r="G805" s="465" t="s">
        <v>353</v>
      </c>
      <c r="H805" s="384" t="s">
        <v>477</v>
      </c>
      <c r="I805" s="383">
        <f>INDEX(DRE!$W$2:$AS$53, MATCH('DRE 2025'!G805,DRE!$D$2:$D$53,0), MATCH(B805, DRE!$W$1:$AS$1, 0))</f>
        <v>-62148.17</v>
      </c>
    </row>
    <row r="806" spans="1:10" x14ac:dyDescent="0.2">
      <c r="A806" s="383" t="s">
        <v>73</v>
      </c>
      <c r="B806" s="397">
        <v>45717</v>
      </c>
      <c r="C806" s="397" t="s">
        <v>534</v>
      </c>
      <c r="D806" s="383">
        <v>6</v>
      </c>
      <c r="E806" s="383" t="s">
        <v>524</v>
      </c>
      <c r="F806" s="388" t="s">
        <v>354</v>
      </c>
      <c r="G806" s="465" t="s">
        <v>354</v>
      </c>
      <c r="H806" s="384" t="s">
        <v>478</v>
      </c>
      <c r="I806" s="383">
        <f>INDEX(DRE!$W$2:$AS$53, MATCH('DRE 2025'!G806,DRE!$D$2:$D$53,0), MATCH(B806, DRE!$W$1:$AS$1, 0))</f>
        <v>-32720.92</v>
      </c>
    </row>
    <row r="807" spans="1:10" x14ac:dyDescent="0.2">
      <c r="A807" s="383" t="s">
        <v>73</v>
      </c>
      <c r="B807" s="397">
        <v>45717</v>
      </c>
      <c r="C807" s="397" t="s">
        <v>534</v>
      </c>
      <c r="D807" s="383">
        <v>6</v>
      </c>
      <c r="E807" s="383" t="s">
        <v>524</v>
      </c>
      <c r="F807" s="390" t="s">
        <v>355</v>
      </c>
      <c r="G807" s="461" t="s">
        <v>355</v>
      </c>
      <c r="H807" s="384" t="s">
        <v>355</v>
      </c>
      <c r="I807" s="383">
        <f>INDEX(DRE!$W$2:$AS$53, MATCH('DRE 2025'!G807,DRE!$D$2:$D$53,0), MATCH(B807, DRE!$W$1:$AS$1, 0))</f>
        <v>-60110.36</v>
      </c>
    </row>
    <row r="808" spans="1:10" x14ac:dyDescent="0.2">
      <c r="A808" s="383" t="s">
        <v>73</v>
      </c>
      <c r="B808" s="397">
        <v>45717</v>
      </c>
      <c r="C808" s="397" t="s">
        <v>534</v>
      </c>
      <c r="D808" s="383">
        <v>6</v>
      </c>
      <c r="E808" s="383" t="s">
        <v>524</v>
      </c>
      <c r="F808" s="390" t="s">
        <v>356</v>
      </c>
      <c r="G808" s="461" t="s">
        <v>356</v>
      </c>
      <c r="H808" s="384" t="s">
        <v>356</v>
      </c>
      <c r="I808" s="383">
        <f>INDEX(DRE!$W$2:$AS$53, MATCH('DRE 2025'!G808,DRE!$D$2:$D$53,0), MATCH(B808, DRE!$W$1:$AS$1, 0))</f>
        <v>-522863.83350000001</v>
      </c>
    </row>
    <row r="809" spans="1:10" x14ac:dyDescent="0.2">
      <c r="A809" s="383" t="s">
        <v>73</v>
      </c>
      <c r="B809" s="397">
        <v>45717</v>
      </c>
      <c r="C809" s="397" t="s">
        <v>534</v>
      </c>
      <c r="D809" s="383">
        <v>6</v>
      </c>
      <c r="E809" s="383" t="s">
        <v>524</v>
      </c>
      <c r="F809" s="390" t="s">
        <v>357</v>
      </c>
      <c r="G809" s="461" t="s">
        <v>357</v>
      </c>
      <c r="H809" s="384" t="s">
        <v>357</v>
      </c>
      <c r="I809" s="383">
        <f>INDEX(DRE!$W$2:$AS$53, MATCH('DRE 2025'!G809,DRE!$D$2:$D$53,0), MATCH(B809, DRE!$W$1:$AS$1, 0))</f>
        <v>-7498.74</v>
      </c>
    </row>
    <row r="810" spans="1:10" x14ac:dyDescent="0.2">
      <c r="A810" s="383" t="s">
        <v>73</v>
      </c>
      <c r="B810" s="397">
        <v>45717</v>
      </c>
      <c r="C810" s="397" t="s">
        <v>535</v>
      </c>
      <c r="D810" s="383">
        <v>7</v>
      </c>
      <c r="E810" s="383" t="s">
        <v>529</v>
      </c>
      <c r="F810" s="400" t="s">
        <v>358</v>
      </c>
      <c r="G810" s="400"/>
      <c r="H810" s="403" t="s">
        <v>358</v>
      </c>
      <c r="I810" s="396" t="e">
        <f>I800+I801+I802+I803+I804+I805+I806+I807+I808+I809</f>
        <v>#N/A</v>
      </c>
      <c r="J810" s="352" t="e">
        <f>IF(C810="A",-I810/I782,I810/I782)</f>
        <v>#N/A</v>
      </c>
    </row>
    <row r="811" spans="1:10" x14ac:dyDescent="0.2">
      <c r="A811" s="383" t="s">
        <v>73</v>
      </c>
      <c r="B811" s="397">
        <v>45717</v>
      </c>
      <c r="C811" s="397" t="s">
        <v>534</v>
      </c>
      <c r="D811" s="383">
        <v>8</v>
      </c>
      <c r="E811" s="383" t="s">
        <v>527</v>
      </c>
      <c r="F811" s="385" t="s">
        <v>359</v>
      </c>
      <c r="G811" s="462" t="s">
        <v>359</v>
      </c>
      <c r="H811" s="384" t="s">
        <v>479</v>
      </c>
      <c r="I811" s="383">
        <f>INDEX(DRE!$W$2:$AS$53, MATCH('DRE 2025'!G811,DRE!$D$2:$D$53,0), MATCH(B811, DRE!$W$1:$AS$1, 0))</f>
        <v>0</v>
      </c>
    </row>
    <row r="812" spans="1:10" x14ac:dyDescent="0.2">
      <c r="A812" s="383" t="s">
        <v>73</v>
      </c>
      <c r="B812" s="397">
        <v>45717</v>
      </c>
      <c r="C812" s="397" t="s">
        <v>534</v>
      </c>
      <c r="D812" s="383">
        <v>8</v>
      </c>
      <c r="E812" s="383" t="s">
        <v>527</v>
      </c>
      <c r="F812" s="385" t="s">
        <v>360</v>
      </c>
      <c r="G812" s="462" t="s">
        <v>360</v>
      </c>
      <c r="H812" s="384" t="s">
        <v>480</v>
      </c>
      <c r="I812" s="383">
        <f>INDEX(DRE!$W$2:$AS$53, MATCH('DRE 2025'!G812,DRE!$D$2:$D$53,0), MATCH(B812, DRE!$W$1:$AS$1, 0))</f>
        <v>22165.99</v>
      </c>
    </row>
    <row r="813" spans="1:10" x14ac:dyDescent="0.2">
      <c r="A813" s="383" t="s">
        <v>73</v>
      </c>
      <c r="B813" s="397">
        <v>45717</v>
      </c>
      <c r="C813" s="397" t="s">
        <v>534</v>
      </c>
      <c r="D813" s="383">
        <v>8</v>
      </c>
      <c r="E813" s="383" t="s">
        <v>527</v>
      </c>
      <c r="F813" s="390" t="s">
        <v>361</v>
      </c>
      <c r="G813" s="466" t="s">
        <v>361</v>
      </c>
      <c r="H813" s="384" t="s">
        <v>481</v>
      </c>
      <c r="I813" s="383">
        <f>INDEX(DRE!$W$2:$AS$53, MATCH('DRE 2025'!G813,DRE!$D$2:$D$53,0), MATCH(B813, DRE!$W$1:$AS$1, 0))</f>
        <v>-49585.25</v>
      </c>
    </row>
    <row r="814" spans="1:10" x14ac:dyDescent="0.2">
      <c r="A814" s="383" t="s">
        <v>73</v>
      </c>
      <c r="B814" s="397">
        <v>45717</v>
      </c>
      <c r="C814" s="397" t="s">
        <v>534</v>
      </c>
      <c r="D814" s="383">
        <v>9</v>
      </c>
      <c r="E814" s="383" t="s">
        <v>526</v>
      </c>
      <c r="F814" s="390" t="s">
        <v>363</v>
      </c>
      <c r="G814" s="461" t="s">
        <v>363</v>
      </c>
      <c r="H814" s="384" t="s">
        <v>363</v>
      </c>
      <c r="I814" s="383">
        <f>INDEX(DRE!$W$2:$AS$53, MATCH('DRE 2025'!G814,DRE!$D$2:$D$53,0), MATCH(B814, DRE!$W$1:$AS$1, 0))</f>
        <v>-721284.57</v>
      </c>
    </row>
    <row r="815" spans="1:10" x14ac:dyDescent="0.2">
      <c r="A815" s="383" t="s">
        <v>73</v>
      </c>
      <c r="B815" s="397">
        <v>45717</v>
      </c>
      <c r="C815" s="397" t="s">
        <v>534</v>
      </c>
      <c r="D815" s="383">
        <v>9</v>
      </c>
      <c r="E815" s="383" t="s">
        <v>526</v>
      </c>
      <c r="F815" s="390" t="s">
        <v>364</v>
      </c>
      <c r="G815" s="461" t="s">
        <v>364</v>
      </c>
      <c r="H815" s="384" t="s">
        <v>364</v>
      </c>
      <c r="I815" s="383">
        <f>INDEX(DRE!$W$2:$AS$53, MATCH('DRE 2025'!G815,DRE!$D$2:$D$53,0), MATCH(B815, DRE!$W$1:$AS$1, 0))</f>
        <v>-32092.9664204</v>
      </c>
    </row>
    <row r="816" spans="1:10" x14ac:dyDescent="0.2">
      <c r="A816" s="383" t="s">
        <v>73</v>
      </c>
      <c r="B816" s="397">
        <v>45717</v>
      </c>
      <c r="C816" s="397" t="s">
        <v>534</v>
      </c>
      <c r="D816" s="383">
        <v>9</v>
      </c>
      <c r="E816" s="383" t="s">
        <v>526</v>
      </c>
      <c r="F816" s="394" t="s">
        <v>273</v>
      </c>
      <c r="G816" s="467" t="s">
        <v>563</v>
      </c>
      <c r="H816" s="398" t="s">
        <v>563</v>
      </c>
      <c r="I816" s="383">
        <f>INDEX(DRE!$W$2:$AS$53, MATCH('DRE 2025'!G816,DRE!$D$2:$D$53,0), MATCH(B816, DRE!$W$1:$AS$1, 0))</f>
        <v>0</v>
      </c>
    </row>
    <row r="817" spans="1:10" x14ac:dyDescent="0.2">
      <c r="A817" s="383" t="s">
        <v>73</v>
      </c>
      <c r="B817" s="397">
        <v>45717</v>
      </c>
      <c r="C817" s="397" t="s">
        <v>534</v>
      </c>
      <c r="D817" s="383">
        <v>10</v>
      </c>
      <c r="E817" s="383" t="s">
        <v>452</v>
      </c>
      <c r="F817" s="400" t="s">
        <v>365</v>
      </c>
      <c r="G817" s="400"/>
      <c r="H817" s="403" t="s">
        <v>365</v>
      </c>
      <c r="I817" s="396">
        <f>I783+I784+I785+I786+I787+I788+I796+I797+I798+I799+I801+I802+I803+I804+I805+I806+I807+I808+I809+I811+I812+I813+I814+I815+I816</f>
        <v>-3450105.2620203998</v>
      </c>
      <c r="J817" s="352">
        <f>IF(C817="A",-I817/I782,I817/I782)</f>
        <v>0.8522578147817873</v>
      </c>
    </row>
    <row r="818" spans="1:10" x14ac:dyDescent="0.2">
      <c r="A818" s="383" t="s">
        <v>73</v>
      </c>
      <c r="B818" s="397">
        <v>45717</v>
      </c>
      <c r="C818" s="397" t="s">
        <v>535</v>
      </c>
      <c r="D818" s="383">
        <v>11</v>
      </c>
      <c r="E818" s="383" t="s">
        <v>528</v>
      </c>
      <c r="F818" s="400" t="s">
        <v>367</v>
      </c>
      <c r="G818" s="400"/>
      <c r="H818" s="403" t="s">
        <v>367</v>
      </c>
      <c r="I818" s="395">
        <f>I782+I817</f>
        <v>598089.07797960006</v>
      </c>
      <c r="J818" s="352">
        <f>IF(C818="A",-I818/I782,I818/I782)</f>
        <v>0.14774218521821264</v>
      </c>
    </row>
    <row r="819" spans="1:10" x14ac:dyDescent="0.2">
      <c r="A819" s="383" t="s">
        <v>516</v>
      </c>
      <c r="B819" s="397">
        <v>45717</v>
      </c>
      <c r="C819" s="397" t="s">
        <v>536</v>
      </c>
      <c r="D819" s="383">
        <v>1</v>
      </c>
      <c r="E819" s="384" t="s">
        <v>530</v>
      </c>
      <c r="F819" s="400" t="s">
        <v>440</v>
      </c>
      <c r="G819" s="400"/>
      <c r="H819" s="404" t="s">
        <v>440</v>
      </c>
      <c r="I819" s="407">
        <f>HLOOKUP(B819,[5]Sucumbências!$BP$2:$CA$43,31,0)</f>
        <v>32546.6</v>
      </c>
      <c r="J819" s="352">
        <v>1</v>
      </c>
    </row>
    <row r="820" spans="1:10" x14ac:dyDescent="0.2">
      <c r="A820" s="383" t="s">
        <v>516</v>
      </c>
      <c r="B820" s="397">
        <v>45717</v>
      </c>
      <c r="C820" s="397" t="s">
        <v>534</v>
      </c>
      <c r="D820" s="383">
        <v>4</v>
      </c>
      <c r="E820" s="383" t="s">
        <v>525</v>
      </c>
      <c r="F820" s="388" t="s">
        <v>340</v>
      </c>
      <c r="G820" s="388"/>
      <c r="H820" s="404" t="s">
        <v>340</v>
      </c>
      <c r="I820" s="407">
        <f>-HLOOKUP(B820,GLOSAS!$BQ$1:$CB$43,30,0)</f>
        <v>0</v>
      </c>
    </row>
    <row r="821" spans="1:10" x14ac:dyDescent="0.2">
      <c r="A821" s="383" t="s">
        <v>516</v>
      </c>
      <c r="B821" s="397">
        <v>45717</v>
      </c>
      <c r="C821" s="397" t="s">
        <v>534</v>
      </c>
      <c r="D821" s="383">
        <v>9</v>
      </c>
      <c r="E821" s="383" t="s">
        <v>526</v>
      </c>
      <c r="F821" s="390" t="s">
        <v>363</v>
      </c>
      <c r="G821" s="390"/>
      <c r="H821" s="404" t="s">
        <v>363</v>
      </c>
      <c r="I821" s="407">
        <f>-I819*0.1</f>
        <v>-3254.66</v>
      </c>
    </row>
    <row r="822" spans="1:10" x14ac:dyDescent="0.2">
      <c r="A822" s="383" t="s">
        <v>516</v>
      </c>
      <c r="B822" s="397">
        <v>45717</v>
      </c>
      <c r="C822" s="397" t="s">
        <v>535</v>
      </c>
      <c r="D822" s="383">
        <v>11</v>
      </c>
      <c r="E822" s="383" t="s">
        <v>528</v>
      </c>
      <c r="F822" s="400" t="s">
        <v>367</v>
      </c>
      <c r="G822" s="400"/>
      <c r="H822" s="404" t="s">
        <v>367</v>
      </c>
      <c r="I822" s="407">
        <f>I819+I820+I821</f>
        <v>29291.94</v>
      </c>
      <c r="J822" s="352">
        <f>IF(C822="A",-I822/I819,I822/I819)</f>
        <v>0.9</v>
      </c>
    </row>
    <row r="823" spans="1:10" x14ac:dyDescent="0.2">
      <c r="A823" s="383" t="s">
        <v>522</v>
      </c>
      <c r="B823" s="397">
        <v>45717</v>
      </c>
      <c r="C823" s="397" t="s">
        <v>536</v>
      </c>
      <c r="D823" s="383">
        <v>1</v>
      </c>
      <c r="E823" s="384" t="s">
        <v>530</v>
      </c>
      <c r="F823" s="400" t="s">
        <v>440</v>
      </c>
      <c r="G823" s="400"/>
      <c r="H823" s="405" t="s">
        <v>440</v>
      </c>
      <c r="I823" s="396">
        <f>I782-I819</f>
        <v>4015647.7399999998</v>
      </c>
      <c r="J823" s="352">
        <v>1</v>
      </c>
    </row>
    <row r="824" spans="1:10" x14ac:dyDescent="0.2">
      <c r="A824" s="383" t="s">
        <v>522</v>
      </c>
      <c r="B824" s="397">
        <v>45717</v>
      </c>
      <c r="C824" s="397" t="s">
        <v>534</v>
      </c>
      <c r="D824" s="383">
        <v>2</v>
      </c>
      <c r="E824" s="384" t="s">
        <v>325</v>
      </c>
      <c r="F824" s="390" t="s">
        <v>326</v>
      </c>
      <c r="G824" s="390"/>
      <c r="H824" s="384" t="s">
        <v>519</v>
      </c>
      <c r="I824" s="406">
        <f t="shared" ref="I824:I836" si="21">I783</f>
        <v>-195732.17</v>
      </c>
    </row>
    <row r="825" spans="1:10" x14ac:dyDescent="0.2">
      <c r="A825" s="383" t="s">
        <v>522</v>
      </c>
      <c r="B825" s="397">
        <v>45717</v>
      </c>
      <c r="C825" s="397" t="s">
        <v>534</v>
      </c>
      <c r="D825" s="383">
        <v>2</v>
      </c>
      <c r="E825" s="384" t="s">
        <v>325</v>
      </c>
      <c r="F825" s="385" t="s">
        <v>328</v>
      </c>
      <c r="G825" s="385"/>
      <c r="H825" s="384" t="s">
        <v>521</v>
      </c>
      <c r="I825" s="406">
        <f t="shared" si="21"/>
        <v>-5578.97</v>
      </c>
    </row>
    <row r="826" spans="1:10" x14ac:dyDescent="0.2">
      <c r="A826" s="383" t="s">
        <v>522</v>
      </c>
      <c r="B826" s="397">
        <v>45717</v>
      </c>
      <c r="C826" s="397" t="s">
        <v>534</v>
      </c>
      <c r="D826" s="383">
        <v>2</v>
      </c>
      <c r="E826" s="384" t="s">
        <v>325</v>
      </c>
      <c r="F826" s="385" t="s">
        <v>329</v>
      </c>
      <c r="G826" s="385"/>
      <c r="H826" s="384" t="s">
        <v>329</v>
      </c>
      <c r="I826" s="406">
        <f t="shared" si="21"/>
        <v>0</v>
      </c>
    </row>
    <row r="827" spans="1:10" x14ac:dyDescent="0.2">
      <c r="A827" s="383" t="s">
        <v>522</v>
      </c>
      <c r="B827" s="397">
        <v>45717</v>
      </c>
      <c r="C827" s="397" t="s">
        <v>534</v>
      </c>
      <c r="D827" s="383">
        <v>2</v>
      </c>
      <c r="E827" s="384" t="s">
        <v>325</v>
      </c>
      <c r="F827" s="385" t="s">
        <v>330</v>
      </c>
      <c r="G827" s="385"/>
      <c r="H827" s="384" t="s">
        <v>330</v>
      </c>
      <c r="I827" s="406">
        <f t="shared" si="21"/>
        <v>0</v>
      </c>
    </row>
    <row r="828" spans="1:10" x14ac:dyDescent="0.2">
      <c r="A828" s="383" t="s">
        <v>522</v>
      </c>
      <c r="B828" s="397">
        <v>45717</v>
      </c>
      <c r="C828" s="397" t="s">
        <v>534</v>
      </c>
      <c r="D828" s="383">
        <v>2</v>
      </c>
      <c r="E828" s="384" t="s">
        <v>325</v>
      </c>
      <c r="F828" s="385" t="s">
        <v>331</v>
      </c>
      <c r="G828" s="385"/>
      <c r="H828" s="384" t="s">
        <v>331</v>
      </c>
      <c r="I828" s="406">
        <f t="shared" si="21"/>
        <v>-7.0000000000000007E-2</v>
      </c>
    </row>
    <row r="829" spans="1:10" x14ac:dyDescent="0.2">
      <c r="A829" s="383" t="s">
        <v>522</v>
      </c>
      <c r="B829" s="397">
        <v>45717</v>
      </c>
      <c r="C829" s="397" t="s">
        <v>534</v>
      </c>
      <c r="D829" s="383">
        <v>2</v>
      </c>
      <c r="E829" s="384" t="s">
        <v>325</v>
      </c>
      <c r="F829" s="384" t="s">
        <v>332</v>
      </c>
      <c r="G829" s="384"/>
      <c r="H829" s="384" t="s">
        <v>520</v>
      </c>
      <c r="I829" s="406">
        <f t="shared" si="21"/>
        <v>0</v>
      </c>
    </row>
    <row r="830" spans="1:10" x14ac:dyDescent="0.2">
      <c r="A830" s="383" t="s">
        <v>522</v>
      </c>
      <c r="B830" s="397">
        <v>45717</v>
      </c>
      <c r="C830" s="397" t="s">
        <v>535</v>
      </c>
      <c r="D830" s="383">
        <v>3</v>
      </c>
      <c r="E830" s="384" t="s">
        <v>531</v>
      </c>
      <c r="F830" s="385" t="s">
        <v>334</v>
      </c>
      <c r="G830" s="385"/>
      <c r="H830" s="384" t="s">
        <v>334</v>
      </c>
      <c r="I830" s="406">
        <f t="shared" si="21"/>
        <v>3100368.47</v>
      </c>
    </row>
    <row r="831" spans="1:10" x14ac:dyDescent="0.2">
      <c r="A831" s="383" t="s">
        <v>522</v>
      </c>
      <c r="B831" s="397">
        <v>45717</v>
      </c>
      <c r="C831" s="397" t="s">
        <v>535</v>
      </c>
      <c r="D831" s="383">
        <v>3</v>
      </c>
      <c r="E831" s="384" t="s">
        <v>531</v>
      </c>
      <c r="F831" s="385" t="s">
        <v>335</v>
      </c>
      <c r="G831" s="385"/>
      <c r="H831" s="384" t="s">
        <v>335</v>
      </c>
      <c r="I831" s="406">
        <f t="shared" si="21"/>
        <v>397295.7</v>
      </c>
    </row>
    <row r="832" spans="1:10" x14ac:dyDescent="0.2">
      <c r="A832" s="383" t="s">
        <v>522</v>
      </c>
      <c r="B832" s="397">
        <v>45717</v>
      </c>
      <c r="C832" s="397" t="s">
        <v>535</v>
      </c>
      <c r="D832" s="383">
        <v>3</v>
      </c>
      <c r="E832" s="384" t="s">
        <v>531</v>
      </c>
      <c r="F832" s="385" t="s">
        <v>336</v>
      </c>
      <c r="G832" s="385"/>
      <c r="H832" s="384" t="s">
        <v>336</v>
      </c>
      <c r="I832" s="406">
        <f t="shared" si="21"/>
        <v>0</v>
      </c>
    </row>
    <row r="833" spans="1:10" x14ac:dyDescent="0.2">
      <c r="A833" s="383" t="s">
        <v>522</v>
      </c>
      <c r="B833" s="397">
        <v>45717</v>
      </c>
      <c r="C833" s="397" t="s">
        <v>535</v>
      </c>
      <c r="D833" s="383">
        <v>3</v>
      </c>
      <c r="E833" s="384" t="s">
        <v>531</v>
      </c>
      <c r="F833" s="387" t="s">
        <v>273</v>
      </c>
      <c r="G833" s="387"/>
      <c r="H833" s="384" t="s">
        <v>562</v>
      </c>
      <c r="I833" s="406">
        <f t="shared" si="21"/>
        <v>0</v>
      </c>
    </row>
    <row r="834" spans="1:10" x14ac:dyDescent="0.2">
      <c r="A834" s="383" t="s">
        <v>522</v>
      </c>
      <c r="B834" s="397">
        <v>45717</v>
      </c>
      <c r="C834" s="397" t="s">
        <v>535</v>
      </c>
      <c r="D834" s="383">
        <v>3</v>
      </c>
      <c r="E834" s="384" t="s">
        <v>531</v>
      </c>
      <c r="F834" s="387" t="s">
        <v>513</v>
      </c>
      <c r="G834" s="387"/>
      <c r="H834" s="384" t="s">
        <v>513</v>
      </c>
      <c r="I834" s="406" t="e">
        <f t="shared" si="21"/>
        <v>#N/A</v>
      </c>
    </row>
    <row r="835" spans="1:10" x14ac:dyDescent="0.2">
      <c r="A835" s="383" t="s">
        <v>522</v>
      </c>
      <c r="B835" s="397">
        <v>45717</v>
      </c>
      <c r="C835" s="397" t="s">
        <v>535</v>
      </c>
      <c r="D835" s="383">
        <v>3</v>
      </c>
      <c r="E835" s="384" t="s">
        <v>531</v>
      </c>
      <c r="F835" s="387" t="s">
        <v>514</v>
      </c>
      <c r="G835" s="387"/>
      <c r="H835" s="384" t="s">
        <v>514</v>
      </c>
      <c r="I835" s="406" t="e">
        <f t="shared" si="21"/>
        <v>#N/A</v>
      </c>
    </row>
    <row r="836" spans="1:10" x14ac:dyDescent="0.2">
      <c r="A836" s="383" t="s">
        <v>522</v>
      </c>
      <c r="B836" s="397">
        <v>45717</v>
      </c>
      <c r="C836" s="397" t="s">
        <v>535</v>
      </c>
      <c r="D836" s="383">
        <v>3</v>
      </c>
      <c r="E836" s="384" t="s">
        <v>531</v>
      </c>
      <c r="F836" s="385" t="s">
        <v>337</v>
      </c>
      <c r="G836" s="385"/>
      <c r="H836" s="384" t="s">
        <v>337</v>
      </c>
      <c r="I836" s="406">
        <f t="shared" si="21"/>
        <v>4798</v>
      </c>
    </row>
    <row r="837" spans="1:10" x14ac:dyDescent="0.2">
      <c r="A837" s="383" t="s">
        <v>522</v>
      </c>
      <c r="B837" s="397">
        <v>45717</v>
      </c>
      <c r="C837" s="397" t="s">
        <v>534</v>
      </c>
      <c r="D837" s="383">
        <v>4</v>
      </c>
      <c r="E837" s="383" t="s">
        <v>523</v>
      </c>
      <c r="F837" s="388" t="s">
        <v>340</v>
      </c>
      <c r="G837" s="388"/>
      <c r="H837" s="405" t="s">
        <v>340</v>
      </c>
      <c r="I837" s="396">
        <f>I796-I820</f>
        <v>-24888.149000000001</v>
      </c>
    </row>
    <row r="838" spans="1:10" x14ac:dyDescent="0.2">
      <c r="A838" s="383" t="s">
        <v>522</v>
      </c>
      <c r="B838" s="397">
        <v>45717</v>
      </c>
      <c r="C838" s="397" t="s">
        <v>534</v>
      </c>
      <c r="D838" s="383">
        <v>4</v>
      </c>
      <c r="E838" s="383" t="s">
        <v>523</v>
      </c>
      <c r="F838" s="388" t="s">
        <v>341</v>
      </c>
      <c r="G838" s="388"/>
      <c r="H838" s="384" t="s">
        <v>341</v>
      </c>
      <c r="I838" s="406">
        <f>I797</f>
        <v>-127979.75</v>
      </c>
    </row>
    <row r="839" spans="1:10" x14ac:dyDescent="0.2">
      <c r="A839" s="383" t="s">
        <v>522</v>
      </c>
      <c r="B839" s="397">
        <v>45717</v>
      </c>
      <c r="C839" s="397" t="s">
        <v>534</v>
      </c>
      <c r="D839" s="383">
        <v>4</v>
      </c>
      <c r="E839" s="383" t="s">
        <v>523</v>
      </c>
      <c r="F839" s="388" t="s">
        <v>342</v>
      </c>
      <c r="G839" s="388"/>
      <c r="H839" s="384" t="s">
        <v>342</v>
      </c>
      <c r="I839" s="406">
        <f>I798</f>
        <v>-1420450.1930999998</v>
      </c>
    </row>
    <row r="840" spans="1:10" x14ac:dyDescent="0.2">
      <c r="A840" s="383" t="s">
        <v>522</v>
      </c>
      <c r="B840" s="397">
        <v>45717</v>
      </c>
      <c r="C840" s="397" t="s">
        <v>534</v>
      </c>
      <c r="D840" s="383">
        <v>4</v>
      </c>
      <c r="E840" s="383" t="s">
        <v>523</v>
      </c>
      <c r="F840" s="388" t="s">
        <v>343</v>
      </c>
      <c r="G840" s="388"/>
      <c r="H840" s="384" t="s">
        <v>343</v>
      </c>
      <c r="I840" s="406">
        <f>I799</f>
        <v>-51427.57</v>
      </c>
    </row>
    <row r="841" spans="1:10" x14ac:dyDescent="0.2">
      <c r="A841" s="383" t="s">
        <v>522</v>
      </c>
      <c r="B841" s="397">
        <v>45717</v>
      </c>
      <c r="C841" s="397" t="s">
        <v>535</v>
      </c>
      <c r="D841" s="383">
        <v>5</v>
      </c>
      <c r="E841" s="383" t="s">
        <v>532</v>
      </c>
      <c r="F841" s="401" t="s">
        <v>345</v>
      </c>
      <c r="G841" s="401"/>
      <c r="H841" s="403" t="s">
        <v>345</v>
      </c>
      <c r="I841" s="406">
        <f>I823+I824+I825+I826+I827+I828+I829+I837+I838+I839+I840</f>
        <v>2189590.8679</v>
      </c>
      <c r="J841" s="352">
        <f>IF(C841="A",-I841/I823,I841/I823)</f>
        <v>0.54526467700077696</v>
      </c>
    </row>
    <row r="842" spans="1:10" x14ac:dyDescent="0.2">
      <c r="A842" s="383" t="s">
        <v>522</v>
      </c>
      <c r="B842" s="397">
        <v>45717</v>
      </c>
      <c r="C842" s="397" t="s">
        <v>534</v>
      </c>
      <c r="D842" s="383">
        <v>6</v>
      </c>
      <c r="E842" s="383" t="s">
        <v>524</v>
      </c>
      <c r="F842" s="388" t="s">
        <v>349</v>
      </c>
      <c r="G842" s="388"/>
      <c r="H842" s="384" t="s">
        <v>473</v>
      </c>
      <c r="I842" s="406">
        <f t="shared" ref="I842:I850" si="22">I801</f>
        <v>-29928.35</v>
      </c>
    </row>
    <row r="843" spans="1:10" x14ac:dyDescent="0.2">
      <c r="A843" s="383" t="s">
        <v>522</v>
      </c>
      <c r="B843" s="397">
        <v>45717</v>
      </c>
      <c r="C843" s="397" t="s">
        <v>534</v>
      </c>
      <c r="D843" s="383">
        <v>6</v>
      </c>
      <c r="E843" s="383" t="s">
        <v>524</v>
      </c>
      <c r="F843" s="388" t="s">
        <v>350</v>
      </c>
      <c r="G843" s="388"/>
      <c r="H843" s="384" t="s">
        <v>474</v>
      </c>
      <c r="I843" s="406">
        <f t="shared" si="22"/>
        <v>-6626.51</v>
      </c>
    </row>
    <row r="844" spans="1:10" x14ac:dyDescent="0.2">
      <c r="A844" s="383" t="s">
        <v>522</v>
      </c>
      <c r="B844" s="397">
        <v>45717</v>
      </c>
      <c r="C844" s="397" t="s">
        <v>534</v>
      </c>
      <c r="D844" s="383">
        <v>6</v>
      </c>
      <c r="E844" s="383" t="s">
        <v>524</v>
      </c>
      <c r="F844" s="388" t="s">
        <v>351</v>
      </c>
      <c r="G844" s="388"/>
      <c r="H844" s="384" t="s">
        <v>475</v>
      </c>
      <c r="I844" s="406">
        <f t="shared" si="22"/>
        <v>-106129.56999999998</v>
      </c>
    </row>
    <row r="845" spans="1:10" x14ac:dyDescent="0.2">
      <c r="A845" s="383" t="s">
        <v>522</v>
      </c>
      <c r="B845" s="397">
        <v>45717</v>
      </c>
      <c r="C845" s="397" t="s">
        <v>534</v>
      </c>
      <c r="D845" s="383">
        <v>6</v>
      </c>
      <c r="E845" s="383" t="s">
        <v>524</v>
      </c>
      <c r="F845" s="388" t="s">
        <v>352</v>
      </c>
      <c r="G845" s="388"/>
      <c r="H845" s="384" t="s">
        <v>476</v>
      </c>
      <c r="I845" s="406">
        <f t="shared" si="22"/>
        <v>-15225.14</v>
      </c>
    </row>
    <row r="846" spans="1:10" x14ac:dyDescent="0.2">
      <c r="A846" s="383" t="s">
        <v>522</v>
      </c>
      <c r="B846" s="397">
        <v>45717</v>
      </c>
      <c r="C846" s="397" t="s">
        <v>534</v>
      </c>
      <c r="D846" s="383">
        <v>6</v>
      </c>
      <c r="E846" s="383" t="s">
        <v>524</v>
      </c>
      <c r="F846" s="388" t="s">
        <v>353</v>
      </c>
      <c r="G846" s="388"/>
      <c r="H846" s="384" t="s">
        <v>477</v>
      </c>
      <c r="I846" s="406">
        <f t="shared" si="22"/>
        <v>-62148.17</v>
      </c>
    </row>
    <row r="847" spans="1:10" x14ac:dyDescent="0.2">
      <c r="A847" s="383" t="s">
        <v>522</v>
      </c>
      <c r="B847" s="397">
        <v>45717</v>
      </c>
      <c r="C847" s="397" t="s">
        <v>534</v>
      </c>
      <c r="D847" s="383">
        <v>6</v>
      </c>
      <c r="E847" s="383" t="s">
        <v>524</v>
      </c>
      <c r="F847" s="388" t="s">
        <v>354</v>
      </c>
      <c r="G847" s="388"/>
      <c r="H847" s="384" t="s">
        <v>478</v>
      </c>
      <c r="I847" s="406">
        <f t="shared" si="22"/>
        <v>-32720.92</v>
      </c>
    </row>
    <row r="848" spans="1:10" x14ac:dyDescent="0.2">
      <c r="A848" s="383" t="s">
        <v>522</v>
      </c>
      <c r="B848" s="397">
        <v>45717</v>
      </c>
      <c r="C848" s="397" t="s">
        <v>534</v>
      </c>
      <c r="D848" s="383">
        <v>6</v>
      </c>
      <c r="E848" s="383" t="s">
        <v>524</v>
      </c>
      <c r="F848" s="390" t="s">
        <v>355</v>
      </c>
      <c r="G848" s="390"/>
      <c r="H848" s="384" t="s">
        <v>355</v>
      </c>
      <c r="I848" s="406">
        <f t="shared" si="22"/>
        <v>-60110.36</v>
      </c>
    </row>
    <row r="849" spans="1:10" x14ac:dyDescent="0.2">
      <c r="A849" s="383" t="s">
        <v>522</v>
      </c>
      <c r="B849" s="397">
        <v>45717</v>
      </c>
      <c r="C849" s="397" t="s">
        <v>534</v>
      </c>
      <c r="D849" s="383">
        <v>6</v>
      </c>
      <c r="E849" s="383" t="s">
        <v>524</v>
      </c>
      <c r="F849" s="390" t="s">
        <v>356</v>
      </c>
      <c r="G849" s="390"/>
      <c r="H849" s="384" t="s">
        <v>356</v>
      </c>
      <c r="I849" s="406">
        <f t="shared" si="22"/>
        <v>-522863.83350000001</v>
      </c>
    </row>
    <row r="850" spans="1:10" x14ac:dyDescent="0.2">
      <c r="A850" s="383" t="s">
        <v>522</v>
      </c>
      <c r="B850" s="397">
        <v>45717</v>
      </c>
      <c r="C850" s="397" t="s">
        <v>534</v>
      </c>
      <c r="D850" s="383">
        <v>6</v>
      </c>
      <c r="E850" s="383" t="s">
        <v>524</v>
      </c>
      <c r="F850" s="390" t="s">
        <v>357</v>
      </c>
      <c r="G850" s="390"/>
      <c r="H850" s="384" t="s">
        <v>357</v>
      </c>
      <c r="I850" s="406">
        <f t="shared" si="22"/>
        <v>-7498.74</v>
      </c>
    </row>
    <row r="851" spans="1:10" x14ac:dyDescent="0.2">
      <c r="A851" s="383" t="s">
        <v>522</v>
      </c>
      <c r="B851" s="397">
        <v>45717</v>
      </c>
      <c r="C851" s="397" t="s">
        <v>535</v>
      </c>
      <c r="D851" s="383">
        <v>7</v>
      </c>
      <c r="E851" s="383" t="s">
        <v>529</v>
      </c>
      <c r="F851" s="400" t="s">
        <v>358</v>
      </c>
      <c r="G851" s="400"/>
      <c r="H851" s="403" t="s">
        <v>358</v>
      </c>
      <c r="I851" s="396">
        <f>I841+I842+I843+I844+I845+I846+I847+I848+I849+I850</f>
        <v>1346339.2744000002</v>
      </c>
      <c r="J851" s="352">
        <f>IF(C851="A",-I851/I823,I851/I823)</f>
        <v>0.3352732514331549</v>
      </c>
    </row>
    <row r="852" spans="1:10" x14ac:dyDescent="0.2">
      <c r="A852" s="383" t="s">
        <v>522</v>
      </c>
      <c r="B852" s="397">
        <v>45717</v>
      </c>
      <c r="C852" s="397" t="s">
        <v>534</v>
      </c>
      <c r="D852" s="383">
        <v>8</v>
      </c>
      <c r="E852" s="383" t="s">
        <v>527</v>
      </c>
      <c r="F852" s="385" t="s">
        <v>359</v>
      </c>
      <c r="G852" s="385"/>
      <c r="H852" s="384" t="s">
        <v>479</v>
      </c>
      <c r="I852" s="406">
        <f>I811</f>
        <v>0</v>
      </c>
    </row>
    <row r="853" spans="1:10" x14ac:dyDescent="0.2">
      <c r="A853" s="383" t="s">
        <v>522</v>
      </c>
      <c r="B853" s="397">
        <v>45717</v>
      </c>
      <c r="C853" s="397" t="s">
        <v>534</v>
      </c>
      <c r="D853" s="383">
        <v>8</v>
      </c>
      <c r="E853" s="383" t="s">
        <v>527</v>
      </c>
      <c r="F853" s="385" t="s">
        <v>360</v>
      </c>
      <c r="G853" s="385"/>
      <c r="H853" s="384" t="s">
        <v>480</v>
      </c>
      <c r="I853" s="406">
        <f>I812</f>
        <v>22165.99</v>
      </c>
    </row>
    <row r="854" spans="1:10" x14ac:dyDescent="0.2">
      <c r="A854" s="383" t="s">
        <v>522</v>
      </c>
      <c r="B854" s="397">
        <v>45717</v>
      </c>
      <c r="C854" s="397" t="s">
        <v>534</v>
      </c>
      <c r="D854" s="383">
        <v>8</v>
      </c>
      <c r="E854" s="383" t="s">
        <v>527</v>
      </c>
      <c r="F854" s="390" t="s">
        <v>361</v>
      </c>
      <c r="G854" s="390"/>
      <c r="H854" s="384" t="s">
        <v>481</v>
      </c>
      <c r="I854" s="406">
        <f>I813</f>
        <v>-49585.25</v>
      </c>
    </row>
    <row r="855" spans="1:10" x14ac:dyDescent="0.2">
      <c r="A855" s="383" t="s">
        <v>522</v>
      </c>
      <c r="B855" s="397">
        <v>45717</v>
      </c>
      <c r="C855" s="397" t="s">
        <v>534</v>
      </c>
      <c r="D855" s="383">
        <v>9</v>
      </c>
      <c r="E855" s="383" t="s">
        <v>526</v>
      </c>
      <c r="F855" s="390" t="s">
        <v>363</v>
      </c>
      <c r="G855" s="390"/>
      <c r="H855" s="405" t="s">
        <v>363</v>
      </c>
      <c r="I855" s="396">
        <f>I814-I821</f>
        <v>-718029.90999999992</v>
      </c>
    </row>
    <row r="856" spans="1:10" x14ac:dyDescent="0.2">
      <c r="A856" s="383" t="s">
        <v>522</v>
      </c>
      <c r="B856" s="397">
        <v>45717</v>
      </c>
      <c r="C856" s="397" t="s">
        <v>534</v>
      </c>
      <c r="D856" s="383">
        <v>9</v>
      </c>
      <c r="E856" s="383" t="s">
        <v>526</v>
      </c>
      <c r="F856" s="390" t="s">
        <v>364</v>
      </c>
      <c r="G856" s="390"/>
      <c r="H856" s="384" t="s">
        <v>364</v>
      </c>
      <c r="I856" s="406">
        <f>I815</f>
        <v>-32092.9664204</v>
      </c>
    </row>
    <row r="857" spans="1:10" x14ac:dyDescent="0.2">
      <c r="A857" s="383" t="s">
        <v>522</v>
      </c>
      <c r="B857" s="397">
        <v>45717</v>
      </c>
      <c r="C857" s="397" t="s">
        <v>534</v>
      </c>
      <c r="D857" s="383">
        <v>9</v>
      </c>
      <c r="E857" s="383" t="s">
        <v>526</v>
      </c>
      <c r="F857" s="394" t="s">
        <v>273</v>
      </c>
      <c r="G857" s="394"/>
      <c r="H857" s="398" t="s">
        <v>563</v>
      </c>
      <c r="I857" s="406">
        <f>I816</f>
        <v>0</v>
      </c>
    </row>
    <row r="858" spans="1:10" x14ac:dyDescent="0.2">
      <c r="A858" s="383" t="s">
        <v>522</v>
      </c>
      <c r="B858" s="397">
        <v>45717</v>
      </c>
      <c r="C858" s="397" t="s">
        <v>534</v>
      </c>
      <c r="D858" s="383">
        <v>10</v>
      </c>
      <c r="E858" s="383" t="s">
        <v>452</v>
      </c>
      <c r="F858" s="400" t="s">
        <v>365</v>
      </c>
      <c r="G858" s="400"/>
      <c r="H858" s="403" t="s">
        <v>365</v>
      </c>
      <c r="I858" s="396">
        <f>I824+I825+I826+I827+I828+I829+I837+I838+I839+I840+I842+I843+I844+I845+I846+I847+I848+I849+I850+I852+I853+I854+I855+I856+I857</f>
        <v>-3446850.6020203996</v>
      </c>
      <c r="J858" s="352">
        <f>IF(C858="A",-I858/I823,I858/I823)</f>
        <v>0.85835482223358561</v>
      </c>
    </row>
    <row r="859" spans="1:10" x14ac:dyDescent="0.2">
      <c r="A859" s="383" t="s">
        <v>522</v>
      </c>
      <c r="B859" s="397">
        <v>45717</v>
      </c>
      <c r="C859" s="397" t="s">
        <v>535</v>
      </c>
      <c r="D859" s="383">
        <v>11</v>
      </c>
      <c r="E859" s="383" t="s">
        <v>528</v>
      </c>
      <c r="F859" s="400" t="s">
        <v>367</v>
      </c>
      <c r="G859" s="400"/>
      <c r="H859" s="405" t="s">
        <v>367</v>
      </c>
      <c r="I859" s="395">
        <f>I823+I858</f>
        <v>568797.13797960011</v>
      </c>
      <c r="J859" s="352">
        <f>IF(C859="A",-I859/I823,I859/I823)</f>
        <v>0.14164517776641439</v>
      </c>
    </row>
    <row r="860" spans="1:10" ht="14.25" x14ac:dyDescent="0.2">
      <c r="A860" s="383" t="s">
        <v>73</v>
      </c>
      <c r="B860" s="397">
        <v>45748</v>
      </c>
      <c r="C860" s="397" t="s">
        <v>536</v>
      </c>
      <c r="D860" s="383">
        <v>1</v>
      </c>
      <c r="E860" s="384" t="s">
        <v>530</v>
      </c>
      <c r="F860" s="400" t="s">
        <v>440</v>
      </c>
      <c r="G860" s="459" t="s">
        <v>324</v>
      </c>
      <c r="H860" s="384" t="s">
        <v>440</v>
      </c>
      <c r="I860" s="383">
        <f>INDEX(DRE!$W$2:$AS$53, MATCH('DRE 2025'!G860,DRE!$D$2:$D$53,0), MATCH(B860, DRE!$W$1:$AS$1, 0))</f>
        <v>3939627.5</v>
      </c>
      <c r="J860" s="352">
        <v>1</v>
      </c>
    </row>
    <row r="861" spans="1:10" x14ac:dyDescent="0.2">
      <c r="A861" s="383" t="s">
        <v>73</v>
      </c>
      <c r="B861" s="397">
        <v>45748</v>
      </c>
      <c r="C861" s="397" t="s">
        <v>534</v>
      </c>
      <c r="D861" s="383">
        <v>2</v>
      </c>
      <c r="E861" s="384" t="s">
        <v>325</v>
      </c>
      <c r="F861" s="390" t="s">
        <v>326</v>
      </c>
      <c r="G861" s="461" t="s">
        <v>326</v>
      </c>
      <c r="H861" s="384" t="s">
        <v>519</v>
      </c>
      <c r="I861" s="383">
        <f>INDEX(DRE!$W$2:$AS$53, MATCH('DRE 2025'!G861,DRE!$D$2:$D$53,0), MATCH(B861, DRE!$W$1:$AS$1, 0))</f>
        <v>-192391.36</v>
      </c>
    </row>
    <row r="862" spans="1:10" x14ac:dyDescent="0.2">
      <c r="A862" s="383" t="s">
        <v>73</v>
      </c>
      <c r="B862" s="397">
        <v>45748</v>
      </c>
      <c r="C862" s="397" t="s">
        <v>534</v>
      </c>
      <c r="D862" s="383">
        <v>2</v>
      </c>
      <c r="E862" s="384" t="s">
        <v>325</v>
      </c>
      <c r="F862" s="385" t="s">
        <v>328</v>
      </c>
      <c r="G862" s="462" t="s">
        <v>328</v>
      </c>
      <c r="H862" s="384" t="s">
        <v>521</v>
      </c>
      <c r="I862" s="383">
        <f>INDEX(DRE!$W$2:$AS$53, MATCH('DRE 2025'!G862,DRE!$D$2:$D$53,0), MATCH(B862, DRE!$W$1:$AS$1, 0))</f>
        <v>-18374.259999999998</v>
      </c>
    </row>
    <row r="863" spans="1:10" x14ac:dyDescent="0.2">
      <c r="A863" s="383" t="s">
        <v>73</v>
      </c>
      <c r="B863" s="397">
        <v>45748</v>
      </c>
      <c r="C863" s="397" t="s">
        <v>534</v>
      </c>
      <c r="D863" s="383">
        <v>2</v>
      </c>
      <c r="E863" s="384" t="s">
        <v>325</v>
      </c>
      <c r="F863" s="385" t="s">
        <v>329</v>
      </c>
      <c r="G863" s="462" t="s">
        <v>329</v>
      </c>
      <c r="H863" s="384" t="s">
        <v>329</v>
      </c>
      <c r="I863" s="383">
        <f>INDEX(DRE!$W$2:$AS$53, MATCH('DRE 2025'!G863,DRE!$D$2:$D$53,0), MATCH(B863, DRE!$W$1:$AS$1, 0))</f>
        <v>-566.15</v>
      </c>
    </row>
    <row r="864" spans="1:10" x14ac:dyDescent="0.2">
      <c r="A864" s="383" t="s">
        <v>73</v>
      </c>
      <c r="B864" s="397">
        <v>45748</v>
      </c>
      <c r="C864" s="397" t="s">
        <v>534</v>
      </c>
      <c r="D864" s="383">
        <v>2</v>
      </c>
      <c r="E864" s="384" t="s">
        <v>325</v>
      </c>
      <c r="F864" s="385" t="s">
        <v>330</v>
      </c>
      <c r="G864" s="462" t="s">
        <v>565</v>
      </c>
      <c r="H864" s="384" t="s">
        <v>330</v>
      </c>
      <c r="I864" s="383">
        <f>INDEX(DRE!$W$2:$AS$53, MATCH('DRE 2025'!G864,DRE!$D$2:$D$53,0), MATCH(B864, DRE!$W$1:$AS$1, 0))</f>
        <v>0</v>
      </c>
    </row>
    <row r="865" spans="1:10" x14ac:dyDescent="0.2">
      <c r="A865" s="383" t="s">
        <v>73</v>
      </c>
      <c r="B865" s="397">
        <v>45748</v>
      </c>
      <c r="C865" s="397" t="s">
        <v>534</v>
      </c>
      <c r="D865" s="383">
        <v>2</v>
      </c>
      <c r="E865" s="384" t="s">
        <v>325</v>
      </c>
      <c r="F865" s="385" t="s">
        <v>331</v>
      </c>
      <c r="G865" s="462" t="s">
        <v>331</v>
      </c>
      <c r="H865" s="384" t="s">
        <v>331</v>
      </c>
      <c r="I865" s="383">
        <f>INDEX(DRE!$W$2:$AS$53, MATCH('DRE 2025'!G865,DRE!$D$2:$D$53,0), MATCH(B865, DRE!$W$1:$AS$1, 0))</f>
        <v>-13.21</v>
      </c>
    </row>
    <row r="866" spans="1:10" x14ac:dyDescent="0.2">
      <c r="A866" s="383" t="s">
        <v>73</v>
      </c>
      <c r="B866" s="397">
        <v>45748</v>
      </c>
      <c r="C866" s="397" t="s">
        <v>534</v>
      </c>
      <c r="D866" s="383">
        <v>2</v>
      </c>
      <c r="E866" s="384" t="s">
        <v>325</v>
      </c>
      <c r="F866" s="384" t="s">
        <v>332</v>
      </c>
      <c r="G866" s="463" t="s">
        <v>332</v>
      </c>
      <c r="H866" s="384" t="s">
        <v>520</v>
      </c>
      <c r="I866" s="383">
        <f>INDEX(DRE!$W$2:$AS$53, MATCH('DRE 2025'!G866,DRE!$D$2:$D$53,0), MATCH(B866, DRE!$W$1:$AS$1, 0))</f>
        <v>0</v>
      </c>
    </row>
    <row r="867" spans="1:10" x14ac:dyDescent="0.2">
      <c r="A867" s="383" t="s">
        <v>73</v>
      </c>
      <c r="B867" s="397">
        <v>45748</v>
      </c>
      <c r="C867" s="397" t="s">
        <v>535</v>
      </c>
      <c r="D867" s="383">
        <v>3</v>
      </c>
      <c r="E867" s="384" t="s">
        <v>531</v>
      </c>
      <c r="F867" s="385" t="s">
        <v>334</v>
      </c>
      <c r="G867" s="462" t="s">
        <v>334</v>
      </c>
      <c r="H867" s="384" t="s">
        <v>334</v>
      </c>
      <c r="I867" s="383">
        <f>INDEX(DRE!$W$2:$AS$53, MATCH('DRE 2025'!G867,DRE!$D$2:$D$53,0), MATCH(B867, DRE!$W$1:$AS$1, 0))</f>
        <v>3072786.69</v>
      </c>
    </row>
    <row r="868" spans="1:10" x14ac:dyDescent="0.2">
      <c r="A868" s="383" t="s">
        <v>73</v>
      </c>
      <c r="B868" s="397">
        <v>45748</v>
      </c>
      <c r="C868" s="397" t="s">
        <v>535</v>
      </c>
      <c r="D868" s="383">
        <v>3</v>
      </c>
      <c r="E868" s="384" t="s">
        <v>531</v>
      </c>
      <c r="F868" s="385" t="s">
        <v>335</v>
      </c>
      <c r="G868" s="462" t="s">
        <v>335</v>
      </c>
      <c r="H868" s="384" t="s">
        <v>335</v>
      </c>
      <c r="I868" s="383">
        <f>INDEX(DRE!$W$2:$AS$53, MATCH('DRE 2025'!G868,DRE!$D$2:$D$53,0), MATCH(B868, DRE!$W$1:$AS$1, 0))</f>
        <v>321630.05</v>
      </c>
    </row>
    <row r="869" spans="1:10" x14ac:dyDescent="0.2">
      <c r="A869" s="383" t="s">
        <v>73</v>
      </c>
      <c r="B869" s="397">
        <v>45748</v>
      </c>
      <c r="C869" s="397" t="s">
        <v>535</v>
      </c>
      <c r="D869" s="383">
        <v>3</v>
      </c>
      <c r="E869" s="384" t="s">
        <v>531</v>
      </c>
      <c r="F869" s="385" t="s">
        <v>336</v>
      </c>
      <c r="G869" s="462" t="s">
        <v>336</v>
      </c>
      <c r="H869" s="384" t="s">
        <v>336</v>
      </c>
      <c r="I869" s="383">
        <f>INDEX(DRE!$W$2:$AS$53, MATCH('DRE 2025'!G869,DRE!$D$2:$D$53,0), MATCH(B869, DRE!$W$1:$AS$1, 0))</f>
        <v>0</v>
      </c>
    </row>
    <row r="870" spans="1:10" x14ac:dyDescent="0.2">
      <c r="A870" s="383" t="s">
        <v>73</v>
      </c>
      <c r="B870" s="397">
        <v>45748</v>
      </c>
      <c r="C870" s="397" t="s">
        <v>535</v>
      </c>
      <c r="D870" s="383">
        <v>3</v>
      </c>
      <c r="E870" s="384" t="s">
        <v>531</v>
      </c>
      <c r="F870" s="387" t="s">
        <v>273</v>
      </c>
      <c r="G870" s="464" t="s">
        <v>562</v>
      </c>
      <c r="H870" s="384" t="s">
        <v>562</v>
      </c>
      <c r="I870" s="383">
        <f>INDEX(DRE!$W$2:$AS$53, MATCH('DRE 2025'!G870,DRE!$D$2:$D$53,0), MATCH(B870, DRE!$W$1:$AS$1, 0))</f>
        <v>0</v>
      </c>
    </row>
    <row r="871" spans="1:10" x14ac:dyDescent="0.2">
      <c r="A871" s="383" t="s">
        <v>73</v>
      </c>
      <c r="B871" s="397">
        <v>45748</v>
      </c>
      <c r="C871" s="397" t="s">
        <v>535</v>
      </c>
      <c r="D871" s="383">
        <v>3</v>
      </c>
      <c r="E871" s="384" t="s">
        <v>531</v>
      </c>
      <c r="F871" s="387" t="s">
        <v>513</v>
      </c>
      <c r="G871" s="464" t="s">
        <v>513</v>
      </c>
      <c r="H871" s="384" t="s">
        <v>513</v>
      </c>
      <c r="I871" s="383" t="e">
        <f>INDEX(DRE!$W$2:$AS$53, MATCH('DRE 2025'!G871,DRE!$D$2:$D$53,0), MATCH(B871, DRE!$W$1:$AS$1, 0))</f>
        <v>#N/A</v>
      </c>
    </row>
    <row r="872" spans="1:10" x14ac:dyDescent="0.2">
      <c r="A872" s="383" t="s">
        <v>73</v>
      </c>
      <c r="B872" s="397">
        <v>45748</v>
      </c>
      <c r="C872" s="397" t="s">
        <v>535</v>
      </c>
      <c r="D872" s="383">
        <v>3</v>
      </c>
      <c r="E872" s="384" t="s">
        <v>531</v>
      </c>
      <c r="F872" s="387" t="s">
        <v>514</v>
      </c>
      <c r="G872" s="464" t="s">
        <v>514</v>
      </c>
      <c r="H872" s="384" t="s">
        <v>514</v>
      </c>
      <c r="I872" s="383" t="e">
        <f>INDEX(DRE!$W$2:$AS$53, MATCH('DRE 2025'!G872,DRE!$D$2:$D$53,0), MATCH(B872, DRE!$W$1:$AS$1, 0))</f>
        <v>#N/A</v>
      </c>
    </row>
    <row r="873" spans="1:10" x14ac:dyDescent="0.2">
      <c r="A873" s="383" t="s">
        <v>73</v>
      </c>
      <c r="B873" s="397">
        <v>45748</v>
      </c>
      <c r="C873" s="397" t="s">
        <v>535</v>
      </c>
      <c r="D873" s="383">
        <v>3</v>
      </c>
      <c r="E873" s="384" t="s">
        <v>531</v>
      </c>
      <c r="F873" s="385" t="s">
        <v>337</v>
      </c>
      <c r="G873" s="462" t="s">
        <v>337</v>
      </c>
      <c r="H873" s="384" t="s">
        <v>337</v>
      </c>
      <c r="I873" s="383">
        <f>INDEX(DRE!$W$2:$AS$53, MATCH('DRE 2025'!G873,DRE!$D$2:$D$53,0), MATCH(B873, DRE!$W$1:$AS$1, 0))</f>
        <v>8865.92</v>
      </c>
    </row>
    <row r="874" spans="1:10" x14ac:dyDescent="0.2">
      <c r="A874" s="383" t="s">
        <v>73</v>
      </c>
      <c r="B874" s="397">
        <v>45748</v>
      </c>
      <c r="C874" s="397" t="s">
        <v>534</v>
      </c>
      <c r="D874" s="383">
        <v>4</v>
      </c>
      <c r="E874" s="383" t="s">
        <v>523</v>
      </c>
      <c r="F874" s="388" t="s">
        <v>340</v>
      </c>
      <c r="G874" s="465" t="s">
        <v>340</v>
      </c>
      <c r="H874" s="384" t="s">
        <v>340</v>
      </c>
      <c r="I874" s="383">
        <f>INDEX(DRE!$W$2:$AS$53, MATCH('DRE 2025'!G874,DRE!$D$2:$D$53,0), MATCH(B874, DRE!$W$1:$AS$1, 0))</f>
        <v>-29440.554</v>
      </c>
    </row>
    <row r="875" spans="1:10" x14ac:dyDescent="0.2">
      <c r="A875" s="383" t="s">
        <v>73</v>
      </c>
      <c r="B875" s="397">
        <v>45748</v>
      </c>
      <c r="C875" s="397" t="s">
        <v>534</v>
      </c>
      <c r="D875" s="383">
        <v>4</v>
      </c>
      <c r="E875" s="383" t="s">
        <v>523</v>
      </c>
      <c r="F875" s="388" t="s">
        <v>341</v>
      </c>
      <c r="G875" s="465" t="s">
        <v>341</v>
      </c>
      <c r="H875" s="384" t="s">
        <v>341</v>
      </c>
      <c r="I875" s="383">
        <f>INDEX(DRE!$W$2:$AS$53, MATCH('DRE 2025'!G875,DRE!$D$2:$D$53,0), MATCH(B875, DRE!$W$1:$AS$1, 0))</f>
        <v>-227020.69</v>
      </c>
    </row>
    <row r="876" spans="1:10" x14ac:dyDescent="0.2">
      <c r="A876" s="383" t="s">
        <v>73</v>
      </c>
      <c r="B876" s="397">
        <v>45748</v>
      </c>
      <c r="C876" s="397" t="s">
        <v>534</v>
      </c>
      <c r="D876" s="383">
        <v>4</v>
      </c>
      <c r="E876" s="383" t="s">
        <v>523</v>
      </c>
      <c r="F876" s="388" t="s">
        <v>342</v>
      </c>
      <c r="G876" s="465" t="s">
        <v>342</v>
      </c>
      <c r="H876" s="384" t="s">
        <v>342</v>
      </c>
      <c r="I876" s="383">
        <f>INDEX(DRE!$W$2:$AS$53, MATCH('DRE 2025'!G876,DRE!$D$2:$D$53,0), MATCH(B876, DRE!$W$1:$AS$1, 0))</f>
        <v>-1483785.7775999999</v>
      </c>
    </row>
    <row r="877" spans="1:10" x14ac:dyDescent="0.2">
      <c r="A877" s="383" t="s">
        <v>73</v>
      </c>
      <c r="B877" s="397">
        <v>45748</v>
      </c>
      <c r="C877" s="397" t="s">
        <v>534</v>
      </c>
      <c r="D877" s="383">
        <v>4</v>
      </c>
      <c r="E877" s="383" t="s">
        <v>523</v>
      </c>
      <c r="F877" s="388" t="s">
        <v>343</v>
      </c>
      <c r="G877" s="465" t="s">
        <v>343</v>
      </c>
      <c r="H877" s="384" t="s">
        <v>343</v>
      </c>
      <c r="I877" s="383">
        <f>INDEX(DRE!$W$2:$AS$53, MATCH('DRE 2025'!G877,DRE!$D$2:$D$53,0), MATCH(B877, DRE!$W$1:$AS$1, 0))</f>
        <v>-43198.91</v>
      </c>
    </row>
    <row r="878" spans="1:10" x14ac:dyDescent="0.2">
      <c r="A878" s="383" t="s">
        <v>73</v>
      </c>
      <c r="B878" s="397">
        <v>45748</v>
      </c>
      <c r="C878" s="397" t="s">
        <v>535</v>
      </c>
      <c r="D878" s="383">
        <v>5</v>
      </c>
      <c r="E878" s="383" t="s">
        <v>532</v>
      </c>
      <c r="F878" s="401" t="s">
        <v>345</v>
      </c>
      <c r="G878" s="401"/>
      <c r="H878" s="402" t="s">
        <v>345</v>
      </c>
      <c r="I878" s="406" t="e">
        <f>I867+I868+I869+I870+I871+I872+I873+I874+I875+I876+I877</f>
        <v>#N/A</v>
      </c>
      <c r="J878" s="352" t="e">
        <f>IF(C878="A",-I878/I860,I878/I860)</f>
        <v>#N/A</v>
      </c>
    </row>
    <row r="879" spans="1:10" x14ac:dyDescent="0.2">
      <c r="A879" s="383" t="s">
        <v>73</v>
      </c>
      <c r="B879" s="397">
        <v>45748</v>
      </c>
      <c r="C879" s="397" t="s">
        <v>534</v>
      </c>
      <c r="D879" s="383">
        <v>6</v>
      </c>
      <c r="E879" s="383" t="s">
        <v>524</v>
      </c>
      <c r="F879" s="388" t="s">
        <v>349</v>
      </c>
      <c r="G879" s="465" t="s">
        <v>349</v>
      </c>
      <c r="H879" s="384" t="s">
        <v>473</v>
      </c>
      <c r="I879" s="383">
        <f>INDEX(DRE!$W$2:$AS$53, MATCH('DRE 2025'!G879,DRE!$D$2:$D$53,0), MATCH(B879, DRE!$W$1:$AS$1, 0))</f>
        <v>-30332.78</v>
      </c>
    </row>
    <row r="880" spans="1:10" x14ac:dyDescent="0.2">
      <c r="A880" s="383" t="s">
        <v>73</v>
      </c>
      <c r="B880" s="397">
        <v>45748</v>
      </c>
      <c r="C880" s="397" t="s">
        <v>534</v>
      </c>
      <c r="D880" s="383">
        <v>6</v>
      </c>
      <c r="E880" s="383" t="s">
        <v>524</v>
      </c>
      <c r="F880" s="388" t="s">
        <v>350</v>
      </c>
      <c r="G880" s="465" t="s">
        <v>350</v>
      </c>
      <c r="H880" s="384" t="s">
        <v>474</v>
      </c>
      <c r="I880" s="383">
        <f>INDEX(DRE!$W$2:$AS$53, MATCH('DRE 2025'!G880,DRE!$D$2:$D$53,0), MATCH(B880, DRE!$W$1:$AS$1, 0))</f>
        <v>-13965.56</v>
      </c>
    </row>
    <row r="881" spans="1:10" x14ac:dyDescent="0.2">
      <c r="A881" s="383" t="s">
        <v>73</v>
      </c>
      <c r="B881" s="397">
        <v>45748</v>
      </c>
      <c r="C881" s="397" t="s">
        <v>534</v>
      </c>
      <c r="D881" s="383">
        <v>6</v>
      </c>
      <c r="E881" s="383" t="s">
        <v>524</v>
      </c>
      <c r="F881" s="388" t="s">
        <v>351</v>
      </c>
      <c r="G881" s="465" t="s">
        <v>351</v>
      </c>
      <c r="H881" s="384" t="s">
        <v>475</v>
      </c>
      <c r="I881" s="383">
        <f>INDEX(DRE!$W$2:$AS$53, MATCH('DRE 2025'!G881,DRE!$D$2:$D$53,0), MATCH(B881, DRE!$W$1:$AS$1, 0))</f>
        <v>-87698.49</v>
      </c>
    </row>
    <row r="882" spans="1:10" x14ac:dyDescent="0.2">
      <c r="A882" s="383" t="s">
        <v>73</v>
      </c>
      <c r="B882" s="397">
        <v>45748</v>
      </c>
      <c r="C882" s="397" t="s">
        <v>534</v>
      </c>
      <c r="D882" s="383">
        <v>6</v>
      </c>
      <c r="E882" s="383" t="s">
        <v>524</v>
      </c>
      <c r="F882" s="388" t="s">
        <v>352</v>
      </c>
      <c r="G882" s="465" t="s">
        <v>352</v>
      </c>
      <c r="H882" s="384" t="s">
        <v>476</v>
      </c>
      <c r="I882" s="383">
        <f>INDEX(DRE!$W$2:$AS$53, MATCH('DRE 2025'!G882,DRE!$D$2:$D$53,0), MATCH(B882, DRE!$W$1:$AS$1, 0))</f>
        <v>-10504.51</v>
      </c>
    </row>
    <row r="883" spans="1:10" x14ac:dyDescent="0.2">
      <c r="A883" s="383" t="s">
        <v>73</v>
      </c>
      <c r="B883" s="397">
        <v>45748</v>
      </c>
      <c r="C883" s="397" t="s">
        <v>534</v>
      </c>
      <c r="D883" s="383">
        <v>6</v>
      </c>
      <c r="E883" s="383" t="s">
        <v>524</v>
      </c>
      <c r="F883" s="388" t="s">
        <v>353</v>
      </c>
      <c r="G883" s="465" t="s">
        <v>353</v>
      </c>
      <c r="H883" s="384" t="s">
        <v>477</v>
      </c>
      <c r="I883" s="383">
        <f>INDEX(DRE!$W$2:$AS$53, MATCH('DRE 2025'!G883,DRE!$D$2:$D$53,0), MATCH(B883, DRE!$W$1:$AS$1, 0))</f>
        <v>-69780.524000000005</v>
      </c>
    </row>
    <row r="884" spans="1:10" x14ac:dyDescent="0.2">
      <c r="A884" s="383" t="s">
        <v>73</v>
      </c>
      <c r="B884" s="397">
        <v>45748</v>
      </c>
      <c r="C884" s="397" t="s">
        <v>534</v>
      </c>
      <c r="D884" s="383">
        <v>6</v>
      </c>
      <c r="E884" s="383" t="s">
        <v>524</v>
      </c>
      <c r="F884" s="388" t="s">
        <v>354</v>
      </c>
      <c r="G884" s="465" t="s">
        <v>354</v>
      </c>
      <c r="H884" s="384" t="s">
        <v>478</v>
      </c>
      <c r="I884" s="383">
        <f>INDEX(DRE!$W$2:$AS$53, MATCH('DRE 2025'!G884,DRE!$D$2:$D$53,0), MATCH(B884, DRE!$W$1:$AS$1, 0))</f>
        <v>-32819.553999999996</v>
      </c>
    </row>
    <row r="885" spans="1:10" x14ac:dyDescent="0.2">
      <c r="A885" s="383" t="s">
        <v>73</v>
      </c>
      <c r="B885" s="397">
        <v>45748</v>
      </c>
      <c r="C885" s="397" t="s">
        <v>534</v>
      </c>
      <c r="D885" s="383">
        <v>6</v>
      </c>
      <c r="E885" s="383" t="s">
        <v>524</v>
      </c>
      <c r="F885" s="390" t="s">
        <v>355</v>
      </c>
      <c r="G885" s="461" t="s">
        <v>355</v>
      </c>
      <c r="H885" s="384" t="s">
        <v>355</v>
      </c>
      <c r="I885" s="383">
        <f>INDEX(DRE!$W$2:$AS$53, MATCH('DRE 2025'!G885,DRE!$D$2:$D$53,0), MATCH(B885, DRE!$W$1:$AS$1, 0))</f>
        <v>-50886.614000000001</v>
      </c>
    </row>
    <row r="886" spans="1:10" x14ac:dyDescent="0.2">
      <c r="A886" s="383" t="s">
        <v>73</v>
      </c>
      <c r="B886" s="397">
        <v>45748</v>
      </c>
      <c r="C886" s="397" t="s">
        <v>534</v>
      </c>
      <c r="D886" s="383">
        <v>6</v>
      </c>
      <c r="E886" s="383" t="s">
        <v>524</v>
      </c>
      <c r="F886" s="390" t="s">
        <v>356</v>
      </c>
      <c r="G886" s="461" t="s">
        <v>356</v>
      </c>
      <c r="H886" s="384" t="s">
        <v>356</v>
      </c>
      <c r="I886" s="383">
        <f>INDEX(DRE!$W$2:$AS$53, MATCH('DRE 2025'!G886,DRE!$D$2:$D$53,0), MATCH(B886, DRE!$W$1:$AS$1, 0))</f>
        <v>-540123.74239999999</v>
      </c>
    </row>
    <row r="887" spans="1:10" x14ac:dyDescent="0.2">
      <c r="A887" s="383" t="s">
        <v>73</v>
      </c>
      <c r="B887" s="397">
        <v>45748</v>
      </c>
      <c r="C887" s="397" t="s">
        <v>534</v>
      </c>
      <c r="D887" s="383">
        <v>6</v>
      </c>
      <c r="E887" s="383" t="s">
        <v>524</v>
      </c>
      <c r="F887" s="390" t="s">
        <v>357</v>
      </c>
      <c r="G887" s="461" t="s">
        <v>357</v>
      </c>
      <c r="H887" s="384" t="s">
        <v>357</v>
      </c>
      <c r="I887" s="383">
        <f>INDEX(DRE!$W$2:$AS$53, MATCH('DRE 2025'!G887,DRE!$D$2:$D$53,0), MATCH(B887, DRE!$W$1:$AS$1, 0))</f>
        <v>-6220.04</v>
      </c>
    </row>
    <row r="888" spans="1:10" x14ac:dyDescent="0.2">
      <c r="A888" s="383" t="s">
        <v>73</v>
      </c>
      <c r="B888" s="397">
        <v>45748</v>
      </c>
      <c r="C888" s="397" t="s">
        <v>535</v>
      </c>
      <c r="D888" s="383">
        <v>7</v>
      </c>
      <c r="E888" s="383" t="s">
        <v>529</v>
      </c>
      <c r="F888" s="400" t="s">
        <v>358</v>
      </c>
      <c r="G888" s="400"/>
      <c r="H888" s="403" t="s">
        <v>358</v>
      </c>
      <c r="I888" s="396" t="e">
        <f>I878+I879+I880+I881+I882+I883+I884+I885+I886+I887</f>
        <v>#N/A</v>
      </c>
      <c r="J888" s="352" t="e">
        <f>IF(C888="A",-I888/I860,I888/I860)</f>
        <v>#N/A</v>
      </c>
    </row>
    <row r="889" spans="1:10" x14ac:dyDescent="0.2">
      <c r="A889" s="383" t="s">
        <v>73</v>
      </c>
      <c r="B889" s="397">
        <v>45748</v>
      </c>
      <c r="C889" s="397" t="s">
        <v>534</v>
      </c>
      <c r="D889" s="383">
        <v>8</v>
      </c>
      <c r="E889" s="383" t="s">
        <v>527</v>
      </c>
      <c r="F889" s="385" t="s">
        <v>359</v>
      </c>
      <c r="G889" s="462" t="s">
        <v>359</v>
      </c>
      <c r="H889" s="384" t="s">
        <v>479</v>
      </c>
      <c r="I889" s="383">
        <f>INDEX(DRE!$W$2:$AS$53, MATCH('DRE 2025'!G889,DRE!$D$2:$D$53,0), MATCH(B889, DRE!$W$1:$AS$1, 0))</f>
        <v>0</v>
      </c>
    </row>
    <row r="890" spans="1:10" x14ac:dyDescent="0.2">
      <c r="A890" s="383" t="s">
        <v>73</v>
      </c>
      <c r="B890" s="397">
        <v>45748</v>
      </c>
      <c r="C890" s="397" t="s">
        <v>534</v>
      </c>
      <c r="D890" s="383">
        <v>8</v>
      </c>
      <c r="E890" s="383" t="s">
        <v>527</v>
      </c>
      <c r="F890" s="385" t="s">
        <v>360</v>
      </c>
      <c r="G890" s="462" t="s">
        <v>360</v>
      </c>
      <c r="H890" s="384" t="s">
        <v>480</v>
      </c>
      <c r="I890" s="383">
        <f>INDEX(DRE!$W$2:$AS$53, MATCH('DRE 2025'!G890,DRE!$D$2:$D$53,0), MATCH(B890, DRE!$W$1:$AS$1, 0))</f>
        <v>22725.284</v>
      </c>
    </row>
    <row r="891" spans="1:10" x14ac:dyDescent="0.2">
      <c r="A891" s="383" t="s">
        <v>73</v>
      </c>
      <c r="B891" s="397">
        <v>45748</v>
      </c>
      <c r="C891" s="397" t="s">
        <v>534</v>
      </c>
      <c r="D891" s="383">
        <v>8</v>
      </c>
      <c r="E891" s="383" t="s">
        <v>527</v>
      </c>
      <c r="F891" s="390" t="s">
        <v>361</v>
      </c>
      <c r="G891" s="466" t="s">
        <v>361</v>
      </c>
      <c r="H891" s="384" t="s">
        <v>481</v>
      </c>
      <c r="I891" s="383">
        <f>INDEX(DRE!$W$2:$AS$53, MATCH('DRE 2025'!G891,DRE!$D$2:$D$53,0), MATCH(B891, DRE!$W$1:$AS$1, 0))</f>
        <v>6513.99</v>
      </c>
    </row>
    <row r="892" spans="1:10" x14ac:dyDescent="0.2">
      <c r="A892" s="383" t="s">
        <v>73</v>
      </c>
      <c r="B892" s="397">
        <v>45748</v>
      </c>
      <c r="C892" s="397" t="s">
        <v>534</v>
      </c>
      <c r="D892" s="383">
        <v>9</v>
      </c>
      <c r="E892" s="383" t="s">
        <v>526</v>
      </c>
      <c r="F892" s="390" t="s">
        <v>363</v>
      </c>
      <c r="G892" s="461" t="s">
        <v>363</v>
      </c>
      <c r="H892" s="384" t="s">
        <v>363</v>
      </c>
      <c r="I892" s="383">
        <f>INDEX(DRE!$W$2:$AS$53, MATCH('DRE 2025'!G892,DRE!$D$2:$D$53,0), MATCH(B892, DRE!$W$1:$AS$1, 0))</f>
        <v>-581608.78399999999</v>
      </c>
    </row>
    <row r="893" spans="1:10" x14ac:dyDescent="0.2">
      <c r="A893" s="383" t="s">
        <v>73</v>
      </c>
      <c r="B893" s="397">
        <v>45748</v>
      </c>
      <c r="C893" s="397" t="s">
        <v>534</v>
      </c>
      <c r="D893" s="383">
        <v>9</v>
      </c>
      <c r="E893" s="383" t="s">
        <v>526</v>
      </c>
      <c r="F893" s="390" t="s">
        <v>364</v>
      </c>
      <c r="G893" s="461" t="s">
        <v>364</v>
      </c>
      <c r="H893" s="384" t="s">
        <v>364</v>
      </c>
      <c r="I893" s="383">
        <f>INDEX(DRE!$W$2:$AS$53, MATCH('DRE 2025'!G893,DRE!$D$2:$D$53,0), MATCH(B893, DRE!$W$1:$AS$1, 0))</f>
        <v>-32092.9664204</v>
      </c>
    </row>
    <row r="894" spans="1:10" x14ac:dyDescent="0.2">
      <c r="A894" s="383" t="s">
        <v>73</v>
      </c>
      <c r="B894" s="397">
        <v>45748</v>
      </c>
      <c r="C894" s="397" t="s">
        <v>534</v>
      </c>
      <c r="D894" s="383">
        <v>9</v>
      </c>
      <c r="E894" s="383" t="s">
        <v>526</v>
      </c>
      <c r="F894" s="394" t="s">
        <v>273</v>
      </c>
      <c r="G894" s="467" t="s">
        <v>563</v>
      </c>
      <c r="H894" s="398" t="s">
        <v>563</v>
      </c>
      <c r="I894" s="383">
        <f>INDEX(DRE!$W$2:$AS$53, MATCH('DRE 2025'!G894,DRE!$D$2:$D$53,0), MATCH(B894, DRE!$W$1:$AS$1, 0))</f>
        <v>0</v>
      </c>
    </row>
    <row r="895" spans="1:10" x14ac:dyDescent="0.2">
      <c r="A895" s="383" t="s">
        <v>73</v>
      </c>
      <c r="B895" s="397">
        <v>45748</v>
      </c>
      <c r="C895" s="397" t="s">
        <v>534</v>
      </c>
      <c r="D895" s="383">
        <v>10</v>
      </c>
      <c r="E895" s="383" t="s">
        <v>452</v>
      </c>
      <c r="F895" s="400" t="s">
        <v>365</v>
      </c>
      <c r="G895" s="400"/>
      <c r="H895" s="403" t="s">
        <v>365</v>
      </c>
      <c r="I895" s="396">
        <f>I861+I862+I863+I864+I865+I866+I874+I875+I876+I877+I879+I880+I881+I882+I883+I884+I885+I886+I887+I889+I890+I891+I892+I893+I894</f>
        <v>-3421585.2024203995</v>
      </c>
      <c r="J895" s="352">
        <f>IF(C895="A",-I895/I860,I895/I860)</f>
        <v>0.86850475138078398</v>
      </c>
    </row>
    <row r="896" spans="1:10" x14ac:dyDescent="0.2">
      <c r="A896" s="383" t="s">
        <v>73</v>
      </c>
      <c r="B896" s="397">
        <v>45748</v>
      </c>
      <c r="C896" s="397" t="s">
        <v>535</v>
      </c>
      <c r="D896" s="383">
        <v>11</v>
      </c>
      <c r="E896" s="383" t="s">
        <v>528</v>
      </c>
      <c r="F896" s="400" t="s">
        <v>367</v>
      </c>
      <c r="G896" s="400"/>
      <c r="H896" s="403" t="s">
        <v>367</v>
      </c>
      <c r="I896" s="395">
        <f>I860+I895</f>
        <v>518042.29757960048</v>
      </c>
      <c r="J896" s="352">
        <f>IF(C896="A",-I896/I860,I896/I860)</f>
        <v>0.13149524861921602</v>
      </c>
    </row>
    <row r="897" spans="1:10" x14ac:dyDescent="0.2">
      <c r="A897" s="383" t="s">
        <v>516</v>
      </c>
      <c r="B897" s="397">
        <v>45748</v>
      </c>
      <c r="C897" s="397" t="s">
        <v>536</v>
      </c>
      <c r="D897" s="383">
        <v>1</v>
      </c>
      <c r="E897" s="384" t="s">
        <v>530</v>
      </c>
      <c r="F897" s="400" t="s">
        <v>440</v>
      </c>
      <c r="G897" s="400"/>
      <c r="H897" s="404" t="s">
        <v>440</v>
      </c>
      <c r="I897" s="407">
        <f>HLOOKUP(B897,[5]Sucumbências!$BP$2:$CA$43,31,0)</f>
        <v>17554.89</v>
      </c>
      <c r="J897" s="352">
        <v>1</v>
      </c>
    </row>
    <row r="898" spans="1:10" x14ac:dyDescent="0.2">
      <c r="A898" s="383" t="s">
        <v>516</v>
      </c>
      <c r="B898" s="397">
        <v>45748</v>
      </c>
      <c r="C898" s="397" t="s">
        <v>534</v>
      </c>
      <c r="D898" s="383">
        <v>4</v>
      </c>
      <c r="E898" s="383" t="s">
        <v>525</v>
      </c>
      <c r="F898" s="388" t="s">
        <v>340</v>
      </c>
      <c r="G898" s="388"/>
      <c r="H898" s="404" t="s">
        <v>340</v>
      </c>
      <c r="I898" s="407">
        <f>-HLOOKUP(B898,GLOSAS!$BQ$1:$CB$43,30,0)</f>
        <v>0</v>
      </c>
    </row>
    <row r="899" spans="1:10" x14ac:dyDescent="0.2">
      <c r="A899" s="383" t="s">
        <v>516</v>
      </c>
      <c r="B899" s="397">
        <v>45748</v>
      </c>
      <c r="C899" s="397" t="s">
        <v>534</v>
      </c>
      <c r="D899" s="383">
        <v>9</v>
      </c>
      <c r="E899" s="383" t="s">
        <v>526</v>
      </c>
      <c r="F899" s="390" t="s">
        <v>363</v>
      </c>
      <c r="G899" s="390"/>
      <c r="H899" s="404" t="s">
        <v>363</v>
      </c>
      <c r="I899" s="407">
        <f>-I897*0.1</f>
        <v>-1755.489</v>
      </c>
    </row>
    <row r="900" spans="1:10" x14ac:dyDescent="0.2">
      <c r="A900" s="383" t="s">
        <v>516</v>
      </c>
      <c r="B900" s="397">
        <v>45748</v>
      </c>
      <c r="C900" s="397" t="s">
        <v>535</v>
      </c>
      <c r="D900" s="383">
        <v>11</v>
      </c>
      <c r="E900" s="383" t="s">
        <v>528</v>
      </c>
      <c r="F900" s="400" t="s">
        <v>367</v>
      </c>
      <c r="G900" s="400"/>
      <c r="H900" s="404" t="s">
        <v>367</v>
      </c>
      <c r="I900" s="407">
        <f>I897+I898+I899</f>
        <v>15799.401</v>
      </c>
      <c r="J900" s="352">
        <f>IF(C900="A",-I900/I897,I900/I897)</f>
        <v>0.9</v>
      </c>
    </row>
    <row r="901" spans="1:10" x14ac:dyDescent="0.2">
      <c r="A901" s="383" t="s">
        <v>522</v>
      </c>
      <c r="B901" s="397">
        <v>45748</v>
      </c>
      <c r="C901" s="397" t="s">
        <v>536</v>
      </c>
      <c r="D901" s="383">
        <v>1</v>
      </c>
      <c r="E901" s="384" t="s">
        <v>530</v>
      </c>
      <c r="F901" s="400" t="s">
        <v>440</v>
      </c>
      <c r="G901" s="400"/>
      <c r="H901" s="405" t="s">
        <v>440</v>
      </c>
      <c r="I901" s="396">
        <f>I860-I897</f>
        <v>3922072.61</v>
      </c>
      <c r="J901" s="352">
        <v>1</v>
      </c>
    </row>
    <row r="902" spans="1:10" x14ac:dyDescent="0.2">
      <c r="A902" s="383" t="s">
        <v>522</v>
      </c>
      <c r="B902" s="397">
        <v>45748</v>
      </c>
      <c r="C902" s="397" t="s">
        <v>534</v>
      </c>
      <c r="D902" s="383">
        <v>2</v>
      </c>
      <c r="E902" s="384" t="s">
        <v>325</v>
      </c>
      <c r="F902" s="390" t="s">
        <v>326</v>
      </c>
      <c r="G902" s="390"/>
      <c r="H902" s="384" t="s">
        <v>519</v>
      </c>
      <c r="I902" s="406">
        <f t="shared" ref="I902:I914" si="23">I861</f>
        <v>-192391.36</v>
      </c>
    </row>
    <row r="903" spans="1:10" x14ac:dyDescent="0.2">
      <c r="A903" s="383" t="s">
        <v>522</v>
      </c>
      <c r="B903" s="397">
        <v>45748</v>
      </c>
      <c r="C903" s="397" t="s">
        <v>534</v>
      </c>
      <c r="D903" s="383">
        <v>2</v>
      </c>
      <c r="E903" s="384" t="s">
        <v>325</v>
      </c>
      <c r="F903" s="385" t="s">
        <v>328</v>
      </c>
      <c r="G903" s="385"/>
      <c r="H903" s="384" t="s">
        <v>521</v>
      </c>
      <c r="I903" s="406">
        <f t="shared" si="23"/>
        <v>-18374.259999999998</v>
      </c>
    </row>
    <row r="904" spans="1:10" x14ac:dyDescent="0.2">
      <c r="A904" s="383" t="s">
        <v>522</v>
      </c>
      <c r="B904" s="397">
        <v>45748</v>
      </c>
      <c r="C904" s="397" t="s">
        <v>534</v>
      </c>
      <c r="D904" s="383">
        <v>2</v>
      </c>
      <c r="E904" s="384" t="s">
        <v>325</v>
      </c>
      <c r="F904" s="385" t="s">
        <v>329</v>
      </c>
      <c r="G904" s="385"/>
      <c r="H904" s="384" t="s">
        <v>329</v>
      </c>
      <c r="I904" s="406">
        <f t="shared" si="23"/>
        <v>-566.15</v>
      </c>
    </row>
    <row r="905" spans="1:10" x14ac:dyDescent="0.2">
      <c r="A905" s="383" t="s">
        <v>522</v>
      </c>
      <c r="B905" s="397">
        <v>45748</v>
      </c>
      <c r="C905" s="397" t="s">
        <v>534</v>
      </c>
      <c r="D905" s="383">
        <v>2</v>
      </c>
      <c r="E905" s="384" t="s">
        <v>325</v>
      </c>
      <c r="F905" s="385" t="s">
        <v>330</v>
      </c>
      <c r="G905" s="385"/>
      <c r="H905" s="384" t="s">
        <v>330</v>
      </c>
      <c r="I905" s="406">
        <f t="shared" si="23"/>
        <v>0</v>
      </c>
    </row>
    <row r="906" spans="1:10" x14ac:dyDescent="0.2">
      <c r="A906" s="383" t="s">
        <v>522</v>
      </c>
      <c r="B906" s="397">
        <v>45748</v>
      </c>
      <c r="C906" s="397" t="s">
        <v>534</v>
      </c>
      <c r="D906" s="383">
        <v>2</v>
      </c>
      <c r="E906" s="384" t="s">
        <v>325</v>
      </c>
      <c r="F906" s="385" t="s">
        <v>331</v>
      </c>
      <c r="G906" s="385"/>
      <c r="H906" s="384" t="s">
        <v>331</v>
      </c>
      <c r="I906" s="406">
        <f t="shared" si="23"/>
        <v>-13.21</v>
      </c>
    </row>
    <row r="907" spans="1:10" x14ac:dyDescent="0.2">
      <c r="A907" s="383" t="s">
        <v>522</v>
      </c>
      <c r="B907" s="397">
        <v>45748</v>
      </c>
      <c r="C907" s="397" t="s">
        <v>534</v>
      </c>
      <c r="D907" s="383">
        <v>2</v>
      </c>
      <c r="E907" s="384" t="s">
        <v>325</v>
      </c>
      <c r="F907" s="384" t="s">
        <v>332</v>
      </c>
      <c r="G907" s="384"/>
      <c r="H907" s="384" t="s">
        <v>520</v>
      </c>
      <c r="I907" s="406">
        <f t="shared" si="23"/>
        <v>0</v>
      </c>
    </row>
    <row r="908" spans="1:10" x14ac:dyDescent="0.2">
      <c r="A908" s="383" t="s">
        <v>522</v>
      </c>
      <c r="B908" s="397">
        <v>45748</v>
      </c>
      <c r="C908" s="397" t="s">
        <v>535</v>
      </c>
      <c r="D908" s="383">
        <v>3</v>
      </c>
      <c r="E908" s="384" t="s">
        <v>531</v>
      </c>
      <c r="F908" s="385" t="s">
        <v>334</v>
      </c>
      <c r="G908" s="385"/>
      <c r="H908" s="384" t="s">
        <v>334</v>
      </c>
      <c r="I908" s="406">
        <f t="shared" si="23"/>
        <v>3072786.69</v>
      </c>
    </row>
    <row r="909" spans="1:10" x14ac:dyDescent="0.2">
      <c r="A909" s="383" t="s">
        <v>522</v>
      </c>
      <c r="B909" s="397">
        <v>45748</v>
      </c>
      <c r="C909" s="397" t="s">
        <v>535</v>
      </c>
      <c r="D909" s="383">
        <v>3</v>
      </c>
      <c r="E909" s="384" t="s">
        <v>531</v>
      </c>
      <c r="F909" s="385" t="s">
        <v>335</v>
      </c>
      <c r="G909" s="385"/>
      <c r="H909" s="384" t="s">
        <v>335</v>
      </c>
      <c r="I909" s="406">
        <f t="shared" si="23"/>
        <v>321630.05</v>
      </c>
    </row>
    <row r="910" spans="1:10" x14ac:dyDescent="0.2">
      <c r="A910" s="383" t="s">
        <v>522</v>
      </c>
      <c r="B910" s="397">
        <v>45748</v>
      </c>
      <c r="C910" s="397" t="s">
        <v>535</v>
      </c>
      <c r="D910" s="383">
        <v>3</v>
      </c>
      <c r="E910" s="384" t="s">
        <v>531</v>
      </c>
      <c r="F910" s="385" t="s">
        <v>336</v>
      </c>
      <c r="G910" s="385"/>
      <c r="H910" s="384" t="s">
        <v>336</v>
      </c>
      <c r="I910" s="406">
        <f t="shared" si="23"/>
        <v>0</v>
      </c>
    </row>
    <row r="911" spans="1:10" x14ac:dyDescent="0.2">
      <c r="A911" s="383" t="s">
        <v>522</v>
      </c>
      <c r="B911" s="397">
        <v>45748</v>
      </c>
      <c r="C911" s="397" t="s">
        <v>535</v>
      </c>
      <c r="D911" s="383">
        <v>3</v>
      </c>
      <c r="E911" s="384" t="s">
        <v>531</v>
      </c>
      <c r="F911" s="387" t="s">
        <v>273</v>
      </c>
      <c r="G911" s="387"/>
      <c r="H911" s="384" t="s">
        <v>562</v>
      </c>
      <c r="I911" s="406">
        <f t="shared" si="23"/>
        <v>0</v>
      </c>
    </row>
    <row r="912" spans="1:10" x14ac:dyDescent="0.2">
      <c r="A912" s="383" t="s">
        <v>522</v>
      </c>
      <c r="B912" s="397">
        <v>45748</v>
      </c>
      <c r="C912" s="397" t="s">
        <v>535</v>
      </c>
      <c r="D912" s="383">
        <v>3</v>
      </c>
      <c r="E912" s="384" t="s">
        <v>531</v>
      </c>
      <c r="F912" s="387" t="s">
        <v>513</v>
      </c>
      <c r="G912" s="387"/>
      <c r="H912" s="384" t="s">
        <v>513</v>
      </c>
      <c r="I912" s="406" t="e">
        <f t="shared" si="23"/>
        <v>#N/A</v>
      </c>
    </row>
    <row r="913" spans="1:10" x14ac:dyDescent="0.2">
      <c r="A913" s="383" t="s">
        <v>522</v>
      </c>
      <c r="B913" s="397">
        <v>45748</v>
      </c>
      <c r="C913" s="397" t="s">
        <v>535</v>
      </c>
      <c r="D913" s="383">
        <v>3</v>
      </c>
      <c r="E913" s="384" t="s">
        <v>531</v>
      </c>
      <c r="F913" s="387" t="s">
        <v>514</v>
      </c>
      <c r="G913" s="387"/>
      <c r="H913" s="384" t="s">
        <v>514</v>
      </c>
      <c r="I913" s="406" t="e">
        <f t="shared" si="23"/>
        <v>#N/A</v>
      </c>
    </row>
    <row r="914" spans="1:10" x14ac:dyDescent="0.2">
      <c r="A914" s="383" t="s">
        <v>522</v>
      </c>
      <c r="B914" s="397">
        <v>45748</v>
      </c>
      <c r="C914" s="397" t="s">
        <v>535</v>
      </c>
      <c r="D914" s="383">
        <v>3</v>
      </c>
      <c r="E914" s="384" t="s">
        <v>531</v>
      </c>
      <c r="F914" s="385" t="s">
        <v>337</v>
      </c>
      <c r="G914" s="385"/>
      <c r="H914" s="384" t="s">
        <v>337</v>
      </c>
      <c r="I914" s="406">
        <f t="shared" si="23"/>
        <v>8865.92</v>
      </c>
    </row>
    <row r="915" spans="1:10" x14ac:dyDescent="0.2">
      <c r="A915" s="383" t="s">
        <v>522</v>
      </c>
      <c r="B915" s="397">
        <v>45748</v>
      </c>
      <c r="C915" s="397" t="s">
        <v>534</v>
      </c>
      <c r="D915" s="383">
        <v>4</v>
      </c>
      <c r="E915" s="383" t="s">
        <v>523</v>
      </c>
      <c r="F915" s="388" t="s">
        <v>340</v>
      </c>
      <c r="G915" s="388"/>
      <c r="H915" s="405" t="s">
        <v>340</v>
      </c>
      <c r="I915" s="396">
        <f>I874-I898</f>
        <v>-29440.554</v>
      </c>
    </row>
    <row r="916" spans="1:10" x14ac:dyDescent="0.2">
      <c r="A916" s="383" t="s">
        <v>522</v>
      </c>
      <c r="B916" s="397">
        <v>45748</v>
      </c>
      <c r="C916" s="397" t="s">
        <v>534</v>
      </c>
      <c r="D916" s="383">
        <v>4</v>
      </c>
      <c r="E916" s="383" t="s">
        <v>523</v>
      </c>
      <c r="F916" s="388" t="s">
        <v>341</v>
      </c>
      <c r="G916" s="388"/>
      <c r="H916" s="384" t="s">
        <v>341</v>
      </c>
      <c r="I916" s="406">
        <f>I875</f>
        <v>-227020.69</v>
      </c>
    </row>
    <row r="917" spans="1:10" x14ac:dyDescent="0.2">
      <c r="A917" s="383" t="s">
        <v>522</v>
      </c>
      <c r="B917" s="397">
        <v>45748</v>
      </c>
      <c r="C917" s="397" t="s">
        <v>534</v>
      </c>
      <c r="D917" s="383">
        <v>4</v>
      </c>
      <c r="E917" s="383" t="s">
        <v>523</v>
      </c>
      <c r="F917" s="388" t="s">
        <v>342</v>
      </c>
      <c r="G917" s="388"/>
      <c r="H917" s="384" t="s">
        <v>342</v>
      </c>
      <c r="I917" s="406">
        <f>I876</f>
        <v>-1483785.7775999999</v>
      </c>
    </row>
    <row r="918" spans="1:10" x14ac:dyDescent="0.2">
      <c r="A918" s="383" t="s">
        <v>522</v>
      </c>
      <c r="B918" s="397">
        <v>45748</v>
      </c>
      <c r="C918" s="397" t="s">
        <v>534</v>
      </c>
      <c r="D918" s="383">
        <v>4</v>
      </c>
      <c r="E918" s="383" t="s">
        <v>523</v>
      </c>
      <c r="F918" s="388" t="s">
        <v>343</v>
      </c>
      <c r="G918" s="388"/>
      <c r="H918" s="384" t="s">
        <v>343</v>
      </c>
      <c r="I918" s="406">
        <f>I877</f>
        <v>-43198.91</v>
      </c>
    </row>
    <row r="919" spans="1:10" x14ac:dyDescent="0.2">
      <c r="A919" s="383" t="s">
        <v>522</v>
      </c>
      <c r="B919" s="397">
        <v>45748</v>
      </c>
      <c r="C919" s="397" t="s">
        <v>535</v>
      </c>
      <c r="D919" s="383">
        <v>5</v>
      </c>
      <c r="E919" s="383" t="s">
        <v>532</v>
      </c>
      <c r="F919" s="401" t="s">
        <v>345</v>
      </c>
      <c r="G919" s="401"/>
      <c r="H919" s="403" t="s">
        <v>345</v>
      </c>
      <c r="I919" s="406">
        <f>I901+I902+I903+I904+I905+I906+I907+I915+I916+I917+I918</f>
        <v>1927281.6984000006</v>
      </c>
      <c r="J919" s="352">
        <f>IF(C919="A",-I919/I901,I919/I901)</f>
        <v>0.49139368136277328</v>
      </c>
    </row>
    <row r="920" spans="1:10" x14ac:dyDescent="0.2">
      <c r="A920" s="383" t="s">
        <v>522</v>
      </c>
      <c r="B920" s="397">
        <v>45748</v>
      </c>
      <c r="C920" s="397" t="s">
        <v>534</v>
      </c>
      <c r="D920" s="383">
        <v>6</v>
      </c>
      <c r="E920" s="383" t="s">
        <v>524</v>
      </c>
      <c r="F920" s="388" t="s">
        <v>349</v>
      </c>
      <c r="G920" s="388"/>
      <c r="H920" s="384" t="s">
        <v>473</v>
      </c>
      <c r="I920" s="406">
        <f t="shared" ref="I920:I928" si="24">I879</f>
        <v>-30332.78</v>
      </c>
    </row>
    <row r="921" spans="1:10" x14ac:dyDescent="0.2">
      <c r="A921" s="383" t="s">
        <v>522</v>
      </c>
      <c r="B921" s="397">
        <v>45748</v>
      </c>
      <c r="C921" s="397" t="s">
        <v>534</v>
      </c>
      <c r="D921" s="383">
        <v>6</v>
      </c>
      <c r="E921" s="383" t="s">
        <v>524</v>
      </c>
      <c r="F921" s="388" t="s">
        <v>350</v>
      </c>
      <c r="G921" s="388"/>
      <c r="H921" s="384" t="s">
        <v>474</v>
      </c>
      <c r="I921" s="406">
        <f t="shared" si="24"/>
        <v>-13965.56</v>
      </c>
    </row>
    <row r="922" spans="1:10" x14ac:dyDescent="0.2">
      <c r="A922" s="383" t="s">
        <v>522</v>
      </c>
      <c r="B922" s="397">
        <v>45748</v>
      </c>
      <c r="C922" s="397" t="s">
        <v>534</v>
      </c>
      <c r="D922" s="383">
        <v>6</v>
      </c>
      <c r="E922" s="383" t="s">
        <v>524</v>
      </c>
      <c r="F922" s="388" t="s">
        <v>351</v>
      </c>
      <c r="G922" s="388"/>
      <c r="H922" s="384" t="s">
        <v>475</v>
      </c>
      <c r="I922" s="406">
        <f t="shared" si="24"/>
        <v>-87698.49</v>
      </c>
    </row>
    <row r="923" spans="1:10" x14ac:dyDescent="0.2">
      <c r="A923" s="383" t="s">
        <v>522</v>
      </c>
      <c r="B923" s="397">
        <v>45748</v>
      </c>
      <c r="C923" s="397" t="s">
        <v>534</v>
      </c>
      <c r="D923" s="383">
        <v>6</v>
      </c>
      <c r="E923" s="383" t="s">
        <v>524</v>
      </c>
      <c r="F923" s="388" t="s">
        <v>352</v>
      </c>
      <c r="G923" s="388"/>
      <c r="H923" s="384" t="s">
        <v>476</v>
      </c>
      <c r="I923" s="406">
        <f t="shared" si="24"/>
        <v>-10504.51</v>
      </c>
    </row>
    <row r="924" spans="1:10" x14ac:dyDescent="0.2">
      <c r="A924" s="383" t="s">
        <v>522</v>
      </c>
      <c r="B924" s="397">
        <v>45748</v>
      </c>
      <c r="C924" s="397" t="s">
        <v>534</v>
      </c>
      <c r="D924" s="383">
        <v>6</v>
      </c>
      <c r="E924" s="383" t="s">
        <v>524</v>
      </c>
      <c r="F924" s="388" t="s">
        <v>353</v>
      </c>
      <c r="G924" s="388"/>
      <c r="H924" s="384" t="s">
        <v>477</v>
      </c>
      <c r="I924" s="406">
        <f t="shared" si="24"/>
        <v>-69780.524000000005</v>
      </c>
    </row>
    <row r="925" spans="1:10" x14ac:dyDescent="0.2">
      <c r="A925" s="383" t="s">
        <v>522</v>
      </c>
      <c r="B925" s="397">
        <v>45748</v>
      </c>
      <c r="C925" s="397" t="s">
        <v>534</v>
      </c>
      <c r="D925" s="383">
        <v>6</v>
      </c>
      <c r="E925" s="383" t="s">
        <v>524</v>
      </c>
      <c r="F925" s="388" t="s">
        <v>354</v>
      </c>
      <c r="G925" s="388"/>
      <c r="H925" s="384" t="s">
        <v>478</v>
      </c>
      <c r="I925" s="406">
        <f t="shared" si="24"/>
        <v>-32819.553999999996</v>
      </c>
    </row>
    <row r="926" spans="1:10" x14ac:dyDescent="0.2">
      <c r="A926" s="383" t="s">
        <v>522</v>
      </c>
      <c r="B926" s="397">
        <v>45748</v>
      </c>
      <c r="C926" s="397" t="s">
        <v>534</v>
      </c>
      <c r="D926" s="383">
        <v>6</v>
      </c>
      <c r="E926" s="383" t="s">
        <v>524</v>
      </c>
      <c r="F926" s="390" t="s">
        <v>355</v>
      </c>
      <c r="G926" s="390"/>
      <c r="H926" s="384" t="s">
        <v>355</v>
      </c>
      <c r="I926" s="406">
        <f t="shared" si="24"/>
        <v>-50886.614000000001</v>
      </c>
    </row>
    <row r="927" spans="1:10" x14ac:dyDescent="0.2">
      <c r="A927" s="383" t="s">
        <v>522</v>
      </c>
      <c r="B927" s="397">
        <v>45748</v>
      </c>
      <c r="C927" s="397" t="s">
        <v>534</v>
      </c>
      <c r="D927" s="383">
        <v>6</v>
      </c>
      <c r="E927" s="383" t="s">
        <v>524</v>
      </c>
      <c r="F927" s="390" t="s">
        <v>356</v>
      </c>
      <c r="G927" s="390"/>
      <c r="H927" s="384" t="s">
        <v>356</v>
      </c>
      <c r="I927" s="406">
        <f t="shared" si="24"/>
        <v>-540123.74239999999</v>
      </c>
    </row>
    <row r="928" spans="1:10" x14ac:dyDescent="0.2">
      <c r="A928" s="383" t="s">
        <v>522</v>
      </c>
      <c r="B928" s="397">
        <v>45748</v>
      </c>
      <c r="C928" s="397" t="s">
        <v>534</v>
      </c>
      <c r="D928" s="383">
        <v>6</v>
      </c>
      <c r="E928" s="383" t="s">
        <v>524</v>
      </c>
      <c r="F928" s="390" t="s">
        <v>357</v>
      </c>
      <c r="G928" s="390"/>
      <c r="H928" s="384" t="s">
        <v>357</v>
      </c>
      <c r="I928" s="406">
        <f t="shared" si="24"/>
        <v>-6220.04</v>
      </c>
    </row>
    <row r="929" spans="1:10" x14ac:dyDescent="0.2">
      <c r="A929" s="383" t="s">
        <v>522</v>
      </c>
      <c r="B929" s="397">
        <v>45748</v>
      </c>
      <c r="C929" s="397" t="s">
        <v>535</v>
      </c>
      <c r="D929" s="383">
        <v>7</v>
      </c>
      <c r="E929" s="383" t="s">
        <v>529</v>
      </c>
      <c r="F929" s="400" t="s">
        <v>358</v>
      </c>
      <c r="G929" s="400"/>
      <c r="H929" s="403" t="s">
        <v>358</v>
      </c>
      <c r="I929" s="396">
        <f>I919+I920+I921+I922+I923+I924+I925+I926+I927+I928</f>
        <v>1084949.8840000005</v>
      </c>
      <c r="J929" s="352">
        <f>IF(C929="A",-I929/I901,I929/I901)</f>
        <v>0.27662666959141297</v>
      </c>
    </row>
    <row r="930" spans="1:10" x14ac:dyDescent="0.2">
      <c r="A930" s="383" t="s">
        <v>522</v>
      </c>
      <c r="B930" s="397">
        <v>45748</v>
      </c>
      <c r="C930" s="397" t="s">
        <v>534</v>
      </c>
      <c r="D930" s="383">
        <v>8</v>
      </c>
      <c r="E930" s="383" t="s">
        <v>527</v>
      </c>
      <c r="F930" s="385" t="s">
        <v>359</v>
      </c>
      <c r="G930" s="385"/>
      <c r="H930" s="384" t="s">
        <v>479</v>
      </c>
      <c r="I930" s="406">
        <f>I889</f>
        <v>0</v>
      </c>
    </row>
    <row r="931" spans="1:10" x14ac:dyDescent="0.2">
      <c r="A931" s="383" t="s">
        <v>522</v>
      </c>
      <c r="B931" s="397">
        <v>45748</v>
      </c>
      <c r="C931" s="397" t="s">
        <v>534</v>
      </c>
      <c r="D931" s="383">
        <v>8</v>
      </c>
      <c r="E931" s="383" t="s">
        <v>527</v>
      </c>
      <c r="F931" s="385" t="s">
        <v>360</v>
      </c>
      <c r="G931" s="385"/>
      <c r="H931" s="384" t="s">
        <v>480</v>
      </c>
      <c r="I931" s="406">
        <f>I890</f>
        <v>22725.284</v>
      </c>
    </row>
    <row r="932" spans="1:10" x14ac:dyDescent="0.2">
      <c r="A932" s="383" t="s">
        <v>522</v>
      </c>
      <c r="B932" s="397">
        <v>45748</v>
      </c>
      <c r="C932" s="397" t="s">
        <v>534</v>
      </c>
      <c r="D932" s="383">
        <v>8</v>
      </c>
      <c r="E932" s="383" t="s">
        <v>527</v>
      </c>
      <c r="F932" s="390" t="s">
        <v>361</v>
      </c>
      <c r="G932" s="390"/>
      <c r="H932" s="384" t="s">
        <v>481</v>
      </c>
      <c r="I932" s="406">
        <f>I891</f>
        <v>6513.99</v>
      </c>
    </row>
    <row r="933" spans="1:10" x14ac:dyDescent="0.2">
      <c r="A933" s="383" t="s">
        <v>522</v>
      </c>
      <c r="B933" s="397">
        <v>45748</v>
      </c>
      <c r="C933" s="397" t="s">
        <v>534</v>
      </c>
      <c r="D933" s="383">
        <v>9</v>
      </c>
      <c r="E933" s="383" t="s">
        <v>526</v>
      </c>
      <c r="F933" s="390" t="s">
        <v>363</v>
      </c>
      <c r="G933" s="390"/>
      <c r="H933" s="405" t="s">
        <v>363</v>
      </c>
      <c r="I933" s="396">
        <f>I892-I899</f>
        <v>-579853.29500000004</v>
      </c>
    </row>
    <row r="934" spans="1:10" x14ac:dyDescent="0.2">
      <c r="A934" s="383" t="s">
        <v>522</v>
      </c>
      <c r="B934" s="397">
        <v>45748</v>
      </c>
      <c r="C934" s="397" t="s">
        <v>534</v>
      </c>
      <c r="D934" s="383">
        <v>9</v>
      </c>
      <c r="E934" s="383" t="s">
        <v>526</v>
      </c>
      <c r="F934" s="390" t="s">
        <v>364</v>
      </c>
      <c r="G934" s="390"/>
      <c r="H934" s="384" t="s">
        <v>364</v>
      </c>
      <c r="I934" s="406">
        <f>I893</f>
        <v>-32092.9664204</v>
      </c>
    </row>
    <row r="935" spans="1:10" x14ac:dyDescent="0.2">
      <c r="A935" s="383" t="s">
        <v>522</v>
      </c>
      <c r="B935" s="397">
        <v>45748</v>
      </c>
      <c r="C935" s="397" t="s">
        <v>534</v>
      </c>
      <c r="D935" s="383">
        <v>9</v>
      </c>
      <c r="E935" s="383" t="s">
        <v>526</v>
      </c>
      <c r="F935" s="394" t="s">
        <v>273</v>
      </c>
      <c r="G935" s="394"/>
      <c r="H935" s="398" t="s">
        <v>563</v>
      </c>
      <c r="I935" s="406">
        <f>I894</f>
        <v>0</v>
      </c>
    </row>
    <row r="936" spans="1:10" x14ac:dyDescent="0.2">
      <c r="A936" s="383" t="s">
        <v>522</v>
      </c>
      <c r="B936" s="397">
        <v>45748</v>
      </c>
      <c r="C936" s="397" t="s">
        <v>534</v>
      </c>
      <c r="D936" s="383">
        <v>10</v>
      </c>
      <c r="E936" s="383" t="s">
        <v>452</v>
      </c>
      <c r="F936" s="400" t="s">
        <v>365</v>
      </c>
      <c r="G936" s="400"/>
      <c r="H936" s="403" t="s">
        <v>365</v>
      </c>
      <c r="I936" s="396">
        <f>I902+I903+I904+I905+I906+I907+I915+I916+I917+I918+I920+I921+I922+I923+I924+I925+I926+I927+I928+I930+I931+I932+I933+I934+I935</f>
        <v>-3419829.7134203995</v>
      </c>
      <c r="J936" s="352">
        <f>IF(C936="A",-I936/I901,I936/I901)</f>
        <v>0.87194451849283827</v>
      </c>
    </row>
    <row r="937" spans="1:10" x14ac:dyDescent="0.2">
      <c r="A937" s="383" t="s">
        <v>522</v>
      </c>
      <c r="B937" s="397">
        <v>45748</v>
      </c>
      <c r="C937" s="397" t="s">
        <v>535</v>
      </c>
      <c r="D937" s="383">
        <v>11</v>
      </c>
      <c r="E937" s="383" t="s">
        <v>528</v>
      </c>
      <c r="F937" s="400" t="s">
        <v>367</v>
      </c>
      <c r="G937" s="400"/>
      <c r="H937" s="405" t="s">
        <v>367</v>
      </c>
      <c r="I937" s="395">
        <f>I901+I936</f>
        <v>502242.8965796004</v>
      </c>
      <c r="J937" s="352">
        <f>IF(C937="A",-I937/I901,I937/I901)</f>
        <v>0.1280554815071617</v>
      </c>
    </row>
    <row r="938" spans="1:10" ht="14.25" x14ac:dyDescent="0.2">
      <c r="A938" s="383" t="s">
        <v>73</v>
      </c>
      <c r="B938" s="397">
        <v>45778</v>
      </c>
      <c r="C938" s="397" t="s">
        <v>536</v>
      </c>
      <c r="D938" s="383">
        <v>1</v>
      </c>
      <c r="E938" s="384" t="s">
        <v>530</v>
      </c>
      <c r="F938" s="400" t="s">
        <v>440</v>
      </c>
      <c r="G938" s="459" t="s">
        <v>324</v>
      </c>
      <c r="H938" s="384" t="s">
        <v>440</v>
      </c>
      <c r="I938" s="383">
        <f>INDEX(DRE!$W$2:$AS$53, MATCH('DRE 2025'!G938,DRE!$D$2:$D$53,0), MATCH(B938, DRE!$W$1:$AS$1, 0))</f>
        <v>3548210.88</v>
      </c>
      <c r="J938" s="352">
        <v>1</v>
      </c>
    </row>
    <row r="939" spans="1:10" x14ac:dyDescent="0.2">
      <c r="A939" s="383" t="s">
        <v>73</v>
      </c>
      <c r="B939" s="397">
        <v>45778</v>
      </c>
      <c r="C939" s="397" t="s">
        <v>534</v>
      </c>
      <c r="D939" s="383">
        <v>2</v>
      </c>
      <c r="E939" s="384" t="s">
        <v>325</v>
      </c>
      <c r="F939" s="390" t="s">
        <v>326</v>
      </c>
      <c r="G939" s="461" t="s">
        <v>326</v>
      </c>
      <c r="H939" s="384" t="s">
        <v>519</v>
      </c>
      <c r="I939" s="383">
        <f>INDEX(DRE!$W$2:$AS$53, MATCH('DRE 2025'!G939,DRE!$D$2:$D$53,0), MATCH(B939, DRE!$W$1:$AS$1, 0))</f>
        <v>-159509.92000000001</v>
      </c>
    </row>
    <row r="940" spans="1:10" x14ac:dyDescent="0.2">
      <c r="A940" s="383" t="s">
        <v>73</v>
      </c>
      <c r="B940" s="397">
        <v>45778</v>
      </c>
      <c r="C940" s="397" t="s">
        <v>534</v>
      </c>
      <c r="D940" s="383">
        <v>2</v>
      </c>
      <c r="E940" s="384" t="s">
        <v>325</v>
      </c>
      <c r="F940" s="385" t="s">
        <v>328</v>
      </c>
      <c r="G940" s="462" t="s">
        <v>328</v>
      </c>
      <c r="H940" s="384" t="s">
        <v>521</v>
      </c>
      <c r="I940" s="383">
        <f>INDEX(DRE!$W$2:$AS$53, MATCH('DRE 2025'!G940,DRE!$D$2:$D$53,0), MATCH(B940, DRE!$W$1:$AS$1, 0))</f>
        <v>-5121.7299999999996</v>
      </c>
    </row>
    <row r="941" spans="1:10" x14ac:dyDescent="0.2">
      <c r="A941" s="383" t="s">
        <v>73</v>
      </c>
      <c r="B941" s="397">
        <v>45778</v>
      </c>
      <c r="C941" s="397" t="s">
        <v>534</v>
      </c>
      <c r="D941" s="383">
        <v>2</v>
      </c>
      <c r="E941" s="384" t="s">
        <v>325</v>
      </c>
      <c r="F941" s="385" t="s">
        <v>329</v>
      </c>
      <c r="G941" s="462" t="s">
        <v>329</v>
      </c>
      <c r="H941" s="384" t="s">
        <v>329</v>
      </c>
      <c r="I941" s="383">
        <f>INDEX(DRE!$W$2:$AS$53, MATCH('DRE 2025'!G941,DRE!$D$2:$D$53,0), MATCH(B941, DRE!$W$1:$AS$1, 0))</f>
        <v>-379.74</v>
      </c>
    </row>
    <row r="942" spans="1:10" x14ac:dyDescent="0.2">
      <c r="A942" s="383" t="s">
        <v>73</v>
      </c>
      <c r="B942" s="397">
        <v>45778</v>
      </c>
      <c r="C942" s="397" t="s">
        <v>534</v>
      </c>
      <c r="D942" s="383">
        <v>2</v>
      </c>
      <c r="E942" s="384" t="s">
        <v>325</v>
      </c>
      <c r="F942" s="385" t="s">
        <v>330</v>
      </c>
      <c r="G942" s="462" t="s">
        <v>565</v>
      </c>
      <c r="H942" s="384" t="s">
        <v>330</v>
      </c>
      <c r="I942" s="383">
        <f>INDEX(DRE!$W$2:$AS$53, MATCH('DRE 2025'!G942,DRE!$D$2:$D$53,0), MATCH(B942, DRE!$W$1:$AS$1, 0))</f>
        <v>0</v>
      </c>
    </row>
    <row r="943" spans="1:10" x14ac:dyDescent="0.2">
      <c r="A943" s="383" t="s">
        <v>73</v>
      </c>
      <c r="B943" s="397">
        <v>45778</v>
      </c>
      <c r="C943" s="397" t="s">
        <v>534</v>
      </c>
      <c r="D943" s="383">
        <v>2</v>
      </c>
      <c r="E943" s="384" t="s">
        <v>325</v>
      </c>
      <c r="F943" s="385" t="s">
        <v>331</v>
      </c>
      <c r="G943" s="462" t="s">
        <v>331</v>
      </c>
      <c r="H943" s="384" t="s">
        <v>331</v>
      </c>
      <c r="I943" s="383">
        <f>INDEX(DRE!$W$2:$AS$53, MATCH('DRE 2025'!G943,DRE!$D$2:$D$53,0), MATCH(B943, DRE!$W$1:$AS$1, 0))</f>
        <v>-8.9700000000000006</v>
      </c>
    </row>
    <row r="944" spans="1:10" x14ac:dyDescent="0.2">
      <c r="A944" s="383" t="s">
        <v>73</v>
      </c>
      <c r="B944" s="397">
        <v>45778</v>
      </c>
      <c r="C944" s="397" t="s">
        <v>534</v>
      </c>
      <c r="D944" s="383">
        <v>2</v>
      </c>
      <c r="E944" s="384" t="s">
        <v>325</v>
      </c>
      <c r="F944" s="384" t="s">
        <v>332</v>
      </c>
      <c r="G944" s="463" t="s">
        <v>332</v>
      </c>
      <c r="H944" s="384" t="s">
        <v>520</v>
      </c>
      <c r="I944" s="383">
        <f>INDEX(DRE!$W$2:$AS$53, MATCH('DRE 2025'!G944,DRE!$D$2:$D$53,0), MATCH(B944, DRE!$W$1:$AS$1, 0))</f>
        <v>0</v>
      </c>
    </row>
    <row r="945" spans="1:10" x14ac:dyDescent="0.2">
      <c r="A945" s="383" t="s">
        <v>73</v>
      </c>
      <c r="B945" s="397">
        <v>45778</v>
      </c>
      <c r="C945" s="397" t="s">
        <v>535</v>
      </c>
      <c r="D945" s="383">
        <v>3</v>
      </c>
      <c r="E945" s="384" t="s">
        <v>531</v>
      </c>
      <c r="F945" s="385" t="s">
        <v>334</v>
      </c>
      <c r="G945" s="462" t="s">
        <v>334</v>
      </c>
      <c r="H945" s="384" t="s">
        <v>334</v>
      </c>
      <c r="I945" s="383">
        <f>INDEX(DRE!$W$2:$AS$53, MATCH('DRE 2025'!G945,DRE!$D$2:$D$53,0), MATCH(B945, DRE!$W$1:$AS$1, 0))</f>
        <v>2666159.36</v>
      </c>
    </row>
    <row r="946" spans="1:10" x14ac:dyDescent="0.2">
      <c r="A946" s="383" t="s">
        <v>73</v>
      </c>
      <c r="B946" s="397">
        <v>45778</v>
      </c>
      <c r="C946" s="397" t="s">
        <v>535</v>
      </c>
      <c r="D946" s="383">
        <v>3</v>
      </c>
      <c r="E946" s="384" t="s">
        <v>531</v>
      </c>
      <c r="F946" s="385" t="s">
        <v>335</v>
      </c>
      <c r="G946" s="462" t="s">
        <v>335</v>
      </c>
      <c r="H946" s="384" t="s">
        <v>335</v>
      </c>
      <c r="I946" s="383">
        <f>INDEX(DRE!$W$2:$AS$53, MATCH('DRE 2025'!G946,DRE!$D$2:$D$53,0), MATCH(B946, DRE!$W$1:$AS$1, 0))</f>
        <v>513933.32</v>
      </c>
    </row>
    <row r="947" spans="1:10" x14ac:dyDescent="0.2">
      <c r="A947" s="383" t="s">
        <v>73</v>
      </c>
      <c r="B947" s="397">
        <v>45778</v>
      </c>
      <c r="C947" s="397" t="s">
        <v>535</v>
      </c>
      <c r="D947" s="383">
        <v>3</v>
      </c>
      <c r="E947" s="384" t="s">
        <v>531</v>
      </c>
      <c r="F947" s="385" t="s">
        <v>336</v>
      </c>
      <c r="G947" s="462" t="s">
        <v>336</v>
      </c>
      <c r="H947" s="384" t="s">
        <v>336</v>
      </c>
      <c r="I947" s="383">
        <f>INDEX(DRE!$W$2:$AS$53, MATCH('DRE 2025'!G947,DRE!$D$2:$D$53,0), MATCH(B947, DRE!$W$1:$AS$1, 0))</f>
        <v>0</v>
      </c>
    </row>
    <row r="948" spans="1:10" x14ac:dyDescent="0.2">
      <c r="A948" s="383" t="s">
        <v>73</v>
      </c>
      <c r="B948" s="397">
        <v>45778</v>
      </c>
      <c r="C948" s="397" t="s">
        <v>535</v>
      </c>
      <c r="D948" s="383">
        <v>3</v>
      </c>
      <c r="E948" s="384" t="s">
        <v>531</v>
      </c>
      <c r="F948" s="387" t="s">
        <v>273</v>
      </c>
      <c r="G948" s="464" t="s">
        <v>562</v>
      </c>
      <c r="H948" s="384" t="s">
        <v>562</v>
      </c>
      <c r="I948" s="383">
        <f>INDEX(DRE!$W$2:$AS$53, MATCH('DRE 2025'!G948,DRE!$D$2:$D$53,0), MATCH(B948, DRE!$W$1:$AS$1, 0))</f>
        <v>0</v>
      </c>
    </row>
    <row r="949" spans="1:10" x14ac:dyDescent="0.2">
      <c r="A949" s="383" t="s">
        <v>73</v>
      </c>
      <c r="B949" s="397">
        <v>45778</v>
      </c>
      <c r="C949" s="397" t="s">
        <v>535</v>
      </c>
      <c r="D949" s="383">
        <v>3</v>
      </c>
      <c r="E949" s="384" t="s">
        <v>531</v>
      </c>
      <c r="F949" s="387" t="s">
        <v>513</v>
      </c>
      <c r="G949" s="464" t="s">
        <v>513</v>
      </c>
      <c r="H949" s="384" t="s">
        <v>513</v>
      </c>
      <c r="I949" s="383" t="e">
        <f>INDEX(DRE!$W$2:$AS$53, MATCH('DRE 2025'!G949,DRE!$D$2:$D$53,0), MATCH(B949, DRE!$W$1:$AS$1, 0))</f>
        <v>#N/A</v>
      </c>
    </row>
    <row r="950" spans="1:10" x14ac:dyDescent="0.2">
      <c r="A950" s="383" t="s">
        <v>73</v>
      </c>
      <c r="B950" s="397">
        <v>45778</v>
      </c>
      <c r="C950" s="397" t="s">
        <v>535</v>
      </c>
      <c r="D950" s="383">
        <v>3</v>
      </c>
      <c r="E950" s="384" t="s">
        <v>531</v>
      </c>
      <c r="F950" s="387" t="s">
        <v>514</v>
      </c>
      <c r="G950" s="464" t="s">
        <v>514</v>
      </c>
      <c r="H950" s="384" t="s">
        <v>514</v>
      </c>
      <c r="I950" s="383" t="e">
        <f>INDEX(DRE!$W$2:$AS$53, MATCH('DRE 2025'!G950,DRE!$D$2:$D$53,0), MATCH(B950, DRE!$W$1:$AS$1, 0))</f>
        <v>#N/A</v>
      </c>
    </row>
    <row r="951" spans="1:10" x14ac:dyDescent="0.2">
      <c r="A951" s="383" t="s">
        <v>73</v>
      </c>
      <c r="B951" s="397">
        <v>45778</v>
      </c>
      <c r="C951" s="397" t="s">
        <v>535</v>
      </c>
      <c r="D951" s="383">
        <v>3</v>
      </c>
      <c r="E951" s="384" t="s">
        <v>531</v>
      </c>
      <c r="F951" s="385" t="s">
        <v>337</v>
      </c>
      <c r="G951" s="462" t="s">
        <v>337</v>
      </c>
      <c r="H951" s="384" t="s">
        <v>337</v>
      </c>
      <c r="I951" s="383">
        <f>INDEX(DRE!$W$2:$AS$53, MATCH('DRE 2025'!G951,DRE!$D$2:$D$53,0), MATCH(B951, DRE!$W$1:$AS$1, 0))</f>
        <v>3098</v>
      </c>
    </row>
    <row r="952" spans="1:10" x14ac:dyDescent="0.2">
      <c r="A952" s="383" t="s">
        <v>73</v>
      </c>
      <c r="B952" s="397">
        <v>45778</v>
      </c>
      <c r="C952" s="397" t="s">
        <v>534</v>
      </c>
      <c r="D952" s="383">
        <v>4</v>
      </c>
      <c r="E952" s="383" t="s">
        <v>523</v>
      </c>
      <c r="F952" s="388" t="s">
        <v>340</v>
      </c>
      <c r="G952" s="465" t="s">
        <v>340</v>
      </c>
      <c r="H952" s="384" t="s">
        <v>340</v>
      </c>
      <c r="I952" s="383">
        <f>INDEX(DRE!$W$2:$AS$53, MATCH('DRE 2025'!G952,DRE!$D$2:$D$53,0), MATCH(B952, DRE!$W$1:$AS$1, 0))</f>
        <v>30743.61</v>
      </c>
    </row>
    <row r="953" spans="1:10" x14ac:dyDescent="0.2">
      <c r="A953" s="383" t="s">
        <v>73</v>
      </c>
      <c r="B953" s="397">
        <v>45778</v>
      </c>
      <c r="C953" s="397" t="s">
        <v>534</v>
      </c>
      <c r="D953" s="383">
        <v>4</v>
      </c>
      <c r="E953" s="383" t="s">
        <v>523</v>
      </c>
      <c r="F953" s="388" t="s">
        <v>341</v>
      </c>
      <c r="G953" s="465" t="s">
        <v>341</v>
      </c>
      <c r="H953" s="384" t="s">
        <v>341</v>
      </c>
      <c r="I953" s="383">
        <f>INDEX(DRE!$W$2:$AS$53, MATCH('DRE 2025'!G953,DRE!$D$2:$D$53,0), MATCH(B953, DRE!$W$1:$AS$1, 0))</f>
        <v>-197541.58</v>
      </c>
    </row>
    <row r="954" spans="1:10" x14ac:dyDescent="0.2">
      <c r="A954" s="383" t="s">
        <v>73</v>
      </c>
      <c r="B954" s="397">
        <v>45778</v>
      </c>
      <c r="C954" s="397" t="s">
        <v>534</v>
      </c>
      <c r="D954" s="383">
        <v>4</v>
      </c>
      <c r="E954" s="383" t="s">
        <v>523</v>
      </c>
      <c r="F954" s="388" t="s">
        <v>342</v>
      </c>
      <c r="G954" s="465" t="s">
        <v>342</v>
      </c>
      <c r="H954" s="384" t="s">
        <v>342</v>
      </c>
      <c r="I954" s="383">
        <f>INDEX(DRE!$W$2:$AS$53, MATCH('DRE 2025'!G954,DRE!$D$2:$D$53,0), MATCH(B954, DRE!$W$1:$AS$1, 0))</f>
        <v>-1575153.351</v>
      </c>
    </row>
    <row r="955" spans="1:10" x14ac:dyDescent="0.2">
      <c r="A955" s="383" t="s">
        <v>73</v>
      </c>
      <c r="B955" s="397">
        <v>45778</v>
      </c>
      <c r="C955" s="397" t="s">
        <v>534</v>
      </c>
      <c r="D955" s="383">
        <v>4</v>
      </c>
      <c r="E955" s="383" t="s">
        <v>523</v>
      </c>
      <c r="F955" s="388" t="s">
        <v>343</v>
      </c>
      <c r="G955" s="465" t="s">
        <v>343</v>
      </c>
      <c r="H955" s="384" t="s">
        <v>343</v>
      </c>
      <c r="I955" s="383">
        <f>INDEX(DRE!$W$2:$AS$53, MATCH('DRE 2025'!G955,DRE!$D$2:$D$53,0), MATCH(B955, DRE!$W$1:$AS$1, 0))</f>
        <v>-70340.05</v>
      </c>
    </row>
    <row r="956" spans="1:10" x14ac:dyDescent="0.2">
      <c r="A956" s="383" t="s">
        <v>73</v>
      </c>
      <c r="B956" s="397">
        <v>45778</v>
      </c>
      <c r="C956" s="397" t="s">
        <v>535</v>
      </c>
      <c r="D956" s="383">
        <v>5</v>
      </c>
      <c r="E956" s="383" t="s">
        <v>532</v>
      </c>
      <c r="F956" s="401" t="s">
        <v>345</v>
      </c>
      <c r="G956" s="401"/>
      <c r="H956" s="402" t="s">
        <v>345</v>
      </c>
      <c r="I956" s="406" t="e">
        <f>I945+I946+I947+I948+I949+I950+I951+I952+I953+I954+I955</f>
        <v>#N/A</v>
      </c>
      <c r="J956" s="352" t="e">
        <f>IF(C956="A",-I956/I938,I956/I938)</f>
        <v>#N/A</v>
      </c>
    </row>
    <row r="957" spans="1:10" x14ac:dyDescent="0.2">
      <c r="A957" s="383" t="s">
        <v>73</v>
      </c>
      <c r="B957" s="397">
        <v>45778</v>
      </c>
      <c r="C957" s="397" t="s">
        <v>534</v>
      </c>
      <c r="D957" s="383">
        <v>6</v>
      </c>
      <c r="E957" s="383" t="s">
        <v>524</v>
      </c>
      <c r="F957" s="388" t="s">
        <v>349</v>
      </c>
      <c r="G957" s="465" t="s">
        <v>349</v>
      </c>
      <c r="H957" s="384" t="s">
        <v>473</v>
      </c>
      <c r="I957" s="383">
        <f>INDEX(DRE!$W$2:$AS$53, MATCH('DRE 2025'!G957,DRE!$D$2:$D$53,0), MATCH(B957, DRE!$W$1:$AS$1, 0))</f>
        <v>-32032.74</v>
      </c>
    </row>
    <row r="958" spans="1:10" x14ac:dyDescent="0.2">
      <c r="A958" s="383" t="s">
        <v>73</v>
      </c>
      <c r="B958" s="397">
        <v>45778</v>
      </c>
      <c r="C958" s="397" t="s">
        <v>534</v>
      </c>
      <c r="D958" s="383">
        <v>6</v>
      </c>
      <c r="E958" s="383" t="s">
        <v>524</v>
      </c>
      <c r="F958" s="388" t="s">
        <v>350</v>
      </c>
      <c r="G958" s="465" t="s">
        <v>350</v>
      </c>
      <c r="H958" s="384" t="s">
        <v>474</v>
      </c>
      <c r="I958" s="383">
        <f>INDEX(DRE!$W$2:$AS$53, MATCH('DRE 2025'!G958,DRE!$D$2:$D$53,0), MATCH(B958, DRE!$W$1:$AS$1, 0))</f>
        <v>-10636.71</v>
      </c>
    </row>
    <row r="959" spans="1:10" x14ac:dyDescent="0.2">
      <c r="A959" s="383" t="s">
        <v>73</v>
      </c>
      <c r="B959" s="397">
        <v>45778</v>
      </c>
      <c r="C959" s="397" t="s">
        <v>534</v>
      </c>
      <c r="D959" s="383">
        <v>6</v>
      </c>
      <c r="E959" s="383" t="s">
        <v>524</v>
      </c>
      <c r="F959" s="388" t="s">
        <v>351</v>
      </c>
      <c r="G959" s="465" t="s">
        <v>351</v>
      </c>
      <c r="H959" s="384" t="s">
        <v>475</v>
      </c>
      <c r="I959" s="383">
        <f>INDEX(DRE!$W$2:$AS$53, MATCH('DRE 2025'!G959,DRE!$D$2:$D$53,0), MATCH(B959, DRE!$W$1:$AS$1, 0))</f>
        <v>-73021.13</v>
      </c>
    </row>
    <row r="960" spans="1:10" x14ac:dyDescent="0.2">
      <c r="A960" s="383" t="s">
        <v>73</v>
      </c>
      <c r="B960" s="397">
        <v>45778</v>
      </c>
      <c r="C960" s="397" t="s">
        <v>534</v>
      </c>
      <c r="D960" s="383">
        <v>6</v>
      </c>
      <c r="E960" s="383" t="s">
        <v>524</v>
      </c>
      <c r="F960" s="388" t="s">
        <v>352</v>
      </c>
      <c r="G960" s="465" t="s">
        <v>352</v>
      </c>
      <c r="H960" s="384" t="s">
        <v>476</v>
      </c>
      <c r="I960" s="383">
        <f>INDEX(DRE!$W$2:$AS$53, MATCH('DRE 2025'!G960,DRE!$D$2:$D$53,0), MATCH(B960, DRE!$W$1:$AS$1, 0))</f>
        <v>-7660.46</v>
      </c>
    </row>
    <row r="961" spans="1:10" x14ac:dyDescent="0.2">
      <c r="A961" s="383" t="s">
        <v>73</v>
      </c>
      <c r="B961" s="397">
        <v>45778</v>
      </c>
      <c r="C961" s="397" t="s">
        <v>534</v>
      </c>
      <c r="D961" s="383">
        <v>6</v>
      </c>
      <c r="E961" s="383" t="s">
        <v>524</v>
      </c>
      <c r="F961" s="388" t="s">
        <v>353</v>
      </c>
      <c r="G961" s="465" t="s">
        <v>353</v>
      </c>
      <c r="H961" s="384" t="s">
        <v>477</v>
      </c>
      <c r="I961" s="383">
        <f>INDEX(DRE!$W$2:$AS$53, MATCH('DRE 2025'!G961,DRE!$D$2:$D$53,0), MATCH(B961, DRE!$W$1:$AS$1, 0))</f>
        <v>-64244.51</v>
      </c>
    </row>
    <row r="962" spans="1:10" x14ac:dyDescent="0.2">
      <c r="A962" s="383" t="s">
        <v>73</v>
      </c>
      <c r="B962" s="397">
        <v>45778</v>
      </c>
      <c r="C962" s="397" t="s">
        <v>534</v>
      </c>
      <c r="D962" s="383">
        <v>6</v>
      </c>
      <c r="E962" s="383" t="s">
        <v>524</v>
      </c>
      <c r="F962" s="388" t="s">
        <v>354</v>
      </c>
      <c r="G962" s="465" t="s">
        <v>354</v>
      </c>
      <c r="H962" s="384" t="s">
        <v>478</v>
      </c>
      <c r="I962" s="383">
        <f>INDEX(DRE!$W$2:$AS$53, MATCH('DRE 2025'!G962,DRE!$D$2:$D$53,0), MATCH(B962, DRE!$W$1:$AS$1, 0))</f>
        <v>-35004.78</v>
      </c>
    </row>
    <row r="963" spans="1:10" x14ac:dyDescent="0.2">
      <c r="A963" s="383" t="s">
        <v>73</v>
      </c>
      <c r="B963" s="397">
        <v>45778</v>
      </c>
      <c r="C963" s="397" t="s">
        <v>534</v>
      </c>
      <c r="D963" s="383">
        <v>6</v>
      </c>
      <c r="E963" s="383" t="s">
        <v>524</v>
      </c>
      <c r="F963" s="390" t="s">
        <v>355</v>
      </c>
      <c r="G963" s="461" t="s">
        <v>355</v>
      </c>
      <c r="H963" s="384" t="s">
        <v>355</v>
      </c>
      <c r="I963" s="383">
        <f>INDEX(DRE!$W$2:$AS$53, MATCH('DRE 2025'!G963,DRE!$D$2:$D$53,0), MATCH(B963, DRE!$W$1:$AS$1, 0))</f>
        <v>-77283.78</v>
      </c>
    </row>
    <row r="964" spans="1:10" x14ac:dyDescent="0.2">
      <c r="A964" s="383" t="s">
        <v>73</v>
      </c>
      <c r="B964" s="397">
        <v>45778</v>
      </c>
      <c r="C964" s="397" t="s">
        <v>534</v>
      </c>
      <c r="D964" s="383">
        <v>6</v>
      </c>
      <c r="E964" s="383" t="s">
        <v>524</v>
      </c>
      <c r="F964" s="390" t="s">
        <v>356</v>
      </c>
      <c r="G964" s="461" t="s">
        <v>356</v>
      </c>
      <c r="H964" s="384" t="s">
        <v>356</v>
      </c>
      <c r="I964" s="383">
        <f>INDEX(DRE!$W$2:$AS$53, MATCH('DRE 2025'!G964,DRE!$D$2:$D$53,0), MATCH(B964, DRE!$W$1:$AS$1, 0))</f>
        <v>-556426.91</v>
      </c>
    </row>
    <row r="965" spans="1:10" x14ac:dyDescent="0.2">
      <c r="A965" s="383" t="s">
        <v>73</v>
      </c>
      <c r="B965" s="397">
        <v>45778</v>
      </c>
      <c r="C965" s="397" t="s">
        <v>534</v>
      </c>
      <c r="D965" s="383">
        <v>6</v>
      </c>
      <c r="E965" s="383" t="s">
        <v>524</v>
      </c>
      <c r="F965" s="390" t="s">
        <v>357</v>
      </c>
      <c r="G965" s="461" t="s">
        <v>357</v>
      </c>
      <c r="H965" s="384" t="s">
        <v>357</v>
      </c>
      <c r="I965" s="383">
        <f>INDEX(DRE!$W$2:$AS$53, MATCH('DRE 2025'!G965,DRE!$D$2:$D$53,0), MATCH(B965, DRE!$W$1:$AS$1, 0))</f>
        <v>0</v>
      </c>
    </row>
    <row r="966" spans="1:10" x14ac:dyDescent="0.2">
      <c r="A966" s="383" t="s">
        <v>73</v>
      </c>
      <c r="B966" s="397">
        <v>45778</v>
      </c>
      <c r="C966" s="397" t="s">
        <v>535</v>
      </c>
      <c r="D966" s="383">
        <v>7</v>
      </c>
      <c r="E966" s="383" t="s">
        <v>529</v>
      </c>
      <c r="F966" s="400" t="s">
        <v>358</v>
      </c>
      <c r="G966" s="400"/>
      <c r="H966" s="403" t="s">
        <v>358</v>
      </c>
      <c r="I966" s="396" t="e">
        <f>I956+I957+I958+I959+I960+I961+I962+I963+I964+I965</f>
        <v>#N/A</v>
      </c>
      <c r="J966" s="352" t="e">
        <f>IF(C966="A",-I966/I938,I966/I938)</f>
        <v>#N/A</v>
      </c>
    </row>
    <row r="967" spans="1:10" x14ac:dyDescent="0.2">
      <c r="A967" s="383" t="s">
        <v>73</v>
      </c>
      <c r="B967" s="397">
        <v>45778</v>
      </c>
      <c r="C967" s="397" t="s">
        <v>534</v>
      </c>
      <c r="D967" s="383">
        <v>8</v>
      </c>
      <c r="E967" s="383" t="s">
        <v>527</v>
      </c>
      <c r="F967" s="385" t="s">
        <v>359</v>
      </c>
      <c r="G967" s="462" t="s">
        <v>359</v>
      </c>
      <c r="H967" s="384" t="s">
        <v>479</v>
      </c>
      <c r="I967" s="383">
        <f>INDEX(DRE!$W$2:$AS$53, MATCH('DRE 2025'!G967,DRE!$D$2:$D$53,0), MATCH(B967, DRE!$W$1:$AS$1, 0))</f>
        <v>17562.849999999999</v>
      </c>
    </row>
    <row r="968" spans="1:10" x14ac:dyDescent="0.2">
      <c r="A968" s="383" t="s">
        <v>73</v>
      </c>
      <c r="B968" s="397">
        <v>45778</v>
      </c>
      <c r="C968" s="397" t="s">
        <v>534</v>
      </c>
      <c r="D968" s="383">
        <v>8</v>
      </c>
      <c r="E968" s="383" t="s">
        <v>527</v>
      </c>
      <c r="F968" s="385" t="s">
        <v>360</v>
      </c>
      <c r="G968" s="462" t="s">
        <v>360</v>
      </c>
      <c r="H968" s="384" t="s">
        <v>480</v>
      </c>
      <c r="I968" s="383">
        <f>INDEX(DRE!$W$2:$AS$53, MATCH('DRE 2025'!G968,DRE!$D$2:$D$53,0), MATCH(B968, DRE!$W$1:$AS$1, 0))</f>
        <v>597.16</v>
      </c>
    </row>
    <row r="969" spans="1:10" x14ac:dyDescent="0.2">
      <c r="A969" s="383" t="s">
        <v>73</v>
      </c>
      <c r="B969" s="397">
        <v>45778</v>
      </c>
      <c r="C969" s="397" t="s">
        <v>534</v>
      </c>
      <c r="D969" s="383">
        <v>8</v>
      </c>
      <c r="E969" s="383" t="s">
        <v>527</v>
      </c>
      <c r="F969" s="390" t="s">
        <v>361</v>
      </c>
      <c r="G969" s="466" t="s">
        <v>361</v>
      </c>
      <c r="H969" s="384" t="s">
        <v>481</v>
      </c>
      <c r="I969" s="383">
        <f>INDEX(DRE!$W$2:$AS$53, MATCH('DRE 2025'!G969,DRE!$D$2:$D$53,0), MATCH(B969, DRE!$W$1:$AS$1, 0))</f>
        <v>-17791.53</v>
      </c>
    </row>
    <row r="970" spans="1:10" x14ac:dyDescent="0.2">
      <c r="A970" s="383" t="s">
        <v>73</v>
      </c>
      <c r="B970" s="397">
        <v>45778</v>
      </c>
      <c r="C970" s="397" t="s">
        <v>534</v>
      </c>
      <c r="D970" s="383">
        <v>9</v>
      </c>
      <c r="E970" s="383" t="s">
        <v>526</v>
      </c>
      <c r="F970" s="390" t="s">
        <v>363</v>
      </c>
      <c r="G970" s="461" t="s">
        <v>363</v>
      </c>
      <c r="H970" s="384" t="s">
        <v>363</v>
      </c>
      <c r="I970" s="383">
        <f>INDEX(DRE!$W$2:$AS$53, MATCH('DRE 2025'!G970,DRE!$D$2:$D$53,0), MATCH(B970, DRE!$W$1:$AS$1, 0))</f>
        <v>-574289.68999999994</v>
      </c>
    </row>
    <row r="971" spans="1:10" x14ac:dyDescent="0.2">
      <c r="A971" s="383" t="s">
        <v>73</v>
      </c>
      <c r="B971" s="397">
        <v>45778</v>
      </c>
      <c r="C971" s="397" t="s">
        <v>534</v>
      </c>
      <c r="D971" s="383">
        <v>9</v>
      </c>
      <c r="E971" s="383" t="s">
        <v>526</v>
      </c>
      <c r="F971" s="390" t="s">
        <v>364</v>
      </c>
      <c r="G971" s="461" t="s">
        <v>364</v>
      </c>
      <c r="H971" s="384" t="s">
        <v>364</v>
      </c>
      <c r="I971" s="383">
        <f>INDEX(DRE!$W$2:$AS$53, MATCH('DRE 2025'!G971,DRE!$D$2:$D$53,0), MATCH(B971, DRE!$W$1:$AS$1, 0))</f>
        <v>-32092.9664204</v>
      </c>
    </row>
    <row r="972" spans="1:10" x14ac:dyDescent="0.2">
      <c r="A972" s="383" t="s">
        <v>73</v>
      </c>
      <c r="B972" s="397">
        <v>45778</v>
      </c>
      <c r="C972" s="397" t="s">
        <v>534</v>
      </c>
      <c r="D972" s="383">
        <v>9</v>
      </c>
      <c r="E972" s="383" t="s">
        <v>526</v>
      </c>
      <c r="F972" s="394" t="s">
        <v>273</v>
      </c>
      <c r="G972" s="467" t="s">
        <v>563</v>
      </c>
      <c r="H972" s="398" t="s">
        <v>563</v>
      </c>
      <c r="I972" s="383">
        <f>INDEX(DRE!$W$2:$AS$53, MATCH('DRE 2025'!G972,DRE!$D$2:$D$53,0), MATCH(B972, DRE!$W$1:$AS$1, 0))</f>
        <v>0</v>
      </c>
    </row>
    <row r="973" spans="1:10" x14ac:dyDescent="0.2">
      <c r="A973" s="383" t="s">
        <v>73</v>
      </c>
      <c r="B973" s="397">
        <v>45778</v>
      </c>
      <c r="C973" s="397" t="s">
        <v>534</v>
      </c>
      <c r="D973" s="383">
        <v>10</v>
      </c>
      <c r="E973" s="383" t="s">
        <v>452</v>
      </c>
      <c r="F973" s="400" t="s">
        <v>365</v>
      </c>
      <c r="G973" s="400"/>
      <c r="H973" s="403" t="s">
        <v>365</v>
      </c>
      <c r="I973" s="396">
        <f>I939+I940+I941+I942+I943+I944+I952+I953+I954+I955+I957+I958+I959+I960+I961+I962+I963+I964+I965+I967+I968+I969+I970+I971+I972</f>
        <v>-3439636.9274203987</v>
      </c>
      <c r="J973" s="352">
        <f>IF(C973="A",-I973/I938,I973/I938)</f>
        <v>0.96940036648002126</v>
      </c>
    </row>
    <row r="974" spans="1:10" x14ac:dyDescent="0.2">
      <c r="A974" s="383" t="s">
        <v>73</v>
      </c>
      <c r="B974" s="397">
        <v>45778</v>
      </c>
      <c r="C974" s="397" t="s">
        <v>535</v>
      </c>
      <c r="D974" s="383">
        <v>11</v>
      </c>
      <c r="E974" s="383" t="s">
        <v>528</v>
      </c>
      <c r="F974" s="400" t="s">
        <v>367</v>
      </c>
      <c r="G974" s="400"/>
      <c r="H974" s="403" t="s">
        <v>367</v>
      </c>
      <c r="I974" s="395">
        <f>I938+I973</f>
        <v>108573.9525796012</v>
      </c>
      <c r="J974" s="352">
        <f>IF(C974="A",-I974/I938,I974/I938)</f>
        <v>3.0599633519978724E-2</v>
      </c>
    </row>
    <row r="975" spans="1:10" x14ac:dyDescent="0.2">
      <c r="A975" s="383" t="s">
        <v>516</v>
      </c>
      <c r="B975" s="397">
        <v>45778</v>
      </c>
      <c r="C975" s="397" t="s">
        <v>536</v>
      </c>
      <c r="D975" s="383">
        <v>1</v>
      </c>
      <c r="E975" s="384" t="s">
        <v>530</v>
      </c>
      <c r="F975" s="400" t="s">
        <v>440</v>
      </c>
      <c r="G975" s="400"/>
      <c r="H975" s="404" t="s">
        <v>440</v>
      </c>
      <c r="I975" s="407">
        <f>HLOOKUP(B975,[5]Sucumbências!$BP$2:$CA$43,31,0)</f>
        <v>90638.53</v>
      </c>
      <c r="J975" s="352">
        <v>1</v>
      </c>
    </row>
    <row r="976" spans="1:10" x14ac:dyDescent="0.2">
      <c r="A976" s="383" t="s">
        <v>516</v>
      </c>
      <c r="B976" s="397">
        <v>45778</v>
      </c>
      <c r="C976" s="397" t="s">
        <v>534</v>
      </c>
      <c r="D976" s="383">
        <v>4</v>
      </c>
      <c r="E976" s="383" t="s">
        <v>525</v>
      </c>
      <c r="F976" s="388" t="s">
        <v>340</v>
      </c>
      <c r="G976" s="388"/>
      <c r="H976" s="404" t="s">
        <v>340</v>
      </c>
      <c r="I976" s="407">
        <f>-HLOOKUP(B976,GLOSAS!$BQ$1:$CB$43,30,0)</f>
        <v>0</v>
      </c>
    </row>
    <row r="977" spans="1:10" x14ac:dyDescent="0.2">
      <c r="A977" s="383" t="s">
        <v>516</v>
      </c>
      <c r="B977" s="397">
        <v>45778</v>
      </c>
      <c r="C977" s="397" t="s">
        <v>534</v>
      </c>
      <c r="D977" s="383">
        <v>9</v>
      </c>
      <c r="E977" s="383" t="s">
        <v>526</v>
      </c>
      <c r="F977" s="390" t="s">
        <v>363</v>
      </c>
      <c r="G977" s="390"/>
      <c r="H977" s="404" t="s">
        <v>363</v>
      </c>
      <c r="I977" s="407">
        <f>-I975*0.1</f>
        <v>-9063.853000000001</v>
      </c>
    </row>
    <row r="978" spans="1:10" x14ac:dyDescent="0.2">
      <c r="A978" s="383" t="s">
        <v>516</v>
      </c>
      <c r="B978" s="397">
        <v>45778</v>
      </c>
      <c r="C978" s="397" t="s">
        <v>535</v>
      </c>
      <c r="D978" s="383">
        <v>11</v>
      </c>
      <c r="E978" s="383" t="s">
        <v>528</v>
      </c>
      <c r="F978" s="400" t="s">
        <v>367</v>
      </c>
      <c r="G978" s="400"/>
      <c r="H978" s="404" t="s">
        <v>367</v>
      </c>
      <c r="I978" s="407">
        <f>I975+I976+I977</f>
        <v>81574.676999999996</v>
      </c>
      <c r="J978" s="352">
        <f>IF(C978="A",-I978/I975,I978/I975)</f>
        <v>0.9</v>
      </c>
    </row>
    <row r="979" spans="1:10" x14ac:dyDescent="0.2">
      <c r="A979" s="383" t="s">
        <v>522</v>
      </c>
      <c r="B979" s="397">
        <v>45778</v>
      </c>
      <c r="C979" s="397" t="s">
        <v>536</v>
      </c>
      <c r="D979" s="383">
        <v>1</v>
      </c>
      <c r="E979" s="384" t="s">
        <v>530</v>
      </c>
      <c r="F979" s="400" t="s">
        <v>440</v>
      </c>
      <c r="G979" s="400"/>
      <c r="H979" s="405" t="s">
        <v>440</v>
      </c>
      <c r="I979" s="396">
        <f>I938-I975</f>
        <v>3457572.35</v>
      </c>
      <c r="J979" s="352">
        <v>1</v>
      </c>
    </row>
    <row r="980" spans="1:10" x14ac:dyDescent="0.2">
      <c r="A980" s="383" t="s">
        <v>522</v>
      </c>
      <c r="B980" s="397">
        <v>45778</v>
      </c>
      <c r="C980" s="397" t="s">
        <v>534</v>
      </c>
      <c r="D980" s="383">
        <v>2</v>
      </c>
      <c r="E980" s="384" t="s">
        <v>325</v>
      </c>
      <c r="F980" s="390" t="s">
        <v>326</v>
      </c>
      <c r="G980" s="390"/>
      <c r="H980" s="384" t="s">
        <v>519</v>
      </c>
      <c r="I980" s="406">
        <f t="shared" ref="I980:I992" si="25">I939</f>
        <v>-159509.92000000001</v>
      </c>
    </row>
    <row r="981" spans="1:10" x14ac:dyDescent="0.2">
      <c r="A981" s="383" t="s">
        <v>522</v>
      </c>
      <c r="B981" s="397">
        <v>45778</v>
      </c>
      <c r="C981" s="397" t="s">
        <v>534</v>
      </c>
      <c r="D981" s="383">
        <v>2</v>
      </c>
      <c r="E981" s="384" t="s">
        <v>325</v>
      </c>
      <c r="F981" s="385" t="s">
        <v>328</v>
      </c>
      <c r="G981" s="385"/>
      <c r="H981" s="384" t="s">
        <v>521</v>
      </c>
      <c r="I981" s="406">
        <f t="shared" si="25"/>
        <v>-5121.7299999999996</v>
      </c>
    </row>
    <row r="982" spans="1:10" x14ac:dyDescent="0.2">
      <c r="A982" s="383" t="s">
        <v>522</v>
      </c>
      <c r="B982" s="397">
        <v>45778</v>
      </c>
      <c r="C982" s="397" t="s">
        <v>534</v>
      </c>
      <c r="D982" s="383">
        <v>2</v>
      </c>
      <c r="E982" s="384" t="s">
        <v>325</v>
      </c>
      <c r="F982" s="385" t="s">
        <v>329</v>
      </c>
      <c r="G982" s="385"/>
      <c r="H982" s="384" t="s">
        <v>329</v>
      </c>
      <c r="I982" s="406">
        <f t="shared" si="25"/>
        <v>-379.74</v>
      </c>
    </row>
    <row r="983" spans="1:10" x14ac:dyDescent="0.2">
      <c r="A983" s="383" t="s">
        <v>522</v>
      </c>
      <c r="B983" s="397">
        <v>45778</v>
      </c>
      <c r="C983" s="397" t="s">
        <v>534</v>
      </c>
      <c r="D983" s="383">
        <v>2</v>
      </c>
      <c r="E983" s="384" t="s">
        <v>325</v>
      </c>
      <c r="F983" s="385" t="s">
        <v>330</v>
      </c>
      <c r="G983" s="385"/>
      <c r="H983" s="384" t="s">
        <v>330</v>
      </c>
      <c r="I983" s="406">
        <f t="shared" si="25"/>
        <v>0</v>
      </c>
    </row>
    <row r="984" spans="1:10" x14ac:dyDescent="0.2">
      <c r="A984" s="383" t="s">
        <v>522</v>
      </c>
      <c r="B984" s="397">
        <v>45778</v>
      </c>
      <c r="C984" s="397" t="s">
        <v>534</v>
      </c>
      <c r="D984" s="383">
        <v>2</v>
      </c>
      <c r="E984" s="384" t="s">
        <v>325</v>
      </c>
      <c r="F984" s="385" t="s">
        <v>331</v>
      </c>
      <c r="G984" s="385"/>
      <c r="H984" s="384" t="s">
        <v>331</v>
      </c>
      <c r="I984" s="406">
        <f t="shared" si="25"/>
        <v>-8.9700000000000006</v>
      </c>
    </row>
    <row r="985" spans="1:10" x14ac:dyDescent="0.2">
      <c r="A985" s="383" t="s">
        <v>522</v>
      </c>
      <c r="B985" s="397">
        <v>45778</v>
      </c>
      <c r="C985" s="397" t="s">
        <v>534</v>
      </c>
      <c r="D985" s="383">
        <v>2</v>
      </c>
      <c r="E985" s="384" t="s">
        <v>325</v>
      </c>
      <c r="F985" s="384" t="s">
        <v>332</v>
      </c>
      <c r="G985" s="384"/>
      <c r="H985" s="384" t="s">
        <v>520</v>
      </c>
      <c r="I985" s="406">
        <f t="shared" si="25"/>
        <v>0</v>
      </c>
    </row>
    <row r="986" spans="1:10" x14ac:dyDescent="0.2">
      <c r="A986" s="383" t="s">
        <v>522</v>
      </c>
      <c r="B986" s="397">
        <v>45778</v>
      </c>
      <c r="C986" s="397" t="s">
        <v>535</v>
      </c>
      <c r="D986" s="383">
        <v>3</v>
      </c>
      <c r="E986" s="384" t="s">
        <v>531</v>
      </c>
      <c r="F986" s="385" t="s">
        <v>334</v>
      </c>
      <c r="G986" s="385"/>
      <c r="H986" s="384" t="s">
        <v>334</v>
      </c>
      <c r="I986" s="406">
        <f t="shared" si="25"/>
        <v>2666159.36</v>
      </c>
    </row>
    <row r="987" spans="1:10" x14ac:dyDescent="0.2">
      <c r="A987" s="383" t="s">
        <v>522</v>
      </c>
      <c r="B987" s="397">
        <v>45778</v>
      </c>
      <c r="C987" s="397" t="s">
        <v>535</v>
      </c>
      <c r="D987" s="383">
        <v>3</v>
      </c>
      <c r="E987" s="384" t="s">
        <v>531</v>
      </c>
      <c r="F987" s="385" t="s">
        <v>335</v>
      </c>
      <c r="G987" s="385"/>
      <c r="H987" s="384" t="s">
        <v>335</v>
      </c>
      <c r="I987" s="406">
        <f t="shared" si="25"/>
        <v>513933.32</v>
      </c>
    </row>
    <row r="988" spans="1:10" x14ac:dyDescent="0.2">
      <c r="A988" s="383" t="s">
        <v>522</v>
      </c>
      <c r="B988" s="397">
        <v>45778</v>
      </c>
      <c r="C988" s="397" t="s">
        <v>535</v>
      </c>
      <c r="D988" s="383">
        <v>3</v>
      </c>
      <c r="E988" s="384" t="s">
        <v>531</v>
      </c>
      <c r="F988" s="385" t="s">
        <v>336</v>
      </c>
      <c r="G988" s="385"/>
      <c r="H988" s="384" t="s">
        <v>336</v>
      </c>
      <c r="I988" s="406">
        <f t="shared" si="25"/>
        <v>0</v>
      </c>
    </row>
    <row r="989" spans="1:10" x14ac:dyDescent="0.2">
      <c r="A989" s="383" t="s">
        <v>522</v>
      </c>
      <c r="B989" s="397">
        <v>45778</v>
      </c>
      <c r="C989" s="397" t="s">
        <v>535</v>
      </c>
      <c r="D989" s="383">
        <v>3</v>
      </c>
      <c r="E989" s="384" t="s">
        <v>531</v>
      </c>
      <c r="F989" s="387" t="s">
        <v>273</v>
      </c>
      <c r="G989" s="387"/>
      <c r="H989" s="384" t="s">
        <v>562</v>
      </c>
      <c r="I989" s="406">
        <f t="shared" si="25"/>
        <v>0</v>
      </c>
    </row>
    <row r="990" spans="1:10" x14ac:dyDescent="0.2">
      <c r="A990" s="383" t="s">
        <v>522</v>
      </c>
      <c r="B990" s="397">
        <v>45778</v>
      </c>
      <c r="C990" s="397" t="s">
        <v>535</v>
      </c>
      <c r="D990" s="383">
        <v>3</v>
      </c>
      <c r="E990" s="384" t="s">
        <v>531</v>
      </c>
      <c r="F990" s="387" t="s">
        <v>513</v>
      </c>
      <c r="G990" s="387"/>
      <c r="H990" s="384" t="s">
        <v>513</v>
      </c>
      <c r="I990" s="406" t="e">
        <f t="shared" si="25"/>
        <v>#N/A</v>
      </c>
    </row>
    <row r="991" spans="1:10" x14ac:dyDescent="0.2">
      <c r="A991" s="383" t="s">
        <v>522</v>
      </c>
      <c r="B991" s="397">
        <v>45778</v>
      </c>
      <c r="C991" s="397" t="s">
        <v>535</v>
      </c>
      <c r="D991" s="383">
        <v>3</v>
      </c>
      <c r="E991" s="384" t="s">
        <v>531</v>
      </c>
      <c r="F991" s="387" t="s">
        <v>514</v>
      </c>
      <c r="G991" s="387"/>
      <c r="H991" s="384" t="s">
        <v>514</v>
      </c>
      <c r="I991" s="406" t="e">
        <f t="shared" si="25"/>
        <v>#N/A</v>
      </c>
    </row>
    <row r="992" spans="1:10" x14ac:dyDescent="0.2">
      <c r="A992" s="383" t="s">
        <v>522</v>
      </c>
      <c r="B992" s="397">
        <v>45778</v>
      </c>
      <c r="C992" s="397" t="s">
        <v>535</v>
      </c>
      <c r="D992" s="383">
        <v>3</v>
      </c>
      <c r="E992" s="384" t="s">
        <v>531</v>
      </c>
      <c r="F992" s="385" t="s">
        <v>337</v>
      </c>
      <c r="G992" s="385"/>
      <c r="H992" s="384" t="s">
        <v>337</v>
      </c>
      <c r="I992" s="406">
        <f t="shared" si="25"/>
        <v>3098</v>
      </c>
    </row>
    <row r="993" spans="1:10" x14ac:dyDescent="0.2">
      <c r="A993" s="383" t="s">
        <v>522</v>
      </c>
      <c r="B993" s="397">
        <v>45778</v>
      </c>
      <c r="C993" s="397" t="s">
        <v>534</v>
      </c>
      <c r="D993" s="383">
        <v>4</v>
      </c>
      <c r="E993" s="383" t="s">
        <v>523</v>
      </c>
      <c r="F993" s="388" t="s">
        <v>340</v>
      </c>
      <c r="G993" s="388"/>
      <c r="H993" s="405" t="s">
        <v>340</v>
      </c>
      <c r="I993" s="396">
        <f>I952-I976</f>
        <v>30743.61</v>
      </c>
    </row>
    <row r="994" spans="1:10" x14ac:dyDescent="0.2">
      <c r="A994" s="383" t="s">
        <v>522</v>
      </c>
      <c r="B994" s="397">
        <v>45778</v>
      </c>
      <c r="C994" s="397" t="s">
        <v>534</v>
      </c>
      <c r="D994" s="383">
        <v>4</v>
      </c>
      <c r="E994" s="383" t="s">
        <v>523</v>
      </c>
      <c r="F994" s="388" t="s">
        <v>341</v>
      </c>
      <c r="G994" s="388"/>
      <c r="H994" s="384" t="s">
        <v>341</v>
      </c>
      <c r="I994" s="406">
        <f>I953</f>
        <v>-197541.58</v>
      </c>
    </row>
    <row r="995" spans="1:10" x14ac:dyDescent="0.2">
      <c r="A995" s="383" t="s">
        <v>522</v>
      </c>
      <c r="B995" s="397">
        <v>45778</v>
      </c>
      <c r="C995" s="397" t="s">
        <v>534</v>
      </c>
      <c r="D995" s="383">
        <v>4</v>
      </c>
      <c r="E995" s="383" t="s">
        <v>523</v>
      </c>
      <c r="F995" s="388" t="s">
        <v>342</v>
      </c>
      <c r="G995" s="388"/>
      <c r="H995" s="384" t="s">
        <v>342</v>
      </c>
      <c r="I995" s="406">
        <f>I954</f>
        <v>-1575153.351</v>
      </c>
    </row>
    <row r="996" spans="1:10" x14ac:dyDescent="0.2">
      <c r="A996" s="383" t="s">
        <v>522</v>
      </c>
      <c r="B996" s="397">
        <v>45778</v>
      </c>
      <c r="C996" s="397" t="s">
        <v>534</v>
      </c>
      <c r="D996" s="383">
        <v>4</v>
      </c>
      <c r="E996" s="383" t="s">
        <v>523</v>
      </c>
      <c r="F996" s="388" t="s">
        <v>343</v>
      </c>
      <c r="G996" s="388"/>
      <c r="H996" s="384" t="s">
        <v>343</v>
      </c>
      <c r="I996" s="406">
        <f>I955</f>
        <v>-70340.05</v>
      </c>
    </row>
    <row r="997" spans="1:10" x14ac:dyDescent="0.2">
      <c r="A997" s="383" t="s">
        <v>522</v>
      </c>
      <c r="B997" s="397">
        <v>45778</v>
      </c>
      <c r="C997" s="397" t="s">
        <v>535</v>
      </c>
      <c r="D997" s="383">
        <v>5</v>
      </c>
      <c r="E997" s="383" t="s">
        <v>532</v>
      </c>
      <c r="F997" s="401" t="s">
        <v>345</v>
      </c>
      <c r="G997" s="401"/>
      <c r="H997" s="403" t="s">
        <v>345</v>
      </c>
      <c r="I997" s="406">
        <f>I979+I980+I981+I982+I983+I984+I985+I993+I994+I995+I996</f>
        <v>1480260.6189999995</v>
      </c>
      <c r="J997" s="352">
        <f>IF(C997="A",-I997/I979,I997/I979)</f>
        <v>0.42812137221076502</v>
      </c>
    </row>
    <row r="998" spans="1:10" x14ac:dyDescent="0.2">
      <c r="A998" s="383" t="s">
        <v>522</v>
      </c>
      <c r="B998" s="397">
        <v>45778</v>
      </c>
      <c r="C998" s="397" t="s">
        <v>534</v>
      </c>
      <c r="D998" s="383">
        <v>6</v>
      </c>
      <c r="E998" s="383" t="s">
        <v>524</v>
      </c>
      <c r="F998" s="388" t="s">
        <v>349</v>
      </c>
      <c r="G998" s="388"/>
      <c r="H998" s="384" t="s">
        <v>473</v>
      </c>
      <c r="I998" s="406">
        <f t="shared" ref="I998:I1006" si="26">I957</f>
        <v>-32032.74</v>
      </c>
    </row>
    <row r="999" spans="1:10" x14ac:dyDescent="0.2">
      <c r="A999" s="383" t="s">
        <v>522</v>
      </c>
      <c r="B999" s="397">
        <v>45778</v>
      </c>
      <c r="C999" s="397" t="s">
        <v>534</v>
      </c>
      <c r="D999" s="383">
        <v>6</v>
      </c>
      <c r="E999" s="383" t="s">
        <v>524</v>
      </c>
      <c r="F999" s="388" t="s">
        <v>350</v>
      </c>
      <c r="G999" s="388"/>
      <c r="H999" s="384" t="s">
        <v>474</v>
      </c>
      <c r="I999" s="406">
        <f t="shared" si="26"/>
        <v>-10636.71</v>
      </c>
    </row>
    <row r="1000" spans="1:10" x14ac:dyDescent="0.2">
      <c r="A1000" s="383" t="s">
        <v>522</v>
      </c>
      <c r="B1000" s="397">
        <v>45778</v>
      </c>
      <c r="C1000" s="397" t="s">
        <v>534</v>
      </c>
      <c r="D1000" s="383">
        <v>6</v>
      </c>
      <c r="E1000" s="383" t="s">
        <v>524</v>
      </c>
      <c r="F1000" s="388" t="s">
        <v>351</v>
      </c>
      <c r="G1000" s="388"/>
      <c r="H1000" s="384" t="s">
        <v>475</v>
      </c>
      <c r="I1000" s="406">
        <f t="shared" si="26"/>
        <v>-73021.13</v>
      </c>
    </row>
    <row r="1001" spans="1:10" x14ac:dyDescent="0.2">
      <c r="A1001" s="383" t="s">
        <v>522</v>
      </c>
      <c r="B1001" s="397">
        <v>45778</v>
      </c>
      <c r="C1001" s="397" t="s">
        <v>534</v>
      </c>
      <c r="D1001" s="383">
        <v>6</v>
      </c>
      <c r="E1001" s="383" t="s">
        <v>524</v>
      </c>
      <c r="F1001" s="388" t="s">
        <v>352</v>
      </c>
      <c r="G1001" s="388"/>
      <c r="H1001" s="384" t="s">
        <v>476</v>
      </c>
      <c r="I1001" s="406">
        <f t="shared" si="26"/>
        <v>-7660.46</v>
      </c>
    </row>
    <row r="1002" spans="1:10" x14ac:dyDescent="0.2">
      <c r="A1002" s="383" t="s">
        <v>522</v>
      </c>
      <c r="B1002" s="397">
        <v>45778</v>
      </c>
      <c r="C1002" s="397" t="s">
        <v>534</v>
      </c>
      <c r="D1002" s="383">
        <v>6</v>
      </c>
      <c r="E1002" s="383" t="s">
        <v>524</v>
      </c>
      <c r="F1002" s="388" t="s">
        <v>353</v>
      </c>
      <c r="G1002" s="388"/>
      <c r="H1002" s="384" t="s">
        <v>477</v>
      </c>
      <c r="I1002" s="406">
        <f t="shared" si="26"/>
        <v>-64244.51</v>
      </c>
    </row>
    <row r="1003" spans="1:10" x14ac:dyDescent="0.2">
      <c r="A1003" s="383" t="s">
        <v>522</v>
      </c>
      <c r="B1003" s="397">
        <v>45778</v>
      </c>
      <c r="C1003" s="397" t="s">
        <v>534</v>
      </c>
      <c r="D1003" s="383">
        <v>6</v>
      </c>
      <c r="E1003" s="383" t="s">
        <v>524</v>
      </c>
      <c r="F1003" s="388" t="s">
        <v>354</v>
      </c>
      <c r="G1003" s="388"/>
      <c r="H1003" s="384" t="s">
        <v>478</v>
      </c>
      <c r="I1003" s="406">
        <f t="shared" si="26"/>
        <v>-35004.78</v>
      </c>
    </row>
    <row r="1004" spans="1:10" x14ac:dyDescent="0.2">
      <c r="A1004" s="383" t="s">
        <v>522</v>
      </c>
      <c r="B1004" s="397">
        <v>45778</v>
      </c>
      <c r="C1004" s="397" t="s">
        <v>534</v>
      </c>
      <c r="D1004" s="383">
        <v>6</v>
      </c>
      <c r="E1004" s="383" t="s">
        <v>524</v>
      </c>
      <c r="F1004" s="390" t="s">
        <v>355</v>
      </c>
      <c r="G1004" s="390"/>
      <c r="H1004" s="384" t="s">
        <v>355</v>
      </c>
      <c r="I1004" s="406">
        <f t="shared" si="26"/>
        <v>-77283.78</v>
      </c>
    </row>
    <row r="1005" spans="1:10" x14ac:dyDescent="0.2">
      <c r="A1005" s="383" t="s">
        <v>522</v>
      </c>
      <c r="B1005" s="397">
        <v>45778</v>
      </c>
      <c r="C1005" s="397" t="s">
        <v>534</v>
      </c>
      <c r="D1005" s="383">
        <v>6</v>
      </c>
      <c r="E1005" s="383" t="s">
        <v>524</v>
      </c>
      <c r="F1005" s="390" t="s">
        <v>356</v>
      </c>
      <c r="G1005" s="390"/>
      <c r="H1005" s="384" t="s">
        <v>356</v>
      </c>
      <c r="I1005" s="406">
        <f t="shared" si="26"/>
        <v>-556426.91</v>
      </c>
    </row>
    <row r="1006" spans="1:10" x14ac:dyDescent="0.2">
      <c r="A1006" s="383" t="s">
        <v>522</v>
      </c>
      <c r="B1006" s="397">
        <v>45778</v>
      </c>
      <c r="C1006" s="397" t="s">
        <v>534</v>
      </c>
      <c r="D1006" s="383">
        <v>6</v>
      </c>
      <c r="E1006" s="383" t="s">
        <v>524</v>
      </c>
      <c r="F1006" s="390" t="s">
        <v>357</v>
      </c>
      <c r="G1006" s="390"/>
      <c r="H1006" s="384" t="s">
        <v>357</v>
      </c>
      <c r="I1006" s="406">
        <f t="shared" si="26"/>
        <v>0</v>
      </c>
    </row>
    <row r="1007" spans="1:10" x14ac:dyDescent="0.2">
      <c r="A1007" s="383" t="s">
        <v>522</v>
      </c>
      <c r="B1007" s="397">
        <v>45778</v>
      </c>
      <c r="C1007" s="397" t="s">
        <v>535</v>
      </c>
      <c r="D1007" s="383">
        <v>7</v>
      </c>
      <c r="E1007" s="383" t="s">
        <v>529</v>
      </c>
      <c r="F1007" s="400" t="s">
        <v>358</v>
      </c>
      <c r="G1007" s="400"/>
      <c r="H1007" s="403" t="s">
        <v>358</v>
      </c>
      <c r="I1007" s="396">
        <f>I997+I998+I999+I1000+I1001+I1002+I1003+I1004+I1005+I1006</f>
        <v>623949.59899999935</v>
      </c>
      <c r="J1007" s="352">
        <f>IF(C1007="A",-I1007/I979,I1007/I979)</f>
        <v>0.18045886993514376</v>
      </c>
    </row>
    <row r="1008" spans="1:10" x14ac:dyDescent="0.2">
      <c r="A1008" s="383" t="s">
        <v>522</v>
      </c>
      <c r="B1008" s="397">
        <v>45778</v>
      </c>
      <c r="C1008" s="397" t="s">
        <v>534</v>
      </c>
      <c r="D1008" s="383">
        <v>8</v>
      </c>
      <c r="E1008" s="383" t="s">
        <v>527</v>
      </c>
      <c r="F1008" s="385" t="s">
        <v>359</v>
      </c>
      <c r="G1008" s="385"/>
      <c r="H1008" s="384" t="s">
        <v>479</v>
      </c>
      <c r="I1008" s="406">
        <f>I967</f>
        <v>17562.849999999999</v>
      </c>
    </row>
    <row r="1009" spans="1:10" x14ac:dyDescent="0.2">
      <c r="A1009" s="383" t="s">
        <v>522</v>
      </c>
      <c r="B1009" s="397">
        <v>45778</v>
      </c>
      <c r="C1009" s="397" t="s">
        <v>534</v>
      </c>
      <c r="D1009" s="383">
        <v>8</v>
      </c>
      <c r="E1009" s="383" t="s">
        <v>527</v>
      </c>
      <c r="F1009" s="385" t="s">
        <v>360</v>
      </c>
      <c r="G1009" s="385"/>
      <c r="H1009" s="384" t="s">
        <v>480</v>
      </c>
      <c r="I1009" s="406">
        <f>I968</f>
        <v>597.16</v>
      </c>
    </row>
    <row r="1010" spans="1:10" x14ac:dyDescent="0.2">
      <c r="A1010" s="383" t="s">
        <v>522</v>
      </c>
      <c r="B1010" s="397">
        <v>45778</v>
      </c>
      <c r="C1010" s="397" t="s">
        <v>534</v>
      </c>
      <c r="D1010" s="383">
        <v>8</v>
      </c>
      <c r="E1010" s="383" t="s">
        <v>527</v>
      </c>
      <c r="F1010" s="390" t="s">
        <v>361</v>
      </c>
      <c r="G1010" s="390"/>
      <c r="H1010" s="384" t="s">
        <v>481</v>
      </c>
      <c r="I1010" s="406">
        <f>I969</f>
        <v>-17791.53</v>
      </c>
    </row>
    <row r="1011" spans="1:10" x14ac:dyDescent="0.2">
      <c r="A1011" s="383" t="s">
        <v>522</v>
      </c>
      <c r="B1011" s="397">
        <v>45778</v>
      </c>
      <c r="C1011" s="397" t="s">
        <v>534</v>
      </c>
      <c r="D1011" s="383">
        <v>9</v>
      </c>
      <c r="E1011" s="383" t="s">
        <v>526</v>
      </c>
      <c r="F1011" s="390" t="s">
        <v>363</v>
      </c>
      <c r="G1011" s="390"/>
      <c r="H1011" s="405" t="s">
        <v>363</v>
      </c>
      <c r="I1011" s="396">
        <f>I970-I977</f>
        <v>-565225.83699999994</v>
      </c>
    </row>
    <row r="1012" spans="1:10" x14ac:dyDescent="0.2">
      <c r="A1012" s="383" t="s">
        <v>522</v>
      </c>
      <c r="B1012" s="397">
        <v>45778</v>
      </c>
      <c r="C1012" s="397" t="s">
        <v>534</v>
      </c>
      <c r="D1012" s="383">
        <v>9</v>
      </c>
      <c r="E1012" s="383" t="s">
        <v>526</v>
      </c>
      <c r="F1012" s="390" t="s">
        <v>364</v>
      </c>
      <c r="G1012" s="390"/>
      <c r="H1012" s="384" t="s">
        <v>364</v>
      </c>
      <c r="I1012" s="406">
        <f>I971</f>
        <v>-32092.9664204</v>
      </c>
    </row>
    <row r="1013" spans="1:10" x14ac:dyDescent="0.2">
      <c r="A1013" s="383" t="s">
        <v>522</v>
      </c>
      <c r="B1013" s="397">
        <v>45778</v>
      </c>
      <c r="C1013" s="397" t="s">
        <v>534</v>
      </c>
      <c r="D1013" s="383">
        <v>9</v>
      </c>
      <c r="E1013" s="383" t="s">
        <v>526</v>
      </c>
      <c r="F1013" s="394" t="s">
        <v>273</v>
      </c>
      <c r="G1013" s="394"/>
      <c r="H1013" s="398" t="s">
        <v>563</v>
      </c>
      <c r="I1013" s="406">
        <f>I972</f>
        <v>0</v>
      </c>
    </row>
    <row r="1014" spans="1:10" x14ac:dyDescent="0.2">
      <c r="A1014" s="383" t="s">
        <v>522</v>
      </c>
      <c r="B1014" s="397">
        <v>45778</v>
      </c>
      <c r="C1014" s="397" t="s">
        <v>534</v>
      </c>
      <c r="D1014" s="383">
        <v>10</v>
      </c>
      <c r="E1014" s="383" t="s">
        <v>452</v>
      </c>
      <c r="F1014" s="400" t="s">
        <v>365</v>
      </c>
      <c r="G1014" s="400"/>
      <c r="H1014" s="403" t="s">
        <v>365</v>
      </c>
      <c r="I1014" s="396">
        <f>I980+I981+I982+I983+I984+I985+I993+I994+I995+I996+I998+I999+I1000+I1001+I1002+I1003+I1004+I1005+I1006+I1008+I1009+I1010+I1011+I1012+I1013</f>
        <v>-3430573.0744203986</v>
      </c>
      <c r="J1014" s="352">
        <f>IF(C1014="A",-I1014/I979,I1014/I979)</f>
        <v>0.99219126229430843</v>
      </c>
    </row>
    <row r="1015" spans="1:10" x14ac:dyDescent="0.2">
      <c r="A1015" s="383" t="s">
        <v>522</v>
      </c>
      <c r="B1015" s="397">
        <v>45778</v>
      </c>
      <c r="C1015" s="397" t="s">
        <v>535</v>
      </c>
      <c r="D1015" s="383">
        <v>11</v>
      </c>
      <c r="E1015" s="383" t="s">
        <v>528</v>
      </c>
      <c r="F1015" s="400" t="s">
        <v>367</v>
      </c>
      <c r="G1015" s="400"/>
      <c r="H1015" s="405" t="s">
        <v>367</v>
      </c>
      <c r="I1015" s="395">
        <f>I979+I1014</f>
        <v>26999.275579601526</v>
      </c>
      <c r="J1015" s="352">
        <f>IF(C1015="A",-I1015/I979,I1015/I979)</f>
        <v>7.8087377056915456E-3</v>
      </c>
    </row>
    <row r="1016" spans="1:10" ht="14.25" x14ac:dyDescent="0.2">
      <c r="A1016" s="383" t="s">
        <v>73</v>
      </c>
      <c r="B1016" s="397">
        <v>45809</v>
      </c>
      <c r="C1016" s="397" t="s">
        <v>536</v>
      </c>
      <c r="D1016" s="383">
        <v>1</v>
      </c>
      <c r="E1016" s="384" t="s">
        <v>530</v>
      </c>
      <c r="F1016" s="400" t="s">
        <v>440</v>
      </c>
      <c r="G1016" s="459" t="s">
        <v>324</v>
      </c>
      <c r="H1016" s="384" t="s">
        <v>440</v>
      </c>
      <c r="I1016" s="383">
        <f>INDEX(DRE!$W$2:$AS$53, MATCH('DRE 2025'!G1016,DRE!$D$2:$D$53,0), MATCH(B1016, DRE!$W$1:$AS$1, 0))</f>
        <v>4304516.2699640002</v>
      </c>
      <c r="J1016" s="352">
        <v>1</v>
      </c>
    </row>
    <row r="1017" spans="1:10" x14ac:dyDescent="0.2">
      <c r="A1017" s="383" t="s">
        <v>73</v>
      </c>
      <c r="B1017" s="397">
        <v>45809</v>
      </c>
      <c r="C1017" s="397" t="s">
        <v>534</v>
      </c>
      <c r="D1017" s="383">
        <v>2</v>
      </c>
      <c r="E1017" s="384" t="s">
        <v>325</v>
      </c>
      <c r="F1017" s="390" t="s">
        <v>326</v>
      </c>
      <c r="G1017" s="461" t="s">
        <v>326</v>
      </c>
      <c r="H1017" s="384" t="s">
        <v>519</v>
      </c>
      <c r="I1017" s="383">
        <f>INDEX(DRE!$W$2:$AS$53, MATCH('DRE 2025'!G1017,DRE!$D$2:$D$53,0), MATCH(B1017, DRE!$W$1:$AS$1, 0))</f>
        <v>-223001.11</v>
      </c>
    </row>
    <row r="1018" spans="1:10" x14ac:dyDescent="0.2">
      <c r="A1018" s="383" t="s">
        <v>73</v>
      </c>
      <c r="B1018" s="397">
        <v>45809</v>
      </c>
      <c r="C1018" s="397" t="s">
        <v>534</v>
      </c>
      <c r="D1018" s="383">
        <v>2</v>
      </c>
      <c r="E1018" s="384" t="s">
        <v>325</v>
      </c>
      <c r="F1018" s="385" t="s">
        <v>328</v>
      </c>
      <c r="G1018" s="462" t="s">
        <v>328</v>
      </c>
      <c r="H1018" s="384" t="s">
        <v>521</v>
      </c>
      <c r="I1018" s="383">
        <f>INDEX(DRE!$W$2:$AS$53, MATCH('DRE 2025'!G1018,DRE!$D$2:$D$53,0), MATCH(B1018, DRE!$W$1:$AS$1, 0))</f>
        <v>-9252.07</v>
      </c>
    </row>
    <row r="1019" spans="1:10" x14ac:dyDescent="0.2">
      <c r="A1019" s="383" t="s">
        <v>73</v>
      </c>
      <c r="B1019" s="397">
        <v>45809</v>
      </c>
      <c r="C1019" s="397" t="s">
        <v>534</v>
      </c>
      <c r="D1019" s="383">
        <v>2</v>
      </c>
      <c r="E1019" s="384" t="s">
        <v>325</v>
      </c>
      <c r="F1019" s="385" t="s">
        <v>329</v>
      </c>
      <c r="G1019" s="462" t="s">
        <v>329</v>
      </c>
      <c r="H1019" s="384" t="s">
        <v>329</v>
      </c>
      <c r="I1019" s="383">
        <f>INDEX(DRE!$W$2:$AS$53, MATCH('DRE 2025'!G1019,DRE!$D$2:$D$53,0), MATCH(B1019, DRE!$W$1:$AS$1, 0))</f>
        <v>-31.5</v>
      </c>
    </row>
    <row r="1020" spans="1:10" x14ac:dyDescent="0.2">
      <c r="A1020" s="383" t="s">
        <v>73</v>
      </c>
      <c r="B1020" s="397">
        <v>45809</v>
      </c>
      <c r="C1020" s="397" t="s">
        <v>534</v>
      </c>
      <c r="D1020" s="383">
        <v>2</v>
      </c>
      <c r="E1020" s="384" t="s">
        <v>325</v>
      </c>
      <c r="F1020" s="385" t="s">
        <v>330</v>
      </c>
      <c r="G1020" s="462" t="s">
        <v>565</v>
      </c>
      <c r="H1020" s="384" t="s">
        <v>330</v>
      </c>
      <c r="I1020" s="383">
        <f>INDEX(DRE!$W$2:$AS$53, MATCH('DRE 2025'!G1020,DRE!$D$2:$D$53,0), MATCH(B1020, DRE!$W$1:$AS$1, 0))</f>
        <v>0</v>
      </c>
    </row>
    <row r="1021" spans="1:10" x14ac:dyDescent="0.2">
      <c r="A1021" s="383" t="s">
        <v>73</v>
      </c>
      <c r="B1021" s="397">
        <v>45809</v>
      </c>
      <c r="C1021" s="397" t="s">
        <v>534</v>
      </c>
      <c r="D1021" s="383">
        <v>2</v>
      </c>
      <c r="E1021" s="384" t="s">
        <v>325</v>
      </c>
      <c r="F1021" s="385" t="s">
        <v>331</v>
      </c>
      <c r="G1021" s="462" t="s">
        <v>331</v>
      </c>
      <c r="H1021" s="384" t="s">
        <v>331</v>
      </c>
      <c r="I1021" s="383">
        <f>INDEX(DRE!$W$2:$AS$53, MATCH('DRE 2025'!G1021,DRE!$D$2:$D$53,0), MATCH(B1021, DRE!$W$1:$AS$1, 0))</f>
        <v>-0.41</v>
      </c>
    </row>
    <row r="1022" spans="1:10" x14ac:dyDescent="0.2">
      <c r="A1022" s="383" t="s">
        <v>73</v>
      </c>
      <c r="B1022" s="397">
        <v>45809</v>
      </c>
      <c r="C1022" s="397" t="s">
        <v>534</v>
      </c>
      <c r="D1022" s="383">
        <v>2</v>
      </c>
      <c r="E1022" s="384" t="s">
        <v>325</v>
      </c>
      <c r="F1022" s="384" t="s">
        <v>332</v>
      </c>
      <c r="G1022" s="463" t="s">
        <v>332</v>
      </c>
      <c r="H1022" s="384" t="s">
        <v>520</v>
      </c>
      <c r="I1022" s="383">
        <f>INDEX(DRE!$W$2:$AS$53, MATCH('DRE 2025'!G1022,DRE!$D$2:$D$53,0), MATCH(B1022, DRE!$W$1:$AS$1, 0))</f>
        <v>0</v>
      </c>
    </row>
    <row r="1023" spans="1:10" x14ac:dyDescent="0.2">
      <c r="A1023" s="383" t="s">
        <v>73</v>
      </c>
      <c r="B1023" s="397">
        <v>45809</v>
      </c>
      <c r="C1023" s="397" t="s">
        <v>535</v>
      </c>
      <c r="D1023" s="383">
        <v>3</v>
      </c>
      <c r="E1023" s="384" t="s">
        <v>531</v>
      </c>
      <c r="F1023" s="385" t="s">
        <v>334</v>
      </c>
      <c r="G1023" s="462" t="s">
        <v>334</v>
      </c>
      <c r="H1023" s="384" t="s">
        <v>334</v>
      </c>
      <c r="I1023" s="383">
        <f>INDEX(DRE!$W$2:$AS$53, MATCH('DRE 2025'!G1023,DRE!$D$2:$D$53,0), MATCH(B1023, DRE!$W$1:$AS$1, 0))</f>
        <v>3454392.33</v>
      </c>
    </row>
    <row r="1024" spans="1:10" x14ac:dyDescent="0.2">
      <c r="A1024" s="383" t="s">
        <v>73</v>
      </c>
      <c r="B1024" s="397">
        <v>45809</v>
      </c>
      <c r="C1024" s="397" t="s">
        <v>535</v>
      </c>
      <c r="D1024" s="383">
        <v>3</v>
      </c>
      <c r="E1024" s="384" t="s">
        <v>531</v>
      </c>
      <c r="F1024" s="385" t="s">
        <v>335</v>
      </c>
      <c r="G1024" s="462" t="s">
        <v>335</v>
      </c>
      <c r="H1024" s="384" t="s">
        <v>335</v>
      </c>
      <c r="I1024" s="383">
        <f>INDEX(DRE!$W$2:$AS$53, MATCH('DRE 2025'!G1024,DRE!$D$2:$D$53,0), MATCH(B1024, DRE!$W$1:$AS$1, 0))</f>
        <v>233201.97000000003</v>
      </c>
    </row>
    <row r="1025" spans="1:10" x14ac:dyDescent="0.2">
      <c r="A1025" s="383" t="s">
        <v>73</v>
      </c>
      <c r="B1025" s="397">
        <v>45809</v>
      </c>
      <c r="C1025" s="397" t="s">
        <v>535</v>
      </c>
      <c r="D1025" s="383">
        <v>3</v>
      </c>
      <c r="E1025" s="384" t="s">
        <v>531</v>
      </c>
      <c r="F1025" s="385" t="s">
        <v>336</v>
      </c>
      <c r="G1025" s="462" t="s">
        <v>336</v>
      </c>
      <c r="H1025" s="384" t="s">
        <v>336</v>
      </c>
      <c r="I1025" s="383">
        <f>INDEX(DRE!$W$2:$AS$53, MATCH('DRE 2025'!G1025,DRE!$D$2:$D$53,0), MATCH(B1025, DRE!$W$1:$AS$1, 0))</f>
        <v>20700</v>
      </c>
    </row>
    <row r="1026" spans="1:10" x14ac:dyDescent="0.2">
      <c r="A1026" s="383" t="s">
        <v>73</v>
      </c>
      <c r="B1026" s="397">
        <v>45809</v>
      </c>
      <c r="C1026" s="397" t="s">
        <v>535</v>
      </c>
      <c r="D1026" s="383">
        <v>3</v>
      </c>
      <c r="E1026" s="384" t="s">
        <v>531</v>
      </c>
      <c r="F1026" s="387" t="s">
        <v>273</v>
      </c>
      <c r="G1026" s="464" t="s">
        <v>562</v>
      </c>
      <c r="H1026" s="384" t="s">
        <v>562</v>
      </c>
      <c r="I1026" s="383">
        <f>INDEX(DRE!$W$2:$AS$53, MATCH('DRE 2025'!G1026,DRE!$D$2:$D$53,0), MATCH(B1026, DRE!$W$1:$AS$1, 0))</f>
        <v>0</v>
      </c>
    </row>
    <row r="1027" spans="1:10" x14ac:dyDescent="0.2">
      <c r="A1027" s="383" t="s">
        <v>73</v>
      </c>
      <c r="B1027" s="397">
        <v>45809</v>
      </c>
      <c r="C1027" s="397" t="s">
        <v>535</v>
      </c>
      <c r="D1027" s="383">
        <v>3</v>
      </c>
      <c r="E1027" s="384" t="s">
        <v>531</v>
      </c>
      <c r="F1027" s="387" t="s">
        <v>513</v>
      </c>
      <c r="G1027" s="464" t="s">
        <v>513</v>
      </c>
      <c r="H1027" s="384" t="s">
        <v>513</v>
      </c>
      <c r="I1027" s="383" t="e">
        <f>INDEX(DRE!$W$2:$AS$53, MATCH('DRE 2025'!G1027,DRE!$D$2:$D$53,0), MATCH(B1027, DRE!$W$1:$AS$1, 0))</f>
        <v>#N/A</v>
      </c>
    </row>
    <row r="1028" spans="1:10" x14ac:dyDescent="0.2">
      <c r="A1028" s="383" t="s">
        <v>73</v>
      </c>
      <c r="B1028" s="397">
        <v>45809</v>
      </c>
      <c r="C1028" s="397" t="s">
        <v>535</v>
      </c>
      <c r="D1028" s="383">
        <v>3</v>
      </c>
      <c r="E1028" s="384" t="s">
        <v>531</v>
      </c>
      <c r="F1028" s="387" t="s">
        <v>514</v>
      </c>
      <c r="G1028" s="464" t="s">
        <v>514</v>
      </c>
      <c r="H1028" s="384" t="s">
        <v>514</v>
      </c>
      <c r="I1028" s="383" t="e">
        <f>INDEX(DRE!$W$2:$AS$53, MATCH('DRE 2025'!G1028,DRE!$D$2:$D$53,0), MATCH(B1028, DRE!$W$1:$AS$1, 0))</f>
        <v>#N/A</v>
      </c>
    </row>
    <row r="1029" spans="1:10" x14ac:dyDescent="0.2">
      <c r="A1029" s="383" t="s">
        <v>73</v>
      </c>
      <c r="B1029" s="397">
        <v>45809</v>
      </c>
      <c r="C1029" s="397" t="s">
        <v>535</v>
      </c>
      <c r="D1029" s="383">
        <v>3</v>
      </c>
      <c r="E1029" s="384" t="s">
        <v>531</v>
      </c>
      <c r="F1029" s="385" t="s">
        <v>337</v>
      </c>
      <c r="G1029" s="462" t="s">
        <v>337</v>
      </c>
      <c r="H1029" s="384" t="s">
        <v>337</v>
      </c>
      <c r="I1029" s="383">
        <f>INDEX(DRE!$W$2:$AS$53, MATCH('DRE 2025'!G1029,DRE!$D$2:$D$53,0), MATCH(B1029, DRE!$W$1:$AS$1, 0))</f>
        <v>11121.65</v>
      </c>
    </row>
    <row r="1030" spans="1:10" x14ac:dyDescent="0.2">
      <c r="A1030" s="383" t="s">
        <v>73</v>
      </c>
      <c r="B1030" s="397">
        <v>45809</v>
      </c>
      <c r="C1030" s="397" t="s">
        <v>534</v>
      </c>
      <c r="D1030" s="383">
        <v>4</v>
      </c>
      <c r="E1030" s="383" t="s">
        <v>523</v>
      </c>
      <c r="F1030" s="388" t="s">
        <v>340</v>
      </c>
      <c r="G1030" s="465" t="s">
        <v>340</v>
      </c>
      <c r="H1030" s="384" t="s">
        <v>340</v>
      </c>
      <c r="I1030" s="383">
        <f>INDEX(DRE!$W$2:$AS$53, MATCH('DRE 2025'!G1030,DRE!$D$2:$D$53,0), MATCH(B1030, DRE!$W$1:$AS$1, 0))</f>
        <v>-131593.70000000001</v>
      </c>
    </row>
    <row r="1031" spans="1:10" x14ac:dyDescent="0.2">
      <c r="A1031" s="383" t="s">
        <v>73</v>
      </c>
      <c r="B1031" s="397">
        <v>45809</v>
      </c>
      <c r="C1031" s="397" t="s">
        <v>534</v>
      </c>
      <c r="D1031" s="383">
        <v>4</v>
      </c>
      <c r="E1031" s="383" t="s">
        <v>523</v>
      </c>
      <c r="F1031" s="388" t="s">
        <v>341</v>
      </c>
      <c r="G1031" s="465" t="s">
        <v>341</v>
      </c>
      <c r="H1031" s="384" t="s">
        <v>341</v>
      </c>
      <c r="I1031" s="383">
        <f>INDEX(DRE!$W$2:$AS$53, MATCH('DRE 2025'!G1031,DRE!$D$2:$D$53,0), MATCH(B1031, DRE!$W$1:$AS$1, 0))</f>
        <v>-195387.87</v>
      </c>
    </row>
    <row r="1032" spans="1:10" x14ac:dyDescent="0.2">
      <c r="A1032" s="383" t="s">
        <v>73</v>
      </c>
      <c r="B1032" s="397">
        <v>45809</v>
      </c>
      <c r="C1032" s="397" t="s">
        <v>534</v>
      </c>
      <c r="D1032" s="383">
        <v>4</v>
      </c>
      <c r="E1032" s="383" t="s">
        <v>523</v>
      </c>
      <c r="F1032" s="388" t="s">
        <v>342</v>
      </c>
      <c r="G1032" s="465" t="s">
        <v>342</v>
      </c>
      <c r="H1032" s="384" t="s">
        <v>342</v>
      </c>
      <c r="I1032" s="383">
        <f>INDEX(DRE!$W$2:$AS$53, MATCH('DRE 2025'!G1032,DRE!$D$2:$D$53,0), MATCH(B1032, DRE!$W$1:$AS$1, 0))</f>
        <v>-1596757.1</v>
      </c>
    </row>
    <row r="1033" spans="1:10" x14ac:dyDescent="0.2">
      <c r="A1033" s="383" t="s">
        <v>73</v>
      </c>
      <c r="B1033" s="397">
        <v>45809</v>
      </c>
      <c r="C1033" s="397" t="s">
        <v>534</v>
      </c>
      <c r="D1033" s="383">
        <v>4</v>
      </c>
      <c r="E1033" s="383" t="s">
        <v>523</v>
      </c>
      <c r="F1033" s="388" t="s">
        <v>343</v>
      </c>
      <c r="G1033" s="465" t="s">
        <v>343</v>
      </c>
      <c r="H1033" s="384" t="s">
        <v>343</v>
      </c>
      <c r="I1033" s="383">
        <f>INDEX(DRE!$W$2:$AS$53, MATCH('DRE 2025'!G1033,DRE!$D$2:$D$53,0), MATCH(B1033, DRE!$W$1:$AS$1, 0))</f>
        <v>-73564.28</v>
      </c>
    </row>
    <row r="1034" spans="1:10" x14ac:dyDescent="0.2">
      <c r="A1034" s="383" t="s">
        <v>73</v>
      </c>
      <c r="B1034" s="397">
        <v>45809</v>
      </c>
      <c r="C1034" s="397" t="s">
        <v>535</v>
      </c>
      <c r="D1034" s="383">
        <v>5</v>
      </c>
      <c r="E1034" s="383" t="s">
        <v>532</v>
      </c>
      <c r="F1034" s="401" t="s">
        <v>345</v>
      </c>
      <c r="G1034" s="401"/>
      <c r="H1034" s="402" t="s">
        <v>345</v>
      </c>
      <c r="I1034" s="406" t="e">
        <f>I1023+I1024+I1025+I1026+I1027+I1028+I1029+I1030+I1031+I1032+I1033</f>
        <v>#N/A</v>
      </c>
      <c r="J1034" s="352" t="e">
        <f>IF(C1034="A",-I1034/I1016,I1034/I1016)</f>
        <v>#N/A</v>
      </c>
    </row>
    <row r="1035" spans="1:10" x14ac:dyDescent="0.2">
      <c r="A1035" s="383" t="s">
        <v>73</v>
      </c>
      <c r="B1035" s="397">
        <v>45809</v>
      </c>
      <c r="C1035" s="397" t="s">
        <v>534</v>
      </c>
      <c r="D1035" s="383">
        <v>6</v>
      </c>
      <c r="E1035" s="383" t="s">
        <v>524</v>
      </c>
      <c r="F1035" s="388" t="s">
        <v>349</v>
      </c>
      <c r="G1035" s="465" t="s">
        <v>349</v>
      </c>
      <c r="H1035" s="384" t="s">
        <v>473</v>
      </c>
      <c r="I1035" s="383">
        <f>INDEX(DRE!$W$2:$AS$53, MATCH('DRE 2025'!G1035,DRE!$D$2:$D$53,0), MATCH(B1035, DRE!$W$1:$AS$1, 0))</f>
        <v>-35458.79</v>
      </c>
    </row>
    <row r="1036" spans="1:10" x14ac:dyDescent="0.2">
      <c r="A1036" s="383" t="s">
        <v>73</v>
      </c>
      <c r="B1036" s="397">
        <v>45809</v>
      </c>
      <c r="C1036" s="397" t="s">
        <v>534</v>
      </c>
      <c r="D1036" s="383">
        <v>6</v>
      </c>
      <c r="E1036" s="383" t="s">
        <v>524</v>
      </c>
      <c r="F1036" s="388" t="s">
        <v>350</v>
      </c>
      <c r="G1036" s="465" t="s">
        <v>350</v>
      </c>
      <c r="H1036" s="384" t="s">
        <v>474</v>
      </c>
      <c r="I1036" s="383">
        <f>INDEX(DRE!$W$2:$AS$53, MATCH('DRE 2025'!G1036,DRE!$D$2:$D$53,0), MATCH(B1036, DRE!$W$1:$AS$1, 0))</f>
        <v>-8552.3700000000008</v>
      </c>
    </row>
    <row r="1037" spans="1:10" x14ac:dyDescent="0.2">
      <c r="A1037" s="383" t="s">
        <v>73</v>
      </c>
      <c r="B1037" s="397">
        <v>45809</v>
      </c>
      <c r="C1037" s="397" t="s">
        <v>534</v>
      </c>
      <c r="D1037" s="383">
        <v>6</v>
      </c>
      <c r="E1037" s="383" t="s">
        <v>524</v>
      </c>
      <c r="F1037" s="388" t="s">
        <v>351</v>
      </c>
      <c r="G1037" s="465" t="s">
        <v>351</v>
      </c>
      <c r="H1037" s="384" t="s">
        <v>475</v>
      </c>
      <c r="I1037" s="383">
        <f>INDEX(DRE!$W$2:$AS$53, MATCH('DRE 2025'!G1037,DRE!$D$2:$D$53,0), MATCH(B1037, DRE!$W$1:$AS$1, 0))</f>
        <v>-35093.229999999996</v>
      </c>
    </row>
    <row r="1038" spans="1:10" x14ac:dyDescent="0.2">
      <c r="A1038" s="383" t="s">
        <v>73</v>
      </c>
      <c r="B1038" s="397">
        <v>45809</v>
      </c>
      <c r="C1038" s="397" t="s">
        <v>534</v>
      </c>
      <c r="D1038" s="383">
        <v>6</v>
      </c>
      <c r="E1038" s="383" t="s">
        <v>524</v>
      </c>
      <c r="F1038" s="388" t="s">
        <v>352</v>
      </c>
      <c r="G1038" s="465" t="s">
        <v>352</v>
      </c>
      <c r="H1038" s="384" t="s">
        <v>476</v>
      </c>
      <c r="I1038" s="383">
        <f>INDEX(DRE!$W$2:$AS$53, MATCH('DRE 2025'!G1038,DRE!$D$2:$D$53,0), MATCH(B1038, DRE!$W$1:$AS$1, 0))</f>
        <v>-6240.99</v>
      </c>
    </row>
    <row r="1039" spans="1:10" x14ac:dyDescent="0.2">
      <c r="A1039" s="383" t="s">
        <v>73</v>
      </c>
      <c r="B1039" s="397">
        <v>45809</v>
      </c>
      <c r="C1039" s="397" t="s">
        <v>534</v>
      </c>
      <c r="D1039" s="383">
        <v>6</v>
      </c>
      <c r="E1039" s="383" t="s">
        <v>524</v>
      </c>
      <c r="F1039" s="388" t="s">
        <v>353</v>
      </c>
      <c r="G1039" s="465" t="s">
        <v>353</v>
      </c>
      <c r="H1039" s="384" t="s">
        <v>477</v>
      </c>
      <c r="I1039" s="383">
        <f>INDEX(DRE!$W$2:$AS$53, MATCH('DRE 2025'!G1039,DRE!$D$2:$D$53,0), MATCH(B1039, DRE!$W$1:$AS$1, 0))</f>
        <v>-65298.07</v>
      </c>
    </row>
    <row r="1040" spans="1:10" x14ac:dyDescent="0.2">
      <c r="A1040" s="383" t="s">
        <v>73</v>
      </c>
      <c r="B1040" s="397">
        <v>45809</v>
      </c>
      <c r="C1040" s="397" t="s">
        <v>534</v>
      </c>
      <c r="D1040" s="383">
        <v>6</v>
      </c>
      <c r="E1040" s="383" t="s">
        <v>524</v>
      </c>
      <c r="F1040" s="388" t="s">
        <v>354</v>
      </c>
      <c r="G1040" s="465" t="s">
        <v>354</v>
      </c>
      <c r="H1040" s="384" t="s">
        <v>478</v>
      </c>
      <c r="I1040" s="383">
        <f>INDEX(DRE!$W$2:$AS$53, MATCH('DRE 2025'!G1040,DRE!$D$2:$D$53,0), MATCH(B1040, DRE!$W$1:$AS$1, 0))</f>
        <v>-33537.25</v>
      </c>
    </row>
    <row r="1041" spans="1:10" x14ac:dyDescent="0.2">
      <c r="A1041" s="383" t="s">
        <v>73</v>
      </c>
      <c r="B1041" s="397">
        <v>45809</v>
      </c>
      <c r="C1041" s="397" t="s">
        <v>534</v>
      </c>
      <c r="D1041" s="383">
        <v>6</v>
      </c>
      <c r="E1041" s="383" t="s">
        <v>524</v>
      </c>
      <c r="F1041" s="390" t="s">
        <v>355</v>
      </c>
      <c r="G1041" s="461" t="s">
        <v>355</v>
      </c>
      <c r="H1041" s="384" t="s">
        <v>355</v>
      </c>
      <c r="I1041" s="383">
        <f>INDEX(DRE!$W$2:$AS$53, MATCH('DRE 2025'!G1041,DRE!$D$2:$D$53,0), MATCH(B1041, DRE!$W$1:$AS$1, 0))</f>
        <v>-73052.55</v>
      </c>
    </row>
    <row r="1042" spans="1:10" x14ac:dyDescent="0.2">
      <c r="A1042" s="383" t="s">
        <v>73</v>
      </c>
      <c r="B1042" s="397">
        <v>45809</v>
      </c>
      <c r="C1042" s="397" t="s">
        <v>534</v>
      </c>
      <c r="D1042" s="383">
        <v>6</v>
      </c>
      <c r="E1042" s="383" t="s">
        <v>524</v>
      </c>
      <c r="F1042" s="390" t="s">
        <v>356</v>
      </c>
      <c r="G1042" s="461" t="s">
        <v>356</v>
      </c>
      <c r="H1042" s="384" t="s">
        <v>356</v>
      </c>
      <c r="I1042" s="383">
        <f>INDEX(DRE!$W$2:$AS$53, MATCH('DRE 2025'!G1042,DRE!$D$2:$D$53,0), MATCH(B1042, DRE!$W$1:$AS$1, 0))</f>
        <v>-550571.80000000005</v>
      </c>
    </row>
    <row r="1043" spans="1:10" x14ac:dyDescent="0.2">
      <c r="A1043" s="383" t="s">
        <v>73</v>
      </c>
      <c r="B1043" s="397">
        <v>45809</v>
      </c>
      <c r="C1043" s="397" t="s">
        <v>534</v>
      </c>
      <c r="D1043" s="383">
        <v>6</v>
      </c>
      <c r="E1043" s="383" t="s">
        <v>524</v>
      </c>
      <c r="F1043" s="390" t="s">
        <v>357</v>
      </c>
      <c r="G1043" s="461" t="s">
        <v>357</v>
      </c>
      <c r="H1043" s="384" t="s">
        <v>357</v>
      </c>
      <c r="I1043" s="383">
        <f>INDEX(DRE!$W$2:$AS$53, MATCH('DRE 2025'!G1043,DRE!$D$2:$D$53,0), MATCH(B1043, DRE!$W$1:$AS$1, 0))</f>
        <v>0</v>
      </c>
    </row>
    <row r="1044" spans="1:10" x14ac:dyDescent="0.2">
      <c r="A1044" s="383" t="s">
        <v>73</v>
      </c>
      <c r="B1044" s="397">
        <v>45809</v>
      </c>
      <c r="C1044" s="397" t="s">
        <v>535</v>
      </c>
      <c r="D1044" s="383">
        <v>7</v>
      </c>
      <c r="E1044" s="383" t="s">
        <v>529</v>
      </c>
      <c r="F1044" s="400" t="s">
        <v>358</v>
      </c>
      <c r="G1044" s="400"/>
      <c r="H1044" s="403" t="s">
        <v>358</v>
      </c>
      <c r="I1044" s="396" t="e">
        <f>I1034+I1035+I1036+I1037+I1038+I1039+I1040+I1041+I1042+I1043</f>
        <v>#N/A</v>
      </c>
      <c r="J1044" s="352" t="e">
        <f>IF(C1044="A",-I1044/I1016,I1044/I1016)</f>
        <v>#N/A</v>
      </c>
    </row>
    <row r="1045" spans="1:10" x14ac:dyDescent="0.2">
      <c r="A1045" s="383" t="s">
        <v>73</v>
      </c>
      <c r="B1045" s="397">
        <v>45809</v>
      </c>
      <c r="C1045" s="397" t="s">
        <v>534</v>
      </c>
      <c r="D1045" s="383">
        <v>8</v>
      </c>
      <c r="E1045" s="383" t="s">
        <v>527</v>
      </c>
      <c r="F1045" s="385" t="s">
        <v>359</v>
      </c>
      <c r="G1045" s="462" t="s">
        <v>359</v>
      </c>
      <c r="H1045" s="384" t="s">
        <v>479</v>
      </c>
      <c r="I1045" s="383">
        <f>INDEX(DRE!$W$2:$AS$53, MATCH('DRE 2025'!G1045,DRE!$D$2:$D$53,0), MATCH(B1045, DRE!$W$1:$AS$1, 0))</f>
        <v>0</v>
      </c>
    </row>
    <row r="1046" spans="1:10" x14ac:dyDescent="0.2">
      <c r="A1046" s="383" t="s">
        <v>73</v>
      </c>
      <c r="B1046" s="397">
        <v>45809</v>
      </c>
      <c r="C1046" s="397" t="s">
        <v>534</v>
      </c>
      <c r="D1046" s="383">
        <v>8</v>
      </c>
      <c r="E1046" s="383" t="s">
        <v>527</v>
      </c>
      <c r="F1046" s="385" t="s">
        <v>360</v>
      </c>
      <c r="G1046" s="462" t="s">
        <v>360</v>
      </c>
      <c r="H1046" s="384" t="s">
        <v>480</v>
      </c>
      <c r="I1046" s="383">
        <f>INDEX(DRE!$W$2:$AS$53, MATCH('DRE 2025'!G1046,DRE!$D$2:$D$53,0), MATCH(B1046, DRE!$W$1:$AS$1, 0))</f>
        <v>23613.25</v>
      </c>
    </row>
    <row r="1047" spans="1:10" x14ac:dyDescent="0.2">
      <c r="A1047" s="383" t="s">
        <v>73</v>
      </c>
      <c r="B1047" s="397">
        <v>45809</v>
      </c>
      <c r="C1047" s="397" t="s">
        <v>534</v>
      </c>
      <c r="D1047" s="383">
        <v>8</v>
      </c>
      <c r="E1047" s="383" t="s">
        <v>527</v>
      </c>
      <c r="F1047" s="390" t="s">
        <v>361</v>
      </c>
      <c r="G1047" s="466" t="s">
        <v>361</v>
      </c>
      <c r="H1047" s="384" t="s">
        <v>481</v>
      </c>
      <c r="I1047" s="383">
        <f>INDEX(DRE!$W$2:$AS$53, MATCH('DRE 2025'!G1047,DRE!$D$2:$D$53,0), MATCH(B1047, DRE!$W$1:$AS$1, 0))</f>
        <v>-60796.63</v>
      </c>
    </row>
    <row r="1048" spans="1:10" x14ac:dyDescent="0.2">
      <c r="A1048" s="383" t="s">
        <v>73</v>
      </c>
      <c r="B1048" s="397">
        <v>45809</v>
      </c>
      <c r="C1048" s="397" t="s">
        <v>534</v>
      </c>
      <c r="D1048" s="383">
        <v>9</v>
      </c>
      <c r="E1048" s="383" t="s">
        <v>526</v>
      </c>
      <c r="F1048" s="390" t="s">
        <v>363</v>
      </c>
      <c r="G1048" s="461" t="s">
        <v>363</v>
      </c>
      <c r="H1048" s="384" t="s">
        <v>363</v>
      </c>
      <c r="I1048" s="383">
        <f>INDEX(DRE!$W$2:$AS$53, MATCH('DRE 2025'!G1048,DRE!$D$2:$D$53,0), MATCH(B1048, DRE!$W$1:$AS$1, 0))</f>
        <v>-556605.13</v>
      </c>
    </row>
    <row r="1049" spans="1:10" x14ac:dyDescent="0.2">
      <c r="A1049" s="383" t="s">
        <v>73</v>
      </c>
      <c r="B1049" s="397">
        <v>45809</v>
      </c>
      <c r="C1049" s="397" t="s">
        <v>534</v>
      </c>
      <c r="D1049" s="383">
        <v>9</v>
      </c>
      <c r="E1049" s="383" t="s">
        <v>526</v>
      </c>
      <c r="F1049" s="390" t="s">
        <v>364</v>
      </c>
      <c r="G1049" s="461" t="s">
        <v>364</v>
      </c>
      <c r="H1049" s="384" t="s">
        <v>364</v>
      </c>
      <c r="I1049" s="383">
        <f>INDEX(DRE!$W$2:$AS$53, MATCH('DRE 2025'!G1049,DRE!$D$2:$D$53,0), MATCH(B1049, DRE!$W$1:$AS$1, 0))</f>
        <v>-32092.9664204</v>
      </c>
    </row>
    <row r="1050" spans="1:10" x14ac:dyDescent="0.2">
      <c r="A1050" s="383" t="s">
        <v>73</v>
      </c>
      <c r="B1050" s="397">
        <v>45809</v>
      </c>
      <c r="C1050" s="397" t="s">
        <v>534</v>
      </c>
      <c r="D1050" s="383">
        <v>9</v>
      </c>
      <c r="E1050" s="383" t="s">
        <v>526</v>
      </c>
      <c r="F1050" s="394" t="s">
        <v>273</v>
      </c>
      <c r="G1050" s="467" t="s">
        <v>563</v>
      </c>
      <c r="H1050" s="398" t="s">
        <v>563</v>
      </c>
      <c r="I1050" s="383">
        <f>INDEX(DRE!$W$2:$AS$53, MATCH('DRE 2025'!G1050,DRE!$D$2:$D$53,0), MATCH(B1050, DRE!$W$1:$AS$1, 0))</f>
        <v>0</v>
      </c>
    </row>
    <row r="1051" spans="1:10" x14ac:dyDescent="0.2">
      <c r="A1051" s="383" t="s">
        <v>73</v>
      </c>
      <c r="B1051" s="397">
        <v>45809</v>
      </c>
      <c r="C1051" s="397" t="s">
        <v>534</v>
      </c>
      <c r="D1051" s="383">
        <v>10</v>
      </c>
      <c r="E1051" s="383" t="s">
        <v>452</v>
      </c>
      <c r="F1051" s="400" t="s">
        <v>365</v>
      </c>
      <c r="G1051" s="400"/>
      <c r="H1051" s="403" t="s">
        <v>365</v>
      </c>
      <c r="I1051" s="396">
        <f>I1017+I1018+I1019+I1020+I1021+I1022+I1030+I1031+I1032+I1033+I1035+I1036+I1037+I1038+I1039+I1040+I1041+I1042+I1043+I1045+I1046+I1047+I1048+I1049+I1050</f>
        <v>-3663274.5664203996</v>
      </c>
      <c r="J1051" s="352">
        <f>IF(C1051="A",-I1051/I1016,I1051/I1016)</f>
        <v>0.851030484419806</v>
      </c>
    </row>
    <row r="1052" spans="1:10" x14ac:dyDescent="0.2">
      <c r="A1052" s="383" t="s">
        <v>73</v>
      </c>
      <c r="B1052" s="397">
        <v>45809</v>
      </c>
      <c r="C1052" s="397" t="s">
        <v>535</v>
      </c>
      <c r="D1052" s="383">
        <v>11</v>
      </c>
      <c r="E1052" s="383" t="s">
        <v>528</v>
      </c>
      <c r="F1052" s="400" t="s">
        <v>367</v>
      </c>
      <c r="G1052" s="400"/>
      <c r="H1052" s="403" t="s">
        <v>367</v>
      </c>
      <c r="I1052" s="395">
        <f>I1016+I1051</f>
        <v>641241.70354360063</v>
      </c>
      <c r="J1052" s="352">
        <f>IF(C1052="A",-I1052/I1016,I1052/I1016)</f>
        <v>0.14896951558019397</v>
      </c>
    </row>
    <row r="1053" spans="1:10" x14ac:dyDescent="0.2">
      <c r="A1053" s="383" t="s">
        <v>516</v>
      </c>
      <c r="B1053" s="397">
        <v>45809</v>
      </c>
      <c r="C1053" s="397" t="s">
        <v>536</v>
      </c>
      <c r="D1053" s="383">
        <v>1</v>
      </c>
      <c r="E1053" s="384" t="s">
        <v>530</v>
      </c>
      <c r="F1053" s="400" t="s">
        <v>440</v>
      </c>
      <c r="G1053" s="400"/>
      <c r="H1053" s="404" t="s">
        <v>440</v>
      </c>
      <c r="I1053" s="407">
        <f>HLOOKUP(B1053,[5]Sucumbências!$BP$2:$CA$43,31,0)</f>
        <v>20569.560000000001</v>
      </c>
      <c r="J1053" s="352">
        <v>1</v>
      </c>
    </row>
    <row r="1054" spans="1:10" x14ac:dyDescent="0.2">
      <c r="A1054" s="383" t="s">
        <v>516</v>
      </c>
      <c r="B1054" s="397">
        <v>45809</v>
      </c>
      <c r="C1054" s="397" t="s">
        <v>534</v>
      </c>
      <c r="D1054" s="383">
        <v>4</v>
      </c>
      <c r="E1054" s="383" t="s">
        <v>525</v>
      </c>
      <c r="F1054" s="388" t="s">
        <v>340</v>
      </c>
      <c r="G1054" s="388"/>
      <c r="H1054" s="404" t="s">
        <v>340</v>
      </c>
      <c r="I1054" s="407">
        <f>-HLOOKUP(B1054,GLOSAS!$BQ$1:$CB$43,30,0)</f>
        <v>0</v>
      </c>
    </row>
    <row r="1055" spans="1:10" x14ac:dyDescent="0.2">
      <c r="A1055" s="383" t="s">
        <v>516</v>
      </c>
      <c r="B1055" s="397">
        <v>45809</v>
      </c>
      <c r="C1055" s="397" t="s">
        <v>534</v>
      </c>
      <c r="D1055" s="383">
        <v>9</v>
      </c>
      <c r="E1055" s="383" t="s">
        <v>526</v>
      </c>
      <c r="F1055" s="390" t="s">
        <v>363</v>
      </c>
      <c r="G1055" s="390"/>
      <c r="H1055" s="404" t="s">
        <v>363</v>
      </c>
      <c r="I1055" s="407">
        <f>-I1053*0.1</f>
        <v>-2056.9560000000001</v>
      </c>
    </row>
    <row r="1056" spans="1:10" x14ac:dyDescent="0.2">
      <c r="A1056" s="383" t="s">
        <v>516</v>
      </c>
      <c r="B1056" s="397">
        <v>45809</v>
      </c>
      <c r="C1056" s="397" t="s">
        <v>535</v>
      </c>
      <c r="D1056" s="383">
        <v>11</v>
      </c>
      <c r="E1056" s="383" t="s">
        <v>528</v>
      </c>
      <c r="F1056" s="400" t="s">
        <v>367</v>
      </c>
      <c r="G1056" s="400"/>
      <c r="H1056" s="404" t="s">
        <v>367</v>
      </c>
      <c r="I1056" s="407">
        <f>I1053+I1054+I1055</f>
        <v>18512.603999999999</v>
      </c>
      <c r="J1056" s="352">
        <f>IF(C1056="A",-I1056/I1053,I1056/I1053)</f>
        <v>0.89999999999999991</v>
      </c>
    </row>
    <row r="1057" spans="1:10" x14ac:dyDescent="0.2">
      <c r="A1057" s="383" t="s">
        <v>522</v>
      </c>
      <c r="B1057" s="397">
        <v>45809</v>
      </c>
      <c r="C1057" s="397" t="s">
        <v>536</v>
      </c>
      <c r="D1057" s="383">
        <v>1</v>
      </c>
      <c r="E1057" s="384" t="s">
        <v>530</v>
      </c>
      <c r="F1057" s="400" t="s">
        <v>440</v>
      </c>
      <c r="G1057" s="400"/>
      <c r="H1057" s="405" t="s">
        <v>440</v>
      </c>
      <c r="I1057" s="396">
        <f>I1016-I1053</f>
        <v>4283946.7099640006</v>
      </c>
      <c r="J1057" s="352">
        <v>1</v>
      </c>
    </row>
    <row r="1058" spans="1:10" x14ac:dyDescent="0.2">
      <c r="A1058" s="383" t="s">
        <v>522</v>
      </c>
      <c r="B1058" s="397">
        <v>45809</v>
      </c>
      <c r="C1058" s="397" t="s">
        <v>534</v>
      </c>
      <c r="D1058" s="383">
        <v>2</v>
      </c>
      <c r="E1058" s="384" t="s">
        <v>325</v>
      </c>
      <c r="F1058" s="390" t="s">
        <v>326</v>
      </c>
      <c r="G1058" s="390"/>
      <c r="H1058" s="384" t="s">
        <v>519</v>
      </c>
      <c r="I1058" s="406">
        <f t="shared" ref="I1058:I1070" si="27">I1017</f>
        <v>-223001.11</v>
      </c>
    </row>
    <row r="1059" spans="1:10" x14ac:dyDescent="0.2">
      <c r="A1059" s="383" t="s">
        <v>522</v>
      </c>
      <c r="B1059" s="397">
        <v>45809</v>
      </c>
      <c r="C1059" s="397" t="s">
        <v>534</v>
      </c>
      <c r="D1059" s="383">
        <v>2</v>
      </c>
      <c r="E1059" s="384" t="s">
        <v>325</v>
      </c>
      <c r="F1059" s="385" t="s">
        <v>328</v>
      </c>
      <c r="G1059" s="385"/>
      <c r="H1059" s="384" t="s">
        <v>521</v>
      </c>
      <c r="I1059" s="406">
        <f t="shared" si="27"/>
        <v>-9252.07</v>
      </c>
    </row>
    <row r="1060" spans="1:10" x14ac:dyDescent="0.2">
      <c r="A1060" s="383" t="s">
        <v>522</v>
      </c>
      <c r="B1060" s="397">
        <v>45809</v>
      </c>
      <c r="C1060" s="397" t="s">
        <v>534</v>
      </c>
      <c r="D1060" s="383">
        <v>2</v>
      </c>
      <c r="E1060" s="384" t="s">
        <v>325</v>
      </c>
      <c r="F1060" s="385" t="s">
        <v>329</v>
      </c>
      <c r="G1060" s="385"/>
      <c r="H1060" s="384" t="s">
        <v>329</v>
      </c>
      <c r="I1060" s="406">
        <f t="shared" si="27"/>
        <v>-31.5</v>
      </c>
    </row>
    <row r="1061" spans="1:10" x14ac:dyDescent="0.2">
      <c r="A1061" s="383" t="s">
        <v>522</v>
      </c>
      <c r="B1061" s="397">
        <v>45809</v>
      </c>
      <c r="C1061" s="397" t="s">
        <v>534</v>
      </c>
      <c r="D1061" s="383">
        <v>2</v>
      </c>
      <c r="E1061" s="384" t="s">
        <v>325</v>
      </c>
      <c r="F1061" s="385" t="s">
        <v>330</v>
      </c>
      <c r="G1061" s="385"/>
      <c r="H1061" s="384" t="s">
        <v>330</v>
      </c>
      <c r="I1061" s="406">
        <f t="shared" si="27"/>
        <v>0</v>
      </c>
    </row>
    <row r="1062" spans="1:10" x14ac:dyDescent="0.2">
      <c r="A1062" s="383" t="s">
        <v>522</v>
      </c>
      <c r="B1062" s="397">
        <v>45809</v>
      </c>
      <c r="C1062" s="397" t="s">
        <v>534</v>
      </c>
      <c r="D1062" s="383">
        <v>2</v>
      </c>
      <c r="E1062" s="384" t="s">
        <v>325</v>
      </c>
      <c r="F1062" s="385" t="s">
        <v>331</v>
      </c>
      <c r="G1062" s="385"/>
      <c r="H1062" s="384" t="s">
        <v>331</v>
      </c>
      <c r="I1062" s="406">
        <f t="shared" si="27"/>
        <v>-0.41</v>
      </c>
    </row>
    <row r="1063" spans="1:10" x14ac:dyDescent="0.2">
      <c r="A1063" s="383" t="s">
        <v>522</v>
      </c>
      <c r="B1063" s="397">
        <v>45809</v>
      </c>
      <c r="C1063" s="397" t="s">
        <v>534</v>
      </c>
      <c r="D1063" s="383">
        <v>2</v>
      </c>
      <c r="E1063" s="384" t="s">
        <v>325</v>
      </c>
      <c r="F1063" s="384" t="s">
        <v>332</v>
      </c>
      <c r="G1063" s="384"/>
      <c r="H1063" s="384" t="s">
        <v>520</v>
      </c>
      <c r="I1063" s="406">
        <f t="shared" si="27"/>
        <v>0</v>
      </c>
    </row>
    <row r="1064" spans="1:10" x14ac:dyDescent="0.2">
      <c r="A1064" s="383" t="s">
        <v>522</v>
      </c>
      <c r="B1064" s="397">
        <v>45809</v>
      </c>
      <c r="C1064" s="397" t="s">
        <v>535</v>
      </c>
      <c r="D1064" s="383">
        <v>3</v>
      </c>
      <c r="E1064" s="384" t="s">
        <v>531</v>
      </c>
      <c r="F1064" s="385" t="s">
        <v>334</v>
      </c>
      <c r="G1064" s="385"/>
      <c r="H1064" s="384" t="s">
        <v>334</v>
      </c>
      <c r="I1064" s="406">
        <f t="shared" si="27"/>
        <v>3454392.33</v>
      </c>
    </row>
    <row r="1065" spans="1:10" x14ac:dyDescent="0.2">
      <c r="A1065" s="383" t="s">
        <v>522</v>
      </c>
      <c r="B1065" s="397">
        <v>45809</v>
      </c>
      <c r="C1065" s="397" t="s">
        <v>535</v>
      </c>
      <c r="D1065" s="383">
        <v>3</v>
      </c>
      <c r="E1065" s="384" t="s">
        <v>531</v>
      </c>
      <c r="F1065" s="385" t="s">
        <v>335</v>
      </c>
      <c r="G1065" s="385"/>
      <c r="H1065" s="384" t="s">
        <v>335</v>
      </c>
      <c r="I1065" s="406">
        <f t="shared" si="27"/>
        <v>233201.97000000003</v>
      </c>
    </row>
    <row r="1066" spans="1:10" x14ac:dyDescent="0.2">
      <c r="A1066" s="383" t="s">
        <v>522</v>
      </c>
      <c r="B1066" s="397">
        <v>45809</v>
      </c>
      <c r="C1066" s="397" t="s">
        <v>535</v>
      </c>
      <c r="D1066" s="383">
        <v>3</v>
      </c>
      <c r="E1066" s="384" t="s">
        <v>531</v>
      </c>
      <c r="F1066" s="385" t="s">
        <v>336</v>
      </c>
      <c r="G1066" s="385"/>
      <c r="H1066" s="384" t="s">
        <v>336</v>
      </c>
      <c r="I1066" s="406">
        <f t="shared" si="27"/>
        <v>20700</v>
      </c>
    </row>
    <row r="1067" spans="1:10" x14ac:dyDescent="0.2">
      <c r="A1067" s="383" t="s">
        <v>522</v>
      </c>
      <c r="B1067" s="397">
        <v>45809</v>
      </c>
      <c r="C1067" s="397" t="s">
        <v>535</v>
      </c>
      <c r="D1067" s="383">
        <v>3</v>
      </c>
      <c r="E1067" s="384" t="s">
        <v>531</v>
      </c>
      <c r="F1067" s="387" t="s">
        <v>273</v>
      </c>
      <c r="G1067" s="387"/>
      <c r="H1067" s="384" t="s">
        <v>562</v>
      </c>
      <c r="I1067" s="406">
        <f t="shared" si="27"/>
        <v>0</v>
      </c>
    </row>
    <row r="1068" spans="1:10" x14ac:dyDescent="0.2">
      <c r="A1068" s="383" t="s">
        <v>522</v>
      </c>
      <c r="B1068" s="397">
        <v>45809</v>
      </c>
      <c r="C1068" s="397" t="s">
        <v>535</v>
      </c>
      <c r="D1068" s="383">
        <v>3</v>
      </c>
      <c r="E1068" s="384" t="s">
        <v>531</v>
      </c>
      <c r="F1068" s="387" t="s">
        <v>513</v>
      </c>
      <c r="G1068" s="387"/>
      <c r="H1068" s="384" t="s">
        <v>513</v>
      </c>
      <c r="I1068" s="406" t="e">
        <f t="shared" si="27"/>
        <v>#N/A</v>
      </c>
    </row>
    <row r="1069" spans="1:10" x14ac:dyDescent="0.2">
      <c r="A1069" s="383" t="s">
        <v>522</v>
      </c>
      <c r="B1069" s="397">
        <v>45809</v>
      </c>
      <c r="C1069" s="397" t="s">
        <v>535</v>
      </c>
      <c r="D1069" s="383">
        <v>3</v>
      </c>
      <c r="E1069" s="384" t="s">
        <v>531</v>
      </c>
      <c r="F1069" s="387" t="s">
        <v>514</v>
      </c>
      <c r="G1069" s="387"/>
      <c r="H1069" s="384" t="s">
        <v>514</v>
      </c>
      <c r="I1069" s="406" t="e">
        <f t="shared" si="27"/>
        <v>#N/A</v>
      </c>
    </row>
    <row r="1070" spans="1:10" x14ac:dyDescent="0.2">
      <c r="A1070" s="383" t="s">
        <v>522</v>
      </c>
      <c r="B1070" s="397">
        <v>45809</v>
      </c>
      <c r="C1070" s="397" t="s">
        <v>535</v>
      </c>
      <c r="D1070" s="383">
        <v>3</v>
      </c>
      <c r="E1070" s="384" t="s">
        <v>531</v>
      </c>
      <c r="F1070" s="385" t="s">
        <v>337</v>
      </c>
      <c r="G1070" s="385"/>
      <c r="H1070" s="384" t="s">
        <v>337</v>
      </c>
      <c r="I1070" s="406">
        <f t="shared" si="27"/>
        <v>11121.65</v>
      </c>
    </row>
    <row r="1071" spans="1:10" x14ac:dyDescent="0.2">
      <c r="A1071" s="383" t="s">
        <v>522</v>
      </c>
      <c r="B1071" s="397">
        <v>45809</v>
      </c>
      <c r="C1071" s="397" t="s">
        <v>534</v>
      </c>
      <c r="D1071" s="383">
        <v>4</v>
      </c>
      <c r="E1071" s="383" t="s">
        <v>523</v>
      </c>
      <c r="F1071" s="388" t="s">
        <v>340</v>
      </c>
      <c r="G1071" s="388"/>
      <c r="H1071" s="405" t="s">
        <v>340</v>
      </c>
      <c r="I1071" s="396">
        <f>I1030-I1054</f>
        <v>-131593.70000000001</v>
      </c>
    </row>
    <row r="1072" spans="1:10" x14ac:dyDescent="0.2">
      <c r="A1072" s="383" t="s">
        <v>522</v>
      </c>
      <c r="B1072" s="397">
        <v>45809</v>
      </c>
      <c r="C1072" s="397" t="s">
        <v>534</v>
      </c>
      <c r="D1072" s="383">
        <v>4</v>
      </c>
      <c r="E1072" s="383" t="s">
        <v>523</v>
      </c>
      <c r="F1072" s="388" t="s">
        <v>341</v>
      </c>
      <c r="G1072" s="388"/>
      <c r="H1072" s="384" t="s">
        <v>341</v>
      </c>
      <c r="I1072" s="406">
        <f>I1031</f>
        <v>-195387.87</v>
      </c>
    </row>
    <row r="1073" spans="1:10" x14ac:dyDescent="0.2">
      <c r="A1073" s="383" t="s">
        <v>522</v>
      </c>
      <c r="B1073" s="397">
        <v>45809</v>
      </c>
      <c r="C1073" s="397" t="s">
        <v>534</v>
      </c>
      <c r="D1073" s="383">
        <v>4</v>
      </c>
      <c r="E1073" s="383" t="s">
        <v>523</v>
      </c>
      <c r="F1073" s="388" t="s">
        <v>342</v>
      </c>
      <c r="G1073" s="388"/>
      <c r="H1073" s="384" t="s">
        <v>342</v>
      </c>
      <c r="I1073" s="406">
        <f>I1032</f>
        <v>-1596757.1</v>
      </c>
    </row>
    <row r="1074" spans="1:10" x14ac:dyDescent="0.2">
      <c r="A1074" s="383" t="s">
        <v>522</v>
      </c>
      <c r="B1074" s="397">
        <v>45809</v>
      </c>
      <c r="C1074" s="397" t="s">
        <v>534</v>
      </c>
      <c r="D1074" s="383">
        <v>4</v>
      </c>
      <c r="E1074" s="383" t="s">
        <v>523</v>
      </c>
      <c r="F1074" s="388" t="s">
        <v>343</v>
      </c>
      <c r="G1074" s="388"/>
      <c r="H1074" s="384" t="s">
        <v>343</v>
      </c>
      <c r="I1074" s="406">
        <f>I1033</f>
        <v>-73564.28</v>
      </c>
    </row>
    <row r="1075" spans="1:10" x14ac:dyDescent="0.2">
      <c r="A1075" s="383" t="s">
        <v>522</v>
      </c>
      <c r="B1075" s="397">
        <v>45809</v>
      </c>
      <c r="C1075" s="397" t="s">
        <v>535</v>
      </c>
      <c r="D1075" s="383">
        <v>5</v>
      </c>
      <c r="E1075" s="383" t="s">
        <v>532</v>
      </c>
      <c r="F1075" s="401" t="s">
        <v>345</v>
      </c>
      <c r="G1075" s="401"/>
      <c r="H1075" s="403" t="s">
        <v>345</v>
      </c>
      <c r="I1075" s="406">
        <f>I1057+I1058+I1059+I1060+I1061+I1062+I1063+I1071+I1072+I1073+I1074</f>
        <v>2054358.6699640003</v>
      </c>
      <c r="J1075" s="352">
        <f>IF(C1075="A",-I1075/I1057,I1075/I1057)</f>
        <v>0.47954813844574268</v>
      </c>
    </row>
    <row r="1076" spans="1:10" x14ac:dyDescent="0.2">
      <c r="A1076" s="383" t="s">
        <v>522</v>
      </c>
      <c r="B1076" s="397">
        <v>45809</v>
      </c>
      <c r="C1076" s="397" t="s">
        <v>534</v>
      </c>
      <c r="D1076" s="383">
        <v>6</v>
      </c>
      <c r="E1076" s="383" t="s">
        <v>524</v>
      </c>
      <c r="F1076" s="388" t="s">
        <v>349</v>
      </c>
      <c r="G1076" s="388"/>
      <c r="H1076" s="384" t="s">
        <v>473</v>
      </c>
      <c r="I1076" s="406">
        <f t="shared" ref="I1076:I1084" si="28">I1035</f>
        <v>-35458.79</v>
      </c>
    </row>
    <row r="1077" spans="1:10" x14ac:dyDescent="0.2">
      <c r="A1077" s="383" t="s">
        <v>522</v>
      </c>
      <c r="B1077" s="397">
        <v>45809</v>
      </c>
      <c r="C1077" s="397" t="s">
        <v>534</v>
      </c>
      <c r="D1077" s="383">
        <v>6</v>
      </c>
      <c r="E1077" s="383" t="s">
        <v>524</v>
      </c>
      <c r="F1077" s="388" t="s">
        <v>350</v>
      </c>
      <c r="G1077" s="388"/>
      <c r="H1077" s="384" t="s">
        <v>474</v>
      </c>
      <c r="I1077" s="406">
        <f t="shared" si="28"/>
        <v>-8552.3700000000008</v>
      </c>
    </row>
    <row r="1078" spans="1:10" x14ac:dyDescent="0.2">
      <c r="A1078" s="383" t="s">
        <v>522</v>
      </c>
      <c r="B1078" s="397">
        <v>45809</v>
      </c>
      <c r="C1078" s="397" t="s">
        <v>534</v>
      </c>
      <c r="D1078" s="383">
        <v>6</v>
      </c>
      <c r="E1078" s="383" t="s">
        <v>524</v>
      </c>
      <c r="F1078" s="388" t="s">
        <v>351</v>
      </c>
      <c r="G1078" s="388"/>
      <c r="H1078" s="384" t="s">
        <v>475</v>
      </c>
      <c r="I1078" s="406">
        <f t="shared" si="28"/>
        <v>-35093.229999999996</v>
      </c>
    </row>
    <row r="1079" spans="1:10" x14ac:dyDescent="0.2">
      <c r="A1079" s="383" t="s">
        <v>522</v>
      </c>
      <c r="B1079" s="397">
        <v>45809</v>
      </c>
      <c r="C1079" s="397" t="s">
        <v>534</v>
      </c>
      <c r="D1079" s="383">
        <v>6</v>
      </c>
      <c r="E1079" s="383" t="s">
        <v>524</v>
      </c>
      <c r="F1079" s="388" t="s">
        <v>352</v>
      </c>
      <c r="G1079" s="388"/>
      <c r="H1079" s="384" t="s">
        <v>476</v>
      </c>
      <c r="I1079" s="406">
        <f t="shared" si="28"/>
        <v>-6240.99</v>
      </c>
    </row>
    <row r="1080" spans="1:10" x14ac:dyDescent="0.2">
      <c r="A1080" s="383" t="s">
        <v>522</v>
      </c>
      <c r="B1080" s="397">
        <v>45809</v>
      </c>
      <c r="C1080" s="397" t="s">
        <v>534</v>
      </c>
      <c r="D1080" s="383">
        <v>6</v>
      </c>
      <c r="E1080" s="383" t="s">
        <v>524</v>
      </c>
      <c r="F1080" s="388" t="s">
        <v>353</v>
      </c>
      <c r="G1080" s="388"/>
      <c r="H1080" s="384" t="s">
        <v>477</v>
      </c>
      <c r="I1080" s="406">
        <f t="shared" si="28"/>
        <v>-65298.07</v>
      </c>
    </row>
    <row r="1081" spans="1:10" x14ac:dyDescent="0.2">
      <c r="A1081" s="383" t="s">
        <v>522</v>
      </c>
      <c r="B1081" s="397">
        <v>45809</v>
      </c>
      <c r="C1081" s="397" t="s">
        <v>534</v>
      </c>
      <c r="D1081" s="383">
        <v>6</v>
      </c>
      <c r="E1081" s="383" t="s">
        <v>524</v>
      </c>
      <c r="F1081" s="388" t="s">
        <v>354</v>
      </c>
      <c r="G1081" s="388"/>
      <c r="H1081" s="384" t="s">
        <v>478</v>
      </c>
      <c r="I1081" s="406">
        <f t="shared" si="28"/>
        <v>-33537.25</v>
      </c>
    </row>
    <row r="1082" spans="1:10" x14ac:dyDescent="0.2">
      <c r="A1082" s="383" t="s">
        <v>522</v>
      </c>
      <c r="B1082" s="397">
        <v>45809</v>
      </c>
      <c r="C1082" s="397" t="s">
        <v>534</v>
      </c>
      <c r="D1082" s="383">
        <v>6</v>
      </c>
      <c r="E1082" s="383" t="s">
        <v>524</v>
      </c>
      <c r="F1082" s="390" t="s">
        <v>355</v>
      </c>
      <c r="G1082" s="390"/>
      <c r="H1082" s="384" t="s">
        <v>355</v>
      </c>
      <c r="I1082" s="406">
        <f t="shared" si="28"/>
        <v>-73052.55</v>
      </c>
    </row>
    <row r="1083" spans="1:10" x14ac:dyDescent="0.2">
      <c r="A1083" s="383" t="s">
        <v>522</v>
      </c>
      <c r="B1083" s="397">
        <v>45809</v>
      </c>
      <c r="C1083" s="397" t="s">
        <v>534</v>
      </c>
      <c r="D1083" s="383">
        <v>6</v>
      </c>
      <c r="E1083" s="383" t="s">
        <v>524</v>
      </c>
      <c r="F1083" s="390" t="s">
        <v>356</v>
      </c>
      <c r="G1083" s="390"/>
      <c r="H1083" s="384" t="s">
        <v>356</v>
      </c>
      <c r="I1083" s="406">
        <f t="shared" si="28"/>
        <v>-550571.80000000005</v>
      </c>
    </row>
    <row r="1084" spans="1:10" x14ac:dyDescent="0.2">
      <c r="A1084" s="383" t="s">
        <v>522</v>
      </c>
      <c r="B1084" s="397">
        <v>45809</v>
      </c>
      <c r="C1084" s="397" t="s">
        <v>534</v>
      </c>
      <c r="D1084" s="383">
        <v>6</v>
      </c>
      <c r="E1084" s="383" t="s">
        <v>524</v>
      </c>
      <c r="F1084" s="390" t="s">
        <v>357</v>
      </c>
      <c r="G1084" s="390"/>
      <c r="H1084" s="384" t="s">
        <v>357</v>
      </c>
      <c r="I1084" s="406">
        <f t="shared" si="28"/>
        <v>0</v>
      </c>
    </row>
    <row r="1085" spans="1:10" x14ac:dyDescent="0.2">
      <c r="A1085" s="383" t="s">
        <v>522</v>
      </c>
      <c r="B1085" s="397">
        <v>45809</v>
      </c>
      <c r="C1085" s="397" t="s">
        <v>535</v>
      </c>
      <c r="D1085" s="383">
        <v>7</v>
      </c>
      <c r="E1085" s="383" t="s">
        <v>529</v>
      </c>
      <c r="F1085" s="400" t="s">
        <v>358</v>
      </c>
      <c r="G1085" s="400"/>
      <c r="H1085" s="403" t="s">
        <v>358</v>
      </c>
      <c r="I1085" s="396">
        <f>I1075+I1076+I1077+I1078+I1079+I1080+I1081+I1082+I1083+I1084</f>
        <v>1246553.6199640001</v>
      </c>
      <c r="J1085" s="352">
        <f>IF(C1085="A",-I1085/I1057,I1085/I1057)</f>
        <v>0.29098252251006063</v>
      </c>
    </row>
    <row r="1086" spans="1:10" x14ac:dyDescent="0.2">
      <c r="A1086" s="383" t="s">
        <v>522</v>
      </c>
      <c r="B1086" s="397">
        <v>45809</v>
      </c>
      <c r="C1086" s="397" t="s">
        <v>534</v>
      </c>
      <c r="D1086" s="383">
        <v>8</v>
      </c>
      <c r="E1086" s="383" t="s">
        <v>527</v>
      </c>
      <c r="F1086" s="385" t="s">
        <v>359</v>
      </c>
      <c r="G1086" s="385"/>
      <c r="H1086" s="384" t="s">
        <v>479</v>
      </c>
      <c r="I1086" s="406">
        <f>I1045</f>
        <v>0</v>
      </c>
    </row>
    <row r="1087" spans="1:10" x14ac:dyDescent="0.2">
      <c r="A1087" s="383" t="s">
        <v>522</v>
      </c>
      <c r="B1087" s="397">
        <v>45809</v>
      </c>
      <c r="C1087" s="397" t="s">
        <v>534</v>
      </c>
      <c r="D1087" s="383">
        <v>8</v>
      </c>
      <c r="E1087" s="383" t="s">
        <v>527</v>
      </c>
      <c r="F1087" s="385" t="s">
        <v>360</v>
      </c>
      <c r="G1087" s="385"/>
      <c r="H1087" s="384" t="s">
        <v>480</v>
      </c>
      <c r="I1087" s="406">
        <f>I1046</f>
        <v>23613.25</v>
      </c>
    </row>
    <row r="1088" spans="1:10" x14ac:dyDescent="0.2">
      <c r="A1088" s="383" t="s">
        <v>522</v>
      </c>
      <c r="B1088" s="397">
        <v>45809</v>
      </c>
      <c r="C1088" s="397" t="s">
        <v>534</v>
      </c>
      <c r="D1088" s="383">
        <v>8</v>
      </c>
      <c r="E1088" s="383" t="s">
        <v>527</v>
      </c>
      <c r="F1088" s="390" t="s">
        <v>361</v>
      </c>
      <c r="G1088" s="390"/>
      <c r="H1088" s="384" t="s">
        <v>481</v>
      </c>
      <c r="I1088" s="406">
        <f>I1047</f>
        <v>-60796.63</v>
      </c>
    </row>
    <row r="1089" spans="1:10" x14ac:dyDescent="0.2">
      <c r="A1089" s="383" t="s">
        <v>522</v>
      </c>
      <c r="B1089" s="397">
        <v>45809</v>
      </c>
      <c r="C1089" s="397" t="s">
        <v>534</v>
      </c>
      <c r="D1089" s="383">
        <v>9</v>
      </c>
      <c r="E1089" s="383" t="s">
        <v>526</v>
      </c>
      <c r="F1089" s="390" t="s">
        <v>363</v>
      </c>
      <c r="G1089" s="390"/>
      <c r="H1089" s="405" t="s">
        <v>363</v>
      </c>
      <c r="I1089" s="396">
        <f>I1048-I1055</f>
        <v>-554548.174</v>
      </c>
    </row>
    <row r="1090" spans="1:10" x14ac:dyDescent="0.2">
      <c r="A1090" s="383" t="s">
        <v>522</v>
      </c>
      <c r="B1090" s="397">
        <v>45809</v>
      </c>
      <c r="C1090" s="397" t="s">
        <v>534</v>
      </c>
      <c r="D1090" s="383">
        <v>9</v>
      </c>
      <c r="E1090" s="383" t="s">
        <v>526</v>
      </c>
      <c r="F1090" s="390" t="s">
        <v>364</v>
      </c>
      <c r="G1090" s="390"/>
      <c r="H1090" s="384" t="s">
        <v>364</v>
      </c>
      <c r="I1090" s="406">
        <f>I1049</f>
        <v>-32092.9664204</v>
      </c>
    </row>
    <row r="1091" spans="1:10" x14ac:dyDescent="0.2">
      <c r="A1091" s="383" t="s">
        <v>522</v>
      </c>
      <c r="B1091" s="397">
        <v>45809</v>
      </c>
      <c r="C1091" s="397" t="s">
        <v>534</v>
      </c>
      <c r="D1091" s="383">
        <v>9</v>
      </c>
      <c r="E1091" s="383" t="s">
        <v>526</v>
      </c>
      <c r="F1091" s="394" t="s">
        <v>273</v>
      </c>
      <c r="G1091" s="394"/>
      <c r="H1091" s="398" t="s">
        <v>563</v>
      </c>
      <c r="I1091" s="406">
        <f>I1050</f>
        <v>0</v>
      </c>
    </row>
    <row r="1092" spans="1:10" x14ac:dyDescent="0.2">
      <c r="A1092" s="383" t="s">
        <v>522</v>
      </c>
      <c r="B1092" s="397">
        <v>45809</v>
      </c>
      <c r="C1092" s="397" t="s">
        <v>534</v>
      </c>
      <c r="D1092" s="383">
        <v>10</v>
      </c>
      <c r="E1092" s="383" t="s">
        <v>452</v>
      </c>
      <c r="F1092" s="400" t="s">
        <v>365</v>
      </c>
      <c r="G1092" s="400"/>
      <c r="H1092" s="403" t="s">
        <v>365</v>
      </c>
      <c r="I1092" s="396">
        <f>I1058+I1059+I1060+I1061+I1062+I1063+I1071+I1072+I1073+I1074+I1076+I1077+I1078+I1079+I1080+I1081+I1082+I1083+I1084+I1086+I1087+I1088+I1089+I1090+I1091</f>
        <v>-3661217.6104203998</v>
      </c>
      <c r="J1092" s="352">
        <f>IF(C1092="A",-I1092/I1057,I1092/I1057)</f>
        <v>0.85463659057774932</v>
      </c>
    </row>
    <row r="1093" spans="1:10" x14ac:dyDescent="0.2">
      <c r="A1093" s="383" t="s">
        <v>522</v>
      </c>
      <c r="B1093" s="397">
        <v>45809</v>
      </c>
      <c r="C1093" s="397" t="s">
        <v>535</v>
      </c>
      <c r="D1093" s="383">
        <v>11</v>
      </c>
      <c r="E1093" s="383" t="s">
        <v>528</v>
      </c>
      <c r="F1093" s="400" t="s">
        <v>367</v>
      </c>
      <c r="G1093" s="400"/>
      <c r="H1093" s="405" t="s">
        <v>367</v>
      </c>
      <c r="I1093" s="395">
        <f>I1057+I1092</f>
        <v>622729.09954360081</v>
      </c>
      <c r="J1093" s="352">
        <f>IF(C1093="A",-I1093/I1057,I1093/I1057)</f>
        <v>0.14536340942225068</v>
      </c>
    </row>
    <row r="1094" spans="1:10" ht="14.25" x14ac:dyDescent="0.2">
      <c r="A1094" s="383" t="s">
        <v>73</v>
      </c>
      <c r="B1094" s="397">
        <v>45839</v>
      </c>
      <c r="C1094" s="397" t="s">
        <v>536</v>
      </c>
      <c r="D1094" s="383">
        <v>1</v>
      </c>
      <c r="E1094" s="384" t="s">
        <v>530</v>
      </c>
      <c r="F1094" s="400" t="s">
        <v>440</v>
      </c>
      <c r="G1094" s="459" t="s">
        <v>324</v>
      </c>
      <c r="H1094" s="384" t="s">
        <v>440</v>
      </c>
      <c r="I1094" s="383">
        <f>INDEX(DRE!$W$2:$AS$53, MATCH('DRE 2025'!G1094,DRE!$D$2:$D$53,0), MATCH(B1094, DRE!$W$1:$AS$1, 0))</f>
        <v>4526009.38</v>
      </c>
      <c r="J1094" s="352">
        <v>1</v>
      </c>
    </row>
    <row r="1095" spans="1:10" x14ac:dyDescent="0.2">
      <c r="A1095" s="383" t="s">
        <v>73</v>
      </c>
      <c r="B1095" s="397">
        <v>45839</v>
      </c>
      <c r="C1095" s="397" t="s">
        <v>534</v>
      </c>
      <c r="D1095" s="383">
        <v>2</v>
      </c>
      <c r="E1095" s="384" t="s">
        <v>325</v>
      </c>
      <c r="F1095" s="390" t="s">
        <v>326</v>
      </c>
      <c r="G1095" s="461" t="s">
        <v>326</v>
      </c>
      <c r="H1095" s="384" t="s">
        <v>519</v>
      </c>
      <c r="I1095" s="383">
        <f>INDEX(DRE!$W$2:$AS$53, MATCH('DRE 2025'!G1095,DRE!$D$2:$D$53,0), MATCH(B1095, DRE!$W$1:$AS$1, 0))</f>
        <v>-246883.33</v>
      </c>
    </row>
    <row r="1096" spans="1:10" x14ac:dyDescent="0.2">
      <c r="A1096" s="383" t="s">
        <v>73</v>
      </c>
      <c r="B1096" s="397">
        <v>45839</v>
      </c>
      <c r="C1096" s="397" t="s">
        <v>534</v>
      </c>
      <c r="D1096" s="383">
        <v>2</v>
      </c>
      <c r="E1096" s="384" t="s">
        <v>325</v>
      </c>
      <c r="F1096" s="385" t="s">
        <v>328</v>
      </c>
      <c r="G1096" s="462" t="s">
        <v>328</v>
      </c>
      <c r="H1096" s="384" t="s">
        <v>521</v>
      </c>
      <c r="I1096" s="383">
        <f>INDEX(DRE!$W$2:$AS$53, MATCH('DRE 2025'!G1096,DRE!$D$2:$D$53,0), MATCH(B1096, DRE!$W$1:$AS$1, 0))</f>
        <v>-5240.53</v>
      </c>
    </row>
    <row r="1097" spans="1:10" x14ac:dyDescent="0.2">
      <c r="A1097" s="383" t="s">
        <v>73</v>
      </c>
      <c r="B1097" s="397">
        <v>45839</v>
      </c>
      <c r="C1097" s="397" t="s">
        <v>534</v>
      </c>
      <c r="D1097" s="383">
        <v>2</v>
      </c>
      <c r="E1097" s="384" t="s">
        <v>325</v>
      </c>
      <c r="F1097" s="385" t="s">
        <v>329</v>
      </c>
      <c r="G1097" s="462" t="s">
        <v>329</v>
      </c>
      <c r="H1097" s="384" t="s">
        <v>329</v>
      </c>
      <c r="I1097" s="383">
        <f>INDEX(DRE!$W$2:$AS$53, MATCH('DRE 2025'!G1097,DRE!$D$2:$D$53,0), MATCH(B1097, DRE!$W$1:$AS$1, 0))</f>
        <v>0</v>
      </c>
    </row>
    <row r="1098" spans="1:10" x14ac:dyDescent="0.2">
      <c r="A1098" s="383" t="s">
        <v>73</v>
      </c>
      <c r="B1098" s="397">
        <v>45839</v>
      </c>
      <c r="C1098" s="397" t="s">
        <v>534</v>
      </c>
      <c r="D1098" s="383">
        <v>2</v>
      </c>
      <c r="E1098" s="384" t="s">
        <v>325</v>
      </c>
      <c r="F1098" s="385" t="s">
        <v>330</v>
      </c>
      <c r="G1098" s="462" t="s">
        <v>565</v>
      </c>
      <c r="H1098" s="384" t="s">
        <v>330</v>
      </c>
      <c r="I1098" s="383">
        <f>INDEX(DRE!$W$2:$AS$53, MATCH('DRE 2025'!G1098,DRE!$D$2:$D$53,0), MATCH(B1098, DRE!$W$1:$AS$1, 0))</f>
        <v>0</v>
      </c>
    </row>
    <row r="1099" spans="1:10" x14ac:dyDescent="0.2">
      <c r="A1099" s="383" t="s">
        <v>73</v>
      </c>
      <c r="B1099" s="397">
        <v>45839</v>
      </c>
      <c r="C1099" s="397" t="s">
        <v>534</v>
      </c>
      <c r="D1099" s="383">
        <v>2</v>
      </c>
      <c r="E1099" s="384" t="s">
        <v>325</v>
      </c>
      <c r="F1099" s="385" t="s">
        <v>331</v>
      </c>
      <c r="G1099" s="462" t="s">
        <v>331</v>
      </c>
      <c r="H1099" s="384" t="s">
        <v>331</v>
      </c>
      <c r="I1099" s="383">
        <f>INDEX(DRE!$W$2:$AS$53, MATCH('DRE 2025'!G1099,DRE!$D$2:$D$53,0), MATCH(B1099, DRE!$W$1:$AS$1, 0))</f>
        <v>-0.06</v>
      </c>
    </row>
    <row r="1100" spans="1:10" x14ac:dyDescent="0.2">
      <c r="A1100" s="383" t="s">
        <v>73</v>
      </c>
      <c r="B1100" s="397">
        <v>45839</v>
      </c>
      <c r="C1100" s="397" t="s">
        <v>534</v>
      </c>
      <c r="D1100" s="383">
        <v>2</v>
      </c>
      <c r="E1100" s="384" t="s">
        <v>325</v>
      </c>
      <c r="F1100" s="384" t="s">
        <v>332</v>
      </c>
      <c r="G1100" s="463" t="s">
        <v>332</v>
      </c>
      <c r="H1100" s="384" t="s">
        <v>520</v>
      </c>
      <c r="I1100" s="383">
        <f>INDEX(DRE!$W$2:$AS$53, MATCH('DRE 2025'!G1100,DRE!$D$2:$D$53,0), MATCH(B1100, DRE!$W$1:$AS$1, 0))</f>
        <v>0</v>
      </c>
    </row>
    <row r="1101" spans="1:10" x14ac:dyDescent="0.2">
      <c r="A1101" s="383" t="s">
        <v>73</v>
      </c>
      <c r="B1101" s="397">
        <v>45839</v>
      </c>
      <c r="C1101" s="397" t="s">
        <v>535</v>
      </c>
      <c r="D1101" s="383">
        <v>3</v>
      </c>
      <c r="E1101" s="384" t="s">
        <v>531</v>
      </c>
      <c r="F1101" s="385" t="s">
        <v>334</v>
      </c>
      <c r="G1101" s="462" t="s">
        <v>334</v>
      </c>
      <c r="H1101" s="384" t="s">
        <v>334</v>
      </c>
      <c r="I1101" s="383">
        <f>INDEX(DRE!$W$2:$AS$53, MATCH('DRE 2025'!G1101,DRE!$D$2:$D$53,0), MATCH(B1101, DRE!$W$1:$AS$1, 0))</f>
        <v>4153085.78</v>
      </c>
    </row>
    <row r="1102" spans="1:10" x14ac:dyDescent="0.2">
      <c r="A1102" s="383" t="s">
        <v>73</v>
      </c>
      <c r="B1102" s="397">
        <v>45839</v>
      </c>
      <c r="C1102" s="397" t="s">
        <v>535</v>
      </c>
      <c r="D1102" s="383">
        <v>3</v>
      </c>
      <c r="E1102" s="384" t="s">
        <v>531</v>
      </c>
      <c r="F1102" s="385" t="s">
        <v>335</v>
      </c>
      <c r="G1102" s="462" t="s">
        <v>335</v>
      </c>
      <c r="H1102" s="384" t="s">
        <v>335</v>
      </c>
      <c r="I1102" s="383">
        <f>INDEX(DRE!$W$2:$AS$53, MATCH('DRE 2025'!G1102,DRE!$D$2:$D$53,0), MATCH(B1102, DRE!$W$1:$AS$1, 0))</f>
        <v>112779.26000000001</v>
      </c>
    </row>
    <row r="1103" spans="1:10" x14ac:dyDescent="0.2">
      <c r="A1103" s="383" t="s">
        <v>73</v>
      </c>
      <c r="B1103" s="397">
        <v>45839</v>
      </c>
      <c r="C1103" s="397" t="s">
        <v>535</v>
      </c>
      <c r="D1103" s="383">
        <v>3</v>
      </c>
      <c r="E1103" s="384" t="s">
        <v>531</v>
      </c>
      <c r="F1103" s="385" t="s">
        <v>336</v>
      </c>
      <c r="G1103" s="462" t="s">
        <v>336</v>
      </c>
      <c r="H1103" s="384" t="s">
        <v>336</v>
      </c>
      <c r="I1103" s="383">
        <f>INDEX(DRE!$W$2:$AS$53, MATCH('DRE 2025'!G1103,DRE!$D$2:$D$53,0), MATCH(B1103, DRE!$W$1:$AS$1, 0))</f>
        <v>0</v>
      </c>
    </row>
    <row r="1104" spans="1:10" x14ac:dyDescent="0.2">
      <c r="A1104" s="383" t="s">
        <v>73</v>
      </c>
      <c r="B1104" s="397">
        <v>45839</v>
      </c>
      <c r="C1104" s="397" t="s">
        <v>535</v>
      </c>
      <c r="D1104" s="383">
        <v>3</v>
      </c>
      <c r="E1104" s="384" t="s">
        <v>531</v>
      </c>
      <c r="F1104" s="387" t="s">
        <v>273</v>
      </c>
      <c r="G1104" s="464" t="s">
        <v>562</v>
      </c>
      <c r="H1104" s="384" t="s">
        <v>562</v>
      </c>
      <c r="I1104" s="383">
        <f>INDEX(DRE!$W$2:$AS$53, MATCH('DRE 2025'!G1104,DRE!$D$2:$D$53,0), MATCH(B1104, DRE!$W$1:$AS$1, 0))</f>
        <v>0</v>
      </c>
    </row>
    <row r="1105" spans="1:10" x14ac:dyDescent="0.2">
      <c r="A1105" s="383" t="s">
        <v>73</v>
      </c>
      <c r="B1105" s="397">
        <v>45839</v>
      </c>
      <c r="C1105" s="397" t="s">
        <v>535</v>
      </c>
      <c r="D1105" s="383">
        <v>3</v>
      </c>
      <c r="E1105" s="384" t="s">
        <v>531</v>
      </c>
      <c r="F1105" s="387" t="s">
        <v>513</v>
      </c>
      <c r="G1105" s="464" t="s">
        <v>513</v>
      </c>
      <c r="H1105" s="384" t="s">
        <v>513</v>
      </c>
      <c r="I1105" s="383" t="e">
        <f>INDEX(DRE!$W$2:$AS$53, MATCH('DRE 2025'!G1105,DRE!$D$2:$D$53,0), MATCH(B1105, DRE!$W$1:$AS$1, 0))</f>
        <v>#N/A</v>
      </c>
    </row>
    <row r="1106" spans="1:10" x14ac:dyDescent="0.2">
      <c r="A1106" s="383" t="s">
        <v>73</v>
      </c>
      <c r="B1106" s="397">
        <v>45839</v>
      </c>
      <c r="C1106" s="397" t="s">
        <v>535</v>
      </c>
      <c r="D1106" s="383">
        <v>3</v>
      </c>
      <c r="E1106" s="384" t="s">
        <v>531</v>
      </c>
      <c r="F1106" s="387" t="s">
        <v>514</v>
      </c>
      <c r="G1106" s="464" t="s">
        <v>514</v>
      </c>
      <c r="H1106" s="384" t="s">
        <v>514</v>
      </c>
      <c r="I1106" s="383" t="e">
        <f>INDEX(DRE!$W$2:$AS$53, MATCH('DRE 2025'!G1106,DRE!$D$2:$D$53,0), MATCH(B1106, DRE!$W$1:$AS$1, 0))</f>
        <v>#N/A</v>
      </c>
    </row>
    <row r="1107" spans="1:10" x14ac:dyDescent="0.2">
      <c r="A1107" s="383" t="s">
        <v>73</v>
      </c>
      <c r="B1107" s="397">
        <v>45839</v>
      </c>
      <c r="C1107" s="397" t="s">
        <v>535</v>
      </c>
      <c r="D1107" s="383">
        <v>3</v>
      </c>
      <c r="E1107" s="384" t="s">
        <v>531</v>
      </c>
      <c r="F1107" s="385" t="s">
        <v>337</v>
      </c>
      <c r="G1107" s="462" t="s">
        <v>337</v>
      </c>
      <c r="H1107" s="384" t="s">
        <v>337</v>
      </c>
      <c r="I1107" s="383">
        <f>INDEX(DRE!$W$2:$AS$53, MATCH('DRE 2025'!G1107,DRE!$D$2:$D$53,0), MATCH(B1107, DRE!$W$1:$AS$1, 0))</f>
        <v>8023.65</v>
      </c>
    </row>
    <row r="1108" spans="1:10" x14ac:dyDescent="0.2">
      <c r="A1108" s="383" t="s">
        <v>73</v>
      </c>
      <c r="B1108" s="397">
        <v>45839</v>
      </c>
      <c r="C1108" s="397" t="s">
        <v>534</v>
      </c>
      <c r="D1108" s="383">
        <v>4</v>
      </c>
      <c r="E1108" s="383" t="s">
        <v>523</v>
      </c>
      <c r="F1108" s="388" t="s">
        <v>340</v>
      </c>
      <c r="G1108" s="465" t="s">
        <v>340</v>
      </c>
      <c r="H1108" s="384" t="s">
        <v>340</v>
      </c>
      <c r="I1108" s="383">
        <f>INDEX(DRE!$W$2:$AS$53, MATCH('DRE 2025'!G1108,DRE!$D$2:$D$53,0), MATCH(B1108, DRE!$W$1:$AS$1, 0))</f>
        <v>-30931.199999999997</v>
      </c>
    </row>
    <row r="1109" spans="1:10" x14ac:dyDescent="0.2">
      <c r="A1109" s="383" t="s">
        <v>73</v>
      </c>
      <c r="B1109" s="397">
        <v>45839</v>
      </c>
      <c r="C1109" s="397" t="s">
        <v>534</v>
      </c>
      <c r="D1109" s="383">
        <v>4</v>
      </c>
      <c r="E1109" s="383" t="s">
        <v>523</v>
      </c>
      <c r="F1109" s="388" t="s">
        <v>341</v>
      </c>
      <c r="G1109" s="465" t="s">
        <v>341</v>
      </c>
      <c r="H1109" s="384" t="s">
        <v>341</v>
      </c>
      <c r="I1109" s="383">
        <f>INDEX(DRE!$W$2:$AS$53, MATCH('DRE 2025'!G1109,DRE!$D$2:$D$53,0), MATCH(B1109, DRE!$W$1:$AS$1, 0))</f>
        <v>-196590.73</v>
      </c>
    </row>
    <row r="1110" spans="1:10" x14ac:dyDescent="0.2">
      <c r="A1110" s="383" t="s">
        <v>73</v>
      </c>
      <c r="B1110" s="397">
        <v>45839</v>
      </c>
      <c r="C1110" s="397" t="s">
        <v>534</v>
      </c>
      <c r="D1110" s="383">
        <v>4</v>
      </c>
      <c r="E1110" s="383" t="s">
        <v>523</v>
      </c>
      <c r="F1110" s="388" t="s">
        <v>342</v>
      </c>
      <c r="G1110" s="465" t="s">
        <v>342</v>
      </c>
      <c r="H1110" s="384" t="s">
        <v>342</v>
      </c>
      <c r="I1110" s="383">
        <f>INDEX(DRE!$W$2:$AS$53, MATCH('DRE 2025'!G1110,DRE!$D$2:$D$53,0), MATCH(B1110, DRE!$W$1:$AS$1, 0))</f>
        <v>-1594773.16</v>
      </c>
    </row>
    <row r="1111" spans="1:10" x14ac:dyDescent="0.2">
      <c r="A1111" s="383" t="s">
        <v>73</v>
      </c>
      <c r="B1111" s="397">
        <v>45839</v>
      </c>
      <c r="C1111" s="397" t="s">
        <v>534</v>
      </c>
      <c r="D1111" s="383">
        <v>4</v>
      </c>
      <c r="E1111" s="383" t="s">
        <v>523</v>
      </c>
      <c r="F1111" s="388" t="s">
        <v>343</v>
      </c>
      <c r="G1111" s="465" t="s">
        <v>343</v>
      </c>
      <c r="H1111" s="384" t="s">
        <v>343</v>
      </c>
      <c r="I1111" s="383">
        <f>INDEX(DRE!$W$2:$AS$53, MATCH('DRE 2025'!G1111,DRE!$D$2:$D$53,0), MATCH(B1111, DRE!$W$1:$AS$1, 0))</f>
        <v>-68126.460000000006</v>
      </c>
    </row>
    <row r="1112" spans="1:10" x14ac:dyDescent="0.2">
      <c r="A1112" s="383" t="s">
        <v>73</v>
      </c>
      <c r="B1112" s="397">
        <v>45839</v>
      </c>
      <c r="C1112" s="397" t="s">
        <v>535</v>
      </c>
      <c r="D1112" s="383">
        <v>5</v>
      </c>
      <c r="E1112" s="383" t="s">
        <v>532</v>
      </c>
      <c r="F1112" s="401" t="s">
        <v>345</v>
      </c>
      <c r="G1112" s="401"/>
      <c r="H1112" s="402" t="s">
        <v>345</v>
      </c>
      <c r="I1112" s="406" t="e">
        <f>I1101+I1102+I1103+I1104+I1105+I1106+I1107+I1108+I1109+I1110+I1111</f>
        <v>#N/A</v>
      </c>
      <c r="J1112" s="352" t="e">
        <f>IF(C1112="A",-I1112/I1094,I1112/I1094)</f>
        <v>#N/A</v>
      </c>
    </row>
    <row r="1113" spans="1:10" x14ac:dyDescent="0.2">
      <c r="A1113" s="383" t="s">
        <v>73</v>
      </c>
      <c r="B1113" s="397">
        <v>45839</v>
      </c>
      <c r="C1113" s="397" t="s">
        <v>534</v>
      </c>
      <c r="D1113" s="383">
        <v>6</v>
      </c>
      <c r="E1113" s="383" t="s">
        <v>524</v>
      </c>
      <c r="F1113" s="388" t="s">
        <v>349</v>
      </c>
      <c r="G1113" s="465" t="s">
        <v>349</v>
      </c>
      <c r="H1113" s="384" t="s">
        <v>473</v>
      </c>
      <c r="I1113" s="383">
        <f>INDEX(DRE!$W$2:$AS$53, MATCH('DRE 2025'!G1113,DRE!$D$2:$D$53,0), MATCH(B1113, DRE!$W$1:$AS$1, 0))</f>
        <v>-34319.300000000003</v>
      </c>
    </row>
    <row r="1114" spans="1:10" x14ac:dyDescent="0.2">
      <c r="A1114" s="383" t="s">
        <v>73</v>
      </c>
      <c r="B1114" s="397">
        <v>45839</v>
      </c>
      <c r="C1114" s="397" t="s">
        <v>534</v>
      </c>
      <c r="D1114" s="383">
        <v>6</v>
      </c>
      <c r="E1114" s="383" t="s">
        <v>524</v>
      </c>
      <c r="F1114" s="388" t="s">
        <v>350</v>
      </c>
      <c r="G1114" s="465" t="s">
        <v>350</v>
      </c>
      <c r="H1114" s="384" t="s">
        <v>474</v>
      </c>
      <c r="I1114" s="383">
        <f>INDEX(DRE!$W$2:$AS$53, MATCH('DRE 2025'!G1114,DRE!$D$2:$D$53,0), MATCH(B1114, DRE!$W$1:$AS$1, 0))</f>
        <v>-10680.49</v>
      </c>
    </row>
    <row r="1115" spans="1:10" x14ac:dyDescent="0.2">
      <c r="A1115" s="383" t="s">
        <v>73</v>
      </c>
      <c r="B1115" s="397">
        <v>45839</v>
      </c>
      <c r="C1115" s="397" t="s">
        <v>534</v>
      </c>
      <c r="D1115" s="383">
        <v>6</v>
      </c>
      <c r="E1115" s="383" t="s">
        <v>524</v>
      </c>
      <c r="F1115" s="388" t="s">
        <v>351</v>
      </c>
      <c r="G1115" s="465" t="s">
        <v>351</v>
      </c>
      <c r="H1115" s="384" t="s">
        <v>475</v>
      </c>
      <c r="I1115" s="383">
        <f>INDEX(DRE!$W$2:$AS$53, MATCH('DRE 2025'!G1115,DRE!$D$2:$D$53,0), MATCH(B1115, DRE!$W$1:$AS$1, 0))</f>
        <v>-63291.359999999993</v>
      </c>
    </row>
    <row r="1116" spans="1:10" x14ac:dyDescent="0.2">
      <c r="A1116" s="383" t="s">
        <v>73</v>
      </c>
      <c r="B1116" s="397">
        <v>45839</v>
      </c>
      <c r="C1116" s="397" t="s">
        <v>534</v>
      </c>
      <c r="D1116" s="383">
        <v>6</v>
      </c>
      <c r="E1116" s="383" t="s">
        <v>524</v>
      </c>
      <c r="F1116" s="388" t="s">
        <v>352</v>
      </c>
      <c r="G1116" s="465" t="s">
        <v>352</v>
      </c>
      <c r="H1116" s="384" t="s">
        <v>476</v>
      </c>
      <c r="I1116" s="383">
        <f>INDEX(DRE!$W$2:$AS$53, MATCH('DRE 2025'!G1116,DRE!$D$2:$D$53,0), MATCH(B1116, DRE!$W$1:$AS$1, 0))</f>
        <v>-7958.13</v>
      </c>
    </row>
    <row r="1117" spans="1:10" x14ac:dyDescent="0.2">
      <c r="A1117" s="383" t="s">
        <v>73</v>
      </c>
      <c r="B1117" s="397">
        <v>45839</v>
      </c>
      <c r="C1117" s="397" t="s">
        <v>534</v>
      </c>
      <c r="D1117" s="383">
        <v>6</v>
      </c>
      <c r="E1117" s="383" t="s">
        <v>524</v>
      </c>
      <c r="F1117" s="388" t="s">
        <v>353</v>
      </c>
      <c r="G1117" s="465" t="s">
        <v>353</v>
      </c>
      <c r="H1117" s="384" t="s">
        <v>477</v>
      </c>
      <c r="I1117" s="383">
        <f>INDEX(DRE!$W$2:$AS$53, MATCH('DRE 2025'!G1117,DRE!$D$2:$D$53,0), MATCH(B1117, DRE!$W$1:$AS$1, 0))</f>
        <v>-64024.160000000003</v>
      </c>
    </row>
    <row r="1118" spans="1:10" x14ac:dyDescent="0.2">
      <c r="A1118" s="383" t="s">
        <v>73</v>
      </c>
      <c r="B1118" s="397">
        <v>45839</v>
      </c>
      <c r="C1118" s="397" t="s">
        <v>534</v>
      </c>
      <c r="D1118" s="383">
        <v>6</v>
      </c>
      <c r="E1118" s="383" t="s">
        <v>524</v>
      </c>
      <c r="F1118" s="388" t="s">
        <v>354</v>
      </c>
      <c r="G1118" s="465" t="s">
        <v>354</v>
      </c>
      <c r="H1118" s="384" t="s">
        <v>478</v>
      </c>
      <c r="I1118" s="383">
        <f>INDEX(DRE!$W$2:$AS$53, MATCH('DRE 2025'!G1118,DRE!$D$2:$D$53,0), MATCH(B1118, DRE!$W$1:$AS$1, 0))</f>
        <v>-32443.43</v>
      </c>
    </row>
    <row r="1119" spans="1:10" x14ac:dyDescent="0.2">
      <c r="A1119" s="383" t="s">
        <v>73</v>
      </c>
      <c r="B1119" s="397">
        <v>45839</v>
      </c>
      <c r="C1119" s="397" t="s">
        <v>534</v>
      </c>
      <c r="D1119" s="383">
        <v>6</v>
      </c>
      <c r="E1119" s="383" t="s">
        <v>524</v>
      </c>
      <c r="F1119" s="390" t="s">
        <v>355</v>
      </c>
      <c r="G1119" s="461" t="s">
        <v>355</v>
      </c>
      <c r="H1119" s="384" t="s">
        <v>355</v>
      </c>
      <c r="I1119" s="383">
        <f>INDEX(DRE!$W$2:$AS$53, MATCH('DRE 2025'!G1119,DRE!$D$2:$D$53,0), MATCH(B1119, DRE!$W$1:$AS$1, 0))</f>
        <v>-79528.5</v>
      </c>
    </row>
    <row r="1120" spans="1:10" x14ac:dyDescent="0.2">
      <c r="A1120" s="383" t="s">
        <v>73</v>
      </c>
      <c r="B1120" s="397">
        <v>45839</v>
      </c>
      <c r="C1120" s="397" t="s">
        <v>534</v>
      </c>
      <c r="D1120" s="383">
        <v>6</v>
      </c>
      <c r="E1120" s="383" t="s">
        <v>524</v>
      </c>
      <c r="F1120" s="390" t="s">
        <v>356</v>
      </c>
      <c r="G1120" s="461" t="s">
        <v>356</v>
      </c>
      <c r="H1120" s="384" t="s">
        <v>356</v>
      </c>
      <c r="I1120" s="383">
        <f>INDEX(DRE!$W$2:$AS$53, MATCH('DRE 2025'!G1120,DRE!$D$2:$D$53,0), MATCH(B1120, DRE!$W$1:$AS$1, 0))</f>
        <v>-591983.14500000002</v>
      </c>
    </row>
    <row r="1121" spans="1:10" x14ac:dyDescent="0.2">
      <c r="A1121" s="383" t="s">
        <v>73</v>
      </c>
      <c r="B1121" s="397">
        <v>45839</v>
      </c>
      <c r="C1121" s="397" t="s">
        <v>534</v>
      </c>
      <c r="D1121" s="383">
        <v>6</v>
      </c>
      <c r="E1121" s="383" t="s">
        <v>524</v>
      </c>
      <c r="F1121" s="390" t="s">
        <v>357</v>
      </c>
      <c r="G1121" s="461" t="s">
        <v>357</v>
      </c>
      <c r="H1121" s="384" t="s">
        <v>357</v>
      </c>
      <c r="I1121" s="383">
        <f>INDEX(DRE!$W$2:$AS$53, MATCH('DRE 2025'!G1121,DRE!$D$2:$D$53,0), MATCH(B1121, DRE!$W$1:$AS$1, 0))</f>
        <v>0</v>
      </c>
    </row>
    <row r="1122" spans="1:10" x14ac:dyDescent="0.2">
      <c r="A1122" s="383" t="s">
        <v>73</v>
      </c>
      <c r="B1122" s="397">
        <v>45839</v>
      </c>
      <c r="C1122" s="397" t="s">
        <v>535</v>
      </c>
      <c r="D1122" s="383">
        <v>7</v>
      </c>
      <c r="E1122" s="383" t="s">
        <v>529</v>
      </c>
      <c r="F1122" s="400" t="s">
        <v>358</v>
      </c>
      <c r="G1122" s="400"/>
      <c r="H1122" s="403" t="s">
        <v>358</v>
      </c>
      <c r="I1122" s="396" t="e">
        <f>I1112+I1113+I1114+I1115+I1116+I1117+I1118+I1119+I1120+I1121</f>
        <v>#N/A</v>
      </c>
      <c r="J1122" s="352" t="e">
        <f>IF(C1122="A",-I1122/I1094,I1122/I1094)</f>
        <v>#N/A</v>
      </c>
    </row>
    <row r="1123" spans="1:10" x14ac:dyDescent="0.2">
      <c r="A1123" s="383" t="s">
        <v>73</v>
      </c>
      <c r="B1123" s="397">
        <v>45839</v>
      </c>
      <c r="C1123" s="397" t="s">
        <v>534</v>
      </c>
      <c r="D1123" s="383">
        <v>8</v>
      </c>
      <c r="E1123" s="383" t="s">
        <v>527</v>
      </c>
      <c r="F1123" s="385" t="s">
        <v>359</v>
      </c>
      <c r="G1123" s="462" t="s">
        <v>359</v>
      </c>
      <c r="H1123" s="384" t="s">
        <v>479</v>
      </c>
      <c r="I1123" s="383">
        <f>INDEX(DRE!$W$2:$AS$53, MATCH('DRE 2025'!G1123,DRE!$D$2:$D$53,0), MATCH(B1123, DRE!$W$1:$AS$1, 0))</f>
        <v>0</v>
      </c>
    </row>
    <row r="1124" spans="1:10" x14ac:dyDescent="0.2">
      <c r="A1124" s="383" t="s">
        <v>73</v>
      </c>
      <c r="B1124" s="397">
        <v>45839</v>
      </c>
      <c r="C1124" s="397" t="s">
        <v>534</v>
      </c>
      <c r="D1124" s="383">
        <v>8</v>
      </c>
      <c r="E1124" s="383" t="s">
        <v>527</v>
      </c>
      <c r="F1124" s="385" t="s">
        <v>360</v>
      </c>
      <c r="G1124" s="462" t="s">
        <v>360</v>
      </c>
      <c r="H1124" s="384" t="s">
        <v>480</v>
      </c>
      <c r="I1124" s="383">
        <f>INDEX(DRE!$W$2:$AS$53, MATCH('DRE 2025'!G1124,DRE!$D$2:$D$53,0), MATCH(B1124, DRE!$W$1:$AS$1, 0))</f>
        <v>24599.55</v>
      </c>
    </row>
    <row r="1125" spans="1:10" x14ac:dyDescent="0.2">
      <c r="A1125" s="383" t="s">
        <v>73</v>
      </c>
      <c r="B1125" s="397">
        <v>45839</v>
      </c>
      <c r="C1125" s="397" t="s">
        <v>534</v>
      </c>
      <c r="D1125" s="383">
        <v>8</v>
      </c>
      <c r="E1125" s="383" t="s">
        <v>527</v>
      </c>
      <c r="F1125" s="390" t="s">
        <v>361</v>
      </c>
      <c r="G1125" s="466" t="s">
        <v>361</v>
      </c>
      <c r="H1125" s="384" t="s">
        <v>481</v>
      </c>
      <c r="I1125" s="383">
        <f>INDEX(DRE!$W$2:$AS$53, MATCH('DRE 2025'!G1125,DRE!$D$2:$D$53,0), MATCH(B1125, DRE!$W$1:$AS$1, 0))</f>
        <v>-29196.04</v>
      </c>
    </row>
    <row r="1126" spans="1:10" x14ac:dyDescent="0.2">
      <c r="A1126" s="383" t="s">
        <v>73</v>
      </c>
      <c r="B1126" s="397">
        <v>45839</v>
      </c>
      <c r="C1126" s="397" t="s">
        <v>534</v>
      </c>
      <c r="D1126" s="383">
        <v>9</v>
      </c>
      <c r="E1126" s="383" t="s">
        <v>526</v>
      </c>
      <c r="F1126" s="390" t="s">
        <v>363</v>
      </c>
      <c r="G1126" s="461" t="s">
        <v>363</v>
      </c>
      <c r="H1126" s="384" t="s">
        <v>363</v>
      </c>
      <c r="I1126" s="383">
        <f>INDEX(DRE!$W$2:$AS$53, MATCH('DRE 2025'!G1126,DRE!$D$2:$D$53,0), MATCH(B1126, DRE!$W$1:$AS$1, 0))</f>
        <v>-632141.61</v>
      </c>
    </row>
    <row r="1127" spans="1:10" x14ac:dyDescent="0.2">
      <c r="A1127" s="383" t="s">
        <v>73</v>
      </c>
      <c r="B1127" s="397">
        <v>45839</v>
      </c>
      <c r="C1127" s="397" t="s">
        <v>534</v>
      </c>
      <c r="D1127" s="383">
        <v>9</v>
      </c>
      <c r="E1127" s="383" t="s">
        <v>526</v>
      </c>
      <c r="F1127" s="390" t="s">
        <v>364</v>
      </c>
      <c r="G1127" s="461" t="s">
        <v>364</v>
      </c>
      <c r="H1127" s="384" t="s">
        <v>364</v>
      </c>
      <c r="I1127" s="383">
        <f>INDEX(DRE!$W$2:$AS$53, MATCH('DRE 2025'!G1127,DRE!$D$2:$D$53,0), MATCH(B1127, DRE!$W$1:$AS$1, 0))</f>
        <v>-32092.9664204</v>
      </c>
    </row>
    <row r="1128" spans="1:10" x14ac:dyDescent="0.2">
      <c r="A1128" s="383" t="s">
        <v>73</v>
      </c>
      <c r="B1128" s="397">
        <v>45839</v>
      </c>
      <c r="C1128" s="397" t="s">
        <v>534</v>
      </c>
      <c r="D1128" s="383">
        <v>9</v>
      </c>
      <c r="E1128" s="383" t="s">
        <v>526</v>
      </c>
      <c r="F1128" s="394" t="s">
        <v>273</v>
      </c>
      <c r="G1128" s="467" t="s">
        <v>563</v>
      </c>
      <c r="H1128" s="398" t="s">
        <v>563</v>
      </c>
      <c r="I1128" s="383">
        <f>INDEX(DRE!$W$2:$AS$53, MATCH('DRE 2025'!G1128,DRE!$D$2:$D$53,0), MATCH(B1128, DRE!$W$1:$AS$1, 0))</f>
        <v>0</v>
      </c>
    </row>
    <row r="1129" spans="1:10" x14ac:dyDescent="0.2">
      <c r="A1129" s="383" t="s">
        <v>73</v>
      </c>
      <c r="B1129" s="397">
        <v>45839</v>
      </c>
      <c r="C1129" s="397" t="s">
        <v>534</v>
      </c>
      <c r="D1129" s="383">
        <v>10</v>
      </c>
      <c r="E1129" s="383" t="s">
        <v>452</v>
      </c>
      <c r="F1129" s="400" t="s">
        <v>365</v>
      </c>
      <c r="G1129" s="400"/>
      <c r="H1129" s="403" t="s">
        <v>365</v>
      </c>
      <c r="I1129" s="396">
        <f>I1095+I1096+I1097+I1098+I1099+I1100+I1108+I1109+I1110+I1111+I1113+I1114+I1115+I1116+I1117+I1118+I1119+I1120+I1121+I1123+I1124+I1125+I1126+I1127+I1128</f>
        <v>-3695605.0514203999</v>
      </c>
      <c r="J1129" s="352">
        <f>IF(C1129="A",-I1129/I1094,I1129/I1094)</f>
        <v>0.81652615828657427</v>
      </c>
    </row>
    <row r="1130" spans="1:10" x14ac:dyDescent="0.2">
      <c r="A1130" s="383" t="s">
        <v>73</v>
      </c>
      <c r="B1130" s="397">
        <v>45839</v>
      </c>
      <c r="C1130" s="397" t="s">
        <v>535</v>
      </c>
      <c r="D1130" s="383">
        <v>11</v>
      </c>
      <c r="E1130" s="383" t="s">
        <v>528</v>
      </c>
      <c r="F1130" s="400" t="s">
        <v>367</v>
      </c>
      <c r="G1130" s="400"/>
      <c r="H1130" s="403" t="s">
        <v>367</v>
      </c>
      <c r="I1130" s="395">
        <f>I1094+I1129</f>
        <v>830404.32857959997</v>
      </c>
      <c r="J1130" s="352">
        <f>IF(C1130="A",-I1130/I1094,I1130/I1094)</f>
        <v>0.18347384171342571</v>
      </c>
    </row>
    <row r="1131" spans="1:10" x14ac:dyDescent="0.2">
      <c r="A1131" s="383" t="s">
        <v>516</v>
      </c>
      <c r="B1131" s="397">
        <v>45839</v>
      </c>
      <c r="C1131" s="397" t="s">
        <v>536</v>
      </c>
      <c r="D1131" s="383">
        <v>1</v>
      </c>
      <c r="E1131" s="384" t="s">
        <v>530</v>
      </c>
      <c r="F1131" s="400" t="s">
        <v>440</v>
      </c>
      <c r="G1131" s="400"/>
      <c r="H1131" s="404" t="s">
        <v>440</v>
      </c>
      <c r="I1131" s="407">
        <f>HLOOKUP(B1131,[5]Sucumbências!$BP$2:$CA$43,31,0)</f>
        <v>0</v>
      </c>
      <c r="J1131" s="352">
        <v>1</v>
      </c>
    </row>
    <row r="1132" spans="1:10" x14ac:dyDescent="0.2">
      <c r="A1132" s="383" t="s">
        <v>516</v>
      </c>
      <c r="B1132" s="397">
        <v>45839</v>
      </c>
      <c r="C1132" s="397" t="s">
        <v>534</v>
      </c>
      <c r="D1132" s="383">
        <v>4</v>
      </c>
      <c r="E1132" s="383" t="s">
        <v>525</v>
      </c>
      <c r="F1132" s="388" t="s">
        <v>340</v>
      </c>
      <c r="G1132" s="388"/>
      <c r="H1132" s="404" t="s">
        <v>340</v>
      </c>
      <c r="I1132" s="407">
        <f>-HLOOKUP(B1132,GLOSAS!$BQ$1:$CB$43,30,0)</f>
        <v>0</v>
      </c>
    </row>
    <row r="1133" spans="1:10" x14ac:dyDescent="0.2">
      <c r="A1133" s="383" t="s">
        <v>516</v>
      </c>
      <c r="B1133" s="397">
        <v>45839</v>
      </c>
      <c r="C1133" s="397" t="s">
        <v>534</v>
      </c>
      <c r="D1133" s="383">
        <v>9</v>
      </c>
      <c r="E1133" s="383" t="s">
        <v>526</v>
      </c>
      <c r="F1133" s="390" t="s">
        <v>363</v>
      </c>
      <c r="G1133" s="390"/>
      <c r="H1133" s="404" t="s">
        <v>363</v>
      </c>
      <c r="I1133" s="407">
        <f>-I1131*0.1</f>
        <v>0</v>
      </c>
    </row>
    <row r="1134" spans="1:10" x14ac:dyDescent="0.2">
      <c r="A1134" s="383" t="s">
        <v>516</v>
      </c>
      <c r="B1134" s="397">
        <v>45839</v>
      </c>
      <c r="C1134" s="397" t="s">
        <v>535</v>
      </c>
      <c r="D1134" s="383">
        <v>11</v>
      </c>
      <c r="E1134" s="383" t="s">
        <v>528</v>
      </c>
      <c r="F1134" s="400" t="s">
        <v>367</v>
      </c>
      <c r="G1134" s="400"/>
      <c r="H1134" s="404" t="s">
        <v>367</v>
      </c>
      <c r="I1134" s="407">
        <f>I1131+I1132+I1133</f>
        <v>0</v>
      </c>
      <c r="J1134" s="352" t="e">
        <f>IF(C1134="A",-I1134/I1131,I1134/I1131)</f>
        <v>#DIV/0!</v>
      </c>
    </row>
    <row r="1135" spans="1:10" x14ac:dyDescent="0.2">
      <c r="A1135" s="383" t="s">
        <v>522</v>
      </c>
      <c r="B1135" s="397">
        <v>45839</v>
      </c>
      <c r="C1135" s="397" t="s">
        <v>536</v>
      </c>
      <c r="D1135" s="383">
        <v>1</v>
      </c>
      <c r="E1135" s="384" t="s">
        <v>530</v>
      </c>
      <c r="F1135" s="400" t="s">
        <v>440</v>
      </c>
      <c r="G1135" s="400"/>
      <c r="H1135" s="405" t="s">
        <v>440</v>
      </c>
      <c r="I1135" s="396">
        <f>I1094-I1131</f>
        <v>4526009.38</v>
      </c>
      <c r="J1135" s="352">
        <v>1</v>
      </c>
    </row>
    <row r="1136" spans="1:10" x14ac:dyDescent="0.2">
      <c r="A1136" s="383" t="s">
        <v>522</v>
      </c>
      <c r="B1136" s="397">
        <v>45839</v>
      </c>
      <c r="C1136" s="397" t="s">
        <v>534</v>
      </c>
      <c r="D1136" s="383">
        <v>2</v>
      </c>
      <c r="E1136" s="384" t="s">
        <v>325</v>
      </c>
      <c r="F1136" s="390" t="s">
        <v>326</v>
      </c>
      <c r="G1136" s="390"/>
      <c r="H1136" s="384" t="s">
        <v>519</v>
      </c>
      <c r="I1136" s="406">
        <f t="shared" ref="I1136:I1148" si="29">I1095</f>
        <v>-246883.33</v>
      </c>
    </row>
    <row r="1137" spans="1:9" x14ac:dyDescent="0.2">
      <c r="A1137" s="383" t="s">
        <v>522</v>
      </c>
      <c r="B1137" s="397">
        <v>45839</v>
      </c>
      <c r="C1137" s="397" t="s">
        <v>534</v>
      </c>
      <c r="D1137" s="383">
        <v>2</v>
      </c>
      <c r="E1137" s="384" t="s">
        <v>325</v>
      </c>
      <c r="F1137" s="385" t="s">
        <v>328</v>
      </c>
      <c r="G1137" s="385"/>
      <c r="H1137" s="384" t="s">
        <v>521</v>
      </c>
      <c r="I1137" s="406">
        <f t="shared" si="29"/>
        <v>-5240.53</v>
      </c>
    </row>
    <row r="1138" spans="1:9" x14ac:dyDescent="0.2">
      <c r="A1138" s="383" t="s">
        <v>522</v>
      </c>
      <c r="B1138" s="397">
        <v>45839</v>
      </c>
      <c r="C1138" s="397" t="s">
        <v>534</v>
      </c>
      <c r="D1138" s="383">
        <v>2</v>
      </c>
      <c r="E1138" s="384" t="s">
        <v>325</v>
      </c>
      <c r="F1138" s="385" t="s">
        <v>329</v>
      </c>
      <c r="G1138" s="385"/>
      <c r="H1138" s="384" t="s">
        <v>329</v>
      </c>
      <c r="I1138" s="406">
        <f t="shared" si="29"/>
        <v>0</v>
      </c>
    </row>
    <row r="1139" spans="1:9" x14ac:dyDescent="0.2">
      <c r="A1139" s="383" t="s">
        <v>522</v>
      </c>
      <c r="B1139" s="397">
        <v>45839</v>
      </c>
      <c r="C1139" s="397" t="s">
        <v>534</v>
      </c>
      <c r="D1139" s="383">
        <v>2</v>
      </c>
      <c r="E1139" s="384" t="s">
        <v>325</v>
      </c>
      <c r="F1139" s="385" t="s">
        <v>330</v>
      </c>
      <c r="G1139" s="385"/>
      <c r="H1139" s="384" t="s">
        <v>330</v>
      </c>
      <c r="I1139" s="406">
        <f t="shared" si="29"/>
        <v>0</v>
      </c>
    </row>
    <row r="1140" spans="1:9" x14ac:dyDescent="0.2">
      <c r="A1140" s="383" t="s">
        <v>522</v>
      </c>
      <c r="B1140" s="397">
        <v>45839</v>
      </c>
      <c r="C1140" s="397" t="s">
        <v>534</v>
      </c>
      <c r="D1140" s="383">
        <v>2</v>
      </c>
      <c r="E1140" s="384" t="s">
        <v>325</v>
      </c>
      <c r="F1140" s="385" t="s">
        <v>331</v>
      </c>
      <c r="G1140" s="385"/>
      <c r="H1140" s="384" t="s">
        <v>331</v>
      </c>
      <c r="I1140" s="406">
        <f t="shared" si="29"/>
        <v>-0.06</v>
      </c>
    </row>
    <row r="1141" spans="1:9" x14ac:dyDescent="0.2">
      <c r="A1141" s="383" t="s">
        <v>522</v>
      </c>
      <c r="B1141" s="397">
        <v>45839</v>
      </c>
      <c r="C1141" s="397" t="s">
        <v>534</v>
      </c>
      <c r="D1141" s="383">
        <v>2</v>
      </c>
      <c r="E1141" s="384" t="s">
        <v>325</v>
      </c>
      <c r="F1141" s="384" t="s">
        <v>332</v>
      </c>
      <c r="G1141" s="384"/>
      <c r="H1141" s="384" t="s">
        <v>520</v>
      </c>
      <c r="I1141" s="406">
        <f t="shared" si="29"/>
        <v>0</v>
      </c>
    </row>
    <row r="1142" spans="1:9" x14ac:dyDescent="0.2">
      <c r="A1142" s="383" t="s">
        <v>522</v>
      </c>
      <c r="B1142" s="397">
        <v>45839</v>
      </c>
      <c r="C1142" s="397" t="s">
        <v>535</v>
      </c>
      <c r="D1142" s="383">
        <v>3</v>
      </c>
      <c r="E1142" s="384" t="s">
        <v>531</v>
      </c>
      <c r="F1142" s="385" t="s">
        <v>334</v>
      </c>
      <c r="G1142" s="385"/>
      <c r="H1142" s="384" t="s">
        <v>334</v>
      </c>
      <c r="I1142" s="406">
        <f t="shared" si="29"/>
        <v>4153085.78</v>
      </c>
    </row>
    <row r="1143" spans="1:9" x14ac:dyDescent="0.2">
      <c r="A1143" s="383" t="s">
        <v>522</v>
      </c>
      <c r="B1143" s="397">
        <v>45839</v>
      </c>
      <c r="C1143" s="397" t="s">
        <v>535</v>
      </c>
      <c r="D1143" s="383">
        <v>3</v>
      </c>
      <c r="E1143" s="384" t="s">
        <v>531</v>
      </c>
      <c r="F1143" s="385" t="s">
        <v>335</v>
      </c>
      <c r="G1143" s="385"/>
      <c r="H1143" s="384" t="s">
        <v>335</v>
      </c>
      <c r="I1143" s="406">
        <f t="shared" si="29"/>
        <v>112779.26000000001</v>
      </c>
    </row>
    <row r="1144" spans="1:9" x14ac:dyDescent="0.2">
      <c r="A1144" s="383" t="s">
        <v>522</v>
      </c>
      <c r="B1144" s="397">
        <v>45839</v>
      </c>
      <c r="C1144" s="397" t="s">
        <v>535</v>
      </c>
      <c r="D1144" s="383">
        <v>3</v>
      </c>
      <c r="E1144" s="384" t="s">
        <v>531</v>
      </c>
      <c r="F1144" s="385" t="s">
        <v>336</v>
      </c>
      <c r="G1144" s="385"/>
      <c r="H1144" s="384" t="s">
        <v>336</v>
      </c>
      <c r="I1144" s="406">
        <f t="shared" si="29"/>
        <v>0</v>
      </c>
    </row>
    <row r="1145" spans="1:9" x14ac:dyDescent="0.2">
      <c r="A1145" s="383" t="s">
        <v>522</v>
      </c>
      <c r="B1145" s="397">
        <v>45839</v>
      </c>
      <c r="C1145" s="397" t="s">
        <v>535</v>
      </c>
      <c r="D1145" s="383">
        <v>3</v>
      </c>
      <c r="E1145" s="384" t="s">
        <v>531</v>
      </c>
      <c r="F1145" s="387" t="s">
        <v>273</v>
      </c>
      <c r="G1145" s="387"/>
      <c r="H1145" s="384" t="s">
        <v>562</v>
      </c>
      <c r="I1145" s="406">
        <f t="shared" si="29"/>
        <v>0</v>
      </c>
    </row>
    <row r="1146" spans="1:9" x14ac:dyDescent="0.2">
      <c r="A1146" s="383" t="s">
        <v>522</v>
      </c>
      <c r="B1146" s="397">
        <v>45839</v>
      </c>
      <c r="C1146" s="397" t="s">
        <v>535</v>
      </c>
      <c r="D1146" s="383">
        <v>3</v>
      </c>
      <c r="E1146" s="384" t="s">
        <v>531</v>
      </c>
      <c r="F1146" s="387" t="s">
        <v>513</v>
      </c>
      <c r="G1146" s="387"/>
      <c r="H1146" s="384" t="s">
        <v>513</v>
      </c>
      <c r="I1146" s="406" t="e">
        <f t="shared" si="29"/>
        <v>#N/A</v>
      </c>
    </row>
    <row r="1147" spans="1:9" x14ac:dyDescent="0.2">
      <c r="A1147" s="383" t="s">
        <v>522</v>
      </c>
      <c r="B1147" s="397">
        <v>45839</v>
      </c>
      <c r="C1147" s="397" t="s">
        <v>535</v>
      </c>
      <c r="D1147" s="383">
        <v>3</v>
      </c>
      <c r="E1147" s="384" t="s">
        <v>531</v>
      </c>
      <c r="F1147" s="387" t="s">
        <v>514</v>
      </c>
      <c r="G1147" s="387"/>
      <c r="H1147" s="384" t="s">
        <v>514</v>
      </c>
      <c r="I1147" s="406" t="e">
        <f t="shared" si="29"/>
        <v>#N/A</v>
      </c>
    </row>
    <row r="1148" spans="1:9" x14ac:dyDescent="0.2">
      <c r="A1148" s="383" t="s">
        <v>522</v>
      </c>
      <c r="B1148" s="397">
        <v>45839</v>
      </c>
      <c r="C1148" s="397" t="s">
        <v>535</v>
      </c>
      <c r="D1148" s="383">
        <v>3</v>
      </c>
      <c r="E1148" s="384" t="s">
        <v>531</v>
      </c>
      <c r="F1148" s="385" t="s">
        <v>337</v>
      </c>
      <c r="G1148" s="385"/>
      <c r="H1148" s="384" t="s">
        <v>337</v>
      </c>
      <c r="I1148" s="406">
        <f t="shared" si="29"/>
        <v>8023.65</v>
      </c>
    </row>
    <row r="1149" spans="1:9" x14ac:dyDescent="0.2">
      <c r="A1149" s="383" t="s">
        <v>522</v>
      </c>
      <c r="B1149" s="397">
        <v>45839</v>
      </c>
      <c r="C1149" s="397" t="s">
        <v>534</v>
      </c>
      <c r="D1149" s="383">
        <v>4</v>
      </c>
      <c r="E1149" s="383" t="s">
        <v>523</v>
      </c>
      <c r="F1149" s="388" t="s">
        <v>340</v>
      </c>
      <c r="G1149" s="388"/>
      <c r="H1149" s="405" t="s">
        <v>340</v>
      </c>
      <c r="I1149" s="396">
        <f>I1108-I1132</f>
        <v>-30931.199999999997</v>
      </c>
    </row>
    <row r="1150" spans="1:9" x14ac:dyDescent="0.2">
      <c r="A1150" s="383" t="s">
        <v>522</v>
      </c>
      <c r="B1150" s="397">
        <v>45839</v>
      </c>
      <c r="C1150" s="397" t="s">
        <v>534</v>
      </c>
      <c r="D1150" s="383">
        <v>4</v>
      </c>
      <c r="E1150" s="383" t="s">
        <v>523</v>
      </c>
      <c r="F1150" s="388" t="s">
        <v>341</v>
      </c>
      <c r="G1150" s="388"/>
      <c r="H1150" s="384" t="s">
        <v>341</v>
      </c>
      <c r="I1150" s="406">
        <f>I1109</f>
        <v>-196590.73</v>
      </c>
    </row>
    <row r="1151" spans="1:9" x14ac:dyDescent="0.2">
      <c r="A1151" s="383" t="s">
        <v>522</v>
      </c>
      <c r="B1151" s="397">
        <v>45839</v>
      </c>
      <c r="C1151" s="397" t="s">
        <v>534</v>
      </c>
      <c r="D1151" s="383">
        <v>4</v>
      </c>
      <c r="E1151" s="383" t="s">
        <v>523</v>
      </c>
      <c r="F1151" s="388" t="s">
        <v>342</v>
      </c>
      <c r="G1151" s="388"/>
      <c r="H1151" s="384" t="s">
        <v>342</v>
      </c>
      <c r="I1151" s="406">
        <f>I1110</f>
        <v>-1594773.16</v>
      </c>
    </row>
    <row r="1152" spans="1:9" x14ac:dyDescent="0.2">
      <c r="A1152" s="383" t="s">
        <v>522</v>
      </c>
      <c r="B1152" s="397">
        <v>45839</v>
      </c>
      <c r="C1152" s="397" t="s">
        <v>534</v>
      </c>
      <c r="D1152" s="383">
        <v>4</v>
      </c>
      <c r="E1152" s="383" t="s">
        <v>523</v>
      </c>
      <c r="F1152" s="388" t="s">
        <v>343</v>
      </c>
      <c r="G1152" s="388"/>
      <c r="H1152" s="384" t="s">
        <v>343</v>
      </c>
      <c r="I1152" s="406">
        <f>I1111</f>
        <v>-68126.460000000006</v>
      </c>
    </row>
    <row r="1153" spans="1:10" x14ac:dyDescent="0.2">
      <c r="A1153" s="383" t="s">
        <v>522</v>
      </c>
      <c r="B1153" s="397">
        <v>45839</v>
      </c>
      <c r="C1153" s="397" t="s">
        <v>535</v>
      </c>
      <c r="D1153" s="383">
        <v>5</v>
      </c>
      <c r="E1153" s="383" t="s">
        <v>532</v>
      </c>
      <c r="F1153" s="401" t="s">
        <v>345</v>
      </c>
      <c r="G1153" s="401"/>
      <c r="H1153" s="403" t="s">
        <v>345</v>
      </c>
      <c r="I1153" s="406">
        <f>I1135+I1136+I1137+I1138+I1139+I1140+I1141+I1149+I1150+I1151+I1152</f>
        <v>2383463.91</v>
      </c>
      <c r="J1153" s="352">
        <f>IF(C1153="A",-I1153/I1135,I1153/I1135)</f>
        <v>0.52661488518611954</v>
      </c>
    </row>
    <row r="1154" spans="1:10" x14ac:dyDescent="0.2">
      <c r="A1154" s="383" t="s">
        <v>522</v>
      </c>
      <c r="B1154" s="397">
        <v>45839</v>
      </c>
      <c r="C1154" s="397" t="s">
        <v>534</v>
      </c>
      <c r="D1154" s="383">
        <v>6</v>
      </c>
      <c r="E1154" s="383" t="s">
        <v>524</v>
      </c>
      <c r="F1154" s="388" t="s">
        <v>349</v>
      </c>
      <c r="G1154" s="388"/>
      <c r="H1154" s="384" t="s">
        <v>473</v>
      </c>
      <c r="I1154" s="406">
        <f t="shared" ref="I1154:I1162" si="30">I1113</f>
        <v>-34319.300000000003</v>
      </c>
    </row>
    <row r="1155" spans="1:10" x14ac:dyDescent="0.2">
      <c r="A1155" s="383" t="s">
        <v>522</v>
      </c>
      <c r="B1155" s="397">
        <v>45839</v>
      </c>
      <c r="C1155" s="397" t="s">
        <v>534</v>
      </c>
      <c r="D1155" s="383">
        <v>6</v>
      </c>
      <c r="E1155" s="383" t="s">
        <v>524</v>
      </c>
      <c r="F1155" s="388" t="s">
        <v>350</v>
      </c>
      <c r="G1155" s="388"/>
      <c r="H1155" s="384" t="s">
        <v>474</v>
      </c>
      <c r="I1155" s="406">
        <f t="shared" si="30"/>
        <v>-10680.49</v>
      </c>
    </row>
    <row r="1156" spans="1:10" x14ac:dyDescent="0.2">
      <c r="A1156" s="383" t="s">
        <v>522</v>
      </c>
      <c r="B1156" s="397">
        <v>45839</v>
      </c>
      <c r="C1156" s="397" t="s">
        <v>534</v>
      </c>
      <c r="D1156" s="383">
        <v>6</v>
      </c>
      <c r="E1156" s="383" t="s">
        <v>524</v>
      </c>
      <c r="F1156" s="388" t="s">
        <v>351</v>
      </c>
      <c r="G1156" s="388"/>
      <c r="H1156" s="384" t="s">
        <v>475</v>
      </c>
      <c r="I1156" s="406">
        <f t="shared" si="30"/>
        <v>-63291.359999999993</v>
      </c>
    </row>
    <row r="1157" spans="1:10" x14ac:dyDescent="0.2">
      <c r="A1157" s="383" t="s">
        <v>522</v>
      </c>
      <c r="B1157" s="397">
        <v>45839</v>
      </c>
      <c r="C1157" s="397" t="s">
        <v>534</v>
      </c>
      <c r="D1157" s="383">
        <v>6</v>
      </c>
      <c r="E1157" s="383" t="s">
        <v>524</v>
      </c>
      <c r="F1157" s="388" t="s">
        <v>352</v>
      </c>
      <c r="G1157" s="388"/>
      <c r="H1157" s="384" t="s">
        <v>476</v>
      </c>
      <c r="I1157" s="406">
        <f t="shared" si="30"/>
        <v>-7958.13</v>
      </c>
    </row>
    <row r="1158" spans="1:10" x14ac:dyDescent="0.2">
      <c r="A1158" s="383" t="s">
        <v>522</v>
      </c>
      <c r="B1158" s="397">
        <v>45839</v>
      </c>
      <c r="C1158" s="397" t="s">
        <v>534</v>
      </c>
      <c r="D1158" s="383">
        <v>6</v>
      </c>
      <c r="E1158" s="383" t="s">
        <v>524</v>
      </c>
      <c r="F1158" s="388" t="s">
        <v>353</v>
      </c>
      <c r="G1158" s="388"/>
      <c r="H1158" s="384" t="s">
        <v>477</v>
      </c>
      <c r="I1158" s="406">
        <f t="shared" si="30"/>
        <v>-64024.160000000003</v>
      </c>
    </row>
    <row r="1159" spans="1:10" x14ac:dyDescent="0.2">
      <c r="A1159" s="383" t="s">
        <v>522</v>
      </c>
      <c r="B1159" s="397">
        <v>45839</v>
      </c>
      <c r="C1159" s="397" t="s">
        <v>534</v>
      </c>
      <c r="D1159" s="383">
        <v>6</v>
      </c>
      <c r="E1159" s="383" t="s">
        <v>524</v>
      </c>
      <c r="F1159" s="388" t="s">
        <v>354</v>
      </c>
      <c r="G1159" s="388"/>
      <c r="H1159" s="384" t="s">
        <v>478</v>
      </c>
      <c r="I1159" s="406">
        <f t="shared" si="30"/>
        <v>-32443.43</v>
      </c>
    </row>
    <row r="1160" spans="1:10" x14ac:dyDescent="0.2">
      <c r="A1160" s="383" t="s">
        <v>522</v>
      </c>
      <c r="B1160" s="397">
        <v>45839</v>
      </c>
      <c r="C1160" s="397" t="s">
        <v>534</v>
      </c>
      <c r="D1160" s="383">
        <v>6</v>
      </c>
      <c r="E1160" s="383" t="s">
        <v>524</v>
      </c>
      <c r="F1160" s="390" t="s">
        <v>355</v>
      </c>
      <c r="G1160" s="390"/>
      <c r="H1160" s="384" t="s">
        <v>355</v>
      </c>
      <c r="I1160" s="406">
        <f t="shared" si="30"/>
        <v>-79528.5</v>
      </c>
    </row>
    <row r="1161" spans="1:10" x14ac:dyDescent="0.2">
      <c r="A1161" s="383" t="s">
        <v>522</v>
      </c>
      <c r="B1161" s="397">
        <v>45839</v>
      </c>
      <c r="C1161" s="397" t="s">
        <v>534</v>
      </c>
      <c r="D1161" s="383">
        <v>6</v>
      </c>
      <c r="E1161" s="383" t="s">
        <v>524</v>
      </c>
      <c r="F1161" s="390" t="s">
        <v>356</v>
      </c>
      <c r="G1161" s="390"/>
      <c r="H1161" s="384" t="s">
        <v>356</v>
      </c>
      <c r="I1161" s="406">
        <f t="shared" si="30"/>
        <v>-591983.14500000002</v>
      </c>
    </row>
    <row r="1162" spans="1:10" x14ac:dyDescent="0.2">
      <c r="A1162" s="383" t="s">
        <v>522</v>
      </c>
      <c r="B1162" s="397">
        <v>45839</v>
      </c>
      <c r="C1162" s="397" t="s">
        <v>534</v>
      </c>
      <c r="D1162" s="383">
        <v>6</v>
      </c>
      <c r="E1162" s="383" t="s">
        <v>524</v>
      </c>
      <c r="F1162" s="390" t="s">
        <v>357</v>
      </c>
      <c r="G1162" s="390"/>
      <c r="H1162" s="384" t="s">
        <v>357</v>
      </c>
      <c r="I1162" s="406">
        <f t="shared" si="30"/>
        <v>0</v>
      </c>
    </row>
    <row r="1163" spans="1:10" x14ac:dyDescent="0.2">
      <c r="A1163" s="383" t="s">
        <v>522</v>
      </c>
      <c r="B1163" s="397">
        <v>45839</v>
      </c>
      <c r="C1163" s="397" t="s">
        <v>535</v>
      </c>
      <c r="D1163" s="383">
        <v>7</v>
      </c>
      <c r="E1163" s="383" t="s">
        <v>529</v>
      </c>
      <c r="F1163" s="400" t="s">
        <v>358</v>
      </c>
      <c r="G1163" s="400"/>
      <c r="H1163" s="403" t="s">
        <v>358</v>
      </c>
      <c r="I1163" s="396">
        <f>I1153+I1154+I1155+I1156+I1157+I1158+I1159+I1160+I1161+I1162</f>
        <v>1499235.395</v>
      </c>
      <c r="J1163" s="352">
        <f>IF(C1163="A",-I1163/I1135,I1163/I1135)</f>
        <v>0.33124884840605434</v>
      </c>
    </row>
    <row r="1164" spans="1:10" x14ac:dyDescent="0.2">
      <c r="A1164" s="383" t="s">
        <v>522</v>
      </c>
      <c r="B1164" s="397">
        <v>45839</v>
      </c>
      <c r="C1164" s="397" t="s">
        <v>534</v>
      </c>
      <c r="D1164" s="383">
        <v>8</v>
      </c>
      <c r="E1164" s="383" t="s">
        <v>527</v>
      </c>
      <c r="F1164" s="385" t="s">
        <v>359</v>
      </c>
      <c r="G1164" s="385"/>
      <c r="H1164" s="384" t="s">
        <v>479</v>
      </c>
      <c r="I1164" s="406">
        <f>I1123</f>
        <v>0</v>
      </c>
    </row>
    <row r="1165" spans="1:10" x14ac:dyDescent="0.2">
      <c r="A1165" s="383" t="s">
        <v>522</v>
      </c>
      <c r="B1165" s="397">
        <v>45839</v>
      </c>
      <c r="C1165" s="397" t="s">
        <v>534</v>
      </c>
      <c r="D1165" s="383">
        <v>8</v>
      </c>
      <c r="E1165" s="383" t="s">
        <v>527</v>
      </c>
      <c r="F1165" s="385" t="s">
        <v>360</v>
      </c>
      <c r="G1165" s="385"/>
      <c r="H1165" s="384" t="s">
        <v>480</v>
      </c>
      <c r="I1165" s="406">
        <f>I1124</f>
        <v>24599.55</v>
      </c>
    </row>
    <row r="1166" spans="1:10" x14ac:dyDescent="0.2">
      <c r="A1166" s="383" t="s">
        <v>522</v>
      </c>
      <c r="B1166" s="397">
        <v>45839</v>
      </c>
      <c r="C1166" s="397" t="s">
        <v>534</v>
      </c>
      <c r="D1166" s="383">
        <v>8</v>
      </c>
      <c r="E1166" s="383" t="s">
        <v>527</v>
      </c>
      <c r="F1166" s="390" t="s">
        <v>361</v>
      </c>
      <c r="G1166" s="390"/>
      <c r="H1166" s="384" t="s">
        <v>481</v>
      </c>
      <c r="I1166" s="406">
        <f>I1125</f>
        <v>-29196.04</v>
      </c>
    </row>
    <row r="1167" spans="1:10" x14ac:dyDescent="0.2">
      <c r="A1167" s="383" t="s">
        <v>522</v>
      </c>
      <c r="B1167" s="397">
        <v>45839</v>
      </c>
      <c r="C1167" s="397" t="s">
        <v>534</v>
      </c>
      <c r="D1167" s="383">
        <v>9</v>
      </c>
      <c r="E1167" s="383" t="s">
        <v>526</v>
      </c>
      <c r="F1167" s="390" t="s">
        <v>363</v>
      </c>
      <c r="G1167" s="390"/>
      <c r="H1167" s="405" t="s">
        <v>363</v>
      </c>
      <c r="I1167" s="396">
        <f>I1126-I1133</f>
        <v>-632141.61</v>
      </c>
    </row>
    <row r="1168" spans="1:10" x14ac:dyDescent="0.2">
      <c r="A1168" s="383" t="s">
        <v>522</v>
      </c>
      <c r="B1168" s="397">
        <v>45839</v>
      </c>
      <c r="C1168" s="397" t="s">
        <v>534</v>
      </c>
      <c r="D1168" s="383">
        <v>9</v>
      </c>
      <c r="E1168" s="383" t="s">
        <v>526</v>
      </c>
      <c r="F1168" s="390" t="s">
        <v>364</v>
      </c>
      <c r="G1168" s="390"/>
      <c r="H1168" s="384" t="s">
        <v>364</v>
      </c>
      <c r="I1168" s="406">
        <f>I1127</f>
        <v>-32092.9664204</v>
      </c>
    </row>
    <row r="1169" spans="1:10" x14ac:dyDescent="0.2">
      <c r="A1169" s="383" t="s">
        <v>522</v>
      </c>
      <c r="B1169" s="397">
        <v>45839</v>
      </c>
      <c r="C1169" s="397" t="s">
        <v>534</v>
      </c>
      <c r="D1169" s="383">
        <v>9</v>
      </c>
      <c r="E1169" s="383" t="s">
        <v>526</v>
      </c>
      <c r="F1169" s="394" t="s">
        <v>273</v>
      </c>
      <c r="G1169" s="394"/>
      <c r="H1169" s="398" t="s">
        <v>563</v>
      </c>
      <c r="I1169" s="406">
        <f>I1128</f>
        <v>0</v>
      </c>
    </row>
    <row r="1170" spans="1:10" x14ac:dyDescent="0.2">
      <c r="A1170" s="383" t="s">
        <v>522</v>
      </c>
      <c r="B1170" s="397">
        <v>45839</v>
      </c>
      <c r="C1170" s="397" t="s">
        <v>534</v>
      </c>
      <c r="D1170" s="383">
        <v>10</v>
      </c>
      <c r="E1170" s="383" t="s">
        <v>452</v>
      </c>
      <c r="F1170" s="400" t="s">
        <v>365</v>
      </c>
      <c r="G1170" s="400"/>
      <c r="H1170" s="403" t="s">
        <v>365</v>
      </c>
      <c r="I1170" s="396">
        <f>I1136+I1137+I1138+I1139+I1140+I1141+I1149+I1150+I1151+I1152+I1154+I1155+I1156+I1157+I1158+I1159+I1160+I1161+I1162+I1164+I1165+I1166+I1167+I1168+I1169</f>
        <v>-3695605.0514203999</v>
      </c>
      <c r="J1170" s="352">
        <f>IF(C1170="A",-I1170/I1135,I1170/I1135)</f>
        <v>0.81652615828657427</v>
      </c>
    </row>
    <row r="1171" spans="1:10" x14ac:dyDescent="0.2">
      <c r="A1171" s="383" t="s">
        <v>522</v>
      </c>
      <c r="B1171" s="397">
        <v>45839</v>
      </c>
      <c r="C1171" s="397" t="s">
        <v>535</v>
      </c>
      <c r="D1171" s="383">
        <v>11</v>
      </c>
      <c r="E1171" s="383" t="s">
        <v>528</v>
      </c>
      <c r="F1171" s="400" t="s">
        <v>367</v>
      </c>
      <c r="G1171" s="400"/>
      <c r="H1171" s="405" t="s">
        <v>367</v>
      </c>
      <c r="I1171" s="395">
        <f>I1135+I1170</f>
        <v>830404.32857959997</v>
      </c>
      <c r="J1171" s="352">
        <f>IF(C1171="A",-I1171/I1135,I1171/I1135)</f>
        <v>0.18347384171342571</v>
      </c>
    </row>
    <row r="1172" spans="1:10" ht="14.25" x14ac:dyDescent="0.2">
      <c r="A1172" s="383" t="s">
        <v>73</v>
      </c>
      <c r="B1172" s="397">
        <v>45870</v>
      </c>
      <c r="C1172" s="397" t="s">
        <v>536</v>
      </c>
      <c r="D1172" s="383">
        <v>1</v>
      </c>
      <c r="E1172" s="384" t="s">
        <v>530</v>
      </c>
      <c r="F1172" s="400" t="s">
        <v>440</v>
      </c>
      <c r="G1172" s="459" t="s">
        <v>324</v>
      </c>
      <c r="H1172" s="384" t="s">
        <v>440</v>
      </c>
      <c r="I1172" s="383">
        <f>INDEX(DRE!$W$2:$AS$53, MATCH('DRE 2025'!G1172,DRE!$D$2:$D$53,0), MATCH(B1172, DRE!$W$1:$AS$1, 0))</f>
        <v>4828600.7084499998</v>
      </c>
      <c r="J1172" s="352">
        <v>1</v>
      </c>
    </row>
    <row r="1173" spans="1:10" x14ac:dyDescent="0.2">
      <c r="A1173" s="383" t="s">
        <v>73</v>
      </c>
      <c r="B1173" s="397">
        <v>45870</v>
      </c>
      <c r="C1173" s="397" t="s">
        <v>534</v>
      </c>
      <c r="D1173" s="383">
        <v>2</v>
      </c>
      <c r="E1173" s="384" t="s">
        <v>325</v>
      </c>
      <c r="F1173" s="390" t="s">
        <v>326</v>
      </c>
      <c r="G1173" s="461" t="s">
        <v>326</v>
      </c>
      <c r="H1173" s="384" t="s">
        <v>519</v>
      </c>
      <c r="I1173" s="383">
        <f>INDEX(DRE!$W$2:$AS$53, MATCH('DRE 2025'!G1173,DRE!$D$2:$D$53,0), MATCH(B1173, DRE!$W$1:$AS$1, 0))</f>
        <v>-218240.87001300001</v>
      </c>
    </row>
    <row r="1174" spans="1:10" x14ac:dyDescent="0.2">
      <c r="A1174" s="383" t="s">
        <v>73</v>
      </c>
      <c r="B1174" s="397">
        <v>45870</v>
      </c>
      <c r="C1174" s="397" t="s">
        <v>534</v>
      </c>
      <c r="D1174" s="383">
        <v>2</v>
      </c>
      <c r="E1174" s="384" t="s">
        <v>325</v>
      </c>
      <c r="F1174" s="385" t="s">
        <v>328</v>
      </c>
      <c r="G1174" s="462" t="s">
        <v>328</v>
      </c>
      <c r="H1174" s="384" t="s">
        <v>521</v>
      </c>
      <c r="I1174" s="383">
        <f>INDEX(DRE!$W$2:$AS$53, MATCH('DRE 2025'!G1174,DRE!$D$2:$D$53,0), MATCH(B1174, DRE!$W$1:$AS$1, 0))</f>
        <v>-756.69</v>
      </c>
    </row>
    <row r="1175" spans="1:10" x14ac:dyDescent="0.2">
      <c r="A1175" s="383" t="s">
        <v>73</v>
      </c>
      <c r="B1175" s="397">
        <v>45870</v>
      </c>
      <c r="C1175" s="397" t="s">
        <v>534</v>
      </c>
      <c r="D1175" s="383">
        <v>2</v>
      </c>
      <c r="E1175" s="384" t="s">
        <v>325</v>
      </c>
      <c r="F1175" s="385" t="s">
        <v>329</v>
      </c>
      <c r="G1175" s="462" t="s">
        <v>329</v>
      </c>
      <c r="H1175" s="384" t="s">
        <v>329</v>
      </c>
      <c r="I1175" s="383">
        <f>INDEX(DRE!$W$2:$AS$53, MATCH('DRE 2025'!G1175,DRE!$D$2:$D$53,0), MATCH(B1175, DRE!$W$1:$AS$1, 0))</f>
        <v>0</v>
      </c>
    </row>
    <row r="1176" spans="1:10" x14ac:dyDescent="0.2">
      <c r="A1176" s="383" t="s">
        <v>73</v>
      </c>
      <c r="B1176" s="397">
        <v>45870</v>
      </c>
      <c r="C1176" s="397" t="s">
        <v>534</v>
      </c>
      <c r="D1176" s="383">
        <v>2</v>
      </c>
      <c r="E1176" s="384" t="s">
        <v>325</v>
      </c>
      <c r="F1176" s="385" t="s">
        <v>330</v>
      </c>
      <c r="G1176" s="462" t="s">
        <v>565</v>
      </c>
      <c r="H1176" s="384" t="s">
        <v>330</v>
      </c>
      <c r="I1176" s="383">
        <f>INDEX(DRE!$W$2:$AS$53, MATCH('DRE 2025'!G1176,DRE!$D$2:$D$53,0), MATCH(B1176, DRE!$W$1:$AS$1, 0))</f>
        <v>0</v>
      </c>
    </row>
    <row r="1177" spans="1:10" x14ac:dyDescent="0.2">
      <c r="A1177" s="383" t="s">
        <v>73</v>
      </c>
      <c r="B1177" s="397">
        <v>45870</v>
      </c>
      <c r="C1177" s="397" t="s">
        <v>534</v>
      </c>
      <c r="D1177" s="383">
        <v>2</v>
      </c>
      <c r="E1177" s="384" t="s">
        <v>325</v>
      </c>
      <c r="F1177" s="385" t="s">
        <v>331</v>
      </c>
      <c r="G1177" s="462" t="s">
        <v>331</v>
      </c>
      <c r="H1177" s="384" t="s">
        <v>331</v>
      </c>
      <c r="I1177" s="383">
        <f>INDEX(DRE!$W$2:$AS$53, MATCH('DRE 2025'!G1177,DRE!$D$2:$D$53,0), MATCH(B1177, DRE!$W$1:$AS$1, 0))</f>
        <v>-3.56</v>
      </c>
    </row>
    <row r="1178" spans="1:10" x14ac:dyDescent="0.2">
      <c r="A1178" s="383" t="s">
        <v>73</v>
      </c>
      <c r="B1178" s="397">
        <v>45870</v>
      </c>
      <c r="C1178" s="397" t="s">
        <v>534</v>
      </c>
      <c r="D1178" s="383">
        <v>2</v>
      </c>
      <c r="E1178" s="384" t="s">
        <v>325</v>
      </c>
      <c r="F1178" s="384" t="s">
        <v>332</v>
      </c>
      <c r="G1178" s="463" t="s">
        <v>332</v>
      </c>
      <c r="H1178" s="384" t="s">
        <v>520</v>
      </c>
      <c r="I1178" s="383">
        <f>INDEX(DRE!$W$2:$AS$53, MATCH('DRE 2025'!G1178,DRE!$D$2:$D$53,0), MATCH(B1178, DRE!$W$1:$AS$1, 0))</f>
        <v>0</v>
      </c>
    </row>
    <row r="1179" spans="1:10" x14ac:dyDescent="0.2">
      <c r="A1179" s="383" t="s">
        <v>73</v>
      </c>
      <c r="B1179" s="397">
        <v>45870</v>
      </c>
      <c r="C1179" s="397" t="s">
        <v>535</v>
      </c>
      <c r="D1179" s="383">
        <v>3</v>
      </c>
      <c r="E1179" s="384" t="s">
        <v>531</v>
      </c>
      <c r="F1179" s="385" t="s">
        <v>334</v>
      </c>
      <c r="G1179" s="462" t="s">
        <v>334</v>
      </c>
      <c r="H1179" s="384" t="s">
        <v>334</v>
      </c>
      <c r="I1179" s="383">
        <f>INDEX(DRE!$W$2:$AS$53, MATCH('DRE 2025'!G1179,DRE!$D$2:$D$53,0), MATCH(B1179, DRE!$W$1:$AS$1, 0))</f>
        <v>4015316.61</v>
      </c>
    </row>
    <row r="1180" spans="1:10" x14ac:dyDescent="0.2">
      <c r="A1180" s="383" t="s">
        <v>73</v>
      </c>
      <c r="B1180" s="397">
        <v>45870</v>
      </c>
      <c r="C1180" s="397" t="s">
        <v>535</v>
      </c>
      <c r="D1180" s="383">
        <v>3</v>
      </c>
      <c r="E1180" s="384" t="s">
        <v>531</v>
      </c>
      <c r="F1180" s="385" t="s">
        <v>335</v>
      </c>
      <c r="G1180" s="462" t="s">
        <v>335</v>
      </c>
      <c r="H1180" s="384" t="s">
        <v>335</v>
      </c>
      <c r="I1180" s="383">
        <f>INDEX(DRE!$W$2:$AS$53, MATCH('DRE 2025'!G1180,DRE!$D$2:$D$53,0), MATCH(B1180, DRE!$W$1:$AS$1, 0))</f>
        <v>579410.41</v>
      </c>
    </row>
    <row r="1181" spans="1:10" x14ac:dyDescent="0.2">
      <c r="A1181" s="383" t="s">
        <v>73</v>
      </c>
      <c r="B1181" s="397">
        <v>45870</v>
      </c>
      <c r="C1181" s="397" t="s">
        <v>535</v>
      </c>
      <c r="D1181" s="383">
        <v>3</v>
      </c>
      <c r="E1181" s="384" t="s">
        <v>531</v>
      </c>
      <c r="F1181" s="385" t="s">
        <v>336</v>
      </c>
      <c r="G1181" s="462" t="s">
        <v>336</v>
      </c>
      <c r="H1181" s="384" t="s">
        <v>336</v>
      </c>
      <c r="I1181" s="383">
        <f>INDEX(DRE!$W$2:$AS$53, MATCH('DRE 2025'!G1181,DRE!$D$2:$D$53,0), MATCH(B1181, DRE!$W$1:$AS$1, 0))</f>
        <v>0</v>
      </c>
    </row>
    <row r="1182" spans="1:10" x14ac:dyDescent="0.2">
      <c r="A1182" s="383" t="s">
        <v>73</v>
      </c>
      <c r="B1182" s="397">
        <v>45870</v>
      </c>
      <c r="C1182" s="397" t="s">
        <v>535</v>
      </c>
      <c r="D1182" s="383">
        <v>3</v>
      </c>
      <c r="E1182" s="384" t="s">
        <v>531</v>
      </c>
      <c r="F1182" s="387" t="s">
        <v>273</v>
      </c>
      <c r="G1182" s="464" t="s">
        <v>562</v>
      </c>
      <c r="H1182" s="384" t="s">
        <v>562</v>
      </c>
      <c r="I1182" s="383">
        <f>INDEX(DRE!$W$2:$AS$53, MATCH('DRE 2025'!G1182,DRE!$D$2:$D$53,0), MATCH(B1182, DRE!$W$1:$AS$1, 0))</f>
        <v>0</v>
      </c>
    </row>
    <row r="1183" spans="1:10" x14ac:dyDescent="0.2">
      <c r="A1183" s="383" t="s">
        <v>73</v>
      </c>
      <c r="B1183" s="397">
        <v>45870</v>
      </c>
      <c r="C1183" s="397" t="s">
        <v>535</v>
      </c>
      <c r="D1183" s="383">
        <v>3</v>
      </c>
      <c r="E1183" s="384" t="s">
        <v>531</v>
      </c>
      <c r="F1183" s="387" t="s">
        <v>513</v>
      </c>
      <c r="G1183" s="464" t="s">
        <v>513</v>
      </c>
      <c r="H1183" s="384" t="s">
        <v>513</v>
      </c>
      <c r="I1183" s="383" t="e">
        <f>INDEX(DRE!$W$2:$AS$53, MATCH('DRE 2025'!G1183,DRE!$D$2:$D$53,0), MATCH(B1183, DRE!$W$1:$AS$1, 0))</f>
        <v>#N/A</v>
      </c>
    </row>
    <row r="1184" spans="1:10" x14ac:dyDescent="0.2">
      <c r="A1184" s="383" t="s">
        <v>73</v>
      </c>
      <c r="B1184" s="397">
        <v>45870</v>
      </c>
      <c r="C1184" s="397" t="s">
        <v>535</v>
      </c>
      <c r="D1184" s="383">
        <v>3</v>
      </c>
      <c r="E1184" s="384" t="s">
        <v>531</v>
      </c>
      <c r="F1184" s="387" t="s">
        <v>514</v>
      </c>
      <c r="G1184" s="464" t="s">
        <v>514</v>
      </c>
      <c r="H1184" s="384" t="s">
        <v>514</v>
      </c>
      <c r="I1184" s="383" t="e">
        <f>INDEX(DRE!$W$2:$AS$53, MATCH('DRE 2025'!G1184,DRE!$D$2:$D$53,0), MATCH(B1184, DRE!$W$1:$AS$1, 0))</f>
        <v>#N/A</v>
      </c>
    </row>
    <row r="1185" spans="1:10" x14ac:dyDescent="0.2">
      <c r="A1185" s="383" t="s">
        <v>73</v>
      </c>
      <c r="B1185" s="397">
        <v>45870</v>
      </c>
      <c r="C1185" s="397" t="s">
        <v>535</v>
      </c>
      <c r="D1185" s="383">
        <v>3</v>
      </c>
      <c r="E1185" s="384" t="s">
        <v>531</v>
      </c>
      <c r="F1185" s="385" t="s">
        <v>337</v>
      </c>
      <c r="G1185" s="462" t="s">
        <v>337</v>
      </c>
      <c r="H1185" s="384" t="s">
        <v>337</v>
      </c>
      <c r="I1185" s="383">
        <f>INDEX(DRE!$W$2:$AS$53, MATCH('DRE 2025'!G1185,DRE!$D$2:$D$53,0), MATCH(B1185, DRE!$W$1:$AS$1, 0))</f>
        <v>14872.720000000007</v>
      </c>
    </row>
    <row r="1186" spans="1:10" x14ac:dyDescent="0.2">
      <c r="A1186" s="383" t="s">
        <v>73</v>
      </c>
      <c r="B1186" s="397">
        <v>45870</v>
      </c>
      <c r="C1186" s="397" t="s">
        <v>534</v>
      </c>
      <c r="D1186" s="383">
        <v>4</v>
      </c>
      <c r="E1186" s="383" t="s">
        <v>523</v>
      </c>
      <c r="F1186" s="388" t="s">
        <v>340</v>
      </c>
      <c r="G1186" s="465" t="s">
        <v>340</v>
      </c>
      <c r="H1186" s="384" t="s">
        <v>340</v>
      </c>
      <c r="I1186" s="383">
        <f>INDEX(DRE!$W$2:$AS$53, MATCH('DRE 2025'!G1186,DRE!$D$2:$D$53,0), MATCH(B1186, DRE!$W$1:$AS$1, 0))</f>
        <v>-20964.84</v>
      </c>
    </row>
    <row r="1187" spans="1:10" x14ac:dyDescent="0.2">
      <c r="A1187" s="383" t="s">
        <v>73</v>
      </c>
      <c r="B1187" s="397">
        <v>45870</v>
      </c>
      <c r="C1187" s="397" t="s">
        <v>534</v>
      </c>
      <c r="D1187" s="383">
        <v>4</v>
      </c>
      <c r="E1187" s="383" t="s">
        <v>523</v>
      </c>
      <c r="F1187" s="388" t="s">
        <v>341</v>
      </c>
      <c r="G1187" s="465" t="s">
        <v>341</v>
      </c>
      <c r="H1187" s="384" t="s">
        <v>341</v>
      </c>
      <c r="I1187" s="383">
        <f>INDEX(DRE!$W$2:$AS$53, MATCH('DRE 2025'!G1187,DRE!$D$2:$D$53,0), MATCH(B1187, DRE!$W$1:$AS$1, 0))</f>
        <v>-173444.26</v>
      </c>
    </row>
    <row r="1188" spans="1:10" x14ac:dyDescent="0.2">
      <c r="A1188" s="383" t="s">
        <v>73</v>
      </c>
      <c r="B1188" s="397">
        <v>45870</v>
      </c>
      <c r="C1188" s="397" t="s">
        <v>534</v>
      </c>
      <c r="D1188" s="383">
        <v>4</v>
      </c>
      <c r="E1188" s="383" t="s">
        <v>523</v>
      </c>
      <c r="F1188" s="388" t="s">
        <v>342</v>
      </c>
      <c r="G1188" s="465" t="s">
        <v>342</v>
      </c>
      <c r="H1188" s="384" t="s">
        <v>342</v>
      </c>
      <c r="I1188" s="383">
        <f>INDEX(DRE!$W$2:$AS$53, MATCH('DRE 2025'!G1188,DRE!$D$2:$D$53,0), MATCH(B1188, DRE!$W$1:$AS$1, 0))</f>
        <v>-1598716.6397999995</v>
      </c>
    </row>
    <row r="1189" spans="1:10" x14ac:dyDescent="0.2">
      <c r="A1189" s="383" t="s">
        <v>73</v>
      </c>
      <c r="B1189" s="397">
        <v>45870</v>
      </c>
      <c r="C1189" s="397" t="s">
        <v>534</v>
      </c>
      <c r="D1189" s="383">
        <v>4</v>
      </c>
      <c r="E1189" s="383" t="s">
        <v>523</v>
      </c>
      <c r="F1189" s="388" t="s">
        <v>343</v>
      </c>
      <c r="G1189" s="465" t="s">
        <v>343</v>
      </c>
      <c r="H1189" s="384" t="s">
        <v>343</v>
      </c>
      <c r="I1189" s="383">
        <f>INDEX(DRE!$W$2:$AS$53, MATCH('DRE 2025'!G1189,DRE!$D$2:$D$53,0), MATCH(B1189, DRE!$W$1:$AS$1, 0))</f>
        <v>-94822.42</v>
      </c>
    </row>
    <row r="1190" spans="1:10" x14ac:dyDescent="0.2">
      <c r="A1190" s="383" t="s">
        <v>73</v>
      </c>
      <c r="B1190" s="397">
        <v>45870</v>
      </c>
      <c r="C1190" s="397" t="s">
        <v>535</v>
      </c>
      <c r="D1190" s="383">
        <v>5</v>
      </c>
      <c r="E1190" s="383" t="s">
        <v>532</v>
      </c>
      <c r="F1190" s="401" t="s">
        <v>345</v>
      </c>
      <c r="G1190" s="401"/>
      <c r="H1190" s="402" t="s">
        <v>345</v>
      </c>
      <c r="I1190" s="406" t="e">
        <f>I1179+I1180+I1181+I1182+I1183+I1184+I1185+I1186+I1187+I1188+I1189</f>
        <v>#N/A</v>
      </c>
      <c r="J1190" s="352" t="e">
        <f>IF(C1190="A",-I1190/I1172,I1190/I1172)</f>
        <v>#N/A</v>
      </c>
    </row>
    <row r="1191" spans="1:10" x14ac:dyDescent="0.2">
      <c r="A1191" s="383" t="s">
        <v>73</v>
      </c>
      <c r="B1191" s="397">
        <v>45870</v>
      </c>
      <c r="C1191" s="397" t="s">
        <v>534</v>
      </c>
      <c r="D1191" s="383">
        <v>6</v>
      </c>
      <c r="E1191" s="383" t="s">
        <v>524</v>
      </c>
      <c r="F1191" s="388" t="s">
        <v>349</v>
      </c>
      <c r="G1191" s="465" t="s">
        <v>349</v>
      </c>
      <c r="H1191" s="384" t="s">
        <v>473</v>
      </c>
      <c r="I1191" s="383">
        <f>INDEX(DRE!$W$2:$AS$53, MATCH('DRE 2025'!G1191,DRE!$D$2:$D$53,0), MATCH(B1191, DRE!$W$1:$AS$1, 0))</f>
        <v>-14345.43</v>
      </c>
    </row>
    <row r="1192" spans="1:10" x14ac:dyDescent="0.2">
      <c r="A1192" s="383" t="s">
        <v>73</v>
      </c>
      <c r="B1192" s="397">
        <v>45870</v>
      </c>
      <c r="C1192" s="397" t="s">
        <v>534</v>
      </c>
      <c r="D1192" s="383">
        <v>6</v>
      </c>
      <c r="E1192" s="383" t="s">
        <v>524</v>
      </c>
      <c r="F1192" s="388" t="s">
        <v>350</v>
      </c>
      <c r="G1192" s="465" t="s">
        <v>350</v>
      </c>
      <c r="H1192" s="384" t="s">
        <v>474</v>
      </c>
      <c r="I1192" s="383">
        <f>INDEX(DRE!$W$2:$AS$53, MATCH('DRE 2025'!G1192,DRE!$D$2:$D$53,0), MATCH(B1192, DRE!$W$1:$AS$1, 0))</f>
        <v>-13945.19</v>
      </c>
    </row>
    <row r="1193" spans="1:10" x14ac:dyDescent="0.2">
      <c r="A1193" s="383" t="s">
        <v>73</v>
      </c>
      <c r="B1193" s="397">
        <v>45870</v>
      </c>
      <c r="C1193" s="397" t="s">
        <v>534</v>
      </c>
      <c r="D1193" s="383">
        <v>6</v>
      </c>
      <c r="E1193" s="383" t="s">
        <v>524</v>
      </c>
      <c r="F1193" s="388" t="s">
        <v>351</v>
      </c>
      <c r="G1193" s="465" t="s">
        <v>351</v>
      </c>
      <c r="H1193" s="384" t="s">
        <v>475</v>
      </c>
      <c r="I1193" s="383">
        <f>INDEX(DRE!$W$2:$AS$53, MATCH('DRE 2025'!G1193,DRE!$D$2:$D$53,0), MATCH(B1193, DRE!$W$1:$AS$1, 0))</f>
        <v>-43428.369999999995</v>
      </c>
    </row>
    <row r="1194" spans="1:10" x14ac:dyDescent="0.2">
      <c r="A1194" s="383" t="s">
        <v>73</v>
      </c>
      <c r="B1194" s="397">
        <v>45870</v>
      </c>
      <c r="C1194" s="397" t="s">
        <v>534</v>
      </c>
      <c r="D1194" s="383">
        <v>6</v>
      </c>
      <c r="E1194" s="383" t="s">
        <v>524</v>
      </c>
      <c r="F1194" s="388" t="s">
        <v>352</v>
      </c>
      <c r="G1194" s="465" t="s">
        <v>352</v>
      </c>
      <c r="H1194" s="384" t="s">
        <v>476</v>
      </c>
      <c r="I1194" s="383">
        <f>INDEX(DRE!$W$2:$AS$53, MATCH('DRE 2025'!G1194,DRE!$D$2:$D$53,0), MATCH(B1194, DRE!$W$1:$AS$1, 0))</f>
        <v>-5897.39</v>
      </c>
    </row>
    <row r="1195" spans="1:10" x14ac:dyDescent="0.2">
      <c r="A1195" s="383" t="s">
        <v>73</v>
      </c>
      <c r="B1195" s="397">
        <v>45870</v>
      </c>
      <c r="C1195" s="397" t="s">
        <v>534</v>
      </c>
      <c r="D1195" s="383">
        <v>6</v>
      </c>
      <c r="E1195" s="383" t="s">
        <v>524</v>
      </c>
      <c r="F1195" s="388" t="s">
        <v>353</v>
      </c>
      <c r="G1195" s="465" t="s">
        <v>353</v>
      </c>
      <c r="H1195" s="384" t="s">
        <v>477</v>
      </c>
      <c r="I1195" s="383">
        <f>INDEX(DRE!$W$2:$AS$53, MATCH('DRE 2025'!G1195,DRE!$D$2:$D$53,0), MATCH(B1195, DRE!$W$1:$AS$1, 0))</f>
        <v>-64368.57</v>
      </c>
    </row>
    <row r="1196" spans="1:10" x14ac:dyDescent="0.2">
      <c r="A1196" s="383" t="s">
        <v>73</v>
      </c>
      <c r="B1196" s="397">
        <v>45870</v>
      </c>
      <c r="C1196" s="397" t="s">
        <v>534</v>
      </c>
      <c r="D1196" s="383">
        <v>6</v>
      </c>
      <c r="E1196" s="383" t="s">
        <v>524</v>
      </c>
      <c r="F1196" s="388" t="s">
        <v>354</v>
      </c>
      <c r="G1196" s="465" t="s">
        <v>354</v>
      </c>
      <c r="H1196" s="384" t="s">
        <v>478</v>
      </c>
      <c r="I1196" s="383">
        <f>INDEX(DRE!$W$2:$AS$53, MATCH('DRE 2025'!G1196,DRE!$D$2:$D$53,0), MATCH(B1196, DRE!$W$1:$AS$1, 0))</f>
        <v>-32446.79</v>
      </c>
    </row>
    <row r="1197" spans="1:10" x14ac:dyDescent="0.2">
      <c r="A1197" s="383" t="s">
        <v>73</v>
      </c>
      <c r="B1197" s="397">
        <v>45870</v>
      </c>
      <c r="C1197" s="397" t="s">
        <v>534</v>
      </c>
      <c r="D1197" s="383">
        <v>6</v>
      </c>
      <c r="E1197" s="383" t="s">
        <v>524</v>
      </c>
      <c r="F1197" s="390" t="s">
        <v>355</v>
      </c>
      <c r="G1197" s="461" t="s">
        <v>355</v>
      </c>
      <c r="H1197" s="384" t="s">
        <v>355</v>
      </c>
      <c r="I1197" s="383">
        <f>INDEX(DRE!$W$2:$AS$53, MATCH('DRE 2025'!G1197,DRE!$D$2:$D$53,0), MATCH(B1197, DRE!$W$1:$AS$1, 0))</f>
        <v>-58336.51</v>
      </c>
    </row>
    <row r="1198" spans="1:10" x14ac:dyDescent="0.2">
      <c r="A1198" s="383" t="s">
        <v>73</v>
      </c>
      <c r="B1198" s="397">
        <v>45870</v>
      </c>
      <c r="C1198" s="397" t="s">
        <v>534</v>
      </c>
      <c r="D1198" s="383">
        <v>6</v>
      </c>
      <c r="E1198" s="383" t="s">
        <v>524</v>
      </c>
      <c r="F1198" s="390" t="s">
        <v>356</v>
      </c>
      <c r="G1198" s="461" t="s">
        <v>356</v>
      </c>
      <c r="H1198" s="384" t="s">
        <v>356</v>
      </c>
      <c r="I1198" s="383">
        <f>INDEX(DRE!$W$2:$AS$53, MATCH('DRE 2025'!G1198,DRE!$D$2:$D$53,0), MATCH(B1198, DRE!$W$1:$AS$1, 0))</f>
        <v>-568047.18450000009</v>
      </c>
    </row>
    <row r="1199" spans="1:10" x14ac:dyDescent="0.2">
      <c r="A1199" s="383" t="s">
        <v>73</v>
      </c>
      <c r="B1199" s="397">
        <v>45870</v>
      </c>
      <c r="C1199" s="397" t="s">
        <v>534</v>
      </c>
      <c r="D1199" s="383">
        <v>6</v>
      </c>
      <c r="E1199" s="383" t="s">
        <v>524</v>
      </c>
      <c r="F1199" s="390" t="s">
        <v>357</v>
      </c>
      <c r="G1199" s="461" t="s">
        <v>357</v>
      </c>
      <c r="H1199" s="384" t="s">
        <v>357</v>
      </c>
      <c r="I1199" s="383">
        <f>INDEX(DRE!$W$2:$AS$53, MATCH('DRE 2025'!G1199,DRE!$D$2:$D$53,0), MATCH(B1199, DRE!$W$1:$AS$1, 0))</f>
        <v>0</v>
      </c>
    </row>
    <row r="1200" spans="1:10" x14ac:dyDescent="0.2">
      <c r="A1200" s="383" t="s">
        <v>73</v>
      </c>
      <c r="B1200" s="397">
        <v>45870</v>
      </c>
      <c r="C1200" s="397" t="s">
        <v>535</v>
      </c>
      <c r="D1200" s="383">
        <v>7</v>
      </c>
      <c r="E1200" s="383" t="s">
        <v>529</v>
      </c>
      <c r="F1200" s="400" t="s">
        <v>358</v>
      </c>
      <c r="G1200" s="400"/>
      <c r="H1200" s="403" t="s">
        <v>358</v>
      </c>
      <c r="I1200" s="396" t="e">
        <f>I1190+I1191+I1192+I1193+I1194+I1195+I1196+I1197+I1198+I1199</f>
        <v>#N/A</v>
      </c>
      <c r="J1200" s="352" t="e">
        <f>IF(C1200="A",-I1200/I1172,I1200/I1172)</f>
        <v>#N/A</v>
      </c>
    </row>
    <row r="1201" spans="1:10" x14ac:dyDescent="0.2">
      <c r="A1201" s="383" t="s">
        <v>73</v>
      </c>
      <c r="B1201" s="397">
        <v>45870</v>
      </c>
      <c r="C1201" s="397" t="s">
        <v>534</v>
      </c>
      <c r="D1201" s="383">
        <v>8</v>
      </c>
      <c r="E1201" s="383" t="s">
        <v>527</v>
      </c>
      <c r="F1201" s="385" t="s">
        <v>359</v>
      </c>
      <c r="G1201" s="462" t="s">
        <v>359</v>
      </c>
      <c r="H1201" s="384" t="s">
        <v>479</v>
      </c>
      <c r="I1201" s="383">
        <f>INDEX(DRE!$W$2:$AS$53, MATCH('DRE 2025'!G1201,DRE!$D$2:$D$53,0), MATCH(B1201, DRE!$W$1:$AS$1, 0))</f>
        <v>0</v>
      </c>
    </row>
    <row r="1202" spans="1:10" x14ac:dyDescent="0.2">
      <c r="A1202" s="383" t="s">
        <v>73</v>
      </c>
      <c r="B1202" s="397">
        <v>45870</v>
      </c>
      <c r="C1202" s="397" t="s">
        <v>534</v>
      </c>
      <c r="D1202" s="383">
        <v>8</v>
      </c>
      <c r="E1202" s="383" t="s">
        <v>527</v>
      </c>
      <c r="F1202" s="385" t="s">
        <v>360</v>
      </c>
      <c r="G1202" s="462" t="s">
        <v>360</v>
      </c>
      <c r="H1202" s="384" t="s">
        <v>480</v>
      </c>
      <c r="I1202" s="383">
        <f>INDEX(DRE!$W$2:$AS$53, MATCH('DRE 2025'!G1202,DRE!$D$2:$D$53,0), MATCH(B1202, DRE!$W$1:$AS$1, 0))</f>
        <v>23134.83</v>
      </c>
    </row>
    <row r="1203" spans="1:10" x14ac:dyDescent="0.2">
      <c r="A1203" s="383" t="s">
        <v>73</v>
      </c>
      <c r="B1203" s="397">
        <v>45870</v>
      </c>
      <c r="C1203" s="397" t="s">
        <v>534</v>
      </c>
      <c r="D1203" s="383">
        <v>8</v>
      </c>
      <c r="E1203" s="383" t="s">
        <v>527</v>
      </c>
      <c r="F1203" s="390" t="s">
        <v>361</v>
      </c>
      <c r="G1203" s="466" t="s">
        <v>361</v>
      </c>
      <c r="H1203" s="384" t="s">
        <v>481</v>
      </c>
      <c r="I1203" s="383">
        <f>INDEX(DRE!$W$2:$AS$53, MATCH('DRE 2025'!G1203,DRE!$D$2:$D$53,0), MATCH(B1203, DRE!$W$1:$AS$1, 0))</f>
        <v>-29558.58</v>
      </c>
    </row>
    <row r="1204" spans="1:10" x14ac:dyDescent="0.2">
      <c r="A1204" s="383" t="s">
        <v>73</v>
      </c>
      <c r="B1204" s="397">
        <v>45870</v>
      </c>
      <c r="C1204" s="397" t="s">
        <v>534</v>
      </c>
      <c r="D1204" s="383">
        <v>9</v>
      </c>
      <c r="E1204" s="383" t="s">
        <v>526</v>
      </c>
      <c r="F1204" s="390" t="s">
        <v>363</v>
      </c>
      <c r="G1204" s="461" t="s">
        <v>363</v>
      </c>
      <c r="H1204" s="384" t="s">
        <v>363</v>
      </c>
      <c r="I1204" s="383">
        <f>INDEX(DRE!$W$2:$AS$53, MATCH('DRE 2025'!G1204,DRE!$D$2:$D$53,0), MATCH(B1204, DRE!$W$1:$AS$1, 0))</f>
        <v>-633627.12</v>
      </c>
    </row>
    <row r="1205" spans="1:10" x14ac:dyDescent="0.2">
      <c r="A1205" s="383" t="s">
        <v>73</v>
      </c>
      <c r="B1205" s="397">
        <v>45870</v>
      </c>
      <c r="C1205" s="397" t="s">
        <v>534</v>
      </c>
      <c r="D1205" s="383">
        <v>9</v>
      </c>
      <c r="E1205" s="383" t="s">
        <v>526</v>
      </c>
      <c r="F1205" s="390" t="s">
        <v>364</v>
      </c>
      <c r="G1205" s="461" t="s">
        <v>364</v>
      </c>
      <c r="H1205" s="384" t="s">
        <v>364</v>
      </c>
      <c r="I1205" s="383">
        <f>INDEX(DRE!$W$2:$AS$53, MATCH('DRE 2025'!G1205,DRE!$D$2:$D$53,0), MATCH(B1205, DRE!$W$1:$AS$1, 0))</f>
        <v>-32092.9664204</v>
      </c>
    </row>
    <row r="1206" spans="1:10" x14ac:dyDescent="0.2">
      <c r="A1206" s="383" t="s">
        <v>73</v>
      </c>
      <c r="B1206" s="397">
        <v>45870</v>
      </c>
      <c r="C1206" s="397" t="s">
        <v>534</v>
      </c>
      <c r="D1206" s="383">
        <v>9</v>
      </c>
      <c r="E1206" s="383" t="s">
        <v>526</v>
      </c>
      <c r="F1206" s="394" t="s">
        <v>273</v>
      </c>
      <c r="G1206" s="467" t="s">
        <v>563</v>
      </c>
      <c r="H1206" s="398" t="s">
        <v>563</v>
      </c>
      <c r="I1206" s="383">
        <f>INDEX(DRE!$W$2:$AS$53, MATCH('DRE 2025'!G1206,DRE!$D$2:$D$53,0), MATCH(B1206, DRE!$W$1:$AS$1, 0))</f>
        <v>0</v>
      </c>
    </row>
    <row r="1207" spans="1:10" x14ac:dyDescent="0.2">
      <c r="A1207" s="383" t="s">
        <v>73</v>
      </c>
      <c r="B1207" s="397">
        <v>45870</v>
      </c>
      <c r="C1207" s="397" t="s">
        <v>534</v>
      </c>
      <c r="D1207" s="383">
        <v>10</v>
      </c>
      <c r="E1207" s="383" t="s">
        <v>452</v>
      </c>
      <c r="F1207" s="400" t="s">
        <v>365</v>
      </c>
      <c r="G1207" s="400"/>
      <c r="H1207" s="403" t="s">
        <v>365</v>
      </c>
      <c r="I1207" s="396">
        <f>I1173+I1174+I1175+I1176+I1177+I1178+I1186+I1187+I1188+I1189+I1191+I1192+I1193+I1194+I1195+I1196+I1197+I1198+I1199+I1201+I1202+I1203+I1204+I1205+I1206</f>
        <v>-3579908.5507333996</v>
      </c>
      <c r="J1207" s="352">
        <f>IF(C1207="A",-I1207/I1172,I1207/I1172)</f>
        <v>0.74139668340531817</v>
      </c>
    </row>
    <row r="1208" spans="1:10" x14ac:dyDescent="0.2">
      <c r="A1208" s="383" t="s">
        <v>73</v>
      </c>
      <c r="B1208" s="397">
        <v>45870</v>
      </c>
      <c r="C1208" s="397" t="s">
        <v>535</v>
      </c>
      <c r="D1208" s="383">
        <v>11</v>
      </c>
      <c r="E1208" s="383" t="s">
        <v>528</v>
      </c>
      <c r="F1208" s="400" t="s">
        <v>367</v>
      </c>
      <c r="G1208" s="400"/>
      <c r="H1208" s="403" t="s">
        <v>367</v>
      </c>
      <c r="I1208" s="395">
        <f>I1172+I1207</f>
        <v>1248692.1577166002</v>
      </c>
      <c r="J1208" s="352">
        <f>IF(C1208="A",-I1208/I1172,I1208/I1172)</f>
        <v>0.25860331659468183</v>
      </c>
    </row>
    <row r="1209" spans="1:10" x14ac:dyDescent="0.2">
      <c r="A1209" s="383" t="s">
        <v>516</v>
      </c>
      <c r="B1209" s="397">
        <v>45870</v>
      </c>
      <c r="C1209" s="397" t="s">
        <v>536</v>
      </c>
      <c r="D1209" s="383">
        <v>1</v>
      </c>
      <c r="E1209" s="384" t="s">
        <v>530</v>
      </c>
      <c r="F1209" s="400" t="s">
        <v>440</v>
      </c>
      <c r="G1209" s="400"/>
      <c r="H1209" s="404" t="s">
        <v>440</v>
      </c>
      <c r="I1209" s="407">
        <f>HLOOKUP(B1209,[5]Sucumbências!$BP$2:$CA$43,31,0)</f>
        <v>38066.9</v>
      </c>
      <c r="J1209" s="352">
        <v>1</v>
      </c>
    </row>
    <row r="1210" spans="1:10" x14ac:dyDescent="0.2">
      <c r="A1210" s="383" t="s">
        <v>516</v>
      </c>
      <c r="B1210" s="397">
        <v>45870</v>
      </c>
      <c r="C1210" s="397" t="s">
        <v>534</v>
      </c>
      <c r="D1210" s="383">
        <v>4</v>
      </c>
      <c r="E1210" s="383" t="s">
        <v>525</v>
      </c>
      <c r="F1210" s="388" t="s">
        <v>340</v>
      </c>
      <c r="G1210" s="388"/>
      <c r="H1210" s="404" t="s">
        <v>340</v>
      </c>
      <c r="I1210" s="407">
        <f>-HLOOKUP(B1210,GLOSAS!$BQ$1:$CB$43,30,0)</f>
        <v>0</v>
      </c>
    </row>
    <row r="1211" spans="1:10" x14ac:dyDescent="0.2">
      <c r="A1211" s="383" t="s">
        <v>516</v>
      </c>
      <c r="B1211" s="397">
        <v>45870</v>
      </c>
      <c r="C1211" s="397" t="s">
        <v>534</v>
      </c>
      <c r="D1211" s="383">
        <v>9</v>
      </c>
      <c r="E1211" s="383" t="s">
        <v>526</v>
      </c>
      <c r="F1211" s="390" t="s">
        <v>363</v>
      </c>
      <c r="G1211" s="390"/>
      <c r="H1211" s="404" t="s">
        <v>363</v>
      </c>
      <c r="I1211" s="407">
        <f>-I1209*0.1</f>
        <v>-3806.6900000000005</v>
      </c>
    </row>
    <row r="1212" spans="1:10" x14ac:dyDescent="0.2">
      <c r="A1212" s="383" t="s">
        <v>516</v>
      </c>
      <c r="B1212" s="397">
        <v>45870</v>
      </c>
      <c r="C1212" s="397" t="s">
        <v>535</v>
      </c>
      <c r="D1212" s="383">
        <v>11</v>
      </c>
      <c r="E1212" s="383" t="s">
        <v>528</v>
      </c>
      <c r="F1212" s="400" t="s">
        <v>367</v>
      </c>
      <c r="G1212" s="400"/>
      <c r="H1212" s="404" t="s">
        <v>367</v>
      </c>
      <c r="I1212" s="407">
        <f>I1209+I1210+I1211</f>
        <v>34260.21</v>
      </c>
      <c r="J1212" s="352">
        <f>IF(C1212="A",-I1212/I1209,I1212/I1209)</f>
        <v>0.89999999999999991</v>
      </c>
    </row>
    <row r="1213" spans="1:10" x14ac:dyDescent="0.2">
      <c r="A1213" s="383" t="s">
        <v>522</v>
      </c>
      <c r="B1213" s="397">
        <v>45870</v>
      </c>
      <c r="C1213" s="397" t="s">
        <v>536</v>
      </c>
      <c r="D1213" s="383">
        <v>1</v>
      </c>
      <c r="E1213" s="384" t="s">
        <v>530</v>
      </c>
      <c r="F1213" s="400" t="s">
        <v>440</v>
      </c>
      <c r="G1213" s="400"/>
      <c r="H1213" s="405" t="s">
        <v>440</v>
      </c>
      <c r="I1213" s="396">
        <f>I1172-I1209</f>
        <v>4790533.8084499994</v>
      </c>
      <c r="J1213" s="352">
        <v>1</v>
      </c>
    </row>
    <row r="1214" spans="1:10" x14ac:dyDescent="0.2">
      <c r="A1214" s="383" t="s">
        <v>522</v>
      </c>
      <c r="B1214" s="397">
        <v>45870</v>
      </c>
      <c r="C1214" s="397" t="s">
        <v>534</v>
      </c>
      <c r="D1214" s="383">
        <v>2</v>
      </c>
      <c r="E1214" s="384" t="s">
        <v>325</v>
      </c>
      <c r="F1214" s="390" t="s">
        <v>326</v>
      </c>
      <c r="G1214" s="390"/>
      <c r="H1214" s="384" t="s">
        <v>519</v>
      </c>
      <c r="I1214" s="406">
        <f t="shared" ref="I1214:I1226" si="31">I1173</f>
        <v>-218240.87001300001</v>
      </c>
    </row>
    <row r="1215" spans="1:10" x14ac:dyDescent="0.2">
      <c r="A1215" s="383" t="s">
        <v>522</v>
      </c>
      <c r="B1215" s="397">
        <v>45870</v>
      </c>
      <c r="C1215" s="397" t="s">
        <v>534</v>
      </c>
      <c r="D1215" s="383">
        <v>2</v>
      </c>
      <c r="E1215" s="384" t="s">
        <v>325</v>
      </c>
      <c r="F1215" s="385" t="s">
        <v>328</v>
      </c>
      <c r="G1215" s="385"/>
      <c r="H1215" s="384" t="s">
        <v>521</v>
      </c>
      <c r="I1215" s="406">
        <f t="shared" si="31"/>
        <v>-756.69</v>
      </c>
    </row>
    <row r="1216" spans="1:10" x14ac:dyDescent="0.2">
      <c r="A1216" s="383" t="s">
        <v>522</v>
      </c>
      <c r="B1216" s="397">
        <v>45870</v>
      </c>
      <c r="C1216" s="397" t="s">
        <v>534</v>
      </c>
      <c r="D1216" s="383">
        <v>2</v>
      </c>
      <c r="E1216" s="384" t="s">
        <v>325</v>
      </c>
      <c r="F1216" s="385" t="s">
        <v>329</v>
      </c>
      <c r="G1216" s="385"/>
      <c r="H1216" s="384" t="s">
        <v>329</v>
      </c>
      <c r="I1216" s="406">
        <f t="shared" si="31"/>
        <v>0</v>
      </c>
    </row>
    <row r="1217" spans="1:10" x14ac:dyDescent="0.2">
      <c r="A1217" s="383" t="s">
        <v>522</v>
      </c>
      <c r="B1217" s="397">
        <v>45870</v>
      </c>
      <c r="C1217" s="397" t="s">
        <v>534</v>
      </c>
      <c r="D1217" s="383">
        <v>2</v>
      </c>
      <c r="E1217" s="384" t="s">
        <v>325</v>
      </c>
      <c r="F1217" s="385" t="s">
        <v>330</v>
      </c>
      <c r="G1217" s="385"/>
      <c r="H1217" s="384" t="s">
        <v>330</v>
      </c>
      <c r="I1217" s="406">
        <f t="shared" si="31"/>
        <v>0</v>
      </c>
    </row>
    <row r="1218" spans="1:10" x14ac:dyDescent="0.2">
      <c r="A1218" s="383" t="s">
        <v>522</v>
      </c>
      <c r="B1218" s="397">
        <v>45870</v>
      </c>
      <c r="C1218" s="397" t="s">
        <v>534</v>
      </c>
      <c r="D1218" s="383">
        <v>2</v>
      </c>
      <c r="E1218" s="384" t="s">
        <v>325</v>
      </c>
      <c r="F1218" s="385" t="s">
        <v>331</v>
      </c>
      <c r="G1218" s="385"/>
      <c r="H1218" s="384" t="s">
        <v>331</v>
      </c>
      <c r="I1218" s="406">
        <f t="shared" si="31"/>
        <v>-3.56</v>
      </c>
    </row>
    <row r="1219" spans="1:10" x14ac:dyDescent="0.2">
      <c r="A1219" s="383" t="s">
        <v>522</v>
      </c>
      <c r="B1219" s="397">
        <v>45870</v>
      </c>
      <c r="C1219" s="397" t="s">
        <v>534</v>
      </c>
      <c r="D1219" s="383">
        <v>2</v>
      </c>
      <c r="E1219" s="384" t="s">
        <v>325</v>
      </c>
      <c r="F1219" s="384" t="s">
        <v>332</v>
      </c>
      <c r="G1219" s="384"/>
      <c r="H1219" s="384" t="s">
        <v>520</v>
      </c>
      <c r="I1219" s="406">
        <f t="shared" si="31"/>
        <v>0</v>
      </c>
    </row>
    <row r="1220" spans="1:10" x14ac:dyDescent="0.2">
      <c r="A1220" s="383" t="s">
        <v>522</v>
      </c>
      <c r="B1220" s="397">
        <v>45870</v>
      </c>
      <c r="C1220" s="397" t="s">
        <v>535</v>
      </c>
      <c r="D1220" s="383">
        <v>3</v>
      </c>
      <c r="E1220" s="384" t="s">
        <v>531</v>
      </c>
      <c r="F1220" s="385" t="s">
        <v>334</v>
      </c>
      <c r="G1220" s="385"/>
      <c r="H1220" s="384" t="s">
        <v>334</v>
      </c>
      <c r="I1220" s="406">
        <f t="shared" si="31"/>
        <v>4015316.61</v>
      </c>
    </row>
    <row r="1221" spans="1:10" x14ac:dyDescent="0.2">
      <c r="A1221" s="383" t="s">
        <v>522</v>
      </c>
      <c r="B1221" s="397">
        <v>45870</v>
      </c>
      <c r="C1221" s="397" t="s">
        <v>535</v>
      </c>
      <c r="D1221" s="383">
        <v>3</v>
      </c>
      <c r="E1221" s="384" t="s">
        <v>531</v>
      </c>
      <c r="F1221" s="385" t="s">
        <v>335</v>
      </c>
      <c r="G1221" s="385"/>
      <c r="H1221" s="384" t="s">
        <v>335</v>
      </c>
      <c r="I1221" s="406">
        <f t="shared" si="31"/>
        <v>579410.41</v>
      </c>
    </row>
    <row r="1222" spans="1:10" x14ac:dyDescent="0.2">
      <c r="A1222" s="383" t="s">
        <v>522</v>
      </c>
      <c r="B1222" s="397">
        <v>45870</v>
      </c>
      <c r="C1222" s="397" t="s">
        <v>535</v>
      </c>
      <c r="D1222" s="383">
        <v>3</v>
      </c>
      <c r="E1222" s="384" t="s">
        <v>531</v>
      </c>
      <c r="F1222" s="385" t="s">
        <v>336</v>
      </c>
      <c r="G1222" s="385"/>
      <c r="H1222" s="384" t="s">
        <v>336</v>
      </c>
      <c r="I1222" s="406">
        <f t="shared" si="31"/>
        <v>0</v>
      </c>
    </row>
    <row r="1223" spans="1:10" x14ac:dyDescent="0.2">
      <c r="A1223" s="383" t="s">
        <v>522</v>
      </c>
      <c r="B1223" s="397">
        <v>45870</v>
      </c>
      <c r="C1223" s="397" t="s">
        <v>535</v>
      </c>
      <c r="D1223" s="383">
        <v>3</v>
      </c>
      <c r="E1223" s="384" t="s">
        <v>531</v>
      </c>
      <c r="F1223" s="387" t="s">
        <v>273</v>
      </c>
      <c r="G1223" s="387"/>
      <c r="H1223" s="384" t="s">
        <v>562</v>
      </c>
      <c r="I1223" s="406">
        <f t="shared" si="31"/>
        <v>0</v>
      </c>
    </row>
    <row r="1224" spans="1:10" x14ac:dyDescent="0.2">
      <c r="A1224" s="383" t="s">
        <v>522</v>
      </c>
      <c r="B1224" s="397">
        <v>45870</v>
      </c>
      <c r="C1224" s="397" t="s">
        <v>535</v>
      </c>
      <c r="D1224" s="383">
        <v>3</v>
      </c>
      <c r="E1224" s="384" t="s">
        <v>531</v>
      </c>
      <c r="F1224" s="387" t="s">
        <v>513</v>
      </c>
      <c r="G1224" s="387"/>
      <c r="H1224" s="384" t="s">
        <v>513</v>
      </c>
      <c r="I1224" s="406" t="e">
        <f t="shared" si="31"/>
        <v>#N/A</v>
      </c>
    </row>
    <row r="1225" spans="1:10" x14ac:dyDescent="0.2">
      <c r="A1225" s="383" t="s">
        <v>522</v>
      </c>
      <c r="B1225" s="397">
        <v>45870</v>
      </c>
      <c r="C1225" s="397" t="s">
        <v>535</v>
      </c>
      <c r="D1225" s="383">
        <v>3</v>
      </c>
      <c r="E1225" s="384" t="s">
        <v>531</v>
      </c>
      <c r="F1225" s="387" t="s">
        <v>514</v>
      </c>
      <c r="G1225" s="387"/>
      <c r="H1225" s="384" t="s">
        <v>514</v>
      </c>
      <c r="I1225" s="406" t="e">
        <f t="shared" si="31"/>
        <v>#N/A</v>
      </c>
    </row>
    <row r="1226" spans="1:10" x14ac:dyDescent="0.2">
      <c r="A1226" s="383" t="s">
        <v>522</v>
      </c>
      <c r="B1226" s="397">
        <v>45870</v>
      </c>
      <c r="C1226" s="397" t="s">
        <v>535</v>
      </c>
      <c r="D1226" s="383">
        <v>3</v>
      </c>
      <c r="E1226" s="384" t="s">
        <v>531</v>
      </c>
      <c r="F1226" s="385" t="s">
        <v>337</v>
      </c>
      <c r="G1226" s="385"/>
      <c r="H1226" s="384" t="s">
        <v>337</v>
      </c>
      <c r="I1226" s="406">
        <f t="shared" si="31"/>
        <v>14872.720000000007</v>
      </c>
    </row>
    <row r="1227" spans="1:10" x14ac:dyDescent="0.2">
      <c r="A1227" s="383" t="s">
        <v>522</v>
      </c>
      <c r="B1227" s="397">
        <v>45870</v>
      </c>
      <c r="C1227" s="397" t="s">
        <v>534</v>
      </c>
      <c r="D1227" s="383">
        <v>4</v>
      </c>
      <c r="E1227" s="383" t="s">
        <v>523</v>
      </c>
      <c r="F1227" s="388" t="s">
        <v>340</v>
      </c>
      <c r="G1227" s="388"/>
      <c r="H1227" s="405" t="s">
        <v>340</v>
      </c>
      <c r="I1227" s="396">
        <f>I1186-I1210</f>
        <v>-20964.84</v>
      </c>
    </row>
    <row r="1228" spans="1:10" x14ac:dyDescent="0.2">
      <c r="A1228" s="383" t="s">
        <v>522</v>
      </c>
      <c r="B1228" s="397">
        <v>45870</v>
      </c>
      <c r="C1228" s="397" t="s">
        <v>534</v>
      </c>
      <c r="D1228" s="383">
        <v>4</v>
      </c>
      <c r="E1228" s="383" t="s">
        <v>523</v>
      </c>
      <c r="F1228" s="388" t="s">
        <v>341</v>
      </c>
      <c r="G1228" s="388"/>
      <c r="H1228" s="384" t="s">
        <v>341</v>
      </c>
      <c r="I1228" s="406">
        <f>I1187</f>
        <v>-173444.26</v>
      </c>
    </row>
    <row r="1229" spans="1:10" x14ac:dyDescent="0.2">
      <c r="A1229" s="383" t="s">
        <v>522</v>
      </c>
      <c r="B1229" s="397">
        <v>45870</v>
      </c>
      <c r="C1229" s="397" t="s">
        <v>534</v>
      </c>
      <c r="D1229" s="383">
        <v>4</v>
      </c>
      <c r="E1229" s="383" t="s">
        <v>523</v>
      </c>
      <c r="F1229" s="388" t="s">
        <v>342</v>
      </c>
      <c r="G1229" s="388"/>
      <c r="H1229" s="384" t="s">
        <v>342</v>
      </c>
      <c r="I1229" s="406">
        <f>I1188</f>
        <v>-1598716.6397999995</v>
      </c>
    </row>
    <row r="1230" spans="1:10" x14ac:dyDescent="0.2">
      <c r="A1230" s="383" t="s">
        <v>522</v>
      </c>
      <c r="B1230" s="397">
        <v>45870</v>
      </c>
      <c r="C1230" s="397" t="s">
        <v>534</v>
      </c>
      <c r="D1230" s="383">
        <v>4</v>
      </c>
      <c r="E1230" s="383" t="s">
        <v>523</v>
      </c>
      <c r="F1230" s="388" t="s">
        <v>343</v>
      </c>
      <c r="G1230" s="388"/>
      <c r="H1230" s="384" t="s">
        <v>343</v>
      </c>
      <c r="I1230" s="406">
        <f>I1189</f>
        <v>-94822.42</v>
      </c>
    </row>
    <row r="1231" spans="1:10" x14ac:dyDescent="0.2">
      <c r="A1231" s="383" t="s">
        <v>522</v>
      </c>
      <c r="B1231" s="397">
        <v>45870</v>
      </c>
      <c r="C1231" s="397" t="s">
        <v>535</v>
      </c>
      <c r="D1231" s="383">
        <v>5</v>
      </c>
      <c r="E1231" s="383" t="s">
        <v>532</v>
      </c>
      <c r="F1231" s="401" t="s">
        <v>345</v>
      </c>
      <c r="G1231" s="401"/>
      <c r="H1231" s="403" t="s">
        <v>345</v>
      </c>
      <c r="I1231" s="406">
        <f>I1213+I1214+I1215+I1216+I1217+I1218+I1219+I1227+I1228+I1229+I1230</f>
        <v>2683584.5286369999</v>
      </c>
      <c r="J1231" s="352">
        <f>IF(C1231="A",-I1231/I1213,I1231/I1213)</f>
        <v>0.56018486372091525</v>
      </c>
    </row>
    <row r="1232" spans="1:10" x14ac:dyDescent="0.2">
      <c r="A1232" s="383" t="s">
        <v>522</v>
      </c>
      <c r="B1232" s="397">
        <v>45870</v>
      </c>
      <c r="C1232" s="397" t="s">
        <v>534</v>
      </c>
      <c r="D1232" s="383">
        <v>6</v>
      </c>
      <c r="E1232" s="383" t="s">
        <v>524</v>
      </c>
      <c r="F1232" s="388" t="s">
        <v>349</v>
      </c>
      <c r="G1232" s="388"/>
      <c r="H1232" s="384" t="s">
        <v>473</v>
      </c>
      <c r="I1232" s="406">
        <f t="shared" ref="I1232:I1240" si="32">I1191</f>
        <v>-14345.43</v>
      </c>
    </row>
    <row r="1233" spans="1:10" x14ac:dyDescent="0.2">
      <c r="A1233" s="383" t="s">
        <v>522</v>
      </c>
      <c r="B1233" s="397">
        <v>45870</v>
      </c>
      <c r="C1233" s="397" t="s">
        <v>534</v>
      </c>
      <c r="D1233" s="383">
        <v>6</v>
      </c>
      <c r="E1233" s="383" t="s">
        <v>524</v>
      </c>
      <c r="F1233" s="388" t="s">
        <v>350</v>
      </c>
      <c r="G1233" s="388"/>
      <c r="H1233" s="384" t="s">
        <v>474</v>
      </c>
      <c r="I1233" s="406">
        <f t="shared" si="32"/>
        <v>-13945.19</v>
      </c>
    </row>
    <row r="1234" spans="1:10" x14ac:dyDescent="0.2">
      <c r="A1234" s="383" t="s">
        <v>522</v>
      </c>
      <c r="B1234" s="397">
        <v>45870</v>
      </c>
      <c r="C1234" s="397" t="s">
        <v>534</v>
      </c>
      <c r="D1234" s="383">
        <v>6</v>
      </c>
      <c r="E1234" s="383" t="s">
        <v>524</v>
      </c>
      <c r="F1234" s="388" t="s">
        <v>351</v>
      </c>
      <c r="G1234" s="388"/>
      <c r="H1234" s="384" t="s">
        <v>475</v>
      </c>
      <c r="I1234" s="406">
        <f t="shared" si="32"/>
        <v>-43428.369999999995</v>
      </c>
    </row>
    <row r="1235" spans="1:10" x14ac:dyDescent="0.2">
      <c r="A1235" s="383" t="s">
        <v>522</v>
      </c>
      <c r="B1235" s="397">
        <v>45870</v>
      </c>
      <c r="C1235" s="397" t="s">
        <v>534</v>
      </c>
      <c r="D1235" s="383">
        <v>6</v>
      </c>
      <c r="E1235" s="383" t="s">
        <v>524</v>
      </c>
      <c r="F1235" s="388" t="s">
        <v>352</v>
      </c>
      <c r="G1235" s="388"/>
      <c r="H1235" s="384" t="s">
        <v>476</v>
      </c>
      <c r="I1235" s="406">
        <f t="shared" si="32"/>
        <v>-5897.39</v>
      </c>
    </row>
    <row r="1236" spans="1:10" x14ac:dyDescent="0.2">
      <c r="A1236" s="383" t="s">
        <v>522</v>
      </c>
      <c r="B1236" s="397">
        <v>45870</v>
      </c>
      <c r="C1236" s="397" t="s">
        <v>534</v>
      </c>
      <c r="D1236" s="383">
        <v>6</v>
      </c>
      <c r="E1236" s="383" t="s">
        <v>524</v>
      </c>
      <c r="F1236" s="388" t="s">
        <v>353</v>
      </c>
      <c r="G1236" s="388"/>
      <c r="H1236" s="384" t="s">
        <v>477</v>
      </c>
      <c r="I1236" s="406">
        <f t="shared" si="32"/>
        <v>-64368.57</v>
      </c>
    </row>
    <row r="1237" spans="1:10" x14ac:dyDescent="0.2">
      <c r="A1237" s="383" t="s">
        <v>522</v>
      </c>
      <c r="B1237" s="397">
        <v>45870</v>
      </c>
      <c r="C1237" s="397" t="s">
        <v>534</v>
      </c>
      <c r="D1237" s="383">
        <v>6</v>
      </c>
      <c r="E1237" s="383" t="s">
        <v>524</v>
      </c>
      <c r="F1237" s="388" t="s">
        <v>354</v>
      </c>
      <c r="G1237" s="388"/>
      <c r="H1237" s="384" t="s">
        <v>478</v>
      </c>
      <c r="I1237" s="406">
        <f t="shared" si="32"/>
        <v>-32446.79</v>
      </c>
    </row>
    <row r="1238" spans="1:10" x14ac:dyDescent="0.2">
      <c r="A1238" s="383" t="s">
        <v>522</v>
      </c>
      <c r="B1238" s="397">
        <v>45870</v>
      </c>
      <c r="C1238" s="397" t="s">
        <v>534</v>
      </c>
      <c r="D1238" s="383">
        <v>6</v>
      </c>
      <c r="E1238" s="383" t="s">
        <v>524</v>
      </c>
      <c r="F1238" s="390" t="s">
        <v>355</v>
      </c>
      <c r="G1238" s="390"/>
      <c r="H1238" s="384" t="s">
        <v>355</v>
      </c>
      <c r="I1238" s="406">
        <f t="shared" si="32"/>
        <v>-58336.51</v>
      </c>
    </row>
    <row r="1239" spans="1:10" x14ac:dyDescent="0.2">
      <c r="A1239" s="383" t="s">
        <v>522</v>
      </c>
      <c r="B1239" s="397">
        <v>45870</v>
      </c>
      <c r="C1239" s="397" t="s">
        <v>534</v>
      </c>
      <c r="D1239" s="383">
        <v>6</v>
      </c>
      <c r="E1239" s="383" t="s">
        <v>524</v>
      </c>
      <c r="F1239" s="390" t="s">
        <v>356</v>
      </c>
      <c r="G1239" s="390"/>
      <c r="H1239" s="384" t="s">
        <v>356</v>
      </c>
      <c r="I1239" s="406">
        <f t="shared" si="32"/>
        <v>-568047.18450000009</v>
      </c>
    </row>
    <row r="1240" spans="1:10" x14ac:dyDescent="0.2">
      <c r="A1240" s="383" t="s">
        <v>522</v>
      </c>
      <c r="B1240" s="397">
        <v>45870</v>
      </c>
      <c r="C1240" s="397" t="s">
        <v>534</v>
      </c>
      <c r="D1240" s="383">
        <v>6</v>
      </c>
      <c r="E1240" s="383" t="s">
        <v>524</v>
      </c>
      <c r="F1240" s="390" t="s">
        <v>357</v>
      </c>
      <c r="G1240" s="390"/>
      <c r="H1240" s="384" t="s">
        <v>357</v>
      </c>
      <c r="I1240" s="406">
        <f t="shared" si="32"/>
        <v>0</v>
      </c>
    </row>
    <row r="1241" spans="1:10" x14ac:dyDescent="0.2">
      <c r="A1241" s="383" t="s">
        <v>522</v>
      </c>
      <c r="B1241" s="397">
        <v>45870</v>
      </c>
      <c r="C1241" s="397" t="s">
        <v>535</v>
      </c>
      <c r="D1241" s="383">
        <v>7</v>
      </c>
      <c r="E1241" s="383" t="s">
        <v>529</v>
      </c>
      <c r="F1241" s="400" t="s">
        <v>358</v>
      </c>
      <c r="G1241" s="400"/>
      <c r="H1241" s="403" t="s">
        <v>358</v>
      </c>
      <c r="I1241" s="396">
        <f>I1231+I1232+I1233+I1234+I1235+I1236+I1237+I1238+I1239+I1240</f>
        <v>1882769.0941369999</v>
      </c>
      <c r="J1241" s="352">
        <f>IF(C1241="A",-I1241/I1213,I1241/I1213)</f>
        <v>0.39301864247696</v>
      </c>
    </row>
    <row r="1242" spans="1:10" x14ac:dyDescent="0.2">
      <c r="A1242" s="383" t="s">
        <v>522</v>
      </c>
      <c r="B1242" s="397">
        <v>45870</v>
      </c>
      <c r="C1242" s="397" t="s">
        <v>534</v>
      </c>
      <c r="D1242" s="383">
        <v>8</v>
      </c>
      <c r="E1242" s="383" t="s">
        <v>527</v>
      </c>
      <c r="F1242" s="385" t="s">
        <v>359</v>
      </c>
      <c r="G1242" s="385"/>
      <c r="H1242" s="384" t="s">
        <v>479</v>
      </c>
      <c r="I1242" s="406">
        <f>I1201</f>
        <v>0</v>
      </c>
    </row>
    <row r="1243" spans="1:10" x14ac:dyDescent="0.2">
      <c r="A1243" s="383" t="s">
        <v>522</v>
      </c>
      <c r="B1243" s="397">
        <v>45870</v>
      </c>
      <c r="C1243" s="397" t="s">
        <v>534</v>
      </c>
      <c r="D1243" s="383">
        <v>8</v>
      </c>
      <c r="E1243" s="383" t="s">
        <v>527</v>
      </c>
      <c r="F1243" s="385" t="s">
        <v>360</v>
      </c>
      <c r="G1243" s="385"/>
      <c r="H1243" s="384" t="s">
        <v>480</v>
      </c>
      <c r="I1243" s="406">
        <f>I1202</f>
        <v>23134.83</v>
      </c>
    </row>
    <row r="1244" spans="1:10" x14ac:dyDescent="0.2">
      <c r="A1244" s="383" t="s">
        <v>522</v>
      </c>
      <c r="B1244" s="397">
        <v>45870</v>
      </c>
      <c r="C1244" s="397" t="s">
        <v>534</v>
      </c>
      <c r="D1244" s="383">
        <v>8</v>
      </c>
      <c r="E1244" s="383" t="s">
        <v>527</v>
      </c>
      <c r="F1244" s="390" t="s">
        <v>361</v>
      </c>
      <c r="G1244" s="390"/>
      <c r="H1244" s="384" t="s">
        <v>481</v>
      </c>
      <c r="I1244" s="406">
        <f>I1203</f>
        <v>-29558.58</v>
      </c>
    </row>
    <row r="1245" spans="1:10" x14ac:dyDescent="0.2">
      <c r="A1245" s="383" t="s">
        <v>522</v>
      </c>
      <c r="B1245" s="397">
        <v>45870</v>
      </c>
      <c r="C1245" s="397" t="s">
        <v>534</v>
      </c>
      <c r="D1245" s="383">
        <v>9</v>
      </c>
      <c r="E1245" s="383" t="s">
        <v>526</v>
      </c>
      <c r="F1245" s="390" t="s">
        <v>363</v>
      </c>
      <c r="G1245" s="390"/>
      <c r="H1245" s="405" t="s">
        <v>363</v>
      </c>
      <c r="I1245" s="396">
        <f>I1204-I1211</f>
        <v>-629820.43000000005</v>
      </c>
    </row>
    <row r="1246" spans="1:10" x14ac:dyDescent="0.2">
      <c r="A1246" s="383" t="s">
        <v>522</v>
      </c>
      <c r="B1246" s="397">
        <v>45870</v>
      </c>
      <c r="C1246" s="397" t="s">
        <v>534</v>
      </c>
      <c r="D1246" s="383">
        <v>9</v>
      </c>
      <c r="E1246" s="383" t="s">
        <v>526</v>
      </c>
      <c r="F1246" s="390" t="s">
        <v>364</v>
      </c>
      <c r="G1246" s="390"/>
      <c r="H1246" s="384" t="s">
        <v>364</v>
      </c>
      <c r="I1246" s="406">
        <f>I1205</f>
        <v>-32092.9664204</v>
      </c>
    </row>
    <row r="1247" spans="1:10" x14ac:dyDescent="0.2">
      <c r="A1247" s="383" t="s">
        <v>522</v>
      </c>
      <c r="B1247" s="397">
        <v>45870</v>
      </c>
      <c r="C1247" s="397" t="s">
        <v>534</v>
      </c>
      <c r="D1247" s="383">
        <v>9</v>
      </c>
      <c r="E1247" s="383" t="s">
        <v>526</v>
      </c>
      <c r="F1247" s="394" t="s">
        <v>273</v>
      </c>
      <c r="G1247" s="394"/>
      <c r="H1247" s="398" t="s">
        <v>563</v>
      </c>
      <c r="I1247" s="406">
        <f>I1206</f>
        <v>0</v>
      </c>
    </row>
    <row r="1248" spans="1:10" x14ac:dyDescent="0.2">
      <c r="A1248" s="383" t="s">
        <v>522</v>
      </c>
      <c r="B1248" s="397">
        <v>45870</v>
      </c>
      <c r="C1248" s="397" t="s">
        <v>534</v>
      </c>
      <c r="D1248" s="383">
        <v>10</v>
      </c>
      <c r="E1248" s="383" t="s">
        <v>452</v>
      </c>
      <c r="F1248" s="400" t="s">
        <v>365</v>
      </c>
      <c r="G1248" s="400"/>
      <c r="H1248" s="403" t="s">
        <v>365</v>
      </c>
      <c r="I1248" s="396">
        <f>I1214+I1215+I1216+I1217+I1218+I1219+I1227+I1228+I1229+I1230+I1232+I1233+I1234+I1235+I1236+I1237+I1238+I1239+I1240+I1242+I1243+I1244+I1245+I1246+I1247</f>
        <v>-3576101.8607333996</v>
      </c>
      <c r="J1248" s="352">
        <f>IF(C1248="A",-I1248/I1213,I1248/I1213)</f>
        <v>0.74649339796444625</v>
      </c>
    </row>
    <row r="1249" spans="1:10" x14ac:dyDescent="0.2">
      <c r="A1249" s="383" t="s">
        <v>522</v>
      </c>
      <c r="B1249" s="397">
        <v>45870</v>
      </c>
      <c r="C1249" s="397" t="s">
        <v>535</v>
      </c>
      <c r="D1249" s="383">
        <v>11</v>
      </c>
      <c r="E1249" s="383" t="s">
        <v>528</v>
      </c>
      <c r="F1249" s="400" t="s">
        <v>367</v>
      </c>
      <c r="G1249" s="400"/>
      <c r="H1249" s="405" t="s">
        <v>367</v>
      </c>
      <c r="I1249" s="395">
        <f>I1213+I1248</f>
        <v>1214431.9477165998</v>
      </c>
      <c r="J1249" s="352">
        <f>IF(C1249="A",-I1249/I1213,I1249/I1213)</f>
        <v>0.25350660203555375</v>
      </c>
    </row>
    <row r="1250" spans="1:10" ht="14.25" x14ac:dyDescent="0.2">
      <c r="A1250" s="383" t="s">
        <v>73</v>
      </c>
      <c r="B1250" s="397">
        <v>45901</v>
      </c>
      <c r="C1250" s="397" t="s">
        <v>536</v>
      </c>
      <c r="D1250" s="383">
        <v>1</v>
      </c>
      <c r="E1250" s="384" t="s">
        <v>530</v>
      </c>
      <c r="F1250" s="400" t="s">
        <v>440</v>
      </c>
      <c r="G1250" s="459" t="s">
        <v>324</v>
      </c>
      <c r="H1250" s="384" t="s">
        <v>440</v>
      </c>
      <c r="I1250" s="383">
        <f>INDEX(DRE!$W$2:$AS$53, MATCH('DRE 2025'!G1250,DRE!$D$2:$D$53,0), MATCH(B1250, DRE!$W$1:$AS$1, 0))</f>
        <v>4420476.6128320005</v>
      </c>
      <c r="J1250" s="352">
        <v>1</v>
      </c>
    </row>
    <row r="1251" spans="1:10" x14ac:dyDescent="0.2">
      <c r="A1251" s="383" t="s">
        <v>73</v>
      </c>
      <c r="B1251" s="397">
        <v>45901</v>
      </c>
      <c r="C1251" s="397" t="s">
        <v>534</v>
      </c>
      <c r="D1251" s="383">
        <v>2</v>
      </c>
      <c r="E1251" s="384" t="s">
        <v>325</v>
      </c>
      <c r="F1251" s="390" t="s">
        <v>326</v>
      </c>
      <c r="G1251" s="461" t="s">
        <v>326</v>
      </c>
      <c r="H1251" s="384" t="s">
        <v>519</v>
      </c>
      <c r="I1251" s="383">
        <f>INDEX(DRE!$W$2:$AS$53, MATCH('DRE 2025'!G1251,DRE!$D$2:$D$53,0), MATCH(B1251, DRE!$W$1:$AS$1, 0))</f>
        <v>-216145.87999999998</v>
      </c>
    </row>
    <row r="1252" spans="1:10" x14ac:dyDescent="0.2">
      <c r="A1252" s="383" t="s">
        <v>73</v>
      </c>
      <c r="B1252" s="397">
        <v>45901</v>
      </c>
      <c r="C1252" s="397" t="s">
        <v>534</v>
      </c>
      <c r="D1252" s="383">
        <v>2</v>
      </c>
      <c r="E1252" s="384" t="s">
        <v>325</v>
      </c>
      <c r="F1252" s="385" t="s">
        <v>328</v>
      </c>
      <c r="G1252" s="462" t="s">
        <v>328</v>
      </c>
      <c r="H1252" s="384" t="s">
        <v>521</v>
      </c>
      <c r="I1252" s="383">
        <f>INDEX(DRE!$W$2:$AS$53, MATCH('DRE 2025'!G1252,DRE!$D$2:$D$53,0), MATCH(B1252, DRE!$W$1:$AS$1, 0))</f>
        <v>-4409.5600000000004</v>
      </c>
    </row>
    <row r="1253" spans="1:10" x14ac:dyDescent="0.2">
      <c r="A1253" s="383" t="s">
        <v>73</v>
      </c>
      <c r="B1253" s="397">
        <v>45901</v>
      </c>
      <c r="C1253" s="397" t="s">
        <v>534</v>
      </c>
      <c r="D1253" s="383">
        <v>2</v>
      </c>
      <c r="E1253" s="384" t="s">
        <v>325</v>
      </c>
      <c r="F1253" s="385" t="s">
        <v>329</v>
      </c>
      <c r="G1253" s="462" t="s">
        <v>329</v>
      </c>
      <c r="H1253" s="384" t="s">
        <v>329</v>
      </c>
      <c r="I1253" s="383">
        <f>INDEX(DRE!$W$2:$AS$53, MATCH('DRE 2025'!G1253,DRE!$D$2:$D$53,0), MATCH(B1253, DRE!$W$1:$AS$1, 0))</f>
        <v>0</v>
      </c>
    </row>
    <row r="1254" spans="1:10" x14ac:dyDescent="0.2">
      <c r="A1254" s="383" t="s">
        <v>73</v>
      </c>
      <c r="B1254" s="397">
        <v>45901</v>
      </c>
      <c r="C1254" s="397" t="s">
        <v>534</v>
      </c>
      <c r="D1254" s="383">
        <v>2</v>
      </c>
      <c r="E1254" s="384" t="s">
        <v>325</v>
      </c>
      <c r="F1254" s="385" t="s">
        <v>330</v>
      </c>
      <c r="G1254" s="462" t="s">
        <v>565</v>
      </c>
      <c r="H1254" s="384" t="s">
        <v>330</v>
      </c>
      <c r="I1254" s="383">
        <f>INDEX(DRE!$W$2:$AS$53, MATCH('DRE 2025'!G1254,DRE!$D$2:$D$53,0), MATCH(B1254, DRE!$W$1:$AS$1, 0))</f>
        <v>0</v>
      </c>
    </row>
    <row r="1255" spans="1:10" x14ac:dyDescent="0.2">
      <c r="A1255" s="383" t="s">
        <v>73</v>
      </c>
      <c r="B1255" s="397">
        <v>45901</v>
      </c>
      <c r="C1255" s="397" t="s">
        <v>534</v>
      </c>
      <c r="D1255" s="383">
        <v>2</v>
      </c>
      <c r="E1255" s="384" t="s">
        <v>325</v>
      </c>
      <c r="F1255" s="385" t="s">
        <v>331</v>
      </c>
      <c r="G1255" s="462" t="s">
        <v>331</v>
      </c>
      <c r="H1255" s="384" t="s">
        <v>331</v>
      </c>
      <c r="I1255" s="383">
        <f>INDEX(DRE!$W$2:$AS$53, MATCH('DRE 2025'!G1255,DRE!$D$2:$D$53,0), MATCH(B1255, DRE!$W$1:$AS$1, 0))</f>
        <v>-0.02</v>
      </c>
    </row>
    <row r="1256" spans="1:10" x14ac:dyDescent="0.2">
      <c r="A1256" s="383" t="s">
        <v>73</v>
      </c>
      <c r="B1256" s="397">
        <v>45901</v>
      </c>
      <c r="C1256" s="397" t="s">
        <v>534</v>
      </c>
      <c r="D1256" s="383">
        <v>2</v>
      </c>
      <c r="E1256" s="384" t="s">
        <v>325</v>
      </c>
      <c r="F1256" s="384" t="s">
        <v>332</v>
      </c>
      <c r="G1256" s="463" t="s">
        <v>332</v>
      </c>
      <c r="H1256" s="384" t="s">
        <v>520</v>
      </c>
      <c r="I1256" s="383">
        <f>INDEX(DRE!$W$2:$AS$53, MATCH('DRE 2025'!G1256,DRE!$D$2:$D$53,0), MATCH(B1256, DRE!$W$1:$AS$1, 0))</f>
        <v>0</v>
      </c>
    </row>
    <row r="1257" spans="1:10" x14ac:dyDescent="0.2">
      <c r="A1257" s="383" t="s">
        <v>73</v>
      </c>
      <c r="B1257" s="397">
        <v>45901</v>
      </c>
      <c r="C1257" s="397" t="s">
        <v>535</v>
      </c>
      <c r="D1257" s="383">
        <v>3</v>
      </c>
      <c r="E1257" s="384" t="s">
        <v>531</v>
      </c>
      <c r="F1257" s="385" t="s">
        <v>334</v>
      </c>
      <c r="G1257" s="462" t="s">
        <v>334</v>
      </c>
      <c r="H1257" s="384" t="s">
        <v>334</v>
      </c>
      <c r="I1257" s="383">
        <f>INDEX(DRE!$W$2:$AS$53, MATCH('DRE 2025'!G1257,DRE!$D$2:$D$53,0), MATCH(B1257, DRE!$W$1:$AS$1, 0))</f>
        <v>3801030.48</v>
      </c>
    </row>
    <row r="1258" spans="1:10" x14ac:dyDescent="0.2">
      <c r="A1258" s="383" t="s">
        <v>73</v>
      </c>
      <c r="B1258" s="397">
        <v>45901</v>
      </c>
      <c r="C1258" s="397" t="s">
        <v>535</v>
      </c>
      <c r="D1258" s="383">
        <v>3</v>
      </c>
      <c r="E1258" s="384" t="s">
        <v>531</v>
      </c>
      <c r="F1258" s="385" t="s">
        <v>335</v>
      </c>
      <c r="G1258" s="462" t="s">
        <v>335</v>
      </c>
      <c r="H1258" s="384" t="s">
        <v>335</v>
      </c>
      <c r="I1258" s="383">
        <f>INDEX(DRE!$W$2:$AS$53, MATCH('DRE 2025'!G1258,DRE!$D$2:$D$53,0), MATCH(B1258, DRE!$W$1:$AS$1, 0))</f>
        <v>387892.36</v>
      </c>
    </row>
    <row r="1259" spans="1:10" x14ac:dyDescent="0.2">
      <c r="A1259" s="383" t="s">
        <v>73</v>
      </c>
      <c r="B1259" s="397">
        <v>45901</v>
      </c>
      <c r="C1259" s="397" t="s">
        <v>535</v>
      </c>
      <c r="D1259" s="383">
        <v>3</v>
      </c>
      <c r="E1259" s="384" t="s">
        <v>531</v>
      </c>
      <c r="F1259" s="385" t="s">
        <v>336</v>
      </c>
      <c r="G1259" s="462" t="s">
        <v>336</v>
      </c>
      <c r="H1259" s="384" t="s">
        <v>336</v>
      </c>
      <c r="I1259" s="383">
        <f>INDEX(DRE!$W$2:$AS$53, MATCH('DRE 2025'!G1259,DRE!$D$2:$D$53,0), MATCH(B1259, DRE!$W$1:$AS$1, 0))</f>
        <v>6400</v>
      </c>
    </row>
    <row r="1260" spans="1:10" x14ac:dyDescent="0.2">
      <c r="A1260" s="383" t="s">
        <v>73</v>
      </c>
      <c r="B1260" s="397">
        <v>45901</v>
      </c>
      <c r="C1260" s="397" t="s">
        <v>535</v>
      </c>
      <c r="D1260" s="383">
        <v>3</v>
      </c>
      <c r="E1260" s="384" t="s">
        <v>531</v>
      </c>
      <c r="F1260" s="387" t="s">
        <v>273</v>
      </c>
      <c r="G1260" s="464" t="s">
        <v>562</v>
      </c>
      <c r="H1260" s="384" t="s">
        <v>562</v>
      </c>
      <c r="I1260" s="383">
        <f>INDEX(DRE!$W$2:$AS$53, MATCH('DRE 2025'!G1260,DRE!$D$2:$D$53,0), MATCH(B1260, DRE!$W$1:$AS$1, 0))</f>
        <v>0</v>
      </c>
    </row>
    <row r="1261" spans="1:10" x14ac:dyDescent="0.2">
      <c r="A1261" s="383" t="s">
        <v>73</v>
      </c>
      <c r="B1261" s="397">
        <v>45901</v>
      </c>
      <c r="C1261" s="397" t="s">
        <v>535</v>
      </c>
      <c r="D1261" s="383">
        <v>3</v>
      </c>
      <c r="E1261" s="384" t="s">
        <v>531</v>
      </c>
      <c r="F1261" s="387" t="s">
        <v>513</v>
      </c>
      <c r="G1261" s="464" t="s">
        <v>513</v>
      </c>
      <c r="H1261" s="384" t="s">
        <v>513</v>
      </c>
      <c r="I1261" s="383" t="e">
        <f>INDEX(DRE!$W$2:$AS$53, MATCH('DRE 2025'!G1261,DRE!$D$2:$D$53,0), MATCH(B1261, DRE!$W$1:$AS$1, 0))</f>
        <v>#N/A</v>
      </c>
    </row>
    <row r="1262" spans="1:10" x14ac:dyDescent="0.2">
      <c r="A1262" s="383" t="s">
        <v>73</v>
      </c>
      <c r="B1262" s="397">
        <v>45901</v>
      </c>
      <c r="C1262" s="397" t="s">
        <v>535</v>
      </c>
      <c r="D1262" s="383">
        <v>3</v>
      </c>
      <c r="E1262" s="384" t="s">
        <v>531</v>
      </c>
      <c r="F1262" s="387" t="s">
        <v>514</v>
      </c>
      <c r="G1262" s="464" t="s">
        <v>514</v>
      </c>
      <c r="H1262" s="384" t="s">
        <v>514</v>
      </c>
      <c r="I1262" s="383" t="e">
        <f>INDEX(DRE!$W$2:$AS$53, MATCH('DRE 2025'!G1262,DRE!$D$2:$D$53,0), MATCH(B1262, DRE!$W$1:$AS$1, 0))</f>
        <v>#N/A</v>
      </c>
    </row>
    <row r="1263" spans="1:10" x14ac:dyDescent="0.2">
      <c r="A1263" s="383" t="s">
        <v>73</v>
      </c>
      <c r="B1263" s="397">
        <v>45901</v>
      </c>
      <c r="C1263" s="397" t="s">
        <v>535</v>
      </c>
      <c r="D1263" s="383">
        <v>3</v>
      </c>
      <c r="E1263" s="384" t="s">
        <v>531</v>
      </c>
      <c r="F1263" s="385" t="s">
        <v>337</v>
      </c>
      <c r="G1263" s="462" t="s">
        <v>337</v>
      </c>
      <c r="H1263" s="384" t="s">
        <v>337</v>
      </c>
      <c r="I1263" s="383">
        <f>INDEX(DRE!$W$2:$AS$53, MATCH('DRE 2025'!G1263,DRE!$D$2:$D$53,0), MATCH(B1263, DRE!$W$1:$AS$1, 0))</f>
        <v>6600.27</v>
      </c>
    </row>
    <row r="1264" spans="1:10" x14ac:dyDescent="0.2">
      <c r="A1264" s="383" t="s">
        <v>73</v>
      </c>
      <c r="B1264" s="397">
        <v>45901</v>
      </c>
      <c r="C1264" s="397" t="s">
        <v>534</v>
      </c>
      <c r="D1264" s="383">
        <v>4</v>
      </c>
      <c r="E1264" s="383" t="s">
        <v>523</v>
      </c>
      <c r="F1264" s="388" t="s">
        <v>340</v>
      </c>
      <c r="G1264" s="465" t="s">
        <v>340</v>
      </c>
      <c r="H1264" s="384" t="s">
        <v>340</v>
      </c>
      <c r="I1264" s="383">
        <f>INDEX(DRE!$W$2:$AS$53, MATCH('DRE 2025'!G1264,DRE!$D$2:$D$53,0), MATCH(B1264, DRE!$W$1:$AS$1, 0))</f>
        <v>-247883.56</v>
      </c>
    </row>
    <row r="1265" spans="1:10" x14ac:dyDescent="0.2">
      <c r="A1265" s="383" t="s">
        <v>73</v>
      </c>
      <c r="B1265" s="397">
        <v>45901</v>
      </c>
      <c r="C1265" s="397" t="s">
        <v>534</v>
      </c>
      <c r="D1265" s="383">
        <v>4</v>
      </c>
      <c r="E1265" s="383" t="s">
        <v>523</v>
      </c>
      <c r="F1265" s="388" t="s">
        <v>341</v>
      </c>
      <c r="G1265" s="465" t="s">
        <v>341</v>
      </c>
      <c r="H1265" s="384" t="s">
        <v>341</v>
      </c>
      <c r="I1265" s="383">
        <f>INDEX(DRE!$W$2:$AS$53, MATCH('DRE 2025'!G1265,DRE!$D$2:$D$53,0), MATCH(B1265, DRE!$W$1:$AS$1, 0))</f>
        <v>-188176.32</v>
      </c>
    </row>
    <row r="1266" spans="1:10" x14ac:dyDescent="0.2">
      <c r="A1266" s="383" t="s">
        <v>73</v>
      </c>
      <c r="B1266" s="397">
        <v>45901</v>
      </c>
      <c r="C1266" s="397" t="s">
        <v>534</v>
      </c>
      <c r="D1266" s="383">
        <v>4</v>
      </c>
      <c r="E1266" s="383" t="s">
        <v>523</v>
      </c>
      <c r="F1266" s="388" t="s">
        <v>342</v>
      </c>
      <c r="G1266" s="465" t="s">
        <v>342</v>
      </c>
      <c r="H1266" s="384" t="s">
        <v>342</v>
      </c>
      <c r="I1266" s="383">
        <f>INDEX(DRE!$W$2:$AS$53, MATCH('DRE 2025'!G1266,DRE!$D$2:$D$53,0), MATCH(B1266, DRE!$W$1:$AS$1, 0))</f>
        <v>-1618700.8512999993</v>
      </c>
    </row>
    <row r="1267" spans="1:10" x14ac:dyDescent="0.2">
      <c r="A1267" s="383" t="s">
        <v>73</v>
      </c>
      <c r="B1267" s="397">
        <v>45901</v>
      </c>
      <c r="C1267" s="397" t="s">
        <v>534</v>
      </c>
      <c r="D1267" s="383">
        <v>4</v>
      </c>
      <c r="E1267" s="383" t="s">
        <v>523</v>
      </c>
      <c r="F1267" s="388" t="s">
        <v>343</v>
      </c>
      <c r="G1267" s="465" t="s">
        <v>343</v>
      </c>
      <c r="H1267" s="384" t="s">
        <v>343</v>
      </c>
      <c r="I1267" s="383">
        <f>INDEX(DRE!$W$2:$AS$53, MATCH('DRE 2025'!G1267,DRE!$D$2:$D$53,0), MATCH(B1267, DRE!$W$1:$AS$1, 0))</f>
        <v>-68126.460000000006</v>
      </c>
    </row>
    <row r="1268" spans="1:10" x14ac:dyDescent="0.2">
      <c r="A1268" s="383" t="s">
        <v>73</v>
      </c>
      <c r="B1268" s="397">
        <v>45901</v>
      </c>
      <c r="C1268" s="397" t="s">
        <v>535</v>
      </c>
      <c r="D1268" s="383">
        <v>5</v>
      </c>
      <c r="E1268" s="383" t="s">
        <v>532</v>
      </c>
      <c r="F1268" s="401" t="s">
        <v>345</v>
      </c>
      <c r="G1268" s="401"/>
      <c r="H1268" s="402" t="s">
        <v>345</v>
      </c>
      <c r="I1268" s="406" t="e">
        <f>I1257+I1258+I1259+I1260+I1261+I1262+I1263+I1264+I1265+I1266+I1267</f>
        <v>#N/A</v>
      </c>
      <c r="J1268" s="352" t="e">
        <f>IF(C1268="A",-I1268/I1250,I1268/I1250)</f>
        <v>#N/A</v>
      </c>
    </row>
    <row r="1269" spans="1:10" x14ac:dyDescent="0.2">
      <c r="A1269" s="383" t="s">
        <v>73</v>
      </c>
      <c r="B1269" s="397">
        <v>45901</v>
      </c>
      <c r="C1269" s="397" t="s">
        <v>534</v>
      </c>
      <c r="D1269" s="383">
        <v>6</v>
      </c>
      <c r="E1269" s="383" t="s">
        <v>524</v>
      </c>
      <c r="F1269" s="388" t="s">
        <v>349</v>
      </c>
      <c r="G1269" s="465" t="s">
        <v>349</v>
      </c>
      <c r="H1269" s="384" t="s">
        <v>473</v>
      </c>
      <c r="I1269" s="383">
        <f>INDEX(DRE!$W$2:$AS$53, MATCH('DRE 2025'!G1269,DRE!$D$2:$D$53,0), MATCH(B1269, DRE!$W$1:$AS$1, 0))</f>
        <v>-54951.46</v>
      </c>
    </row>
    <row r="1270" spans="1:10" x14ac:dyDescent="0.2">
      <c r="A1270" s="383" t="s">
        <v>73</v>
      </c>
      <c r="B1270" s="397">
        <v>45901</v>
      </c>
      <c r="C1270" s="397" t="s">
        <v>534</v>
      </c>
      <c r="D1270" s="383">
        <v>6</v>
      </c>
      <c r="E1270" s="383" t="s">
        <v>524</v>
      </c>
      <c r="F1270" s="388" t="s">
        <v>350</v>
      </c>
      <c r="G1270" s="465" t="s">
        <v>350</v>
      </c>
      <c r="H1270" s="384" t="s">
        <v>474</v>
      </c>
      <c r="I1270" s="383">
        <f>INDEX(DRE!$W$2:$AS$53, MATCH('DRE 2025'!G1270,DRE!$D$2:$D$53,0), MATCH(B1270, DRE!$W$1:$AS$1, 0))</f>
        <v>-20066.419999999998</v>
      </c>
    </row>
    <row r="1271" spans="1:10" x14ac:dyDescent="0.2">
      <c r="A1271" s="383" t="s">
        <v>73</v>
      </c>
      <c r="B1271" s="397">
        <v>45901</v>
      </c>
      <c r="C1271" s="397" t="s">
        <v>534</v>
      </c>
      <c r="D1271" s="383">
        <v>6</v>
      </c>
      <c r="E1271" s="383" t="s">
        <v>524</v>
      </c>
      <c r="F1271" s="388" t="s">
        <v>351</v>
      </c>
      <c r="G1271" s="465" t="s">
        <v>351</v>
      </c>
      <c r="H1271" s="384" t="s">
        <v>475</v>
      </c>
      <c r="I1271" s="383">
        <f>INDEX(DRE!$W$2:$AS$53, MATCH('DRE 2025'!G1271,DRE!$D$2:$D$53,0), MATCH(B1271, DRE!$W$1:$AS$1, 0))</f>
        <v>-31737.889999999989</v>
      </c>
    </row>
    <row r="1272" spans="1:10" x14ac:dyDescent="0.2">
      <c r="A1272" s="383" t="s">
        <v>73</v>
      </c>
      <c r="B1272" s="397">
        <v>45901</v>
      </c>
      <c r="C1272" s="397" t="s">
        <v>534</v>
      </c>
      <c r="D1272" s="383">
        <v>6</v>
      </c>
      <c r="E1272" s="383" t="s">
        <v>524</v>
      </c>
      <c r="F1272" s="388" t="s">
        <v>352</v>
      </c>
      <c r="G1272" s="465" t="s">
        <v>352</v>
      </c>
      <c r="H1272" s="384" t="s">
        <v>476</v>
      </c>
      <c r="I1272" s="383">
        <f>INDEX(DRE!$W$2:$AS$53, MATCH('DRE 2025'!G1272,DRE!$D$2:$D$53,0), MATCH(B1272, DRE!$W$1:$AS$1, 0))</f>
        <v>-6085.92</v>
      </c>
    </row>
    <row r="1273" spans="1:10" x14ac:dyDescent="0.2">
      <c r="A1273" s="383" t="s">
        <v>73</v>
      </c>
      <c r="B1273" s="397">
        <v>45901</v>
      </c>
      <c r="C1273" s="397" t="s">
        <v>534</v>
      </c>
      <c r="D1273" s="383">
        <v>6</v>
      </c>
      <c r="E1273" s="383" t="s">
        <v>524</v>
      </c>
      <c r="F1273" s="388" t="s">
        <v>353</v>
      </c>
      <c r="G1273" s="465" t="s">
        <v>353</v>
      </c>
      <c r="H1273" s="384" t="s">
        <v>477</v>
      </c>
      <c r="I1273" s="383">
        <f>INDEX(DRE!$W$2:$AS$53, MATCH('DRE 2025'!G1273,DRE!$D$2:$D$53,0), MATCH(B1273, DRE!$W$1:$AS$1, 0))</f>
        <v>-65033.29</v>
      </c>
    </row>
    <row r="1274" spans="1:10" x14ac:dyDescent="0.2">
      <c r="A1274" s="383" t="s">
        <v>73</v>
      </c>
      <c r="B1274" s="397">
        <v>45901</v>
      </c>
      <c r="C1274" s="397" t="s">
        <v>534</v>
      </c>
      <c r="D1274" s="383">
        <v>6</v>
      </c>
      <c r="E1274" s="383" t="s">
        <v>524</v>
      </c>
      <c r="F1274" s="388" t="s">
        <v>354</v>
      </c>
      <c r="G1274" s="465" t="s">
        <v>354</v>
      </c>
      <c r="H1274" s="384" t="s">
        <v>478</v>
      </c>
      <c r="I1274" s="383">
        <f>INDEX(DRE!$W$2:$AS$53, MATCH('DRE 2025'!G1274,DRE!$D$2:$D$53,0), MATCH(B1274, DRE!$W$1:$AS$1, 0))</f>
        <v>-26724.33</v>
      </c>
    </row>
    <row r="1275" spans="1:10" x14ac:dyDescent="0.2">
      <c r="A1275" s="383" t="s">
        <v>73</v>
      </c>
      <c r="B1275" s="397">
        <v>45901</v>
      </c>
      <c r="C1275" s="397" t="s">
        <v>534</v>
      </c>
      <c r="D1275" s="383">
        <v>6</v>
      </c>
      <c r="E1275" s="383" t="s">
        <v>524</v>
      </c>
      <c r="F1275" s="390" t="s">
        <v>355</v>
      </c>
      <c r="G1275" s="461" t="s">
        <v>355</v>
      </c>
      <c r="H1275" s="384" t="s">
        <v>355</v>
      </c>
      <c r="I1275" s="383">
        <f>INDEX(DRE!$W$2:$AS$53, MATCH('DRE 2025'!G1275,DRE!$D$2:$D$53,0), MATCH(B1275, DRE!$W$1:$AS$1, 0))</f>
        <v>-82813.67</v>
      </c>
    </row>
    <row r="1276" spans="1:10" x14ac:dyDescent="0.2">
      <c r="A1276" s="383" t="s">
        <v>73</v>
      </c>
      <c r="B1276" s="397">
        <v>45901</v>
      </c>
      <c r="C1276" s="397" t="s">
        <v>534</v>
      </c>
      <c r="D1276" s="383">
        <v>6</v>
      </c>
      <c r="E1276" s="383" t="s">
        <v>524</v>
      </c>
      <c r="F1276" s="390" t="s">
        <v>356</v>
      </c>
      <c r="G1276" s="461" t="s">
        <v>356</v>
      </c>
      <c r="H1276" s="384" t="s">
        <v>356</v>
      </c>
      <c r="I1276" s="383">
        <f>INDEX(DRE!$W$2:$AS$53, MATCH('DRE 2025'!G1276,DRE!$D$2:$D$53,0), MATCH(B1276, DRE!$W$1:$AS$1, 0))</f>
        <v>-593873.33950000012</v>
      </c>
    </row>
    <row r="1277" spans="1:10" x14ac:dyDescent="0.2">
      <c r="A1277" s="383" t="s">
        <v>73</v>
      </c>
      <c r="B1277" s="397">
        <v>45901</v>
      </c>
      <c r="C1277" s="397" t="s">
        <v>534</v>
      </c>
      <c r="D1277" s="383">
        <v>6</v>
      </c>
      <c r="E1277" s="383" t="s">
        <v>524</v>
      </c>
      <c r="F1277" s="390" t="s">
        <v>357</v>
      </c>
      <c r="G1277" s="461" t="s">
        <v>357</v>
      </c>
      <c r="H1277" s="384" t="s">
        <v>357</v>
      </c>
      <c r="I1277" s="383">
        <f>INDEX(DRE!$W$2:$AS$53, MATCH('DRE 2025'!G1277,DRE!$D$2:$D$53,0), MATCH(B1277, DRE!$W$1:$AS$1, 0))</f>
        <v>0</v>
      </c>
    </row>
    <row r="1278" spans="1:10" x14ac:dyDescent="0.2">
      <c r="A1278" s="383" t="s">
        <v>73</v>
      </c>
      <c r="B1278" s="397">
        <v>45901</v>
      </c>
      <c r="C1278" s="397" t="s">
        <v>535</v>
      </c>
      <c r="D1278" s="383">
        <v>7</v>
      </c>
      <c r="E1278" s="383" t="s">
        <v>529</v>
      </c>
      <c r="F1278" s="400" t="s">
        <v>358</v>
      </c>
      <c r="G1278" s="400"/>
      <c r="H1278" s="403" t="s">
        <v>358</v>
      </c>
      <c r="I1278" s="396" t="e">
        <f>I1268+I1269+I1270+I1271+I1272+I1273+I1274+I1275+I1276+I1277</f>
        <v>#N/A</v>
      </c>
      <c r="J1278" s="352" t="e">
        <f>IF(C1278="A",-I1278/I1250,I1278/I1250)</f>
        <v>#N/A</v>
      </c>
    </row>
    <row r="1279" spans="1:10" x14ac:dyDescent="0.2">
      <c r="A1279" s="383" t="s">
        <v>73</v>
      </c>
      <c r="B1279" s="397">
        <v>45901</v>
      </c>
      <c r="C1279" s="397" t="s">
        <v>534</v>
      </c>
      <c r="D1279" s="383">
        <v>8</v>
      </c>
      <c r="E1279" s="383" t="s">
        <v>527</v>
      </c>
      <c r="F1279" s="385" t="s">
        <v>359</v>
      </c>
      <c r="G1279" s="462" t="s">
        <v>359</v>
      </c>
      <c r="H1279" s="384" t="s">
        <v>479</v>
      </c>
      <c r="I1279" s="383">
        <f>INDEX(DRE!$W$2:$AS$53, MATCH('DRE 2025'!G1279,DRE!$D$2:$D$53,0), MATCH(B1279, DRE!$W$1:$AS$1, 0))</f>
        <v>0</v>
      </c>
    </row>
    <row r="1280" spans="1:10" x14ac:dyDescent="0.2">
      <c r="A1280" s="383" t="s">
        <v>73</v>
      </c>
      <c r="B1280" s="397">
        <v>45901</v>
      </c>
      <c r="C1280" s="397" t="s">
        <v>534</v>
      </c>
      <c r="D1280" s="383">
        <v>8</v>
      </c>
      <c r="E1280" s="383" t="s">
        <v>527</v>
      </c>
      <c r="F1280" s="385" t="s">
        <v>360</v>
      </c>
      <c r="G1280" s="462" t="s">
        <v>360</v>
      </c>
      <c r="H1280" s="384" t="s">
        <v>480</v>
      </c>
      <c r="I1280" s="383">
        <f>INDEX(DRE!$W$2:$AS$53, MATCH('DRE 2025'!G1280,DRE!$D$2:$D$53,0), MATCH(B1280, DRE!$W$1:$AS$1, 0))</f>
        <v>33486.949999999997</v>
      </c>
    </row>
    <row r="1281" spans="1:10" x14ac:dyDescent="0.2">
      <c r="A1281" s="383" t="s">
        <v>73</v>
      </c>
      <c r="B1281" s="397">
        <v>45901</v>
      </c>
      <c r="C1281" s="397" t="s">
        <v>534</v>
      </c>
      <c r="D1281" s="383">
        <v>8</v>
      </c>
      <c r="E1281" s="383" t="s">
        <v>527</v>
      </c>
      <c r="F1281" s="390" t="s">
        <v>361</v>
      </c>
      <c r="G1281" s="466" t="s">
        <v>361</v>
      </c>
      <c r="H1281" s="384" t="s">
        <v>481</v>
      </c>
      <c r="I1281" s="383">
        <f>INDEX(DRE!$W$2:$AS$53, MATCH('DRE 2025'!G1281,DRE!$D$2:$D$53,0), MATCH(B1281, DRE!$W$1:$AS$1, 0))</f>
        <v>-59250.58</v>
      </c>
    </row>
    <row r="1282" spans="1:10" x14ac:dyDescent="0.2">
      <c r="A1282" s="383" t="s">
        <v>73</v>
      </c>
      <c r="B1282" s="397">
        <v>45901</v>
      </c>
      <c r="C1282" s="397" t="s">
        <v>534</v>
      </c>
      <c r="D1282" s="383">
        <v>9</v>
      </c>
      <c r="E1282" s="383" t="s">
        <v>526</v>
      </c>
      <c r="F1282" s="390" t="s">
        <v>363</v>
      </c>
      <c r="G1282" s="461" t="s">
        <v>363</v>
      </c>
      <c r="H1282" s="384" t="s">
        <v>363</v>
      </c>
      <c r="I1282" s="383">
        <f>INDEX(DRE!$W$2:$AS$53, MATCH('DRE 2025'!G1282,DRE!$D$2:$D$53,0), MATCH(B1282, DRE!$W$1:$AS$1, 0))</f>
        <v>-726521.79</v>
      </c>
    </row>
    <row r="1283" spans="1:10" x14ac:dyDescent="0.2">
      <c r="A1283" s="383" t="s">
        <v>73</v>
      </c>
      <c r="B1283" s="397">
        <v>45901</v>
      </c>
      <c r="C1283" s="397" t="s">
        <v>534</v>
      </c>
      <c r="D1283" s="383">
        <v>9</v>
      </c>
      <c r="E1283" s="383" t="s">
        <v>526</v>
      </c>
      <c r="F1283" s="390" t="s">
        <v>364</v>
      </c>
      <c r="G1283" s="461" t="s">
        <v>364</v>
      </c>
      <c r="H1283" s="384" t="s">
        <v>364</v>
      </c>
      <c r="I1283" s="383">
        <f>INDEX(DRE!$W$2:$AS$53, MATCH('DRE 2025'!G1283,DRE!$D$2:$D$53,0), MATCH(B1283, DRE!$W$1:$AS$1, 0))</f>
        <v>-32092.9664204</v>
      </c>
    </row>
    <row r="1284" spans="1:10" x14ac:dyDescent="0.2">
      <c r="A1284" s="383" t="s">
        <v>73</v>
      </c>
      <c r="B1284" s="397">
        <v>45901</v>
      </c>
      <c r="C1284" s="397" t="s">
        <v>534</v>
      </c>
      <c r="D1284" s="383">
        <v>9</v>
      </c>
      <c r="E1284" s="383" t="s">
        <v>526</v>
      </c>
      <c r="F1284" s="394" t="s">
        <v>273</v>
      </c>
      <c r="G1284" s="467" t="s">
        <v>563</v>
      </c>
      <c r="H1284" s="398" t="s">
        <v>563</v>
      </c>
      <c r="I1284" s="383">
        <f>INDEX(DRE!$W$2:$AS$53, MATCH('DRE 2025'!G1284,DRE!$D$2:$D$53,0), MATCH(B1284, DRE!$W$1:$AS$1, 0))</f>
        <v>0</v>
      </c>
    </row>
    <row r="1285" spans="1:10" x14ac:dyDescent="0.2">
      <c r="A1285" s="383" t="s">
        <v>73</v>
      </c>
      <c r="B1285" s="397">
        <v>45901</v>
      </c>
      <c r="C1285" s="397" t="s">
        <v>534</v>
      </c>
      <c r="D1285" s="383">
        <v>10</v>
      </c>
      <c r="E1285" s="383" t="s">
        <v>452</v>
      </c>
      <c r="F1285" s="400" t="s">
        <v>365</v>
      </c>
      <c r="G1285" s="400"/>
      <c r="H1285" s="403" t="s">
        <v>365</v>
      </c>
      <c r="I1285" s="396">
        <f>I1251+I1252+I1253+I1254+I1255+I1256+I1264+I1265+I1266+I1267+I1269+I1270+I1271+I1272+I1273+I1274+I1275+I1276+I1277+I1279+I1280+I1281+I1282+I1283+I1284</f>
        <v>-4009107.3572203992</v>
      </c>
      <c r="J1285" s="352">
        <f>IF(C1285="A",-I1285/I1250,I1285/I1250)</f>
        <v>0.9069400674086916</v>
      </c>
    </row>
    <row r="1286" spans="1:10" x14ac:dyDescent="0.2">
      <c r="A1286" s="383" t="s">
        <v>73</v>
      </c>
      <c r="B1286" s="397">
        <v>45901</v>
      </c>
      <c r="C1286" s="397" t="s">
        <v>535</v>
      </c>
      <c r="D1286" s="383">
        <v>11</v>
      </c>
      <c r="E1286" s="383" t="s">
        <v>528</v>
      </c>
      <c r="F1286" s="400" t="s">
        <v>367</v>
      </c>
      <c r="G1286" s="400"/>
      <c r="H1286" s="403" t="s">
        <v>367</v>
      </c>
      <c r="I1286" s="395">
        <f>I1250+I1285</f>
        <v>411369.25561160129</v>
      </c>
      <c r="J1286" s="352">
        <f>IF(C1286="A",-I1286/I1250,I1286/I1250)</f>
        <v>9.3059932591308403E-2</v>
      </c>
    </row>
    <row r="1287" spans="1:10" x14ac:dyDescent="0.2">
      <c r="A1287" s="383" t="s">
        <v>516</v>
      </c>
      <c r="B1287" s="397">
        <v>45901</v>
      </c>
      <c r="C1287" s="397" t="s">
        <v>536</v>
      </c>
      <c r="D1287" s="383">
        <v>1</v>
      </c>
      <c r="E1287" s="384" t="s">
        <v>530</v>
      </c>
      <c r="F1287" s="400" t="s">
        <v>440</v>
      </c>
      <c r="G1287" s="400"/>
      <c r="H1287" s="404" t="s">
        <v>440</v>
      </c>
      <c r="I1287" s="407">
        <f>HLOOKUP(B1287,[5]Sucumbências!$BP$2:$CA$43,31,0)</f>
        <v>54576.57</v>
      </c>
      <c r="J1287" s="352">
        <v>1</v>
      </c>
    </row>
    <row r="1288" spans="1:10" x14ac:dyDescent="0.2">
      <c r="A1288" s="383" t="s">
        <v>516</v>
      </c>
      <c r="B1288" s="397">
        <v>45901</v>
      </c>
      <c r="C1288" s="397" t="s">
        <v>534</v>
      </c>
      <c r="D1288" s="383">
        <v>4</v>
      </c>
      <c r="E1288" s="383" t="s">
        <v>525</v>
      </c>
      <c r="F1288" s="388" t="s">
        <v>340</v>
      </c>
      <c r="G1288" s="388"/>
      <c r="H1288" s="404" t="s">
        <v>340</v>
      </c>
      <c r="I1288" s="407">
        <f>-HLOOKUP(B1288,GLOSAS!$BQ$1:$CB$43,30,0)</f>
        <v>0</v>
      </c>
    </row>
    <row r="1289" spans="1:10" x14ac:dyDescent="0.2">
      <c r="A1289" s="383" t="s">
        <v>516</v>
      </c>
      <c r="B1289" s="397">
        <v>45901</v>
      </c>
      <c r="C1289" s="397" t="s">
        <v>534</v>
      </c>
      <c r="D1289" s="383">
        <v>9</v>
      </c>
      <c r="E1289" s="383" t="s">
        <v>526</v>
      </c>
      <c r="F1289" s="390" t="s">
        <v>363</v>
      </c>
      <c r="G1289" s="390"/>
      <c r="H1289" s="404" t="s">
        <v>363</v>
      </c>
      <c r="I1289" s="407">
        <f>-I1287*0.1</f>
        <v>-5457.6570000000002</v>
      </c>
    </row>
    <row r="1290" spans="1:10" x14ac:dyDescent="0.2">
      <c r="A1290" s="383" t="s">
        <v>516</v>
      </c>
      <c r="B1290" s="397">
        <v>45901</v>
      </c>
      <c r="C1290" s="397" t="s">
        <v>535</v>
      </c>
      <c r="D1290" s="383">
        <v>11</v>
      </c>
      <c r="E1290" s="383" t="s">
        <v>528</v>
      </c>
      <c r="F1290" s="400" t="s">
        <v>367</v>
      </c>
      <c r="G1290" s="400"/>
      <c r="H1290" s="404" t="s">
        <v>367</v>
      </c>
      <c r="I1290" s="407">
        <f>I1287+I1288+I1289</f>
        <v>49118.913</v>
      </c>
      <c r="J1290" s="352">
        <f>IF(C1290="A",-I1290/I1287,I1290/I1287)</f>
        <v>0.9</v>
      </c>
    </row>
    <row r="1291" spans="1:10" x14ac:dyDescent="0.2">
      <c r="A1291" s="383" t="s">
        <v>522</v>
      </c>
      <c r="B1291" s="397">
        <v>45901</v>
      </c>
      <c r="C1291" s="397" t="s">
        <v>536</v>
      </c>
      <c r="D1291" s="383">
        <v>1</v>
      </c>
      <c r="E1291" s="384" t="s">
        <v>530</v>
      </c>
      <c r="F1291" s="400" t="s">
        <v>440</v>
      </c>
      <c r="G1291" s="400"/>
      <c r="H1291" s="405" t="s">
        <v>440</v>
      </c>
      <c r="I1291" s="396">
        <f>I1250-I1287</f>
        <v>4365900.0428320002</v>
      </c>
      <c r="J1291" s="352">
        <v>1</v>
      </c>
    </row>
    <row r="1292" spans="1:10" x14ac:dyDescent="0.2">
      <c r="A1292" s="383" t="s">
        <v>522</v>
      </c>
      <c r="B1292" s="397">
        <v>45901</v>
      </c>
      <c r="C1292" s="397" t="s">
        <v>534</v>
      </c>
      <c r="D1292" s="383">
        <v>2</v>
      </c>
      <c r="E1292" s="384" t="s">
        <v>325</v>
      </c>
      <c r="F1292" s="390" t="s">
        <v>326</v>
      </c>
      <c r="G1292" s="390"/>
      <c r="H1292" s="384" t="s">
        <v>519</v>
      </c>
      <c r="I1292" s="406">
        <f t="shared" ref="I1292:I1304" si="33">I1251</f>
        <v>-216145.87999999998</v>
      </c>
    </row>
    <row r="1293" spans="1:10" x14ac:dyDescent="0.2">
      <c r="A1293" s="383" t="s">
        <v>522</v>
      </c>
      <c r="B1293" s="397">
        <v>45901</v>
      </c>
      <c r="C1293" s="397" t="s">
        <v>534</v>
      </c>
      <c r="D1293" s="383">
        <v>2</v>
      </c>
      <c r="E1293" s="384" t="s">
        <v>325</v>
      </c>
      <c r="F1293" s="385" t="s">
        <v>328</v>
      </c>
      <c r="G1293" s="385"/>
      <c r="H1293" s="384" t="s">
        <v>521</v>
      </c>
      <c r="I1293" s="406">
        <f t="shared" si="33"/>
        <v>-4409.5600000000004</v>
      </c>
    </row>
    <row r="1294" spans="1:10" x14ac:dyDescent="0.2">
      <c r="A1294" s="383" t="s">
        <v>522</v>
      </c>
      <c r="B1294" s="397">
        <v>45901</v>
      </c>
      <c r="C1294" s="397" t="s">
        <v>534</v>
      </c>
      <c r="D1294" s="383">
        <v>2</v>
      </c>
      <c r="E1294" s="384" t="s">
        <v>325</v>
      </c>
      <c r="F1294" s="385" t="s">
        <v>329</v>
      </c>
      <c r="G1294" s="385"/>
      <c r="H1294" s="384" t="s">
        <v>329</v>
      </c>
      <c r="I1294" s="406">
        <f t="shared" si="33"/>
        <v>0</v>
      </c>
    </row>
    <row r="1295" spans="1:10" x14ac:dyDescent="0.2">
      <c r="A1295" s="383" t="s">
        <v>522</v>
      </c>
      <c r="B1295" s="397">
        <v>45901</v>
      </c>
      <c r="C1295" s="397" t="s">
        <v>534</v>
      </c>
      <c r="D1295" s="383">
        <v>2</v>
      </c>
      <c r="E1295" s="384" t="s">
        <v>325</v>
      </c>
      <c r="F1295" s="385" t="s">
        <v>330</v>
      </c>
      <c r="G1295" s="385"/>
      <c r="H1295" s="384" t="s">
        <v>330</v>
      </c>
      <c r="I1295" s="406">
        <f t="shared" si="33"/>
        <v>0</v>
      </c>
    </row>
    <row r="1296" spans="1:10" x14ac:dyDescent="0.2">
      <c r="A1296" s="383" t="s">
        <v>522</v>
      </c>
      <c r="B1296" s="397">
        <v>45901</v>
      </c>
      <c r="C1296" s="397" t="s">
        <v>534</v>
      </c>
      <c r="D1296" s="383">
        <v>2</v>
      </c>
      <c r="E1296" s="384" t="s">
        <v>325</v>
      </c>
      <c r="F1296" s="385" t="s">
        <v>331</v>
      </c>
      <c r="G1296" s="385"/>
      <c r="H1296" s="384" t="s">
        <v>331</v>
      </c>
      <c r="I1296" s="406">
        <f t="shared" si="33"/>
        <v>-0.02</v>
      </c>
    </row>
    <row r="1297" spans="1:10" x14ac:dyDescent="0.2">
      <c r="A1297" s="383" t="s">
        <v>522</v>
      </c>
      <c r="B1297" s="397">
        <v>45901</v>
      </c>
      <c r="C1297" s="397" t="s">
        <v>534</v>
      </c>
      <c r="D1297" s="383">
        <v>2</v>
      </c>
      <c r="E1297" s="384" t="s">
        <v>325</v>
      </c>
      <c r="F1297" s="384" t="s">
        <v>332</v>
      </c>
      <c r="G1297" s="384"/>
      <c r="H1297" s="384" t="s">
        <v>520</v>
      </c>
      <c r="I1297" s="406">
        <f t="shared" si="33"/>
        <v>0</v>
      </c>
    </row>
    <row r="1298" spans="1:10" x14ac:dyDescent="0.2">
      <c r="A1298" s="383" t="s">
        <v>522</v>
      </c>
      <c r="B1298" s="397">
        <v>45901</v>
      </c>
      <c r="C1298" s="397" t="s">
        <v>535</v>
      </c>
      <c r="D1298" s="383">
        <v>3</v>
      </c>
      <c r="E1298" s="384" t="s">
        <v>531</v>
      </c>
      <c r="F1298" s="385" t="s">
        <v>334</v>
      </c>
      <c r="G1298" s="385"/>
      <c r="H1298" s="384" t="s">
        <v>334</v>
      </c>
      <c r="I1298" s="406">
        <f t="shared" si="33"/>
        <v>3801030.48</v>
      </c>
    </row>
    <row r="1299" spans="1:10" x14ac:dyDescent="0.2">
      <c r="A1299" s="383" t="s">
        <v>522</v>
      </c>
      <c r="B1299" s="397">
        <v>45901</v>
      </c>
      <c r="C1299" s="397" t="s">
        <v>535</v>
      </c>
      <c r="D1299" s="383">
        <v>3</v>
      </c>
      <c r="E1299" s="384" t="s">
        <v>531</v>
      </c>
      <c r="F1299" s="385" t="s">
        <v>335</v>
      </c>
      <c r="G1299" s="385"/>
      <c r="H1299" s="384" t="s">
        <v>335</v>
      </c>
      <c r="I1299" s="406">
        <f t="shared" si="33"/>
        <v>387892.36</v>
      </c>
    </row>
    <row r="1300" spans="1:10" x14ac:dyDescent="0.2">
      <c r="A1300" s="383" t="s">
        <v>522</v>
      </c>
      <c r="B1300" s="397">
        <v>45901</v>
      </c>
      <c r="C1300" s="397" t="s">
        <v>535</v>
      </c>
      <c r="D1300" s="383">
        <v>3</v>
      </c>
      <c r="E1300" s="384" t="s">
        <v>531</v>
      </c>
      <c r="F1300" s="385" t="s">
        <v>336</v>
      </c>
      <c r="G1300" s="385"/>
      <c r="H1300" s="384" t="s">
        <v>336</v>
      </c>
      <c r="I1300" s="406">
        <f t="shared" si="33"/>
        <v>6400</v>
      </c>
    </row>
    <row r="1301" spans="1:10" x14ac:dyDescent="0.2">
      <c r="A1301" s="383" t="s">
        <v>522</v>
      </c>
      <c r="B1301" s="397">
        <v>45901</v>
      </c>
      <c r="C1301" s="397" t="s">
        <v>535</v>
      </c>
      <c r="D1301" s="383">
        <v>3</v>
      </c>
      <c r="E1301" s="384" t="s">
        <v>531</v>
      </c>
      <c r="F1301" s="387" t="s">
        <v>273</v>
      </c>
      <c r="G1301" s="387"/>
      <c r="H1301" s="384" t="s">
        <v>562</v>
      </c>
      <c r="I1301" s="406">
        <f t="shared" si="33"/>
        <v>0</v>
      </c>
    </row>
    <row r="1302" spans="1:10" x14ac:dyDescent="0.2">
      <c r="A1302" s="383" t="s">
        <v>522</v>
      </c>
      <c r="B1302" s="397">
        <v>45901</v>
      </c>
      <c r="C1302" s="397" t="s">
        <v>535</v>
      </c>
      <c r="D1302" s="383">
        <v>3</v>
      </c>
      <c r="E1302" s="384" t="s">
        <v>531</v>
      </c>
      <c r="F1302" s="387" t="s">
        <v>513</v>
      </c>
      <c r="G1302" s="387"/>
      <c r="H1302" s="384" t="s">
        <v>513</v>
      </c>
      <c r="I1302" s="406" t="e">
        <f t="shared" si="33"/>
        <v>#N/A</v>
      </c>
    </row>
    <row r="1303" spans="1:10" x14ac:dyDescent="0.2">
      <c r="A1303" s="383" t="s">
        <v>522</v>
      </c>
      <c r="B1303" s="397">
        <v>45901</v>
      </c>
      <c r="C1303" s="397" t="s">
        <v>535</v>
      </c>
      <c r="D1303" s="383">
        <v>3</v>
      </c>
      <c r="E1303" s="384" t="s">
        <v>531</v>
      </c>
      <c r="F1303" s="387" t="s">
        <v>514</v>
      </c>
      <c r="G1303" s="387"/>
      <c r="H1303" s="384" t="s">
        <v>514</v>
      </c>
      <c r="I1303" s="406" t="e">
        <f t="shared" si="33"/>
        <v>#N/A</v>
      </c>
    </row>
    <row r="1304" spans="1:10" x14ac:dyDescent="0.2">
      <c r="A1304" s="383" t="s">
        <v>522</v>
      </c>
      <c r="B1304" s="397">
        <v>45901</v>
      </c>
      <c r="C1304" s="397" t="s">
        <v>535</v>
      </c>
      <c r="D1304" s="383">
        <v>3</v>
      </c>
      <c r="E1304" s="384" t="s">
        <v>531</v>
      </c>
      <c r="F1304" s="385" t="s">
        <v>337</v>
      </c>
      <c r="G1304" s="385"/>
      <c r="H1304" s="384" t="s">
        <v>337</v>
      </c>
      <c r="I1304" s="406">
        <f t="shared" si="33"/>
        <v>6600.27</v>
      </c>
    </row>
    <row r="1305" spans="1:10" x14ac:dyDescent="0.2">
      <c r="A1305" s="383" t="s">
        <v>522</v>
      </c>
      <c r="B1305" s="397">
        <v>45901</v>
      </c>
      <c r="C1305" s="397" t="s">
        <v>534</v>
      </c>
      <c r="D1305" s="383">
        <v>4</v>
      </c>
      <c r="E1305" s="383" t="s">
        <v>523</v>
      </c>
      <c r="F1305" s="388" t="s">
        <v>340</v>
      </c>
      <c r="G1305" s="388"/>
      <c r="H1305" s="405" t="s">
        <v>340</v>
      </c>
      <c r="I1305" s="396">
        <f>I1264-I1288</f>
        <v>-247883.56</v>
      </c>
    </row>
    <row r="1306" spans="1:10" x14ac:dyDescent="0.2">
      <c r="A1306" s="383" t="s">
        <v>522</v>
      </c>
      <c r="B1306" s="397">
        <v>45901</v>
      </c>
      <c r="C1306" s="397" t="s">
        <v>534</v>
      </c>
      <c r="D1306" s="383">
        <v>4</v>
      </c>
      <c r="E1306" s="383" t="s">
        <v>523</v>
      </c>
      <c r="F1306" s="388" t="s">
        <v>341</v>
      </c>
      <c r="G1306" s="388"/>
      <c r="H1306" s="384" t="s">
        <v>341</v>
      </c>
      <c r="I1306" s="406">
        <f>I1265</f>
        <v>-188176.32</v>
      </c>
    </row>
    <row r="1307" spans="1:10" x14ac:dyDescent="0.2">
      <c r="A1307" s="383" t="s">
        <v>522</v>
      </c>
      <c r="B1307" s="397">
        <v>45901</v>
      </c>
      <c r="C1307" s="397" t="s">
        <v>534</v>
      </c>
      <c r="D1307" s="383">
        <v>4</v>
      </c>
      <c r="E1307" s="383" t="s">
        <v>523</v>
      </c>
      <c r="F1307" s="388" t="s">
        <v>342</v>
      </c>
      <c r="G1307" s="388"/>
      <c r="H1307" s="384" t="s">
        <v>342</v>
      </c>
      <c r="I1307" s="406">
        <f>I1266</f>
        <v>-1618700.8512999993</v>
      </c>
    </row>
    <row r="1308" spans="1:10" x14ac:dyDescent="0.2">
      <c r="A1308" s="383" t="s">
        <v>522</v>
      </c>
      <c r="B1308" s="397">
        <v>45901</v>
      </c>
      <c r="C1308" s="397" t="s">
        <v>534</v>
      </c>
      <c r="D1308" s="383">
        <v>4</v>
      </c>
      <c r="E1308" s="383" t="s">
        <v>523</v>
      </c>
      <c r="F1308" s="388" t="s">
        <v>343</v>
      </c>
      <c r="G1308" s="388"/>
      <c r="H1308" s="384" t="s">
        <v>343</v>
      </c>
      <c r="I1308" s="406">
        <f>I1267</f>
        <v>-68126.460000000006</v>
      </c>
    </row>
    <row r="1309" spans="1:10" x14ac:dyDescent="0.2">
      <c r="A1309" s="383" t="s">
        <v>522</v>
      </c>
      <c r="B1309" s="397">
        <v>45901</v>
      </c>
      <c r="C1309" s="397" t="s">
        <v>535</v>
      </c>
      <c r="D1309" s="383">
        <v>5</v>
      </c>
      <c r="E1309" s="383" t="s">
        <v>532</v>
      </c>
      <c r="F1309" s="401" t="s">
        <v>345</v>
      </c>
      <c r="G1309" s="401"/>
      <c r="H1309" s="403" t="s">
        <v>345</v>
      </c>
      <c r="I1309" s="406">
        <f>I1291+I1292+I1293+I1294+I1295+I1296+I1297+I1305+I1306+I1307+I1308</f>
        <v>2022457.3915320011</v>
      </c>
      <c r="J1309" s="352">
        <f>IF(C1309="A",-I1309/I1291,I1309/I1291)</f>
        <v>0.46323950885052939</v>
      </c>
    </row>
    <row r="1310" spans="1:10" x14ac:dyDescent="0.2">
      <c r="A1310" s="383" t="s">
        <v>522</v>
      </c>
      <c r="B1310" s="397">
        <v>45901</v>
      </c>
      <c r="C1310" s="397" t="s">
        <v>534</v>
      </c>
      <c r="D1310" s="383">
        <v>6</v>
      </c>
      <c r="E1310" s="383" t="s">
        <v>524</v>
      </c>
      <c r="F1310" s="388" t="s">
        <v>349</v>
      </c>
      <c r="G1310" s="388"/>
      <c r="H1310" s="384" t="s">
        <v>473</v>
      </c>
      <c r="I1310" s="406">
        <f t="shared" ref="I1310:I1318" si="34">I1269</f>
        <v>-54951.46</v>
      </c>
    </row>
    <row r="1311" spans="1:10" x14ac:dyDescent="0.2">
      <c r="A1311" s="383" t="s">
        <v>522</v>
      </c>
      <c r="B1311" s="397">
        <v>45901</v>
      </c>
      <c r="C1311" s="397" t="s">
        <v>534</v>
      </c>
      <c r="D1311" s="383">
        <v>6</v>
      </c>
      <c r="E1311" s="383" t="s">
        <v>524</v>
      </c>
      <c r="F1311" s="388" t="s">
        <v>350</v>
      </c>
      <c r="G1311" s="388"/>
      <c r="H1311" s="384" t="s">
        <v>474</v>
      </c>
      <c r="I1311" s="406">
        <f t="shared" si="34"/>
        <v>-20066.419999999998</v>
      </c>
    </row>
    <row r="1312" spans="1:10" x14ac:dyDescent="0.2">
      <c r="A1312" s="383" t="s">
        <v>522</v>
      </c>
      <c r="B1312" s="397">
        <v>45901</v>
      </c>
      <c r="C1312" s="397" t="s">
        <v>534</v>
      </c>
      <c r="D1312" s="383">
        <v>6</v>
      </c>
      <c r="E1312" s="383" t="s">
        <v>524</v>
      </c>
      <c r="F1312" s="388" t="s">
        <v>351</v>
      </c>
      <c r="G1312" s="388"/>
      <c r="H1312" s="384" t="s">
        <v>475</v>
      </c>
      <c r="I1312" s="406">
        <f t="shared" si="34"/>
        <v>-31737.889999999989</v>
      </c>
    </row>
    <row r="1313" spans="1:10" x14ac:dyDescent="0.2">
      <c r="A1313" s="383" t="s">
        <v>522</v>
      </c>
      <c r="B1313" s="397">
        <v>45901</v>
      </c>
      <c r="C1313" s="397" t="s">
        <v>534</v>
      </c>
      <c r="D1313" s="383">
        <v>6</v>
      </c>
      <c r="E1313" s="383" t="s">
        <v>524</v>
      </c>
      <c r="F1313" s="388" t="s">
        <v>352</v>
      </c>
      <c r="G1313" s="388"/>
      <c r="H1313" s="384" t="s">
        <v>476</v>
      </c>
      <c r="I1313" s="406">
        <f t="shared" si="34"/>
        <v>-6085.92</v>
      </c>
    </row>
    <row r="1314" spans="1:10" x14ac:dyDescent="0.2">
      <c r="A1314" s="383" t="s">
        <v>522</v>
      </c>
      <c r="B1314" s="397">
        <v>45901</v>
      </c>
      <c r="C1314" s="397" t="s">
        <v>534</v>
      </c>
      <c r="D1314" s="383">
        <v>6</v>
      </c>
      <c r="E1314" s="383" t="s">
        <v>524</v>
      </c>
      <c r="F1314" s="388" t="s">
        <v>353</v>
      </c>
      <c r="G1314" s="388"/>
      <c r="H1314" s="384" t="s">
        <v>477</v>
      </c>
      <c r="I1314" s="406">
        <f t="shared" si="34"/>
        <v>-65033.29</v>
      </c>
    </row>
    <row r="1315" spans="1:10" x14ac:dyDescent="0.2">
      <c r="A1315" s="383" t="s">
        <v>522</v>
      </c>
      <c r="B1315" s="397">
        <v>45901</v>
      </c>
      <c r="C1315" s="397" t="s">
        <v>534</v>
      </c>
      <c r="D1315" s="383">
        <v>6</v>
      </c>
      <c r="E1315" s="383" t="s">
        <v>524</v>
      </c>
      <c r="F1315" s="388" t="s">
        <v>354</v>
      </c>
      <c r="G1315" s="388"/>
      <c r="H1315" s="384" t="s">
        <v>478</v>
      </c>
      <c r="I1315" s="406">
        <f t="shared" si="34"/>
        <v>-26724.33</v>
      </c>
    </row>
    <row r="1316" spans="1:10" x14ac:dyDescent="0.2">
      <c r="A1316" s="383" t="s">
        <v>522</v>
      </c>
      <c r="B1316" s="397">
        <v>45901</v>
      </c>
      <c r="C1316" s="397" t="s">
        <v>534</v>
      </c>
      <c r="D1316" s="383">
        <v>6</v>
      </c>
      <c r="E1316" s="383" t="s">
        <v>524</v>
      </c>
      <c r="F1316" s="390" t="s">
        <v>355</v>
      </c>
      <c r="G1316" s="390"/>
      <c r="H1316" s="384" t="s">
        <v>355</v>
      </c>
      <c r="I1316" s="406">
        <f t="shared" si="34"/>
        <v>-82813.67</v>
      </c>
    </row>
    <row r="1317" spans="1:10" x14ac:dyDescent="0.2">
      <c r="A1317" s="383" t="s">
        <v>522</v>
      </c>
      <c r="B1317" s="397">
        <v>45901</v>
      </c>
      <c r="C1317" s="397" t="s">
        <v>534</v>
      </c>
      <c r="D1317" s="383">
        <v>6</v>
      </c>
      <c r="E1317" s="383" t="s">
        <v>524</v>
      </c>
      <c r="F1317" s="390" t="s">
        <v>356</v>
      </c>
      <c r="G1317" s="390"/>
      <c r="H1317" s="384" t="s">
        <v>356</v>
      </c>
      <c r="I1317" s="406">
        <f t="shared" si="34"/>
        <v>-593873.33950000012</v>
      </c>
    </row>
    <row r="1318" spans="1:10" x14ac:dyDescent="0.2">
      <c r="A1318" s="383" t="s">
        <v>522</v>
      </c>
      <c r="B1318" s="397">
        <v>45901</v>
      </c>
      <c r="C1318" s="397" t="s">
        <v>534</v>
      </c>
      <c r="D1318" s="383">
        <v>6</v>
      </c>
      <c r="E1318" s="383" t="s">
        <v>524</v>
      </c>
      <c r="F1318" s="390" t="s">
        <v>357</v>
      </c>
      <c r="G1318" s="390"/>
      <c r="H1318" s="384" t="s">
        <v>357</v>
      </c>
      <c r="I1318" s="406">
        <f t="shared" si="34"/>
        <v>0</v>
      </c>
    </row>
    <row r="1319" spans="1:10" x14ac:dyDescent="0.2">
      <c r="A1319" s="383" t="s">
        <v>522</v>
      </c>
      <c r="B1319" s="397">
        <v>45901</v>
      </c>
      <c r="C1319" s="397" t="s">
        <v>535</v>
      </c>
      <c r="D1319" s="383">
        <v>7</v>
      </c>
      <c r="E1319" s="383" t="s">
        <v>529</v>
      </c>
      <c r="F1319" s="400" t="s">
        <v>358</v>
      </c>
      <c r="G1319" s="400"/>
      <c r="H1319" s="403" t="s">
        <v>358</v>
      </c>
      <c r="I1319" s="396">
        <f>I1309+I1310+I1311+I1312+I1313+I1314+I1315+I1316+I1317+I1318</f>
        <v>1141171.0720320013</v>
      </c>
      <c r="J1319" s="352">
        <f>IF(C1319="A",-I1319/I1291,I1319/I1291)</f>
        <v>0.26138277579341124</v>
      </c>
    </row>
    <row r="1320" spans="1:10" x14ac:dyDescent="0.2">
      <c r="A1320" s="383" t="s">
        <v>522</v>
      </c>
      <c r="B1320" s="397">
        <v>45901</v>
      </c>
      <c r="C1320" s="397" t="s">
        <v>534</v>
      </c>
      <c r="D1320" s="383">
        <v>8</v>
      </c>
      <c r="E1320" s="383" t="s">
        <v>527</v>
      </c>
      <c r="F1320" s="385" t="s">
        <v>359</v>
      </c>
      <c r="G1320" s="385"/>
      <c r="H1320" s="384" t="s">
        <v>479</v>
      </c>
      <c r="I1320" s="406">
        <f>I1279</f>
        <v>0</v>
      </c>
    </row>
    <row r="1321" spans="1:10" x14ac:dyDescent="0.2">
      <c r="A1321" s="383" t="s">
        <v>522</v>
      </c>
      <c r="B1321" s="397">
        <v>45901</v>
      </c>
      <c r="C1321" s="397" t="s">
        <v>534</v>
      </c>
      <c r="D1321" s="383">
        <v>8</v>
      </c>
      <c r="E1321" s="383" t="s">
        <v>527</v>
      </c>
      <c r="F1321" s="385" t="s">
        <v>360</v>
      </c>
      <c r="G1321" s="385"/>
      <c r="H1321" s="384" t="s">
        <v>480</v>
      </c>
      <c r="I1321" s="406">
        <f>I1280</f>
        <v>33486.949999999997</v>
      </c>
    </row>
    <row r="1322" spans="1:10" x14ac:dyDescent="0.2">
      <c r="A1322" s="383" t="s">
        <v>522</v>
      </c>
      <c r="B1322" s="397">
        <v>45901</v>
      </c>
      <c r="C1322" s="397" t="s">
        <v>534</v>
      </c>
      <c r="D1322" s="383">
        <v>8</v>
      </c>
      <c r="E1322" s="383" t="s">
        <v>527</v>
      </c>
      <c r="F1322" s="390" t="s">
        <v>361</v>
      </c>
      <c r="G1322" s="390"/>
      <c r="H1322" s="384" t="s">
        <v>481</v>
      </c>
      <c r="I1322" s="406">
        <f>I1281</f>
        <v>-59250.58</v>
      </c>
    </row>
    <row r="1323" spans="1:10" x14ac:dyDescent="0.2">
      <c r="A1323" s="383" t="s">
        <v>522</v>
      </c>
      <c r="B1323" s="397">
        <v>45901</v>
      </c>
      <c r="C1323" s="397" t="s">
        <v>534</v>
      </c>
      <c r="D1323" s="383">
        <v>9</v>
      </c>
      <c r="E1323" s="383" t="s">
        <v>526</v>
      </c>
      <c r="F1323" s="390" t="s">
        <v>363</v>
      </c>
      <c r="G1323" s="390"/>
      <c r="H1323" s="405" t="s">
        <v>363</v>
      </c>
      <c r="I1323" s="396">
        <f>I1282-I1289</f>
        <v>-721064.13300000003</v>
      </c>
    </row>
    <row r="1324" spans="1:10" x14ac:dyDescent="0.2">
      <c r="A1324" s="383" t="s">
        <v>522</v>
      </c>
      <c r="B1324" s="397">
        <v>45901</v>
      </c>
      <c r="C1324" s="397" t="s">
        <v>534</v>
      </c>
      <c r="D1324" s="383">
        <v>9</v>
      </c>
      <c r="E1324" s="383" t="s">
        <v>526</v>
      </c>
      <c r="F1324" s="390" t="s">
        <v>364</v>
      </c>
      <c r="G1324" s="390"/>
      <c r="H1324" s="384" t="s">
        <v>364</v>
      </c>
      <c r="I1324" s="406">
        <f>I1283</f>
        <v>-32092.9664204</v>
      </c>
    </row>
    <row r="1325" spans="1:10" x14ac:dyDescent="0.2">
      <c r="A1325" s="383" t="s">
        <v>522</v>
      </c>
      <c r="B1325" s="397">
        <v>45901</v>
      </c>
      <c r="C1325" s="397" t="s">
        <v>534</v>
      </c>
      <c r="D1325" s="383">
        <v>9</v>
      </c>
      <c r="E1325" s="383" t="s">
        <v>526</v>
      </c>
      <c r="F1325" s="394" t="s">
        <v>273</v>
      </c>
      <c r="G1325" s="394"/>
      <c r="H1325" s="398" t="s">
        <v>563</v>
      </c>
      <c r="I1325" s="406">
        <f>I1284</f>
        <v>0</v>
      </c>
    </row>
    <row r="1326" spans="1:10" x14ac:dyDescent="0.2">
      <c r="A1326" s="383" t="s">
        <v>522</v>
      </c>
      <c r="B1326" s="397">
        <v>45901</v>
      </c>
      <c r="C1326" s="397" t="s">
        <v>534</v>
      </c>
      <c r="D1326" s="383">
        <v>10</v>
      </c>
      <c r="E1326" s="383" t="s">
        <v>452</v>
      </c>
      <c r="F1326" s="400" t="s">
        <v>365</v>
      </c>
      <c r="G1326" s="400"/>
      <c r="H1326" s="403" t="s">
        <v>365</v>
      </c>
      <c r="I1326" s="396">
        <f>I1292+I1293+I1294+I1295+I1296+I1297+I1305+I1306+I1307+I1308+I1310+I1311+I1312+I1313+I1314+I1315+I1316+I1317+I1318+I1320+I1321+I1322+I1323+I1324+I1325</f>
        <v>-4003649.7002203991</v>
      </c>
      <c r="J1326" s="352">
        <f>IF(C1326="A",-I1326/I1291,I1326/I1291)</f>
        <v>0.91702733936697678</v>
      </c>
    </row>
    <row r="1327" spans="1:10" x14ac:dyDescent="0.2">
      <c r="A1327" s="383" t="s">
        <v>522</v>
      </c>
      <c r="B1327" s="397">
        <v>45901</v>
      </c>
      <c r="C1327" s="397" t="s">
        <v>535</v>
      </c>
      <c r="D1327" s="383">
        <v>11</v>
      </c>
      <c r="E1327" s="383" t="s">
        <v>528</v>
      </c>
      <c r="F1327" s="400" t="s">
        <v>367</v>
      </c>
      <c r="G1327" s="400"/>
      <c r="H1327" s="405" t="s">
        <v>367</v>
      </c>
      <c r="I1327" s="395">
        <f>I1291+I1326</f>
        <v>362250.34261160111</v>
      </c>
      <c r="J1327" s="352">
        <f>IF(C1327="A",-I1327/I1291,I1327/I1291)</f>
        <v>8.2972660633023221E-2</v>
      </c>
    </row>
    <row r="1328" spans="1:10" ht="14.25" x14ac:dyDescent="0.2">
      <c r="A1328" s="383" t="s">
        <v>73</v>
      </c>
      <c r="B1328" s="397">
        <v>45931</v>
      </c>
      <c r="C1328" s="397" t="s">
        <v>536</v>
      </c>
      <c r="D1328" s="383">
        <v>1</v>
      </c>
      <c r="E1328" s="384" t="s">
        <v>530</v>
      </c>
      <c r="F1328" s="400" t="s">
        <v>440</v>
      </c>
      <c r="G1328" s="459" t="s">
        <v>324</v>
      </c>
      <c r="H1328" s="384" t="s">
        <v>440</v>
      </c>
      <c r="I1328" s="383">
        <f>INDEX(DRE!$W$2:$AS$53, MATCH('DRE 2025'!G1328,DRE!$D$2:$D$53,0), MATCH(B1328, DRE!$W$1:$AS$1, 0))</f>
        <v>4300330.28</v>
      </c>
      <c r="J1328" s="352">
        <v>1</v>
      </c>
    </row>
    <row r="1329" spans="1:9" x14ac:dyDescent="0.2">
      <c r="A1329" s="383" t="s">
        <v>73</v>
      </c>
      <c r="B1329" s="397">
        <v>45931</v>
      </c>
      <c r="C1329" s="397" t="s">
        <v>534</v>
      </c>
      <c r="D1329" s="383">
        <v>2</v>
      </c>
      <c r="E1329" s="384" t="s">
        <v>325</v>
      </c>
      <c r="F1329" s="390" t="s">
        <v>326</v>
      </c>
      <c r="G1329" s="461" t="s">
        <v>326</v>
      </c>
      <c r="H1329" s="384" t="s">
        <v>519</v>
      </c>
      <c r="I1329" s="383">
        <f>INDEX(DRE!$W$2:$AS$53, MATCH('DRE 2025'!G1329,DRE!$D$2:$D$53,0), MATCH(B1329, DRE!$W$1:$AS$1, 0))</f>
        <v>-201568.34</v>
      </c>
    </row>
    <row r="1330" spans="1:9" x14ac:dyDescent="0.2">
      <c r="A1330" s="383" t="s">
        <v>73</v>
      </c>
      <c r="B1330" s="397">
        <v>45931</v>
      </c>
      <c r="C1330" s="397" t="s">
        <v>534</v>
      </c>
      <c r="D1330" s="383">
        <v>2</v>
      </c>
      <c r="E1330" s="384" t="s">
        <v>325</v>
      </c>
      <c r="F1330" s="385" t="s">
        <v>328</v>
      </c>
      <c r="G1330" s="462" t="s">
        <v>328</v>
      </c>
      <c r="H1330" s="384" t="s">
        <v>521</v>
      </c>
      <c r="I1330" s="383">
        <f>INDEX(DRE!$W$2:$AS$53, MATCH('DRE 2025'!G1330,DRE!$D$2:$D$53,0), MATCH(B1330, DRE!$W$1:$AS$1, 0))</f>
        <v>-9073.56</v>
      </c>
    </row>
    <row r="1331" spans="1:9" x14ac:dyDescent="0.2">
      <c r="A1331" s="383" t="s">
        <v>73</v>
      </c>
      <c r="B1331" s="397">
        <v>45931</v>
      </c>
      <c r="C1331" s="397" t="s">
        <v>534</v>
      </c>
      <c r="D1331" s="383">
        <v>2</v>
      </c>
      <c r="E1331" s="384" t="s">
        <v>325</v>
      </c>
      <c r="F1331" s="385" t="s">
        <v>329</v>
      </c>
      <c r="G1331" s="462" t="s">
        <v>329</v>
      </c>
      <c r="H1331" s="384" t="s">
        <v>329</v>
      </c>
      <c r="I1331" s="383">
        <f>INDEX(DRE!$W$2:$AS$53, MATCH('DRE 2025'!G1331,DRE!$D$2:$D$53,0), MATCH(B1331, DRE!$W$1:$AS$1, 0))</f>
        <v>0</v>
      </c>
    </row>
    <row r="1332" spans="1:9" x14ac:dyDescent="0.2">
      <c r="A1332" s="383" t="s">
        <v>73</v>
      </c>
      <c r="B1332" s="397">
        <v>45931</v>
      </c>
      <c r="C1332" s="397" t="s">
        <v>534</v>
      </c>
      <c r="D1332" s="383">
        <v>2</v>
      </c>
      <c r="E1332" s="384" t="s">
        <v>325</v>
      </c>
      <c r="F1332" s="385" t="s">
        <v>330</v>
      </c>
      <c r="G1332" s="462" t="s">
        <v>565</v>
      </c>
      <c r="H1332" s="384" t="s">
        <v>330</v>
      </c>
      <c r="I1332" s="383">
        <f>INDEX(DRE!$W$2:$AS$53, MATCH('DRE 2025'!G1332,DRE!$D$2:$D$53,0), MATCH(B1332, DRE!$W$1:$AS$1, 0))</f>
        <v>0</v>
      </c>
    </row>
    <row r="1333" spans="1:9" x14ac:dyDescent="0.2">
      <c r="A1333" s="383" t="s">
        <v>73</v>
      </c>
      <c r="B1333" s="397">
        <v>45931</v>
      </c>
      <c r="C1333" s="397" t="s">
        <v>534</v>
      </c>
      <c r="D1333" s="383">
        <v>2</v>
      </c>
      <c r="E1333" s="384" t="s">
        <v>325</v>
      </c>
      <c r="F1333" s="385" t="s">
        <v>331</v>
      </c>
      <c r="G1333" s="462" t="s">
        <v>331</v>
      </c>
      <c r="H1333" s="384" t="s">
        <v>331</v>
      </c>
      <c r="I1333" s="383">
        <f>INDEX(DRE!$W$2:$AS$53, MATCH('DRE 2025'!G1333,DRE!$D$2:$D$53,0), MATCH(B1333, DRE!$W$1:$AS$1, 0))</f>
        <v>0.04</v>
      </c>
    </row>
    <row r="1334" spans="1:9" x14ac:dyDescent="0.2">
      <c r="A1334" s="383" t="s">
        <v>73</v>
      </c>
      <c r="B1334" s="397">
        <v>45931</v>
      </c>
      <c r="C1334" s="397" t="s">
        <v>534</v>
      </c>
      <c r="D1334" s="383">
        <v>2</v>
      </c>
      <c r="E1334" s="384" t="s">
        <v>325</v>
      </c>
      <c r="F1334" s="384" t="s">
        <v>332</v>
      </c>
      <c r="G1334" s="463" t="s">
        <v>332</v>
      </c>
      <c r="H1334" s="384" t="s">
        <v>520</v>
      </c>
      <c r="I1334" s="383">
        <f>INDEX(DRE!$W$2:$AS$53, MATCH('DRE 2025'!G1334,DRE!$D$2:$D$53,0), MATCH(B1334, DRE!$W$1:$AS$1, 0))</f>
        <v>0</v>
      </c>
    </row>
    <row r="1335" spans="1:9" x14ac:dyDescent="0.2">
      <c r="A1335" s="383" t="s">
        <v>73</v>
      </c>
      <c r="B1335" s="397">
        <v>45931</v>
      </c>
      <c r="C1335" s="397" t="s">
        <v>535</v>
      </c>
      <c r="D1335" s="383">
        <v>3</v>
      </c>
      <c r="E1335" s="384" t="s">
        <v>531</v>
      </c>
      <c r="F1335" s="385" t="s">
        <v>334</v>
      </c>
      <c r="G1335" s="462" t="s">
        <v>334</v>
      </c>
      <c r="H1335" s="384" t="s">
        <v>334</v>
      </c>
      <c r="I1335" s="383">
        <f>INDEX(DRE!$W$2:$AS$53, MATCH('DRE 2025'!G1335,DRE!$D$2:$D$53,0), MATCH(B1335, DRE!$W$1:$AS$1, 0))</f>
        <v>3646062.61</v>
      </c>
    </row>
    <row r="1336" spans="1:9" x14ac:dyDescent="0.2">
      <c r="A1336" s="383" t="s">
        <v>73</v>
      </c>
      <c r="B1336" s="397">
        <v>45931</v>
      </c>
      <c r="C1336" s="397" t="s">
        <v>535</v>
      </c>
      <c r="D1336" s="383">
        <v>3</v>
      </c>
      <c r="E1336" s="384" t="s">
        <v>531</v>
      </c>
      <c r="F1336" s="385" t="s">
        <v>335</v>
      </c>
      <c r="G1336" s="462" t="s">
        <v>335</v>
      </c>
      <c r="H1336" s="384" t="s">
        <v>335</v>
      </c>
      <c r="I1336" s="383">
        <f>INDEX(DRE!$W$2:$AS$53, MATCH('DRE 2025'!G1336,DRE!$D$2:$D$53,0), MATCH(B1336, DRE!$W$1:$AS$1, 0))</f>
        <v>426678.55</v>
      </c>
    </row>
    <row r="1337" spans="1:9" x14ac:dyDescent="0.2">
      <c r="A1337" s="383" t="s">
        <v>73</v>
      </c>
      <c r="B1337" s="397">
        <v>45931</v>
      </c>
      <c r="C1337" s="397" t="s">
        <v>535</v>
      </c>
      <c r="D1337" s="383">
        <v>3</v>
      </c>
      <c r="E1337" s="384" t="s">
        <v>531</v>
      </c>
      <c r="F1337" s="385" t="s">
        <v>336</v>
      </c>
      <c r="G1337" s="462" t="s">
        <v>336</v>
      </c>
      <c r="H1337" s="384" t="s">
        <v>336</v>
      </c>
      <c r="I1337" s="383">
        <f>INDEX(DRE!$W$2:$AS$53, MATCH('DRE 2025'!G1337,DRE!$D$2:$D$53,0), MATCH(B1337, DRE!$W$1:$AS$1, 0))</f>
        <v>10346.99</v>
      </c>
    </row>
    <row r="1338" spans="1:9" x14ac:dyDescent="0.2">
      <c r="A1338" s="383" t="s">
        <v>73</v>
      </c>
      <c r="B1338" s="397">
        <v>45931</v>
      </c>
      <c r="C1338" s="397" t="s">
        <v>535</v>
      </c>
      <c r="D1338" s="383">
        <v>3</v>
      </c>
      <c r="E1338" s="384" t="s">
        <v>531</v>
      </c>
      <c r="F1338" s="387" t="s">
        <v>273</v>
      </c>
      <c r="G1338" s="464" t="s">
        <v>562</v>
      </c>
      <c r="H1338" s="384" t="s">
        <v>562</v>
      </c>
      <c r="I1338" s="383">
        <f>INDEX(DRE!$W$2:$AS$53, MATCH('DRE 2025'!G1338,DRE!$D$2:$D$53,0), MATCH(B1338, DRE!$W$1:$AS$1, 0))</f>
        <v>0</v>
      </c>
    </row>
    <row r="1339" spans="1:9" x14ac:dyDescent="0.2">
      <c r="A1339" s="383" t="s">
        <v>73</v>
      </c>
      <c r="B1339" s="397">
        <v>45931</v>
      </c>
      <c r="C1339" s="397" t="s">
        <v>535</v>
      </c>
      <c r="D1339" s="383">
        <v>3</v>
      </c>
      <c r="E1339" s="384" t="s">
        <v>531</v>
      </c>
      <c r="F1339" s="387" t="s">
        <v>513</v>
      </c>
      <c r="G1339" s="464" t="s">
        <v>513</v>
      </c>
      <c r="H1339" s="384" t="s">
        <v>513</v>
      </c>
      <c r="I1339" s="383" t="e">
        <f>INDEX(DRE!$W$2:$AS$53, MATCH('DRE 2025'!G1339,DRE!$D$2:$D$53,0), MATCH(B1339, DRE!$W$1:$AS$1, 0))</f>
        <v>#N/A</v>
      </c>
    </row>
    <row r="1340" spans="1:9" x14ac:dyDescent="0.2">
      <c r="A1340" s="383" t="s">
        <v>73</v>
      </c>
      <c r="B1340" s="397">
        <v>45931</v>
      </c>
      <c r="C1340" s="397" t="s">
        <v>535</v>
      </c>
      <c r="D1340" s="383">
        <v>3</v>
      </c>
      <c r="E1340" s="384" t="s">
        <v>531</v>
      </c>
      <c r="F1340" s="387" t="s">
        <v>514</v>
      </c>
      <c r="G1340" s="464" t="s">
        <v>514</v>
      </c>
      <c r="H1340" s="384" t="s">
        <v>514</v>
      </c>
      <c r="I1340" s="383" t="e">
        <f>INDEX(DRE!$W$2:$AS$53, MATCH('DRE 2025'!G1340,DRE!$D$2:$D$53,0), MATCH(B1340, DRE!$W$1:$AS$1, 0))</f>
        <v>#N/A</v>
      </c>
    </row>
    <row r="1341" spans="1:9" x14ac:dyDescent="0.2">
      <c r="A1341" s="383" t="s">
        <v>73</v>
      </c>
      <c r="B1341" s="397">
        <v>45931</v>
      </c>
      <c r="C1341" s="397" t="s">
        <v>535</v>
      </c>
      <c r="D1341" s="383">
        <v>3</v>
      </c>
      <c r="E1341" s="384" t="s">
        <v>531</v>
      </c>
      <c r="F1341" s="385" t="s">
        <v>337</v>
      </c>
      <c r="G1341" s="462" t="s">
        <v>337</v>
      </c>
      <c r="H1341" s="384" t="s">
        <v>337</v>
      </c>
      <c r="I1341" s="383">
        <f>INDEX(DRE!$W$2:$AS$53, MATCH('DRE 2025'!G1341,DRE!$D$2:$D$53,0), MATCH(B1341, DRE!$W$1:$AS$1, 0))</f>
        <v>6600.27</v>
      </c>
    </row>
    <row r="1342" spans="1:9" x14ac:dyDescent="0.2">
      <c r="A1342" s="383" t="s">
        <v>73</v>
      </c>
      <c r="B1342" s="397">
        <v>45931</v>
      </c>
      <c r="C1342" s="397" t="s">
        <v>534</v>
      </c>
      <c r="D1342" s="383">
        <v>4</v>
      </c>
      <c r="E1342" s="383" t="s">
        <v>523</v>
      </c>
      <c r="F1342" s="388" t="s">
        <v>340</v>
      </c>
      <c r="G1342" s="465" t="s">
        <v>340</v>
      </c>
      <c r="H1342" s="384" t="s">
        <v>340</v>
      </c>
      <c r="I1342" s="383">
        <f>INDEX(DRE!$W$2:$AS$53, MATCH('DRE 2025'!G1342,DRE!$D$2:$D$53,0), MATCH(B1342, DRE!$W$1:$AS$1, 0))</f>
        <v>-22536.2</v>
      </c>
    </row>
    <row r="1343" spans="1:9" x14ac:dyDescent="0.2">
      <c r="A1343" s="383" t="s">
        <v>73</v>
      </c>
      <c r="B1343" s="397">
        <v>45931</v>
      </c>
      <c r="C1343" s="397" t="s">
        <v>534</v>
      </c>
      <c r="D1343" s="383">
        <v>4</v>
      </c>
      <c r="E1343" s="383" t="s">
        <v>523</v>
      </c>
      <c r="F1343" s="388" t="s">
        <v>341</v>
      </c>
      <c r="G1343" s="465" t="s">
        <v>341</v>
      </c>
      <c r="H1343" s="384" t="s">
        <v>341</v>
      </c>
      <c r="I1343" s="383">
        <f>INDEX(DRE!$W$2:$AS$53, MATCH('DRE 2025'!G1343,DRE!$D$2:$D$53,0), MATCH(B1343, DRE!$W$1:$AS$1, 0))</f>
        <v>-191160.75</v>
      </c>
    </row>
    <row r="1344" spans="1:9" x14ac:dyDescent="0.2">
      <c r="A1344" s="383" t="s">
        <v>73</v>
      </c>
      <c r="B1344" s="397">
        <v>45931</v>
      </c>
      <c r="C1344" s="397" t="s">
        <v>534</v>
      </c>
      <c r="D1344" s="383">
        <v>4</v>
      </c>
      <c r="E1344" s="383" t="s">
        <v>523</v>
      </c>
      <c r="F1344" s="388" t="s">
        <v>342</v>
      </c>
      <c r="G1344" s="465" t="s">
        <v>342</v>
      </c>
      <c r="H1344" s="384" t="s">
        <v>342</v>
      </c>
      <c r="I1344" s="383">
        <f>INDEX(DRE!$W$2:$AS$53, MATCH('DRE 2025'!G1344,DRE!$D$2:$D$53,0), MATCH(B1344, DRE!$W$1:$AS$1, 0))</f>
        <v>-1632905.1767999995</v>
      </c>
    </row>
    <row r="1345" spans="1:10" x14ac:dyDescent="0.2">
      <c r="A1345" s="383" t="s">
        <v>73</v>
      </c>
      <c r="B1345" s="397">
        <v>45931</v>
      </c>
      <c r="C1345" s="397" t="s">
        <v>534</v>
      </c>
      <c r="D1345" s="383">
        <v>4</v>
      </c>
      <c r="E1345" s="383" t="s">
        <v>523</v>
      </c>
      <c r="F1345" s="388" t="s">
        <v>343</v>
      </c>
      <c r="G1345" s="465" t="s">
        <v>343</v>
      </c>
      <c r="H1345" s="384" t="s">
        <v>343</v>
      </c>
      <c r="I1345" s="383">
        <f>INDEX(DRE!$W$2:$AS$53, MATCH('DRE 2025'!G1345,DRE!$D$2:$D$53,0), MATCH(B1345, DRE!$W$1:$AS$1, 0))</f>
        <v>-89156.27</v>
      </c>
    </row>
    <row r="1346" spans="1:10" x14ac:dyDescent="0.2">
      <c r="A1346" s="383" t="s">
        <v>73</v>
      </c>
      <c r="B1346" s="397">
        <v>45931</v>
      </c>
      <c r="C1346" s="397" t="s">
        <v>535</v>
      </c>
      <c r="D1346" s="383">
        <v>5</v>
      </c>
      <c r="E1346" s="383" t="s">
        <v>532</v>
      </c>
      <c r="F1346" s="401" t="s">
        <v>345</v>
      </c>
      <c r="G1346" s="401"/>
      <c r="H1346" s="402" t="s">
        <v>345</v>
      </c>
      <c r="I1346" s="406" t="e">
        <f>I1335+I1336+I1337+I1338+I1339+I1340+I1341+I1342+I1343+I1344+I1345</f>
        <v>#N/A</v>
      </c>
      <c r="J1346" s="352" t="e">
        <f>IF(C1346="A",-I1346/I1328,I1346/I1328)</f>
        <v>#N/A</v>
      </c>
    </row>
    <row r="1347" spans="1:10" x14ac:dyDescent="0.2">
      <c r="A1347" s="383" t="s">
        <v>73</v>
      </c>
      <c r="B1347" s="397">
        <v>45931</v>
      </c>
      <c r="C1347" s="397" t="s">
        <v>534</v>
      </c>
      <c r="D1347" s="383">
        <v>6</v>
      </c>
      <c r="E1347" s="383" t="s">
        <v>524</v>
      </c>
      <c r="F1347" s="388" t="s">
        <v>349</v>
      </c>
      <c r="G1347" s="465" t="s">
        <v>349</v>
      </c>
      <c r="H1347" s="384" t="s">
        <v>473</v>
      </c>
      <c r="I1347" s="383">
        <f>INDEX(DRE!$W$2:$AS$53, MATCH('DRE 2025'!G1347,DRE!$D$2:$D$53,0), MATCH(B1347, DRE!$W$1:$AS$1, 0))</f>
        <v>-37318.82</v>
      </c>
    </row>
    <row r="1348" spans="1:10" x14ac:dyDescent="0.2">
      <c r="A1348" s="383" t="s">
        <v>73</v>
      </c>
      <c r="B1348" s="397">
        <v>45931</v>
      </c>
      <c r="C1348" s="397" t="s">
        <v>534</v>
      </c>
      <c r="D1348" s="383">
        <v>6</v>
      </c>
      <c r="E1348" s="383" t="s">
        <v>524</v>
      </c>
      <c r="F1348" s="388" t="s">
        <v>350</v>
      </c>
      <c r="G1348" s="465" t="s">
        <v>350</v>
      </c>
      <c r="H1348" s="384" t="s">
        <v>474</v>
      </c>
      <c r="I1348" s="383">
        <f>INDEX(DRE!$W$2:$AS$53, MATCH('DRE 2025'!G1348,DRE!$D$2:$D$53,0), MATCH(B1348, DRE!$W$1:$AS$1, 0))</f>
        <v>-14131.07</v>
      </c>
    </row>
    <row r="1349" spans="1:10" x14ac:dyDescent="0.2">
      <c r="A1349" s="383" t="s">
        <v>73</v>
      </c>
      <c r="B1349" s="397">
        <v>45931</v>
      </c>
      <c r="C1349" s="397" t="s">
        <v>534</v>
      </c>
      <c r="D1349" s="383">
        <v>6</v>
      </c>
      <c r="E1349" s="383" t="s">
        <v>524</v>
      </c>
      <c r="F1349" s="388" t="s">
        <v>351</v>
      </c>
      <c r="G1349" s="465" t="s">
        <v>351</v>
      </c>
      <c r="H1349" s="384" t="s">
        <v>475</v>
      </c>
      <c r="I1349" s="383">
        <f>INDEX(DRE!$W$2:$AS$53, MATCH('DRE 2025'!G1349,DRE!$D$2:$D$53,0), MATCH(B1349, DRE!$W$1:$AS$1, 0))</f>
        <v>-59990.229999999989</v>
      </c>
    </row>
    <row r="1350" spans="1:10" x14ac:dyDescent="0.2">
      <c r="A1350" s="383" t="s">
        <v>73</v>
      </c>
      <c r="B1350" s="397">
        <v>45931</v>
      </c>
      <c r="C1350" s="397" t="s">
        <v>534</v>
      </c>
      <c r="D1350" s="383">
        <v>6</v>
      </c>
      <c r="E1350" s="383" t="s">
        <v>524</v>
      </c>
      <c r="F1350" s="388" t="s">
        <v>352</v>
      </c>
      <c r="G1350" s="465" t="s">
        <v>352</v>
      </c>
      <c r="H1350" s="384" t="s">
        <v>476</v>
      </c>
      <c r="I1350" s="383">
        <f>INDEX(DRE!$W$2:$AS$53, MATCH('DRE 2025'!G1350,DRE!$D$2:$D$53,0), MATCH(B1350, DRE!$W$1:$AS$1, 0))</f>
        <v>-7944.2</v>
      </c>
    </row>
    <row r="1351" spans="1:10" x14ac:dyDescent="0.2">
      <c r="A1351" s="383" t="s">
        <v>73</v>
      </c>
      <c r="B1351" s="397">
        <v>45931</v>
      </c>
      <c r="C1351" s="397" t="s">
        <v>534</v>
      </c>
      <c r="D1351" s="383">
        <v>6</v>
      </c>
      <c r="E1351" s="383" t="s">
        <v>524</v>
      </c>
      <c r="F1351" s="388" t="s">
        <v>353</v>
      </c>
      <c r="G1351" s="465" t="s">
        <v>353</v>
      </c>
      <c r="H1351" s="384" t="s">
        <v>477</v>
      </c>
      <c r="I1351" s="383">
        <f>INDEX(DRE!$W$2:$AS$53, MATCH('DRE 2025'!G1351,DRE!$D$2:$D$53,0), MATCH(B1351, DRE!$W$1:$AS$1, 0))</f>
        <v>-65030.33</v>
      </c>
    </row>
    <row r="1352" spans="1:10" x14ac:dyDescent="0.2">
      <c r="A1352" s="383" t="s">
        <v>73</v>
      </c>
      <c r="B1352" s="397">
        <v>45931</v>
      </c>
      <c r="C1352" s="397" t="s">
        <v>534</v>
      </c>
      <c r="D1352" s="383">
        <v>6</v>
      </c>
      <c r="E1352" s="383" t="s">
        <v>524</v>
      </c>
      <c r="F1352" s="388" t="s">
        <v>354</v>
      </c>
      <c r="G1352" s="465" t="s">
        <v>354</v>
      </c>
      <c r="H1352" s="384" t="s">
        <v>478</v>
      </c>
      <c r="I1352" s="383">
        <f>INDEX(DRE!$W$2:$AS$53, MATCH('DRE 2025'!G1352,DRE!$D$2:$D$53,0), MATCH(B1352, DRE!$W$1:$AS$1, 0))</f>
        <v>-23328.79</v>
      </c>
    </row>
    <row r="1353" spans="1:10" x14ac:dyDescent="0.2">
      <c r="A1353" s="383" t="s">
        <v>73</v>
      </c>
      <c r="B1353" s="397">
        <v>45931</v>
      </c>
      <c r="C1353" s="397" t="s">
        <v>534</v>
      </c>
      <c r="D1353" s="383">
        <v>6</v>
      </c>
      <c r="E1353" s="383" t="s">
        <v>524</v>
      </c>
      <c r="F1353" s="390" t="s">
        <v>355</v>
      </c>
      <c r="G1353" s="461" t="s">
        <v>355</v>
      </c>
      <c r="H1353" s="384" t="s">
        <v>355</v>
      </c>
      <c r="I1353" s="383">
        <f>INDEX(DRE!$W$2:$AS$53, MATCH('DRE 2025'!G1353,DRE!$D$2:$D$53,0), MATCH(B1353, DRE!$W$1:$AS$1, 0))</f>
        <v>-85090.01</v>
      </c>
    </row>
    <row r="1354" spans="1:10" x14ac:dyDescent="0.2">
      <c r="A1354" s="383" t="s">
        <v>73</v>
      </c>
      <c r="B1354" s="397">
        <v>45931</v>
      </c>
      <c r="C1354" s="397" t="s">
        <v>534</v>
      </c>
      <c r="D1354" s="383">
        <v>6</v>
      </c>
      <c r="E1354" s="383" t="s">
        <v>524</v>
      </c>
      <c r="F1354" s="390" t="s">
        <v>356</v>
      </c>
      <c r="G1354" s="461" t="s">
        <v>356</v>
      </c>
      <c r="H1354" s="384" t="s">
        <v>356</v>
      </c>
      <c r="I1354" s="383">
        <f>INDEX(DRE!$W$2:$AS$53, MATCH('DRE 2025'!G1354,DRE!$D$2:$D$53,0), MATCH(B1354, DRE!$W$1:$AS$1, 0))</f>
        <v>-528241.38699999999</v>
      </c>
    </row>
    <row r="1355" spans="1:10" x14ac:dyDescent="0.2">
      <c r="A1355" s="383" t="s">
        <v>73</v>
      </c>
      <c r="B1355" s="397">
        <v>45931</v>
      </c>
      <c r="C1355" s="397" t="s">
        <v>534</v>
      </c>
      <c r="D1355" s="383">
        <v>6</v>
      </c>
      <c r="E1355" s="383" t="s">
        <v>524</v>
      </c>
      <c r="F1355" s="390" t="s">
        <v>357</v>
      </c>
      <c r="G1355" s="461" t="s">
        <v>357</v>
      </c>
      <c r="H1355" s="384" t="s">
        <v>357</v>
      </c>
      <c r="I1355" s="383">
        <f>INDEX(DRE!$W$2:$AS$53, MATCH('DRE 2025'!G1355,DRE!$D$2:$D$53,0), MATCH(B1355, DRE!$W$1:$AS$1, 0))</f>
        <v>0</v>
      </c>
    </row>
    <row r="1356" spans="1:10" x14ac:dyDescent="0.2">
      <c r="A1356" s="383" t="s">
        <v>73</v>
      </c>
      <c r="B1356" s="397">
        <v>45931</v>
      </c>
      <c r="C1356" s="397" t="s">
        <v>535</v>
      </c>
      <c r="D1356" s="383">
        <v>7</v>
      </c>
      <c r="E1356" s="383" t="s">
        <v>529</v>
      </c>
      <c r="F1356" s="400" t="s">
        <v>358</v>
      </c>
      <c r="G1356" s="400"/>
      <c r="H1356" s="403" t="s">
        <v>358</v>
      </c>
      <c r="I1356" s="396" t="e">
        <f>I1346+I1347+I1348+I1349+I1350+I1351+I1352+I1353+I1354+I1355</f>
        <v>#N/A</v>
      </c>
      <c r="J1356" s="352" t="e">
        <f>IF(C1356="A",-I1356/I1328,I1356/I1328)</f>
        <v>#N/A</v>
      </c>
    </row>
    <row r="1357" spans="1:10" x14ac:dyDescent="0.2">
      <c r="A1357" s="383" t="s">
        <v>73</v>
      </c>
      <c r="B1357" s="397">
        <v>45931</v>
      </c>
      <c r="C1357" s="397" t="s">
        <v>534</v>
      </c>
      <c r="D1357" s="383">
        <v>8</v>
      </c>
      <c r="E1357" s="383" t="s">
        <v>527</v>
      </c>
      <c r="F1357" s="385" t="s">
        <v>359</v>
      </c>
      <c r="G1357" s="462" t="s">
        <v>359</v>
      </c>
      <c r="H1357" s="384" t="s">
        <v>479</v>
      </c>
      <c r="I1357" s="383">
        <f>INDEX(DRE!$W$2:$AS$53, MATCH('DRE 2025'!G1357,DRE!$D$2:$D$53,0), MATCH(B1357, DRE!$W$1:$AS$1, 0))</f>
        <v>0</v>
      </c>
    </row>
    <row r="1358" spans="1:10" x14ac:dyDescent="0.2">
      <c r="A1358" s="383" t="s">
        <v>73</v>
      </c>
      <c r="B1358" s="397">
        <v>45931</v>
      </c>
      <c r="C1358" s="397" t="s">
        <v>534</v>
      </c>
      <c r="D1358" s="383">
        <v>8</v>
      </c>
      <c r="E1358" s="383" t="s">
        <v>527</v>
      </c>
      <c r="F1358" s="385" t="s">
        <v>360</v>
      </c>
      <c r="G1358" s="462" t="s">
        <v>360</v>
      </c>
      <c r="H1358" s="384" t="s">
        <v>480</v>
      </c>
      <c r="I1358" s="383">
        <f>INDEX(DRE!$W$2:$AS$53, MATCH('DRE 2025'!G1358,DRE!$D$2:$D$53,0), MATCH(B1358, DRE!$W$1:$AS$1, 0))</f>
        <v>26851.37</v>
      </c>
    </row>
    <row r="1359" spans="1:10" x14ac:dyDescent="0.2">
      <c r="A1359" s="383" t="s">
        <v>73</v>
      </c>
      <c r="B1359" s="397">
        <v>45931</v>
      </c>
      <c r="C1359" s="397" t="s">
        <v>534</v>
      </c>
      <c r="D1359" s="383">
        <v>8</v>
      </c>
      <c r="E1359" s="383" t="s">
        <v>527</v>
      </c>
      <c r="F1359" s="390" t="s">
        <v>361</v>
      </c>
      <c r="G1359" s="466" t="s">
        <v>361</v>
      </c>
      <c r="H1359" s="384" t="s">
        <v>481</v>
      </c>
      <c r="I1359" s="383">
        <f>INDEX(DRE!$W$2:$AS$53, MATCH('DRE 2025'!G1359,DRE!$D$2:$D$53,0), MATCH(B1359, DRE!$W$1:$AS$1, 0))</f>
        <v>-28571.15</v>
      </c>
    </row>
    <row r="1360" spans="1:10" x14ac:dyDescent="0.2">
      <c r="A1360" s="383" t="s">
        <v>73</v>
      </c>
      <c r="B1360" s="397">
        <v>45931</v>
      </c>
      <c r="C1360" s="397" t="s">
        <v>534</v>
      </c>
      <c r="D1360" s="383">
        <v>9</v>
      </c>
      <c r="E1360" s="383" t="s">
        <v>526</v>
      </c>
      <c r="F1360" s="390" t="s">
        <v>363</v>
      </c>
      <c r="G1360" s="461" t="s">
        <v>363</v>
      </c>
      <c r="H1360" s="384" t="s">
        <v>363</v>
      </c>
      <c r="I1360" s="383">
        <f>INDEX(DRE!$W$2:$AS$53, MATCH('DRE 2025'!G1360,DRE!$D$2:$D$53,0), MATCH(B1360, DRE!$W$1:$AS$1, 0))</f>
        <v>-649079.6</v>
      </c>
    </row>
    <row r="1361" spans="1:10" x14ac:dyDescent="0.2">
      <c r="A1361" s="383" t="s">
        <v>73</v>
      </c>
      <c r="B1361" s="397">
        <v>45931</v>
      </c>
      <c r="C1361" s="397" t="s">
        <v>534</v>
      </c>
      <c r="D1361" s="383">
        <v>9</v>
      </c>
      <c r="E1361" s="383" t="s">
        <v>526</v>
      </c>
      <c r="F1361" s="390" t="s">
        <v>364</v>
      </c>
      <c r="G1361" s="461" t="s">
        <v>364</v>
      </c>
      <c r="H1361" s="384" t="s">
        <v>364</v>
      </c>
      <c r="I1361" s="383">
        <f>INDEX(DRE!$W$2:$AS$53, MATCH('DRE 2025'!G1361,DRE!$D$2:$D$53,0), MATCH(B1361, DRE!$W$1:$AS$1, 0))</f>
        <v>-32092.9664204</v>
      </c>
    </row>
    <row r="1362" spans="1:10" x14ac:dyDescent="0.2">
      <c r="A1362" s="383" t="s">
        <v>73</v>
      </c>
      <c r="B1362" s="397">
        <v>45931</v>
      </c>
      <c r="C1362" s="397" t="s">
        <v>534</v>
      </c>
      <c r="D1362" s="383">
        <v>9</v>
      </c>
      <c r="E1362" s="383" t="s">
        <v>526</v>
      </c>
      <c r="F1362" s="394" t="s">
        <v>273</v>
      </c>
      <c r="G1362" s="467" t="s">
        <v>563</v>
      </c>
      <c r="H1362" s="398" t="s">
        <v>563</v>
      </c>
      <c r="I1362" s="383">
        <f>INDEX(DRE!$W$2:$AS$53, MATCH('DRE 2025'!G1362,DRE!$D$2:$D$53,0), MATCH(B1362, DRE!$W$1:$AS$1, 0))</f>
        <v>0</v>
      </c>
    </row>
    <row r="1363" spans="1:10" x14ac:dyDescent="0.2">
      <c r="A1363" s="383" t="s">
        <v>73</v>
      </c>
      <c r="B1363" s="397">
        <v>45931</v>
      </c>
      <c r="C1363" s="397" t="s">
        <v>534</v>
      </c>
      <c r="D1363" s="383">
        <v>10</v>
      </c>
      <c r="E1363" s="383" t="s">
        <v>452</v>
      </c>
      <c r="F1363" s="400" t="s">
        <v>365</v>
      </c>
      <c r="G1363" s="400"/>
      <c r="H1363" s="403" t="s">
        <v>365</v>
      </c>
      <c r="I1363" s="396">
        <f>I1329+I1330+I1331+I1332+I1333+I1334+I1342+I1343+I1344+I1345+I1347+I1348+I1349+I1350+I1351+I1352+I1353+I1354+I1355+I1357+I1358+I1359+I1360+I1361+I1362</f>
        <v>-3650367.4402203993</v>
      </c>
      <c r="J1363" s="352">
        <f>IF(C1363="A",-I1363/I1328,I1363/I1328)</f>
        <v>0.84885746036706722</v>
      </c>
    </row>
    <row r="1364" spans="1:10" x14ac:dyDescent="0.2">
      <c r="A1364" s="383" t="s">
        <v>73</v>
      </c>
      <c r="B1364" s="397">
        <v>45931</v>
      </c>
      <c r="C1364" s="397" t="s">
        <v>535</v>
      </c>
      <c r="D1364" s="383">
        <v>11</v>
      </c>
      <c r="E1364" s="383" t="s">
        <v>528</v>
      </c>
      <c r="F1364" s="400" t="s">
        <v>367</v>
      </c>
      <c r="G1364" s="400"/>
      <c r="H1364" s="403" t="s">
        <v>367</v>
      </c>
      <c r="I1364" s="395">
        <f>I1328+I1363</f>
        <v>649962.83977960097</v>
      </c>
      <c r="J1364" s="352">
        <f>IF(C1364="A",-I1364/I1328,I1364/I1328)</f>
        <v>0.15114253963293278</v>
      </c>
    </row>
    <row r="1365" spans="1:10" x14ac:dyDescent="0.2">
      <c r="A1365" s="383" t="s">
        <v>516</v>
      </c>
      <c r="B1365" s="397">
        <v>45931</v>
      </c>
      <c r="C1365" s="397" t="s">
        <v>536</v>
      </c>
      <c r="D1365" s="383">
        <v>1</v>
      </c>
      <c r="E1365" s="384" t="s">
        <v>530</v>
      </c>
      <c r="F1365" s="400" t="s">
        <v>440</v>
      </c>
      <c r="G1365" s="400"/>
      <c r="H1365" s="404" t="s">
        <v>440</v>
      </c>
      <c r="I1365" s="407">
        <f>HLOOKUP(B1365,[5]Sucumbências!$BP$2:$CA$43,31,0)</f>
        <v>3984.59</v>
      </c>
      <c r="J1365" s="352">
        <v>1</v>
      </c>
    </row>
    <row r="1366" spans="1:10" x14ac:dyDescent="0.2">
      <c r="A1366" s="383" t="s">
        <v>516</v>
      </c>
      <c r="B1366" s="397">
        <v>45931</v>
      </c>
      <c r="C1366" s="397" t="s">
        <v>534</v>
      </c>
      <c r="D1366" s="383">
        <v>4</v>
      </c>
      <c r="E1366" s="383" t="s">
        <v>525</v>
      </c>
      <c r="F1366" s="388" t="s">
        <v>340</v>
      </c>
      <c r="G1366" s="388"/>
      <c r="H1366" s="404" t="s">
        <v>340</v>
      </c>
      <c r="I1366" s="407">
        <f>-HLOOKUP(B1366,GLOSAS!$BQ$1:$CB$43,30,0)</f>
        <v>0</v>
      </c>
    </row>
    <row r="1367" spans="1:10" x14ac:dyDescent="0.2">
      <c r="A1367" s="383" t="s">
        <v>516</v>
      </c>
      <c r="B1367" s="397">
        <v>45931</v>
      </c>
      <c r="C1367" s="397" t="s">
        <v>534</v>
      </c>
      <c r="D1367" s="383">
        <v>9</v>
      </c>
      <c r="E1367" s="383" t="s">
        <v>526</v>
      </c>
      <c r="F1367" s="390" t="s">
        <v>363</v>
      </c>
      <c r="G1367" s="390"/>
      <c r="H1367" s="404" t="s">
        <v>363</v>
      </c>
      <c r="I1367" s="407">
        <f>-I1365*0.1</f>
        <v>-398.45900000000006</v>
      </c>
    </row>
    <row r="1368" spans="1:10" x14ac:dyDescent="0.2">
      <c r="A1368" s="383" t="s">
        <v>516</v>
      </c>
      <c r="B1368" s="397">
        <v>45931</v>
      </c>
      <c r="C1368" s="397" t="s">
        <v>535</v>
      </c>
      <c r="D1368" s="383">
        <v>11</v>
      </c>
      <c r="E1368" s="383" t="s">
        <v>528</v>
      </c>
      <c r="F1368" s="400" t="s">
        <v>367</v>
      </c>
      <c r="G1368" s="400"/>
      <c r="H1368" s="404" t="s">
        <v>367</v>
      </c>
      <c r="I1368" s="407">
        <f>I1365+I1366+I1367</f>
        <v>3586.1310000000003</v>
      </c>
      <c r="J1368" s="352">
        <f>IF(C1368="A",-I1368/I1365,I1368/I1365)</f>
        <v>0.9</v>
      </c>
    </row>
    <row r="1369" spans="1:10" x14ac:dyDescent="0.2">
      <c r="A1369" s="383" t="s">
        <v>522</v>
      </c>
      <c r="B1369" s="397">
        <v>45931</v>
      </c>
      <c r="C1369" s="397" t="s">
        <v>536</v>
      </c>
      <c r="D1369" s="383">
        <v>1</v>
      </c>
      <c r="E1369" s="384" t="s">
        <v>530</v>
      </c>
      <c r="F1369" s="400" t="s">
        <v>440</v>
      </c>
      <c r="G1369" s="400"/>
      <c r="H1369" s="405" t="s">
        <v>440</v>
      </c>
      <c r="I1369" s="396">
        <f>I1328-I1365</f>
        <v>4296345.6900000004</v>
      </c>
      <c r="J1369" s="352">
        <v>1</v>
      </c>
    </row>
    <row r="1370" spans="1:10" x14ac:dyDescent="0.2">
      <c r="A1370" s="383" t="s">
        <v>522</v>
      </c>
      <c r="B1370" s="397">
        <v>45931</v>
      </c>
      <c r="C1370" s="397" t="s">
        <v>534</v>
      </c>
      <c r="D1370" s="383">
        <v>2</v>
      </c>
      <c r="E1370" s="384" t="s">
        <v>325</v>
      </c>
      <c r="F1370" s="390" t="s">
        <v>326</v>
      </c>
      <c r="G1370" s="390"/>
      <c r="H1370" s="384" t="s">
        <v>519</v>
      </c>
      <c r="I1370" s="406">
        <f t="shared" ref="I1370:I1382" si="35">I1329</f>
        <v>-201568.34</v>
      </c>
    </row>
    <row r="1371" spans="1:10" x14ac:dyDescent="0.2">
      <c r="A1371" s="383" t="s">
        <v>522</v>
      </c>
      <c r="B1371" s="397">
        <v>45931</v>
      </c>
      <c r="C1371" s="397" t="s">
        <v>534</v>
      </c>
      <c r="D1371" s="383">
        <v>2</v>
      </c>
      <c r="E1371" s="384" t="s">
        <v>325</v>
      </c>
      <c r="F1371" s="385" t="s">
        <v>328</v>
      </c>
      <c r="G1371" s="385"/>
      <c r="H1371" s="384" t="s">
        <v>521</v>
      </c>
      <c r="I1371" s="406">
        <f t="shared" si="35"/>
        <v>-9073.56</v>
      </c>
    </row>
    <row r="1372" spans="1:10" x14ac:dyDescent="0.2">
      <c r="A1372" s="383" t="s">
        <v>522</v>
      </c>
      <c r="B1372" s="397">
        <v>45931</v>
      </c>
      <c r="C1372" s="397" t="s">
        <v>534</v>
      </c>
      <c r="D1372" s="383">
        <v>2</v>
      </c>
      <c r="E1372" s="384" t="s">
        <v>325</v>
      </c>
      <c r="F1372" s="385" t="s">
        <v>329</v>
      </c>
      <c r="G1372" s="385"/>
      <c r="H1372" s="384" t="s">
        <v>329</v>
      </c>
      <c r="I1372" s="406">
        <f t="shared" si="35"/>
        <v>0</v>
      </c>
    </row>
    <row r="1373" spans="1:10" x14ac:dyDescent="0.2">
      <c r="A1373" s="383" t="s">
        <v>522</v>
      </c>
      <c r="B1373" s="397">
        <v>45931</v>
      </c>
      <c r="C1373" s="397" t="s">
        <v>534</v>
      </c>
      <c r="D1373" s="383">
        <v>2</v>
      </c>
      <c r="E1373" s="384" t="s">
        <v>325</v>
      </c>
      <c r="F1373" s="385" t="s">
        <v>330</v>
      </c>
      <c r="G1373" s="385"/>
      <c r="H1373" s="384" t="s">
        <v>330</v>
      </c>
      <c r="I1373" s="406">
        <f t="shared" si="35"/>
        <v>0</v>
      </c>
    </row>
    <row r="1374" spans="1:10" x14ac:dyDescent="0.2">
      <c r="A1374" s="383" t="s">
        <v>522</v>
      </c>
      <c r="B1374" s="397">
        <v>45931</v>
      </c>
      <c r="C1374" s="397" t="s">
        <v>534</v>
      </c>
      <c r="D1374" s="383">
        <v>2</v>
      </c>
      <c r="E1374" s="384" t="s">
        <v>325</v>
      </c>
      <c r="F1374" s="385" t="s">
        <v>331</v>
      </c>
      <c r="G1374" s="385"/>
      <c r="H1374" s="384" t="s">
        <v>331</v>
      </c>
      <c r="I1374" s="406">
        <f t="shared" si="35"/>
        <v>0.04</v>
      </c>
    </row>
    <row r="1375" spans="1:10" x14ac:dyDescent="0.2">
      <c r="A1375" s="383" t="s">
        <v>522</v>
      </c>
      <c r="B1375" s="397">
        <v>45931</v>
      </c>
      <c r="C1375" s="397" t="s">
        <v>534</v>
      </c>
      <c r="D1375" s="383">
        <v>2</v>
      </c>
      <c r="E1375" s="384" t="s">
        <v>325</v>
      </c>
      <c r="F1375" s="384" t="s">
        <v>332</v>
      </c>
      <c r="G1375" s="384"/>
      <c r="H1375" s="384" t="s">
        <v>520</v>
      </c>
      <c r="I1375" s="406">
        <f t="shared" si="35"/>
        <v>0</v>
      </c>
    </row>
    <row r="1376" spans="1:10" x14ac:dyDescent="0.2">
      <c r="A1376" s="383" t="s">
        <v>522</v>
      </c>
      <c r="B1376" s="397">
        <v>45931</v>
      </c>
      <c r="C1376" s="397" t="s">
        <v>535</v>
      </c>
      <c r="D1376" s="383">
        <v>3</v>
      </c>
      <c r="E1376" s="384" t="s">
        <v>531</v>
      </c>
      <c r="F1376" s="385" t="s">
        <v>334</v>
      </c>
      <c r="G1376" s="385"/>
      <c r="H1376" s="384" t="s">
        <v>334</v>
      </c>
      <c r="I1376" s="406">
        <f t="shared" si="35"/>
        <v>3646062.61</v>
      </c>
    </row>
    <row r="1377" spans="1:10" x14ac:dyDescent="0.2">
      <c r="A1377" s="383" t="s">
        <v>522</v>
      </c>
      <c r="B1377" s="397">
        <v>45931</v>
      </c>
      <c r="C1377" s="397" t="s">
        <v>535</v>
      </c>
      <c r="D1377" s="383">
        <v>3</v>
      </c>
      <c r="E1377" s="384" t="s">
        <v>531</v>
      </c>
      <c r="F1377" s="385" t="s">
        <v>335</v>
      </c>
      <c r="G1377" s="385"/>
      <c r="H1377" s="384" t="s">
        <v>335</v>
      </c>
      <c r="I1377" s="406">
        <f t="shared" si="35"/>
        <v>426678.55</v>
      </c>
    </row>
    <row r="1378" spans="1:10" x14ac:dyDescent="0.2">
      <c r="A1378" s="383" t="s">
        <v>522</v>
      </c>
      <c r="B1378" s="397">
        <v>45931</v>
      </c>
      <c r="C1378" s="397" t="s">
        <v>535</v>
      </c>
      <c r="D1378" s="383">
        <v>3</v>
      </c>
      <c r="E1378" s="384" t="s">
        <v>531</v>
      </c>
      <c r="F1378" s="385" t="s">
        <v>336</v>
      </c>
      <c r="G1378" s="385"/>
      <c r="H1378" s="384" t="s">
        <v>336</v>
      </c>
      <c r="I1378" s="406">
        <f t="shared" si="35"/>
        <v>10346.99</v>
      </c>
    </row>
    <row r="1379" spans="1:10" x14ac:dyDescent="0.2">
      <c r="A1379" s="383" t="s">
        <v>522</v>
      </c>
      <c r="B1379" s="397">
        <v>45931</v>
      </c>
      <c r="C1379" s="397" t="s">
        <v>535</v>
      </c>
      <c r="D1379" s="383">
        <v>3</v>
      </c>
      <c r="E1379" s="384" t="s">
        <v>531</v>
      </c>
      <c r="F1379" s="387" t="s">
        <v>273</v>
      </c>
      <c r="G1379" s="387"/>
      <c r="H1379" s="384" t="s">
        <v>562</v>
      </c>
      <c r="I1379" s="406">
        <f t="shared" si="35"/>
        <v>0</v>
      </c>
    </row>
    <row r="1380" spans="1:10" x14ac:dyDescent="0.2">
      <c r="A1380" s="383" t="s">
        <v>522</v>
      </c>
      <c r="B1380" s="397">
        <v>45931</v>
      </c>
      <c r="C1380" s="397" t="s">
        <v>535</v>
      </c>
      <c r="D1380" s="383">
        <v>3</v>
      </c>
      <c r="E1380" s="384" t="s">
        <v>531</v>
      </c>
      <c r="F1380" s="387" t="s">
        <v>513</v>
      </c>
      <c r="G1380" s="387"/>
      <c r="H1380" s="384" t="s">
        <v>513</v>
      </c>
      <c r="I1380" s="406" t="e">
        <f t="shared" si="35"/>
        <v>#N/A</v>
      </c>
    </row>
    <row r="1381" spans="1:10" x14ac:dyDescent="0.2">
      <c r="A1381" s="383" t="s">
        <v>522</v>
      </c>
      <c r="B1381" s="397">
        <v>45931</v>
      </c>
      <c r="C1381" s="397" t="s">
        <v>535</v>
      </c>
      <c r="D1381" s="383">
        <v>3</v>
      </c>
      <c r="E1381" s="384" t="s">
        <v>531</v>
      </c>
      <c r="F1381" s="387" t="s">
        <v>514</v>
      </c>
      <c r="G1381" s="387"/>
      <c r="H1381" s="384" t="s">
        <v>514</v>
      </c>
      <c r="I1381" s="406" t="e">
        <f t="shared" si="35"/>
        <v>#N/A</v>
      </c>
    </row>
    <row r="1382" spans="1:10" x14ac:dyDescent="0.2">
      <c r="A1382" s="383" t="s">
        <v>522</v>
      </c>
      <c r="B1382" s="397">
        <v>45931</v>
      </c>
      <c r="C1382" s="397" t="s">
        <v>535</v>
      </c>
      <c r="D1382" s="383">
        <v>3</v>
      </c>
      <c r="E1382" s="384" t="s">
        <v>531</v>
      </c>
      <c r="F1382" s="385" t="s">
        <v>337</v>
      </c>
      <c r="G1382" s="385"/>
      <c r="H1382" s="384" t="s">
        <v>337</v>
      </c>
      <c r="I1382" s="406">
        <f t="shared" si="35"/>
        <v>6600.27</v>
      </c>
    </row>
    <row r="1383" spans="1:10" x14ac:dyDescent="0.2">
      <c r="A1383" s="383" t="s">
        <v>522</v>
      </c>
      <c r="B1383" s="397">
        <v>45931</v>
      </c>
      <c r="C1383" s="397" t="s">
        <v>534</v>
      </c>
      <c r="D1383" s="383">
        <v>4</v>
      </c>
      <c r="E1383" s="383" t="s">
        <v>523</v>
      </c>
      <c r="F1383" s="388" t="s">
        <v>340</v>
      </c>
      <c r="G1383" s="388"/>
      <c r="H1383" s="405" t="s">
        <v>340</v>
      </c>
      <c r="I1383" s="396">
        <f>I1342-I1366</f>
        <v>-22536.2</v>
      </c>
    </row>
    <row r="1384" spans="1:10" x14ac:dyDescent="0.2">
      <c r="A1384" s="383" t="s">
        <v>522</v>
      </c>
      <c r="B1384" s="397">
        <v>45931</v>
      </c>
      <c r="C1384" s="397" t="s">
        <v>534</v>
      </c>
      <c r="D1384" s="383">
        <v>4</v>
      </c>
      <c r="E1384" s="383" t="s">
        <v>523</v>
      </c>
      <c r="F1384" s="388" t="s">
        <v>341</v>
      </c>
      <c r="G1384" s="388"/>
      <c r="H1384" s="384" t="s">
        <v>341</v>
      </c>
      <c r="I1384" s="406">
        <f>I1343</f>
        <v>-191160.75</v>
      </c>
    </row>
    <row r="1385" spans="1:10" x14ac:dyDescent="0.2">
      <c r="A1385" s="383" t="s">
        <v>522</v>
      </c>
      <c r="B1385" s="397">
        <v>45931</v>
      </c>
      <c r="C1385" s="397" t="s">
        <v>534</v>
      </c>
      <c r="D1385" s="383">
        <v>4</v>
      </c>
      <c r="E1385" s="383" t="s">
        <v>523</v>
      </c>
      <c r="F1385" s="388" t="s">
        <v>342</v>
      </c>
      <c r="G1385" s="388"/>
      <c r="H1385" s="384" t="s">
        <v>342</v>
      </c>
      <c r="I1385" s="406">
        <f>I1344</f>
        <v>-1632905.1767999995</v>
      </c>
    </row>
    <row r="1386" spans="1:10" x14ac:dyDescent="0.2">
      <c r="A1386" s="383" t="s">
        <v>522</v>
      </c>
      <c r="B1386" s="397">
        <v>45931</v>
      </c>
      <c r="C1386" s="397" t="s">
        <v>534</v>
      </c>
      <c r="D1386" s="383">
        <v>4</v>
      </c>
      <c r="E1386" s="383" t="s">
        <v>523</v>
      </c>
      <c r="F1386" s="388" t="s">
        <v>343</v>
      </c>
      <c r="G1386" s="388"/>
      <c r="H1386" s="384" t="s">
        <v>343</v>
      </c>
      <c r="I1386" s="406">
        <f>I1345</f>
        <v>-89156.27</v>
      </c>
    </row>
    <row r="1387" spans="1:10" x14ac:dyDescent="0.2">
      <c r="A1387" s="383" t="s">
        <v>522</v>
      </c>
      <c r="B1387" s="397">
        <v>45931</v>
      </c>
      <c r="C1387" s="397" t="s">
        <v>535</v>
      </c>
      <c r="D1387" s="383">
        <v>5</v>
      </c>
      <c r="E1387" s="383" t="s">
        <v>532</v>
      </c>
      <c r="F1387" s="401" t="s">
        <v>345</v>
      </c>
      <c r="G1387" s="401"/>
      <c r="H1387" s="403" t="s">
        <v>345</v>
      </c>
      <c r="I1387" s="406">
        <f>I1369+I1370+I1371+I1372+I1373+I1374+I1375+I1383+I1384+I1385+I1386</f>
        <v>2149945.4332000008</v>
      </c>
      <c r="J1387" s="352">
        <f>IF(C1387="A",-I1387/I1369,I1387/I1369)</f>
        <v>0.5004125804411238</v>
      </c>
    </row>
    <row r="1388" spans="1:10" x14ac:dyDescent="0.2">
      <c r="A1388" s="383" t="s">
        <v>522</v>
      </c>
      <c r="B1388" s="397">
        <v>45931</v>
      </c>
      <c r="C1388" s="397" t="s">
        <v>534</v>
      </c>
      <c r="D1388" s="383">
        <v>6</v>
      </c>
      <c r="E1388" s="383" t="s">
        <v>524</v>
      </c>
      <c r="F1388" s="388" t="s">
        <v>349</v>
      </c>
      <c r="G1388" s="388"/>
      <c r="H1388" s="384" t="s">
        <v>473</v>
      </c>
      <c r="I1388" s="406">
        <f t="shared" ref="I1388:I1396" si="36">I1347</f>
        <v>-37318.82</v>
      </c>
    </row>
    <row r="1389" spans="1:10" x14ac:dyDescent="0.2">
      <c r="A1389" s="383" t="s">
        <v>522</v>
      </c>
      <c r="B1389" s="397">
        <v>45931</v>
      </c>
      <c r="C1389" s="397" t="s">
        <v>534</v>
      </c>
      <c r="D1389" s="383">
        <v>6</v>
      </c>
      <c r="E1389" s="383" t="s">
        <v>524</v>
      </c>
      <c r="F1389" s="388" t="s">
        <v>350</v>
      </c>
      <c r="G1389" s="388"/>
      <c r="H1389" s="384" t="s">
        <v>474</v>
      </c>
      <c r="I1389" s="406">
        <f t="shared" si="36"/>
        <v>-14131.07</v>
      </c>
    </row>
    <row r="1390" spans="1:10" x14ac:dyDescent="0.2">
      <c r="A1390" s="383" t="s">
        <v>522</v>
      </c>
      <c r="B1390" s="397">
        <v>45931</v>
      </c>
      <c r="C1390" s="397" t="s">
        <v>534</v>
      </c>
      <c r="D1390" s="383">
        <v>6</v>
      </c>
      <c r="E1390" s="383" t="s">
        <v>524</v>
      </c>
      <c r="F1390" s="388" t="s">
        <v>351</v>
      </c>
      <c r="G1390" s="388"/>
      <c r="H1390" s="384" t="s">
        <v>475</v>
      </c>
      <c r="I1390" s="406">
        <f t="shared" si="36"/>
        <v>-59990.229999999989</v>
      </c>
    </row>
    <row r="1391" spans="1:10" x14ac:dyDescent="0.2">
      <c r="A1391" s="383" t="s">
        <v>522</v>
      </c>
      <c r="B1391" s="397">
        <v>45931</v>
      </c>
      <c r="C1391" s="397" t="s">
        <v>534</v>
      </c>
      <c r="D1391" s="383">
        <v>6</v>
      </c>
      <c r="E1391" s="383" t="s">
        <v>524</v>
      </c>
      <c r="F1391" s="388" t="s">
        <v>352</v>
      </c>
      <c r="G1391" s="388"/>
      <c r="H1391" s="384" t="s">
        <v>476</v>
      </c>
      <c r="I1391" s="406">
        <f t="shared" si="36"/>
        <v>-7944.2</v>
      </c>
    </row>
    <row r="1392" spans="1:10" x14ac:dyDescent="0.2">
      <c r="A1392" s="383" t="s">
        <v>522</v>
      </c>
      <c r="B1392" s="397">
        <v>45931</v>
      </c>
      <c r="C1392" s="397" t="s">
        <v>534</v>
      </c>
      <c r="D1392" s="383">
        <v>6</v>
      </c>
      <c r="E1392" s="383" t="s">
        <v>524</v>
      </c>
      <c r="F1392" s="388" t="s">
        <v>353</v>
      </c>
      <c r="G1392" s="388"/>
      <c r="H1392" s="384" t="s">
        <v>477</v>
      </c>
      <c r="I1392" s="406">
        <f t="shared" si="36"/>
        <v>-65030.33</v>
      </c>
    </row>
    <row r="1393" spans="1:10" x14ac:dyDescent="0.2">
      <c r="A1393" s="383" t="s">
        <v>522</v>
      </c>
      <c r="B1393" s="397">
        <v>45931</v>
      </c>
      <c r="C1393" s="397" t="s">
        <v>534</v>
      </c>
      <c r="D1393" s="383">
        <v>6</v>
      </c>
      <c r="E1393" s="383" t="s">
        <v>524</v>
      </c>
      <c r="F1393" s="388" t="s">
        <v>354</v>
      </c>
      <c r="G1393" s="388"/>
      <c r="H1393" s="384" t="s">
        <v>478</v>
      </c>
      <c r="I1393" s="406">
        <f t="shared" si="36"/>
        <v>-23328.79</v>
      </c>
    </row>
    <row r="1394" spans="1:10" x14ac:dyDescent="0.2">
      <c r="A1394" s="383" t="s">
        <v>522</v>
      </c>
      <c r="B1394" s="397">
        <v>45931</v>
      </c>
      <c r="C1394" s="397" t="s">
        <v>534</v>
      </c>
      <c r="D1394" s="383">
        <v>6</v>
      </c>
      <c r="E1394" s="383" t="s">
        <v>524</v>
      </c>
      <c r="F1394" s="390" t="s">
        <v>355</v>
      </c>
      <c r="G1394" s="390"/>
      <c r="H1394" s="384" t="s">
        <v>355</v>
      </c>
      <c r="I1394" s="406">
        <f t="shared" si="36"/>
        <v>-85090.01</v>
      </c>
    </row>
    <row r="1395" spans="1:10" x14ac:dyDescent="0.2">
      <c r="A1395" s="383" t="s">
        <v>522</v>
      </c>
      <c r="B1395" s="397">
        <v>45931</v>
      </c>
      <c r="C1395" s="397" t="s">
        <v>534</v>
      </c>
      <c r="D1395" s="383">
        <v>6</v>
      </c>
      <c r="E1395" s="383" t="s">
        <v>524</v>
      </c>
      <c r="F1395" s="390" t="s">
        <v>356</v>
      </c>
      <c r="G1395" s="390"/>
      <c r="H1395" s="384" t="s">
        <v>356</v>
      </c>
      <c r="I1395" s="406">
        <f t="shared" si="36"/>
        <v>-528241.38699999999</v>
      </c>
    </row>
    <row r="1396" spans="1:10" x14ac:dyDescent="0.2">
      <c r="A1396" s="383" t="s">
        <v>522</v>
      </c>
      <c r="B1396" s="397">
        <v>45931</v>
      </c>
      <c r="C1396" s="397" t="s">
        <v>534</v>
      </c>
      <c r="D1396" s="383">
        <v>6</v>
      </c>
      <c r="E1396" s="383" t="s">
        <v>524</v>
      </c>
      <c r="F1396" s="390" t="s">
        <v>357</v>
      </c>
      <c r="G1396" s="390"/>
      <c r="H1396" s="384" t="s">
        <v>357</v>
      </c>
      <c r="I1396" s="406">
        <f t="shared" si="36"/>
        <v>0</v>
      </c>
    </row>
    <row r="1397" spans="1:10" x14ac:dyDescent="0.2">
      <c r="A1397" s="383" t="s">
        <v>522</v>
      </c>
      <c r="B1397" s="397">
        <v>45931</v>
      </c>
      <c r="C1397" s="397" t="s">
        <v>535</v>
      </c>
      <c r="D1397" s="383">
        <v>7</v>
      </c>
      <c r="E1397" s="383" t="s">
        <v>529</v>
      </c>
      <c r="F1397" s="400" t="s">
        <v>358</v>
      </c>
      <c r="G1397" s="400"/>
      <c r="H1397" s="403" t="s">
        <v>358</v>
      </c>
      <c r="I1397" s="396">
        <f>I1387+I1388+I1389+I1390+I1391+I1392+I1393+I1394+I1395+I1396</f>
        <v>1328870.596200001</v>
      </c>
      <c r="J1397" s="352">
        <f>IF(C1397="A",-I1397/I1369,I1397/I1369)</f>
        <v>0.30930253105401323</v>
      </c>
    </row>
    <row r="1398" spans="1:10" x14ac:dyDescent="0.2">
      <c r="A1398" s="383" t="s">
        <v>522</v>
      </c>
      <c r="B1398" s="397">
        <v>45931</v>
      </c>
      <c r="C1398" s="397" t="s">
        <v>534</v>
      </c>
      <c r="D1398" s="383">
        <v>8</v>
      </c>
      <c r="E1398" s="383" t="s">
        <v>527</v>
      </c>
      <c r="F1398" s="385" t="s">
        <v>359</v>
      </c>
      <c r="G1398" s="385"/>
      <c r="H1398" s="384" t="s">
        <v>479</v>
      </c>
      <c r="I1398" s="406">
        <f>I1357</f>
        <v>0</v>
      </c>
    </row>
    <row r="1399" spans="1:10" x14ac:dyDescent="0.2">
      <c r="A1399" s="383" t="s">
        <v>522</v>
      </c>
      <c r="B1399" s="397">
        <v>45931</v>
      </c>
      <c r="C1399" s="397" t="s">
        <v>534</v>
      </c>
      <c r="D1399" s="383">
        <v>8</v>
      </c>
      <c r="E1399" s="383" t="s">
        <v>527</v>
      </c>
      <c r="F1399" s="385" t="s">
        <v>360</v>
      </c>
      <c r="G1399" s="385"/>
      <c r="H1399" s="384" t="s">
        <v>480</v>
      </c>
      <c r="I1399" s="406">
        <f>I1358</f>
        <v>26851.37</v>
      </c>
    </row>
    <row r="1400" spans="1:10" x14ac:dyDescent="0.2">
      <c r="A1400" s="383" t="s">
        <v>522</v>
      </c>
      <c r="B1400" s="397">
        <v>45931</v>
      </c>
      <c r="C1400" s="397" t="s">
        <v>534</v>
      </c>
      <c r="D1400" s="383">
        <v>8</v>
      </c>
      <c r="E1400" s="383" t="s">
        <v>527</v>
      </c>
      <c r="F1400" s="390" t="s">
        <v>361</v>
      </c>
      <c r="G1400" s="390"/>
      <c r="H1400" s="384" t="s">
        <v>481</v>
      </c>
      <c r="I1400" s="406">
        <f>I1359</f>
        <v>-28571.15</v>
      </c>
    </row>
    <row r="1401" spans="1:10" x14ac:dyDescent="0.2">
      <c r="A1401" s="383" t="s">
        <v>522</v>
      </c>
      <c r="B1401" s="397">
        <v>45931</v>
      </c>
      <c r="C1401" s="397" t="s">
        <v>534</v>
      </c>
      <c r="D1401" s="383">
        <v>9</v>
      </c>
      <c r="E1401" s="383" t="s">
        <v>526</v>
      </c>
      <c r="F1401" s="390" t="s">
        <v>363</v>
      </c>
      <c r="G1401" s="390"/>
      <c r="H1401" s="405" t="s">
        <v>363</v>
      </c>
      <c r="I1401" s="396">
        <f>I1360-I1367</f>
        <v>-648681.14099999995</v>
      </c>
    </row>
    <row r="1402" spans="1:10" x14ac:dyDescent="0.2">
      <c r="A1402" s="383" t="s">
        <v>522</v>
      </c>
      <c r="B1402" s="397">
        <v>45931</v>
      </c>
      <c r="C1402" s="397" t="s">
        <v>534</v>
      </c>
      <c r="D1402" s="383">
        <v>9</v>
      </c>
      <c r="E1402" s="383" t="s">
        <v>526</v>
      </c>
      <c r="F1402" s="390" t="s">
        <v>364</v>
      </c>
      <c r="G1402" s="390"/>
      <c r="H1402" s="384" t="s">
        <v>364</v>
      </c>
      <c r="I1402" s="406">
        <f>I1361</f>
        <v>-32092.9664204</v>
      </c>
    </row>
    <row r="1403" spans="1:10" x14ac:dyDescent="0.2">
      <c r="A1403" s="383" t="s">
        <v>522</v>
      </c>
      <c r="B1403" s="397">
        <v>45931</v>
      </c>
      <c r="C1403" s="397" t="s">
        <v>534</v>
      </c>
      <c r="D1403" s="383">
        <v>9</v>
      </c>
      <c r="E1403" s="383" t="s">
        <v>526</v>
      </c>
      <c r="F1403" s="394" t="s">
        <v>273</v>
      </c>
      <c r="G1403" s="394"/>
      <c r="H1403" s="398" t="s">
        <v>563</v>
      </c>
      <c r="I1403" s="406">
        <f>I1362</f>
        <v>0</v>
      </c>
    </row>
    <row r="1404" spans="1:10" x14ac:dyDescent="0.2">
      <c r="A1404" s="383" t="s">
        <v>522</v>
      </c>
      <c r="B1404" s="397">
        <v>45931</v>
      </c>
      <c r="C1404" s="397" t="s">
        <v>534</v>
      </c>
      <c r="D1404" s="383">
        <v>10</v>
      </c>
      <c r="E1404" s="383" t="s">
        <v>452</v>
      </c>
      <c r="F1404" s="400" t="s">
        <v>365</v>
      </c>
      <c r="G1404" s="400"/>
      <c r="H1404" s="403" t="s">
        <v>365</v>
      </c>
      <c r="I1404" s="396">
        <f>I1370+I1371+I1372+I1373+I1374+I1375+I1383+I1384+I1385+I1386+I1388+I1389+I1390+I1391+I1392+I1393+I1394+I1395+I1396+I1398+I1399+I1400+I1401+I1402+I1403</f>
        <v>-3649968.981220399</v>
      </c>
      <c r="J1404" s="352">
        <f>IF(C1404="A",-I1404/I1369,I1404/I1369)</f>
        <v>0.84955197849091113</v>
      </c>
    </row>
    <row r="1405" spans="1:10" x14ac:dyDescent="0.2">
      <c r="A1405" s="383" t="s">
        <v>522</v>
      </c>
      <c r="B1405" s="397">
        <v>45931</v>
      </c>
      <c r="C1405" s="397" t="s">
        <v>535</v>
      </c>
      <c r="D1405" s="383">
        <v>11</v>
      </c>
      <c r="E1405" s="383" t="s">
        <v>528</v>
      </c>
      <c r="F1405" s="400" t="s">
        <v>367</v>
      </c>
      <c r="G1405" s="400"/>
      <c r="H1405" s="405" t="s">
        <v>367</v>
      </c>
      <c r="I1405" s="395">
        <f>I1369+I1404</f>
        <v>646376.70877960138</v>
      </c>
      <c r="J1405" s="352">
        <f>IF(C1405="A",-I1405/I1369,I1405/I1369)</f>
        <v>0.15044802150908887</v>
      </c>
    </row>
    <row r="1406" spans="1:10" ht="14.25" x14ac:dyDescent="0.2">
      <c r="A1406" s="383" t="s">
        <v>73</v>
      </c>
      <c r="B1406" s="397">
        <v>45962</v>
      </c>
      <c r="C1406" s="397" t="s">
        <v>536</v>
      </c>
      <c r="D1406" s="383">
        <v>1</v>
      </c>
      <c r="E1406" s="384" t="s">
        <v>530</v>
      </c>
      <c r="F1406" s="400" t="s">
        <v>440</v>
      </c>
      <c r="G1406" s="459" t="s">
        <v>324</v>
      </c>
      <c r="H1406" s="384" t="s">
        <v>440</v>
      </c>
      <c r="I1406" s="383">
        <f>INDEX(DRE!$W$2:$AS$53, MATCH('DRE 2025'!G1406,DRE!$D$2:$D$53,0), MATCH(B1406, DRE!$W$1:$AS$1, 0))</f>
        <v>4681796.72</v>
      </c>
      <c r="J1406" s="352">
        <v>1</v>
      </c>
    </row>
    <row r="1407" spans="1:10" x14ac:dyDescent="0.2">
      <c r="A1407" s="383" t="s">
        <v>73</v>
      </c>
      <c r="B1407" s="397">
        <v>45962</v>
      </c>
      <c r="C1407" s="397" t="s">
        <v>534</v>
      </c>
      <c r="D1407" s="383">
        <v>2</v>
      </c>
      <c r="E1407" s="384" t="s">
        <v>325</v>
      </c>
      <c r="F1407" s="390" t="s">
        <v>326</v>
      </c>
      <c r="G1407" s="461" t="s">
        <v>326</v>
      </c>
      <c r="H1407" s="384" t="s">
        <v>519</v>
      </c>
      <c r="I1407" s="383">
        <f>INDEX(DRE!$W$2:$AS$53, MATCH('DRE 2025'!G1407,DRE!$D$2:$D$53,0), MATCH(B1407, DRE!$W$1:$AS$1, 0))</f>
        <v>-233669.05</v>
      </c>
    </row>
    <row r="1408" spans="1:10" x14ac:dyDescent="0.2">
      <c r="A1408" s="383" t="s">
        <v>73</v>
      </c>
      <c r="B1408" s="397">
        <v>45962</v>
      </c>
      <c r="C1408" s="397" t="s">
        <v>534</v>
      </c>
      <c r="D1408" s="383">
        <v>2</v>
      </c>
      <c r="E1408" s="384" t="s">
        <v>325</v>
      </c>
      <c r="F1408" s="385" t="s">
        <v>328</v>
      </c>
      <c r="G1408" s="462" t="s">
        <v>328</v>
      </c>
      <c r="H1408" s="384" t="s">
        <v>521</v>
      </c>
      <c r="I1408" s="383">
        <f>INDEX(DRE!$W$2:$AS$53, MATCH('DRE 2025'!G1408,DRE!$D$2:$D$53,0), MATCH(B1408, DRE!$W$1:$AS$1, 0))</f>
        <v>-25020.85</v>
      </c>
    </row>
    <row r="1409" spans="1:10" x14ac:dyDescent="0.2">
      <c r="A1409" s="383" t="s">
        <v>73</v>
      </c>
      <c r="B1409" s="397">
        <v>45962</v>
      </c>
      <c r="C1409" s="397" t="s">
        <v>534</v>
      </c>
      <c r="D1409" s="383">
        <v>2</v>
      </c>
      <c r="E1409" s="384" t="s">
        <v>325</v>
      </c>
      <c r="F1409" s="385" t="s">
        <v>329</v>
      </c>
      <c r="G1409" s="462" t="s">
        <v>329</v>
      </c>
      <c r="H1409" s="384" t="s">
        <v>329</v>
      </c>
      <c r="I1409" s="383">
        <f>INDEX(DRE!$W$2:$AS$53, MATCH('DRE 2025'!G1409,DRE!$D$2:$D$53,0), MATCH(B1409, DRE!$W$1:$AS$1, 0))</f>
        <v>0</v>
      </c>
    </row>
    <row r="1410" spans="1:10" x14ac:dyDescent="0.2">
      <c r="A1410" s="383" t="s">
        <v>73</v>
      </c>
      <c r="B1410" s="397">
        <v>45962</v>
      </c>
      <c r="C1410" s="397" t="s">
        <v>534</v>
      </c>
      <c r="D1410" s="383">
        <v>2</v>
      </c>
      <c r="E1410" s="384" t="s">
        <v>325</v>
      </c>
      <c r="F1410" s="385" t="s">
        <v>330</v>
      </c>
      <c r="G1410" s="462" t="s">
        <v>565</v>
      </c>
      <c r="H1410" s="384" t="s">
        <v>330</v>
      </c>
      <c r="I1410" s="383">
        <f>INDEX(DRE!$W$2:$AS$53, MATCH('DRE 2025'!G1410,DRE!$D$2:$D$53,0), MATCH(B1410, DRE!$W$1:$AS$1, 0))</f>
        <v>0</v>
      </c>
    </row>
    <row r="1411" spans="1:10" x14ac:dyDescent="0.2">
      <c r="A1411" s="383" t="s">
        <v>73</v>
      </c>
      <c r="B1411" s="397">
        <v>45962</v>
      </c>
      <c r="C1411" s="397" t="s">
        <v>534</v>
      </c>
      <c r="D1411" s="383">
        <v>2</v>
      </c>
      <c r="E1411" s="384" t="s">
        <v>325</v>
      </c>
      <c r="F1411" s="385" t="s">
        <v>331</v>
      </c>
      <c r="G1411" s="462" t="s">
        <v>331</v>
      </c>
      <c r="H1411" s="384" t="s">
        <v>331</v>
      </c>
      <c r="I1411" s="383">
        <f>INDEX(DRE!$W$2:$AS$53, MATCH('DRE 2025'!G1411,DRE!$D$2:$D$53,0), MATCH(B1411, DRE!$W$1:$AS$1, 0))</f>
        <v>0.04</v>
      </c>
    </row>
    <row r="1412" spans="1:10" x14ac:dyDescent="0.2">
      <c r="A1412" s="383" t="s">
        <v>73</v>
      </c>
      <c r="B1412" s="397">
        <v>45962</v>
      </c>
      <c r="C1412" s="397" t="s">
        <v>534</v>
      </c>
      <c r="D1412" s="383">
        <v>2</v>
      </c>
      <c r="E1412" s="384" t="s">
        <v>325</v>
      </c>
      <c r="F1412" s="384" t="s">
        <v>332</v>
      </c>
      <c r="G1412" s="463" t="s">
        <v>332</v>
      </c>
      <c r="H1412" s="384" t="s">
        <v>520</v>
      </c>
      <c r="I1412" s="383">
        <f>INDEX(DRE!$W$2:$AS$53, MATCH('DRE 2025'!G1412,DRE!$D$2:$D$53,0), MATCH(B1412, DRE!$W$1:$AS$1, 0))</f>
        <v>0</v>
      </c>
    </row>
    <row r="1413" spans="1:10" x14ac:dyDescent="0.2">
      <c r="A1413" s="383" t="s">
        <v>73</v>
      </c>
      <c r="B1413" s="397">
        <v>45962</v>
      </c>
      <c r="C1413" s="397" t="s">
        <v>535</v>
      </c>
      <c r="D1413" s="383">
        <v>3</v>
      </c>
      <c r="E1413" s="384" t="s">
        <v>531</v>
      </c>
      <c r="F1413" s="385" t="s">
        <v>334</v>
      </c>
      <c r="G1413" s="462" t="s">
        <v>334</v>
      </c>
      <c r="H1413" s="384" t="s">
        <v>334</v>
      </c>
      <c r="I1413" s="383">
        <f>INDEX(DRE!$W$2:$AS$53, MATCH('DRE 2025'!G1413,DRE!$D$2:$D$53,0), MATCH(B1413, DRE!$W$1:$AS$1, 0))</f>
        <v>4129354.36</v>
      </c>
    </row>
    <row r="1414" spans="1:10" x14ac:dyDescent="0.2">
      <c r="A1414" s="383" t="s">
        <v>73</v>
      </c>
      <c r="B1414" s="397">
        <v>45962</v>
      </c>
      <c r="C1414" s="397" t="s">
        <v>535</v>
      </c>
      <c r="D1414" s="383">
        <v>3</v>
      </c>
      <c r="E1414" s="384" t="s">
        <v>531</v>
      </c>
      <c r="F1414" s="385" t="s">
        <v>335</v>
      </c>
      <c r="G1414" s="462" t="s">
        <v>335</v>
      </c>
      <c r="H1414" s="384" t="s">
        <v>335</v>
      </c>
      <c r="I1414" s="383">
        <f>INDEX(DRE!$W$2:$AS$53, MATCH('DRE 2025'!G1414,DRE!$D$2:$D$53,0), MATCH(B1414, DRE!$W$1:$AS$1, 0))</f>
        <v>247509.19</v>
      </c>
    </row>
    <row r="1415" spans="1:10" x14ac:dyDescent="0.2">
      <c r="A1415" s="383" t="s">
        <v>73</v>
      </c>
      <c r="B1415" s="397">
        <v>45962</v>
      </c>
      <c r="C1415" s="397" t="s">
        <v>535</v>
      </c>
      <c r="D1415" s="383">
        <v>3</v>
      </c>
      <c r="E1415" s="384" t="s">
        <v>531</v>
      </c>
      <c r="F1415" s="385" t="s">
        <v>336</v>
      </c>
      <c r="G1415" s="462" t="s">
        <v>336</v>
      </c>
      <c r="H1415" s="384" t="s">
        <v>336</v>
      </c>
      <c r="I1415" s="383">
        <f>INDEX(DRE!$W$2:$AS$53, MATCH('DRE 2025'!G1415,DRE!$D$2:$D$53,0), MATCH(B1415, DRE!$W$1:$AS$1, 0))</f>
        <v>4012.08</v>
      </c>
    </row>
    <row r="1416" spans="1:10" x14ac:dyDescent="0.2">
      <c r="A1416" s="383" t="s">
        <v>73</v>
      </c>
      <c r="B1416" s="397">
        <v>45962</v>
      </c>
      <c r="C1416" s="397" t="s">
        <v>535</v>
      </c>
      <c r="D1416" s="383">
        <v>3</v>
      </c>
      <c r="E1416" s="384" t="s">
        <v>531</v>
      </c>
      <c r="F1416" s="387" t="s">
        <v>273</v>
      </c>
      <c r="G1416" s="464" t="s">
        <v>562</v>
      </c>
      <c r="H1416" s="384" t="s">
        <v>562</v>
      </c>
      <c r="I1416" s="383">
        <f>INDEX(DRE!$W$2:$AS$53, MATCH('DRE 2025'!G1416,DRE!$D$2:$D$53,0), MATCH(B1416, DRE!$W$1:$AS$1, 0))</f>
        <v>0</v>
      </c>
    </row>
    <row r="1417" spans="1:10" x14ac:dyDescent="0.2">
      <c r="A1417" s="383" t="s">
        <v>73</v>
      </c>
      <c r="B1417" s="397">
        <v>45962</v>
      </c>
      <c r="C1417" s="397" t="s">
        <v>535</v>
      </c>
      <c r="D1417" s="383">
        <v>3</v>
      </c>
      <c r="E1417" s="384" t="s">
        <v>531</v>
      </c>
      <c r="F1417" s="387" t="s">
        <v>513</v>
      </c>
      <c r="G1417" s="464" t="s">
        <v>513</v>
      </c>
      <c r="H1417" s="384" t="s">
        <v>513</v>
      </c>
      <c r="I1417" s="383" t="e">
        <f>INDEX(DRE!$W$2:$AS$53, MATCH('DRE 2025'!G1417,DRE!$D$2:$D$53,0), MATCH(B1417, DRE!$W$1:$AS$1, 0))</f>
        <v>#N/A</v>
      </c>
    </row>
    <row r="1418" spans="1:10" x14ac:dyDescent="0.2">
      <c r="A1418" s="383" t="s">
        <v>73</v>
      </c>
      <c r="B1418" s="397">
        <v>45962</v>
      </c>
      <c r="C1418" s="397" t="s">
        <v>535</v>
      </c>
      <c r="D1418" s="383">
        <v>3</v>
      </c>
      <c r="E1418" s="384" t="s">
        <v>531</v>
      </c>
      <c r="F1418" s="387" t="s">
        <v>514</v>
      </c>
      <c r="G1418" s="464" t="s">
        <v>514</v>
      </c>
      <c r="H1418" s="384" t="s">
        <v>514</v>
      </c>
      <c r="I1418" s="383" t="e">
        <f>INDEX(DRE!$W$2:$AS$53, MATCH('DRE 2025'!G1418,DRE!$D$2:$D$53,0), MATCH(B1418, DRE!$W$1:$AS$1, 0))</f>
        <v>#N/A</v>
      </c>
    </row>
    <row r="1419" spans="1:10" x14ac:dyDescent="0.2">
      <c r="A1419" s="383" t="s">
        <v>73</v>
      </c>
      <c r="B1419" s="397">
        <v>45962</v>
      </c>
      <c r="C1419" s="397" t="s">
        <v>535</v>
      </c>
      <c r="D1419" s="383">
        <v>3</v>
      </c>
      <c r="E1419" s="384" t="s">
        <v>531</v>
      </c>
      <c r="F1419" s="385" t="s">
        <v>337</v>
      </c>
      <c r="G1419" s="462" t="s">
        <v>337</v>
      </c>
      <c r="H1419" s="384" t="s">
        <v>337</v>
      </c>
      <c r="I1419" s="383">
        <f>INDEX(DRE!$W$2:$AS$53, MATCH('DRE 2025'!G1419,DRE!$D$2:$D$53,0), MATCH(B1419, DRE!$W$1:$AS$1, 0))</f>
        <v>6600.27</v>
      </c>
    </row>
    <row r="1420" spans="1:10" x14ac:dyDescent="0.2">
      <c r="A1420" s="383" t="s">
        <v>73</v>
      </c>
      <c r="B1420" s="397">
        <v>45962</v>
      </c>
      <c r="C1420" s="397" t="s">
        <v>534</v>
      </c>
      <c r="D1420" s="383">
        <v>4</v>
      </c>
      <c r="E1420" s="383" t="s">
        <v>523</v>
      </c>
      <c r="F1420" s="388" t="s">
        <v>340</v>
      </c>
      <c r="G1420" s="465" t="s">
        <v>340</v>
      </c>
      <c r="H1420" s="384" t="s">
        <v>340</v>
      </c>
      <c r="I1420" s="383">
        <f>INDEX(DRE!$W$2:$AS$53, MATCH('DRE 2025'!G1420,DRE!$D$2:$D$53,0), MATCH(B1420, DRE!$W$1:$AS$1, 0))</f>
        <v>-38473.199999999997</v>
      </c>
    </row>
    <row r="1421" spans="1:10" x14ac:dyDescent="0.2">
      <c r="A1421" s="383" t="s">
        <v>73</v>
      </c>
      <c r="B1421" s="397">
        <v>45962</v>
      </c>
      <c r="C1421" s="397" t="s">
        <v>534</v>
      </c>
      <c r="D1421" s="383">
        <v>4</v>
      </c>
      <c r="E1421" s="383" t="s">
        <v>523</v>
      </c>
      <c r="F1421" s="388" t="s">
        <v>341</v>
      </c>
      <c r="G1421" s="465" t="s">
        <v>341</v>
      </c>
      <c r="H1421" s="384" t="s">
        <v>341</v>
      </c>
      <c r="I1421" s="383">
        <f>INDEX(DRE!$W$2:$AS$53, MATCH('DRE 2025'!G1421,DRE!$D$2:$D$53,0), MATCH(B1421, DRE!$W$1:$AS$1, 0))</f>
        <v>-197274.26</v>
      </c>
    </row>
    <row r="1422" spans="1:10" x14ac:dyDescent="0.2">
      <c r="A1422" s="383" t="s">
        <v>73</v>
      </c>
      <c r="B1422" s="397">
        <v>45962</v>
      </c>
      <c r="C1422" s="397" t="s">
        <v>534</v>
      </c>
      <c r="D1422" s="383">
        <v>4</v>
      </c>
      <c r="E1422" s="383" t="s">
        <v>523</v>
      </c>
      <c r="F1422" s="388" t="s">
        <v>342</v>
      </c>
      <c r="G1422" s="465" t="s">
        <v>342</v>
      </c>
      <c r="H1422" s="384" t="s">
        <v>342</v>
      </c>
      <c r="I1422" s="383">
        <f>INDEX(DRE!$W$2:$AS$53, MATCH('DRE 2025'!G1422,DRE!$D$2:$D$53,0), MATCH(B1422, DRE!$W$1:$AS$1, 0))</f>
        <v>-1653420.7499999998</v>
      </c>
    </row>
    <row r="1423" spans="1:10" x14ac:dyDescent="0.2">
      <c r="A1423" s="383" t="s">
        <v>73</v>
      </c>
      <c r="B1423" s="397">
        <v>45962</v>
      </c>
      <c r="C1423" s="397" t="s">
        <v>534</v>
      </c>
      <c r="D1423" s="383">
        <v>4</v>
      </c>
      <c r="E1423" s="383" t="s">
        <v>523</v>
      </c>
      <c r="F1423" s="388" t="s">
        <v>343</v>
      </c>
      <c r="G1423" s="465" t="s">
        <v>343</v>
      </c>
      <c r="H1423" s="384" t="s">
        <v>343</v>
      </c>
      <c r="I1423" s="383">
        <f>INDEX(DRE!$W$2:$AS$53, MATCH('DRE 2025'!G1423,DRE!$D$2:$D$53,0), MATCH(B1423, DRE!$W$1:$AS$1, 0))</f>
        <v>-130751.42</v>
      </c>
    </row>
    <row r="1424" spans="1:10" x14ac:dyDescent="0.2">
      <c r="A1424" s="383" t="s">
        <v>73</v>
      </c>
      <c r="B1424" s="397">
        <v>45962</v>
      </c>
      <c r="C1424" s="397" t="s">
        <v>535</v>
      </c>
      <c r="D1424" s="383">
        <v>5</v>
      </c>
      <c r="E1424" s="383" t="s">
        <v>532</v>
      </c>
      <c r="F1424" s="401" t="s">
        <v>345</v>
      </c>
      <c r="G1424" s="401"/>
      <c r="H1424" s="402" t="s">
        <v>345</v>
      </c>
      <c r="I1424" s="406" t="e">
        <f>I1413+I1414+I1415+I1416+I1417+I1418+I1419+I1420+I1421+I1422+I1423</f>
        <v>#N/A</v>
      </c>
      <c r="J1424" s="352" t="e">
        <f>IF(C1424="A",-I1424/I1406,I1424/I1406)</f>
        <v>#N/A</v>
      </c>
    </row>
    <row r="1425" spans="1:10" x14ac:dyDescent="0.2">
      <c r="A1425" s="383" t="s">
        <v>73</v>
      </c>
      <c r="B1425" s="397">
        <v>45962</v>
      </c>
      <c r="C1425" s="397" t="s">
        <v>534</v>
      </c>
      <c r="D1425" s="383">
        <v>6</v>
      </c>
      <c r="E1425" s="383" t="s">
        <v>524</v>
      </c>
      <c r="F1425" s="388" t="s">
        <v>349</v>
      </c>
      <c r="G1425" s="465" t="s">
        <v>349</v>
      </c>
      <c r="H1425" s="384" t="s">
        <v>473</v>
      </c>
      <c r="I1425" s="383">
        <f>INDEX(DRE!$W$2:$AS$53, MATCH('DRE 2025'!G1425,DRE!$D$2:$D$53,0), MATCH(B1425, DRE!$W$1:$AS$1, 0))</f>
        <v>-32876.86</v>
      </c>
    </row>
    <row r="1426" spans="1:10" x14ac:dyDescent="0.2">
      <c r="A1426" s="383" t="s">
        <v>73</v>
      </c>
      <c r="B1426" s="397">
        <v>45962</v>
      </c>
      <c r="C1426" s="397" t="s">
        <v>534</v>
      </c>
      <c r="D1426" s="383">
        <v>6</v>
      </c>
      <c r="E1426" s="383" t="s">
        <v>524</v>
      </c>
      <c r="F1426" s="388" t="s">
        <v>350</v>
      </c>
      <c r="G1426" s="465" t="s">
        <v>350</v>
      </c>
      <c r="H1426" s="384" t="s">
        <v>474</v>
      </c>
      <c r="I1426" s="383">
        <f>INDEX(DRE!$W$2:$AS$53, MATCH('DRE 2025'!G1426,DRE!$D$2:$D$53,0), MATCH(B1426, DRE!$W$1:$AS$1, 0))</f>
        <v>-14821.91</v>
      </c>
    </row>
    <row r="1427" spans="1:10" x14ac:dyDescent="0.2">
      <c r="A1427" s="383" t="s">
        <v>73</v>
      </c>
      <c r="B1427" s="397">
        <v>45962</v>
      </c>
      <c r="C1427" s="397" t="s">
        <v>534</v>
      </c>
      <c r="D1427" s="383">
        <v>6</v>
      </c>
      <c r="E1427" s="383" t="s">
        <v>524</v>
      </c>
      <c r="F1427" s="388" t="s">
        <v>351</v>
      </c>
      <c r="G1427" s="465" t="s">
        <v>351</v>
      </c>
      <c r="H1427" s="384" t="s">
        <v>475</v>
      </c>
      <c r="I1427" s="383">
        <f>INDEX(DRE!$W$2:$AS$53, MATCH('DRE 2025'!G1427,DRE!$D$2:$D$53,0), MATCH(B1427, DRE!$W$1:$AS$1, 0))</f>
        <v>-67344.960000000006</v>
      </c>
    </row>
    <row r="1428" spans="1:10" x14ac:dyDescent="0.2">
      <c r="A1428" s="383" t="s">
        <v>73</v>
      </c>
      <c r="B1428" s="397">
        <v>45962</v>
      </c>
      <c r="C1428" s="397" t="s">
        <v>534</v>
      </c>
      <c r="D1428" s="383">
        <v>6</v>
      </c>
      <c r="E1428" s="383" t="s">
        <v>524</v>
      </c>
      <c r="F1428" s="388" t="s">
        <v>352</v>
      </c>
      <c r="G1428" s="465" t="s">
        <v>352</v>
      </c>
      <c r="H1428" s="384" t="s">
        <v>476</v>
      </c>
      <c r="I1428" s="383">
        <f>INDEX(DRE!$W$2:$AS$53, MATCH('DRE 2025'!G1428,DRE!$D$2:$D$53,0), MATCH(B1428, DRE!$W$1:$AS$1, 0))</f>
        <v>-5678.95</v>
      </c>
    </row>
    <row r="1429" spans="1:10" x14ac:dyDescent="0.2">
      <c r="A1429" s="383" t="s">
        <v>73</v>
      </c>
      <c r="B1429" s="397">
        <v>45962</v>
      </c>
      <c r="C1429" s="397" t="s">
        <v>534</v>
      </c>
      <c r="D1429" s="383">
        <v>6</v>
      </c>
      <c r="E1429" s="383" t="s">
        <v>524</v>
      </c>
      <c r="F1429" s="388" t="s">
        <v>353</v>
      </c>
      <c r="G1429" s="465" t="s">
        <v>353</v>
      </c>
      <c r="H1429" s="384" t="s">
        <v>477</v>
      </c>
      <c r="I1429" s="383">
        <f>INDEX(DRE!$W$2:$AS$53, MATCH('DRE 2025'!G1429,DRE!$D$2:$D$53,0), MATCH(B1429, DRE!$W$1:$AS$1, 0))</f>
        <v>-67681.41</v>
      </c>
    </row>
    <row r="1430" spans="1:10" x14ac:dyDescent="0.2">
      <c r="A1430" s="383" t="s">
        <v>73</v>
      </c>
      <c r="B1430" s="397">
        <v>45962</v>
      </c>
      <c r="C1430" s="397" t="s">
        <v>534</v>
      </c>
      <c r="D1430" s="383">
        <v>6</v>
      </c>
      <c r="E1430" s="383" t="s">
        <v>524</v>
      </c>
      <c r="F1430" s="388" t="s">
        <v>354</v>
      </c>
      <c r="G1430" s="465" t="s">
        <v>354</v>
      </c>
      <c r="H1430" s="384" t="s">
        <v>478</v>
      </c>
      <c r="I1430" s="383">
        <f>INDEX(DRE!$W$2:$AS$53, MATCH('DRE 2025'!G1430,DRE!$D$2:$D$53,0), MATCH(B1430, DRE!$W$1:$AS$1, 0))</f>
        <v>-36474.76</v>
      </c>
    </row>
    <row r="1431" spans="1:10" x14ac:dyDescent="0.2">
      <c r="A1431" s="383" t="s">
        <v>73</v>
      </c>
      <c r="B1431" s="397">
        <v>45962</v>
      </c>
      <c r="C1431" s="397" t="s">
        <v>534</v>
      </c>
      <c r="D1431" s="383">
        <v>6</v>
      </c>
      <c r="E1431" s="383" t="s">
        <v>524</v>
      </c>
      <c r="F1431" s="390" t="s">
        <v>355</v>
      </c>
      <c r="G1431" s="461" t="s">
        <v>355</v>
      </c>
      <c r="H1431" s="384" t="s">
        <v>355</v>
      </c>
      <c r="I1431" s="383">
        <f>INDEX(DRE!$W$2:$AS$53, MATCH('DRE 2025'!G1431,DRE!$D$2:$D$53,0), MATCH(B1431, DRE!$W$1:$AS$1, 0))</f>
        <v>-84249.94</v>
      </c>
    </row>
    <row r="1432" spans="1:10" x14ac:dyDescent="0.2">
      <c r="A1432" s="383" t="s">
        <v>73</v>
      </c>
      <c r="B1432" s="397">
        <v>45962</v>
      </c>
      <c r="C1432" s="397" t="s">
        <v>534</v>
      </c>
      <c r="D1432" s="383">
        <v>6</v>
      </c>
      <c r="E1432" s="383" t="s">
        <v>524</v>
      </c>
      <c r="F1432" s="390" t="s">
        <v>356</v>
      </c>
      <c r="G1432" s="461" t="s">
        <v>356</v>
      </c>
      <c r="H1432" s="384" t="s">
        <v>356</v>
      </c>
      <c r="I1432" s="383">
        <f>INDEX(DRE!$W$2:$AS$53, MATCH('DRE 2025'!G1432,DRE!$D$2:$D$53,0), MATCH(B1432, DRE!$W$1:$AS$1, 0))</f>
        <v>-663956.28</v>
      </c>
    </row>
    <row r="1433" spans="1:10" x14ac:dyDescent="0.2">
      <c r="A1433" s="383" t="s">
        <v>73</v>
      </c>
      <c r="B1433" s="397">
        <v>45962</v>
      </c>
      <c r="C1433" s="397" t="s">
        <v>534</v>
      </c>
      <c r="D1433" s="383">
        <v>6</v>
      </c>
      <c r="E1433" s="383" t="s">
        <v>524</v>
      </c>
      <c r="F1433" s="390" t="s">
        <v>357</v>
      </c>
      <c r="G1433" s="461" t="s">
        <v>357</v>
      </c>
      <c r="H1433" s="384" t="s">
        <v>357</v>
      </c>
      <c r="I1433" s="383">
        <f>INDEX(DRE!$W$2:$AS$53, MATCH('DRE 2025'!G1433,DRE!$D$2:$D$53,0), MATCH(B1433, DRE!$W$1:$AS$1, 0))</f>
        <v>0</v>
      </c>
    </row>
    <row r="1434" spans="1:10" x14ac:dyDescent="0.2">
      <c r="A1434" s="383" t="s">
        <v>73</v>
      </c>
      <c r="B1434" s="397">
        <v>45962</v>
      </c>
      <c r="C1434" s="397" t="s">
        <v>535</v>
      </c>
      <c r="D1434" s="383">
        <v>7</v>
      </c>
      <c r="E1434" s="383" t="s">
        <v>529</v>
      </c>
      <c r="F1434" s="400" t="s">
        <v>358</v>
      </c>
      <c r="G1434" s="400"/>
      <c r="H1434" s="403" t="s">
        <v>358</v>
      </c>
      <c r="I1434" s="396" t="e">
        <f>I1424+I1425+I1426+I1427+I1428+I1429+I1430+I1431+I1432+I1433</f>
        <v>#N/A</v>
      </c>
      <c r="J1434" s="352" t="e">
        <f>IF(C1434="A",-I1434/I1406,I1434/I1406)</f>
        <v>#N/A</v>
      </c>
    </row>
    <row r="1435" spans="1:10" x14ac:dyDescent="0.2">
      <c r="A1435" s="383" t="s">
        <v>73</v>
      </c>
      <c r="B1435" s="397">
        <v>45962</v>
      </c>
      <c r="C1435" s="397" t="s">
        <v>534</v>
      </c>
      <c r="D1435" s="383">
        <v>8</v>
      </c>
      <c r="E1435" s="383" t="s">
        <v>527</v>
      </c>
      <c r="F1435" s="385" t="s">
        <v>359</v>
      </c>
      <c r="G1435" s="462" t="s">
        <v>359</v>
      </c>
      <c r="H1435" s="384" t="s">
        <v>479</v>
      </c>
      <c r="I1435" s="383">
        <f>INDEX(DRE!$W$2:$AS$53, MATCH('DRE 2025'!G1435,DRE!$D$2:$D$53,0), MATCH(B1435, DRE!$W$1:$AS$1, 0))</f>
        <v>0</v>
      </c>
    </row>
    <row r="1436" spans="1:10" x14ac:dyDescent="0.2">
      <c r="A1436" s="383" t="s">
        <v>73</v>
      </c>
      <c r="B1436" s="397">
        <v>45962</v>
      </c>
      <c r="C1436" s="397" t="s">
        <v>534</v>
      </c>
      <c r="D1436" s="383">
        <v>8</v>
      </c>
      <c r="E1436" s="383" t="s">
        <v>527</v>
      </c>
      <c r="F1436" s="385" t="s">
        <v>360</v>
      </c>
      <c r="G1436" s="462" t="s">
        <v>360</v>
      </c>
      <c r="H1436" s="384" t="s">
        <v>480</v>
      </c>
      <c r="I1436" s="383">
        <f>INDEX(DRE!$W$2:$AS$53, MATCH('DRE 2025'!G1436,DRE!$D$2:$D$53,0), MATCH(B1436, DRE!$W$1:$AS$1, 0))</f>
        <v>31212.34</v>
      </c>
    </row>
    <row r="1437" spans="1:10" x14ac:dyDescent="0.2">
      <c r="A1437" s="383" t="s">
        <v>73</v>
      </c>
      <c r="B1437" s="397">
        <v>45962</v>
      </c>
      <c r="C1437" s="397" t="s">
        <v>534</v>
      </c>
      <c r="D1437" s="383">
        <v>8</v>
      </c>
      <c r="E1437" s="383" t="s">
        <v>527</v>
      </c>
      <c r="F1437" s="390" t="s">
        <v>361</v>
      </c>
      <c r="G1437" s="466" t="s">
        <v>361</v>
      </c>
      <c r="H1437" s="384" t="s">
        <v>481</v>
      </c>
      <c r="I1437" s="383">
        <f>INDEX(DRE!$W$2:$AS$53, MATCH('DRE 2025'!G1437,DRE!$D$2:$D$53,0), MATCH(B1437, DRE!$W$1:$AS$1, 0))</f>
        <v>-20017.18</v>
      </c>
    </row>
    <row r="1438" spans="1:10" x14ac:dyDescent="0.2">
      <c r="A1438" s="383" t="s">
        <v>73</v>
      </c>
      <c r="B1438" s="397">
        <v>45962</v>
      </c>
      <c r="C1438" s="397" t="s">
        <v>534</v>
      </c>
      <c r="D1438" s="383">
        <v>9</v>
      </c>
      <c r="E1438" s="383" t="s">
        <v>526</v>
      </c>
      <c r="F1438" s="390" t="s">
        <v>363</v>
      </c>
      <c r="G1438" s="461" t="s">
        <v>363</v>
      </c>
      <c r="H1438" s="384" t="s">
        <v>363</v>
      </c>
      <c r="I1438" s="383">
        <f>INDEX(DRE!$W$2:$AS$53, MATCH('DRE 2025'!G1438,DRE!$D$2:$D$53,0), MATCH(B1438, DRE!$W$1:$AS$1, 0))</f>
        <v>-774848.78</v>
      </c>
    </row>
    <row r="1439" spans="1:10" x14ac:dyDescent="0.2">
      <c r="A1439" s="383" t="s">
        <v>73</v>
      </c>
      <c r="B1439" s="397">
        <v>45962</v>
      </c>
      <c r="C1439" s="397" t="s">
        <v>534</v>
      </c>
      <c r="D1439" s="383">
        <v>9</v>
      </c>
      <c r="E1439" s="383" t="s">
        <v>526</v>
      </c>
      <c r="F1439" s="390" t="s">
        <v>364</v>
      </c>
      <c r="G1439" s="461" t="s">
        <v>364</v>
      </c>
      <c r="H1439" s="384" t="s">
        <v>364</v>
      </c>
      <c r="I1439" s="383">
        <f>INDEX(DRE!$W$2:$AS$53, MATCH('DRE 2025'!G1439,DRE!$D$2:$D$53,0), MATCH(B1439, DRE!$W$1:$AS$1, 0))</f>
        <v>-32092.9664204</v>
      </c>
    </row>
    <row r="1440" spans="1:10" x14ac:dyDescent="0.2">
      <c r="A1440" s="383" t="s">
        <v>73</v>
      </c>
      <c r="B1440" s="397">
        <v>45962</v>
      </c>
      <c r="C1440" s="397" t="s">
        <v>534</v>
      </c>
      <c r="D1440" s="383">
        <v>9</v>
      </c>
      <c r="E1440" s="383" t="s">
        <v>526</v>
      </c>
      <c r="F1440" s="394" t="s">
        <v>273</v>
      </c>
      <c r="G1440" s="467" t="s">
        <v>563</v>
      </c>
      <c r="H1440" s="398" t="s">
        <v>563</v>
      </c>
      <c r="I1440" s="383">
        <f>INDEX(DRE!$W$2:$AS$53, MATCH('DRE 2025'!G1440,DRE!$D$2:$D$53,0), MATCH(B1440, DRE!$W$1:$AS$1, 0))</f>
        <v>0</v>
      </c>
    </row>
    <row r="1441" spans="1:10" x14ac:dyDescent="0.2">
      <c r="A1441" s="383" t="s">
        <v>73</v>
      </c>
      <c r="B1441" s="397">
        <v>45962</v>
      </c>
      <c r="C1441" s="397" t="s">
        <v>534</v>
      </c>
      <c r="D1441" s="383">
        <v>10</v>
      </c>
      <c r="E1441" s="383" t="s">
        <v>452</v>
      </c>
      <c r="F1441" s="400" t="s">
        <v>365</v>
      </c>
      <c r="G1441" s="400"/>
      <c r="H1441" s="403" t="s">
        <v>365</v>
      </c>
      <c r="I1441" s="396">
        <f>I1407+I1408+I1409+I1410+I1411+I1412+I1420+I1421+I1422+I1423+I1425+I1426+I1427+I1428+I1429+I1430+I1431+I1432+I1433+I1435+I1436+I1437+I1438+I1439+I1440</f>
        <v>-4047441.1464203997</v>
      </c>
      <c r="J1441" s="352">
        <f>IF(C1441="A",-I1441/I1406,I1441/I1406)</f>
        <v>0.86450595540175434</v>
      </c>
    </row>
    <row r="1442" spans="1:10" x14ac:dyDescent="0.2">
      <c r="A1442" s="383" t="s">
        <v>73</v>
      </c>
      <c r="B1442" s="397">
        <v>45962</v>
      </c>
      <c r="C1442" s="397" t="s">
        <v>535</v>
      </c>
      <c r="D1442" s="383">
        <v>11</v>
      </c>
      <c r="E1442" s="383" t="s">
        <v>528</v>
      </c>
      <c r="F1442" s="400" t="s">
        <v>367</v>
      </c>
      <c r="G1442" s="400"/>
      <c r="H1442" s="403" t="s">
        <v>367</v>
      </c>
      <c r="I1442" s="395">
        <f>I1406+I1441</f>
        <v>634355.57357960008</v>
      </c>
      <c r="J1442" s="352">
        <f>IF(C1442="A",-I1442/I1406,I1442/I1406)</f>
        <v>0.13549404459824563</v>
      </c>
    </row>
    <row r="1443" spans="1:10" x14ac:dyDescent="0.2">
      <c r="A1443" s="383" t="s">
        <v>516</v>
      </c>
      <c r="B1443" s="397">
        <v>45962</v>
      </c>
      <c r="C1443" s="397" t="s">
        <v>536</v>
      </c>
      <c r="D1443" s="383">
        <v>1</v>
      </c>
      <c r="E1443" s="384" t="s">
        <v>530</v>
      </c>
      <c r="F1443" s="400" t="s">
        <v>440</v>
      </c>
      <c r="G1443" s="400"/>
      <c r="H1443" s="404" t="s">
        <v>440</v>
      </c>
      <c r="I1443" s="407">
        <f>HLOOKUP(B1443,[5]Sucumbências!$BP$2:$CA$43,31,0)</f>
        <v>0</v>
      </c>
      <c r="J1443" s="352">
        <v>1</v>
      </c>
    </row>
    <row r="1444" spans="1:10" x14ac:dyDescent="0.2">
      <c r="A1444" s="383" t="s">
        <v>516</v>
      </c>
      <c r="B1444" s="397">
        <v>45962</v>
      </c>
      <c r="C1444" s="397" t="s">
        <v>534</v>
      </c>
      <c r="D1444" s="383">
        <v>4</v>
      </c>
      <c r="E1444" s="383" t="s">
        <v>525</v>
      </c>
      <c r="F1444" s="388" t="s">
        <v>340</v>
      </c>
      <c r="G1444" s="388"/>
      <c r="H1444" s="404" t="s">
        <v>340</v>
      </c>
      <c r="I1444" s="407">
        <f>-HLOOKUP(B1444,GLOSAS!$BQ$1:$CB$43,30,0)</f>
        <v>0</v>
      </c>
    </row>
    <row r="1445" spans="1:10" x14ac:dyDescent="0.2">
      <c r="A1445" s="383" t="s">
        <v>516</v>
      </c>
      <c r="B1445" s="397">
        <v>45962</v>
      </c>
      <c r="C1445" s="397" t="s">
        <v>534</v>
      </c>
      <c r="D1445" s="383">
        <v>9</v>
      </c>
      <c r="E1445" s="383" t="s">
        <v>526</v>
      </c>
      <c r="F1445" s="390" t="s">
        <v>363</v>
      </c>
      <c r="G1445" s="390"/>
      <c r="H1445" s="404" t="s">
        <v>363</v>
      </c>
      <c r="I1445" s="407">
        <f>-I1443*0.1</f>
        <v>0</v>
      </c>
    </row>
    <row r="1446" spans="1:10" x14ac:dyDescent="0.2">
      <c r="A1446" s="383" t="s">
        <v>516</v>
      </c>
      <c r="B1446" s="397">
        <v>45962</v>
      </c>
      <c r="C1446" s="397" t="s">
        <v>535</v>
      </c>
      <c r="D1446" s="383">
        <v>11</v>
      </c>
      <c r="E1446" s="383" t="s">
        <v>528</v>
      </c>
      <c r="F1446" s="400" t="s">
        <v>367</v>
      </c>
      <c r="G1446" s="400"/>
      <c r="H1446" s="404" t="s">
        <v>367</v>
      </c>
      <c r="I1446" s="407">
        <f>I1443+I1444+I1445</f>
        <v>0</v>
      </c>
      <c r="J1446" s="352" t="e">
        <f>IF(C1446="A",-I1446/I1443,I1446/I1443)</f>
        <v>#DIV/0!</v>
      </c>
    </row>
    <row r="1447" spans="1:10" x14ac:dyDescent="0.2">
      <c r="A1447" s="383" t="s">
        <v>522</v>
      </c>
      <c r="B1447" s="397">
        <v>45962</v>
      </c>
      <c r="C1447" s="397" t="s">
        <v>536</v>
      </c>
      <c r="D1447" s="383">
        <v>1</v>
      </c>
      <c r="E1447" s="384" t="s">
        <v>530</v>
      </c>
      <c r="F1447" s="400" t="s">
        <v>440</v>
      </c>
      <c r="G1447" s="400"/>
      <c r="H1447" s="405" t="s">
        <v>440</v>
      </c>
      <c r="I1447" s="396">
        <f>I1406-I1443</f>
        <v>4681796.72</v>
      </c>
      <c r="J1447" s="352">
        <v>1</v>
      </c>
    </row>
    <row r="1448" spans="1:10" x14ac:dyDescent="0.2">
      <c r="A1448" s="383" t="s">
        <v>522</v>
      </c>
      <c r="B1448" s="397">
        <v>45962</v>
      </c>
      <c r="C1448" s="397" t="s">
        <v>534</v>
      </c>
      <c r="D1448" s="383">
        <v>2</v>
      </c>
      <c r="E1448" s="384" t="s">
        <v>325</v>
      </c>
      <c r="F1448" s="390" t="s">
        <v>326</v>
      </c>
      <c r="G1448" s="390"/>
      <c r="H1448" s="384" t="s">
        <v>519</v>
      </c>
      <c r="I1448" s="406">
        <f t="shared" ref="I1448:I1460" si="37">I1407</f>
        <v>-233669.05</v>
      </c>
    </row>
    <row r="1449" spans="1:10" x14ac:dyDescent="0.2">
      <c r="A1449" s="383" t="s">
        <v>522</v>
      </c>
      <c r="B1449" s="397">
        <v>45962</v>
      </c>
      <c r="C1449" s="397" t="s">
        <v>534</v>
      </c>
      <c r="D1449" s="383">
        <v>2</v>
      </c>
      <c r="E1449" s="384" t="s">
        <v>325</v>
      </c>
      <c r="F1449" s="385" t="s">
        <v>328</v>
      </c>
      <c r="G1449" s="385"/>
      <c r="H1449" s="384" t="s">
        <v>521</v>
      </c>
      <c r="I1449" s="406">
        <f t="shared" si="37"/>
        <v>-25020.85</v>
      </c>
    </row>
    <row r="1450" spans="1:10" x14ac:dyDescent="0.2">
      <c r="A1450" s="383" t="s">
        <v>522</v>
      </c>
      <c r="B1450" s="397">
        <v>45962</v>
      </c>
      <c r="C1450" s="397" t="s">
        <v>534</v>
      </c>
      <c r="D1450" s="383">
        <v>2</v>
      </c>
      <c r="E1450" s="384" t="s">
        <v>325</v>
      </c>
      <c r="F1450" s="385" t="s">
        <v>329</v>
      </c>
      <c r="G1450" s="385"/>
      <c r="H1450" s="384" t="s">
        <v>329</v>
      </c>
      <c r="I1450" s="406">
        <f t="shared" si="37"/>
        <v>0</v>
      </c>
    </row>
    <row r="1451" spans="1:10" x14ac:dyDescent="0.2">
      <c r="A1451" s="383" t="s">
        <v>522</v>
      </c>
      <c r="B1451" s="397">
        <v>45962</v>
      </c>
      <c r="C1451" s="397" t="s">
        <v>534</v>
      </c>
      <c r="D1451" s="383">
        <v>2</v>
      </c>
      <c r="E1451" s="384" t="s">
        <v>325</v>
      </c>
      <c r="F1451" s="385" t="s">
        <v>330</v>
      </c>
      <c r="G1451" s="385"/>
      <c r="H1451" s="384" t="s">
        <v>330</v>
      </c>
      <c r="I1451" s="406">
        <f t="shared" si="37"/>
        <v>0</v>
      </c>
    </row>
    <row r="1452" spans="1:10" x14ac:dyDescent="0.2">
      <c r="A1452" s="383" t="s">
        <v>522</v>
      </c>
      <c r="B1452" s="397">
        <v>45962</v>
      </c>
      <c r="C1452" s="397" t="s">
        <v>534</v>
      </c>
      <c r="D1452" s="383">
        <v>2</v>
      </c>
      <c r="E1452" s="384" t="s">
        <v>325</v>
      </c>
      <c r="F1452" s="385" t="s">
        <v>331</v>
      </c>
      <c r="G1452" s="385"/>
      <c r="H1452" s="384" t="s">
        <v>331</v>
      </c>
      <c r="I1452" s="406">
        <f t="shared" si="37"/>
        <v>0.04</v>
      </c>
    </row>
    <row r="1453" spans="1:10" x14ac:dyDescent="0.2">
      <c r="A1453" s="383" t="s">
        <v>522</v>
      </c>
      <c r="B1453" s="397">
        <v>45962</v>
      </c>
      <c r="C1453" s="397" t="s">
        <v>534</v>
      </c>
      <c r="D1453" s="383">
        <v>2</v>
      </c>
      <c r="E1453" s="384" t="s">
        <v>325</v>
      </c>
      <c r="F1453" s="384" t="s">
        <v>332</v>
      </c>
      <c r="G1453" s="384"/>
      <c r="H1453" s="384" t="s">
        <v>520</v>
      </c>
      <c r="I1453" s="406">
        <f t="shared" si="37"/>
        <v>0</v>
      </c>
    </row>
    <row r="1454" spans="1:10" x14ac:dyDescent="0.2">
      <c r="A1454" s="383" t="s">
        <v>522</v>
      </c>
      <c r="B1454" s="397">
        <v>45962</v>
      </c>
      <c r="C1454" s="397" t="s">
        <v>535</v>
      </c>
      <c r="D1454" s="383">
        <v>3</v>
      </c>
      <c r="E1454" s="384" t="s">
        <v>531</v>
      </c>
      <c r="F1454" s="385" t="s">
        <v>334</v>
      </c>
      <c r="G1454" s="385"/>
      <c r="H1454" s="384" t="s">
        <v>334</v>
      </c>
      <c r="I1454" s="406">
        <f t="shared" si="37"/>
        <v>4129354.36</v>
      </c>
    </row>
    <row r="1455" spans="1:10" x14ac:dyDescent="0.2">
      <c r="A1455" s="383" t="s">
        <v>522</v>
      </c>
      <c r="B1455" s="397">
        <v>45962</v>
      </c>
      <c r="C1455" s="397" t="s">
        <v>535</v>
      </c>
      <c r="D1455" s="383">
        <v>3</v>
      </c>
      <c r="E1455" s="384" t="s">
        <v>531</v>
      </c>
      <c r="F1455" s="385" t="s">
        <v>335</v>
      </c>
      <c r="G1455" s="385"/>
      <c r="H1455" s="384" t="s">
        <v>335</v>
      </c>
      <c r="I1455" s="406">
        <f t="shared" si="37"/>
        <v>247509.19</v>
      </c>
    </row>
    <row r="1456" spans="1:10" x14ac:dyDescent="0.2">
      <c r="A1456" s="383" t="s">
        <v>522</v>
      </c>
      <c r="B1456" s="397">
        <v>45962</v>
      </c>
      <c r="C1456" s="397" t="s">
        <v>535</v>
      </c>
      <c r="D1456" s="383">
        <v>3</v>
      </c>
      <c r="E1456" s="384" t="s">
        <v>531</v>
      </c>
      <c r="F1456" s="385" t="s">
        <v>336</v>
      </c>
      <c r="G1456" s="385"/>
      <c r="H1456" s="384" t="s">
        <v>336</v>
      </c>
      <c r="I1456" s="406">
        <f t="shared" si="37"/>
        <v>4012.08</v>
      </c>
    </row>
    <row r="1457" spans="1:10" x14ac:dyDescent="0.2">
      <c r="A1457" s="383" t="s">
        <v>522</v>
      </c>
      <c r="B1457" s="397">
        <v>45962</v>
      </c>
      <c r="C1457" s="397" t="s">
        <v>535</v>
      </c>
      <c r="D1457" s="383">
        <v>3</v>
      </c>
      <c r="E1457" s="384" t="s">
        <v>531</v>
      </c>
      <c r="F1457" s="387" t="s">
        <v>273</v>
      </c>
      <c r="G1457" s="387"/>
      <c r="H1457" s="384" t="s">
        <v>562</v>
      </c>
      <c r="I1457" s="406">
        <f t="shared" si="37"/>
        <v>0</v>
      </c>
    </row>
    <row r="1458" spans="1:10" x14ac:dyDescent="0.2">
      <c r="A1458" s="383" t="s">
        <v>522</v>
      </c>
      <c r="B1458" s="397">
        <v>45962</v>
      </c>
      <c r="C1458" s="397" t="s">
        <v>535</v>
      </c>
      <c r="D1458" s="383">
        <v>3</v>
      </c>
      <c r="E1458" s="384" t="s">
        <v>531</v>
      </c>
      <c r="F1458" s="387" t="s">
        <v>513</v>
      </c>
      <c r="G1458" s="387"/>
      <c r="H1458" s="384" t="s">
        <v>513</v>
      </c>
      <c r="I1458" s="406" t="e">
        <f t="shared" si="37"/>
        <v>#N/A</v>
      </c>
    </row>
    <row r="1459" spans="1:10" x14ac:dyDescent="0.2">
      <c r="A1459" s="383" t="s">
        <v>522</v>
      </c>
      <c r="B1459" s="397">
        <v>45962</v>
      </c>
      <c r="C1459" s="397" t="s">
        <v>535</v>
      </c>
      <c r="D1459" s="383">
        <v>3</v>
      </c>
      <c r="E1459" s="384" t="s">
        <v>531</v>
      </c>
      <c r="F1459" s="387" t="s">
        <v>514</v>
      </c>
      <c r="G1459" s="387"/>
      <c r="H1459" s="384" t="s">
        <v>514</v>
      </c>
      <c r="I1459" s="406" t="e">
        <f t="shared" si="37"/>
        <v>#N/A</v>
      </c>
    </row>
    <row r="1460" spans="1:10" x14ac:dyDescent="0.2">
      <c r="A1460" s="383" t="s">
        <v>522</v>
      </c>
      <c r="B1460" s="397">
        <v>45962</v>
      </c>
      <c r="C1460" s="397" t="s">
        <v>535</v>
      </c>
      <c r="D1460" s="383">
        <v>3</v>
      </c>
      <c r="E1460" s="384" t="s">
        <v>531</v>
      </c>
      <c r="F1460" s="385" t="s">
        <v>337</v>
      </c>
      <c r="G1460" s="385"/>
      <c r="H1460" s="384" t="s">
        <v>337</v>
      </c>
      <c r="I1460" s="406">
        <f t="shared" si="37"/>
        <v>6600.27</v>
      </c>
    </row>
    <row r="1461" spans="1:10" x14ac:dyDescent="0.2">
      <c r="A1461" s="383" t="s">
        <v>522</v>
      </c>
      <c r="B1461" s="397">
        <v>45962</v>
      </c>
      <c r="C1461" s="397" t="s">
        <v>534</v>
      </c>
      <c r="D1461" s="383">
        <v>4</v>
      </c>
      <c r="E1461" s="383" t="s">
        <v>523</v>
      </c>
      <c r="F1461" s="388" t="s">
        <v>340</v>
      </c>
      <c r="G1461" s="388"/>
      <c r="H1461" s="405" t="s">
        <v>340</v>
      </c>
      <c r="I1461" s="396">
        <f>I1420-I1444</f>
        <v>-38473.199999999997</v>
      </c>
    </row>
    <row r="1462" spans="1:10" x14ac:dyDescent="0.2">
      <c r="A1462" s="383" t="s">
        <v>522</v>
      </c>
      <c r="B1462" s="397">
        <v>45962</v>
      </c>
      <c r="C1462" s="397" t="s">
        <v>534</v>
      </c>
      <c r="D1462" s="383">
        <v>4</v>
      </c>
      <c r="E1462" s="383" t="s">
        <v>523</v>
      </c>
      <c r="F1462" s="388" t="s">
        <v>341</v>
      </c>
      <c r="G1462" s="388"/>
      <c r="H1462" s="384" t="s">
        <v>341</v>
      </c>
      <c r="I1462" s="406">
        <f>I1421</f>
        <v>-197274.26</v>
      </c>
    </row>
    <row r="1463" spans="1:10" x14ac:dyDescent="0.2">
      <c r="A1463" s="383" t="s">
        <v>522</v>
      </c>
      <c r="B1463" s="397">
        <v>45962</v>
      </c>
      <c r="C1463" s="397" t="s">
        <v>534</v>
      </c>
      <c r="D1463" s="383">
        <v>4</v>
      </c>
      <c r="E1463" s="383" t="s">
        <v>523</v>
      </c>
      <c r="F1463" s="388" t="s">
        <v>342</v>
      </c>
      <c r="G1463" s="388"/>
      <c r="H1463" s="384" t="s">
        <v>342</v>
      </c>
      <c r="I1463" s="406">
        <f>I1422</f>
        <v>-1653420.7499999998</v>
      </c>
    </row>
    <row r="1464" spans="1:10" x14ac:dyDescent="0.2">
      <c r="A1464" s="383" t="s">
        <v>522</v>
      </c>
      <c r="B1464" s="397">
        <v>45962</v>
      </c>
      <c r="C1464" s="397" t="s">
        <v>534</v>
      </c>
      <c r="D1464" s="383">
        <v>4</v>
      </c>
      <c r="E1464" s="383" t="s">
        <v>523</v>
      </c>
      <c r="F1464" s="388" t="s">
        <v>343</v>
      </c>
      <c r="G1464" s="388"/>
      <c r="H1464" s="384" t="s">
        <v>343</v>
      </c>
      <c r="I1464" s="406">
        <f>I1423</f>
        <v>-130751.42</v>
      </c>
    </row>
    <row r="1465" spans="1:10" x14ac:dyDescent="0.2">
      <c r="A1465" s="383" t="s">
        <v>522</v>
      </c>
      <c r="B1465" s="397">
        <v>45962</v>
      </c>
      <c r="C1465" s="397" t="s">
        <v>535</v>
      </c>
      <c r="D1465" s="383">
        <v>5</v>
      </c>
      <c r="E1465" s="383" t="s">
        <v>532</v>
      </c>
      <c r="F1465" s="401" t="s">
        <v>345</v>
      </c>
      <c r="G1465" s="401"/>
      <c r="H1465" s="403" t="s">
        <v>345</v>
      </c>
      <c r="I1465" s="406">
        <f>I1447+I1448+I1449+I1450+I1451+I1452+I1453+I1461+I1462+I1463+I1464</f>
        <v>2403187.2300000004</v>
      </c>
      <c r="J1465" s="352">
        <f>IF(C1465="A",-I1465/I1447,I1465/I1447)</f>
        <v>0.51330447982372041</v>
      </c>
    </row>
    <row r="1466" spans="1:10" x14ac:dyDescent="0.2">
      <c r="A1466" s="383" t="s">
        <v>522</v>
      </c>
      <c r="B1466" s="397">
        <v>45962</v>
      </c>
      <c r="C1466" s="397" t="s">
        <v>534</v>
      </c>
      <c r="D1466" s="383">
        <v>6</v>
      </c>
      <c r="E1466" s="383" t="s">
        <v>524</v>
      </c>
      <c r="F1466" s="388" t="s">
        <v>349</v>
      </c>
      <c r="G1466" s="388"/>
      <c r="H1466" s="384" t="s">
        <v>473</v>
      </c>
      <c r="I1466" s="406">
        <f t="shared" ref="I1466:I1474" si="38">I1425</f>
        <v>-32876.86</v>
      </c>
    </row>
    <row r="1467" spans="1:10" x14ac:dyDescent="0.2">
      <c r="A1467" s="383" t="s">
        <v>522</v>
      </c>
      <c r="B1467" s="397">
        <v>45962</v>
      </c>
      <c r="C1467" s="397" t="s">
        <v>534</v>
      </c>
      <c r="D1467" s="383">
        <v>6</v>
      </c>
      <c r="E1467" s="383" t="s">
        <v>524</v>
      </c>
      <c r="F1467" s="388" t="s">
        <v>350</v>
      </c>
      <c r="G1467" s="388"/>
      <c r="H1467" s="384" t="s">
        <v>474</v>
      </c>
      <c r="I1467" s="406">
        <f t="shared" si="38"/>
        <v>-14821.91</v>
      </c>
    </row>
    <row r="1468" spans="1:10" x14ac:dyDescent="0.2">
      <c r="A1468" s="383" t="s">
        <v>522</v>
      </c>
      <c r="B1468" s="397">
        <v>45962</v>
      </c>
      <c r="C1468" s="397" t="s">
        <v>534</v>
      </c>
      <c r="D1468" s="383">
        <v>6</v>
      </c>
      <c r="E1468" s="383" t="s">
        <v>524</v>
      </c>
      <c r="F1468" s="388" t="s">
        <v>351</v>
      </c>
      <c r="G1468" s="388"/>
      <c r="H1468" s="384" t="s">
        <v>475</v>
      </c>
      <c r="I1468" s="406">
        <f t="shared" si="38"/>
        <v>-67344.960000000006</v>
      </c>
    </row>
    <row r="1469" spans="1:10" x14ac:dyDescent="0.2">
      <c r="A1469" s="383" t="s">
        <v>522</v>
      </c>
      <c r="B1469" s="397">
        <v>45962</v>
      </c>
      <c r="C1469" s="397" t="s">
        <v>534</v>
      </c>
      <c r="D1469" s="383">
        <v>6</v>
      </c>
      <c r="E1469" s="383" t="s">
        <v>524</v>
      </c>
      <c r="F1469" s="388" t="s">
        <v>352</v>
      </c>
      <c r="G1469" s="388"/>
      <c r="H1469" s="384" t="s">
        <v>476</v>
      </c>
      <c r="I1469" s="406">
        <f t="shared" si="38"/>
        <v>-5678.95</v>
      </c>
    </row>
    <row r="1470" spans="1:10" x14ac:dyDescent="0.2">
      <c r="A1470" s="383" t="s">
        <v>522</v>
      </c>
      <c r="B1470" s="397">
        <v>45962</v>
      </c>
      <c r="C1470" s="397" t="s">
        <v>534</v>
      </c>
      <c r="D1470" s="383">
        <v>6</v>
      </c>
      <c r="E1470" s="383" t="s">
        <v>524</v>
      </c>
      <c r="F1470" s="388" t="s">
        <v>353</v>
      </c>
      <c r="G1470" s="388"/>
      <c r="H1470" s="384" t="s">
        <v>477</v>
      </c>
      <c r="I1470" s="406">
        <f t="shared" si="38"/>
        <v>-67681.41</v>
      </c>
    </row>
    <row r="1471" spans="1:10" x14ac:dyDescent="0.2">
      <c r="A1471" s="383" t="s">
        <v>522</v>
      </c>
      <c r="B1471" s="397">
        <v>45962</v>
      </c>
      <c r="C1471" s="397" t="s">
        <v>534</v>
      </c>
      <c r="D1471" s="383">
        <v>6</v>
      </c>
      <c r="E1471" s="383" t="s">
        <v>524</v>
      </c>
      <c r="F1471" s="388" t="s">
        <v>354</v>
      </c>
      <c r="G1471" s="388"/>
      <c r="H1471" s="384" t="s">
        <v>478</v>
      </c>
      <c r="I1471" s="406">
        <f t="shared" si="38"/>
        <v>-36474.76</v>
      </c>
    </row>
    <row r="1472" spans="1:10" x14ac:dyDescent="0.2">
      <c r="A1472" s="383" t="s">
        <v>522</v>
      </c>
      <c r="B1472" s="397">
        <v>45962</v>
      </c>
      <c r="C1472" s="397" t="s">
        <v>534</v>
      </c>
      <c r="D1472" s="383">
        <v>6</v>
      </c>
      <c r="E1472" s="383" t="s">
        <v>524</v>
      </c>
      <c r="F1472" s="390" t="s">
        <v>355</v>
      </c>
      <c r="G1472" s="390"/>
      <c r="H1472" s="384" t="s">
        <v>355</v>
      </c>
      <c r="I1472" s="406">
        <f t="shared" si="38"/>
        <v>-84249.94</v>
      </c>
    </row>
    <row r="1473" spans="1:10" x14ac:dyDescent="0.2">
      <c r="A1473" s="383" t="s">
        <v>522</v>
      </c>
      <c r="B1473" s="397">
        <v>45962</v>
      </c>
      <c r="C1473" s="397" t="s">
        <v>534</v>
      </c>
      <c r="D1473" s="383">
        <v>6</v>
      </c>
      <c r="E1473" s="383" t="s">
        <v>524</v>
      </c>
      <c r="F1473" s="390" t="s">
        <v>356</v>
      </c>
      <c r="G1473" s="390"/>
      <c r="H1473" s="384" t="s">
        <v>356</v>
      </c>
      <c r="I1473" s="406">
        <f t="shared" si="38"/>
        <v>-663956.28</v>
      </c>
    </row>
    <row r="1474" spans="1:10" x14ac:dyDescent="0.2">
      <c r="A1474" s="383" t="s">
        <v>522</v>
      </c>
      <c r="B1474" s="397">
        <v>45962</v>
      </c>
      <c r="C1474" s="397" t="s">
        <v>534</v>
      </c>
      <c r="D1474" s="383">
        <v>6</v>
      </c>
      <c r="E1474" s="383" t="s">
        <v>524</v>
      </c>
      <c r="F1474" s="390" t="s">
        <v>357</v>
      </c>
      <c r="G1474" s="390"/>
      <c r="H1474" s="384" t="s">
        <v>357</v>
      </c>
      <c r="I1474" s="406">
        <f t="shared" si="38"/>
        <v>0</v>
      </c>
    </row>
    <row r="1475" spans="1:10" x14ac:dyDescent="0.2">
      <c r="A1475" s="383" t="s">
        <v>522</v>
      </c>
      <c r="B1475" s="397">
        <v>45962</v>
      </c>
      <c r="C1475" s="397" t="s">
        <v>535</v>
      </c>
      <c r="D1475" s="383">
        <v>7</v>
      </c>
      <c r="E1475" s="383" t="s">
        <v>529</v>
      </c>
      <c r="F1475" s="400" t="s">
        <v>358</v>
      </c>
      <c r="G1475" s="400"/>
      <c r="H1475" s="403" t="s">
        <v>358</v>
      </c>
      <c r="I1475" s="396">
        <f>I1465+I1466+I1467+I1468+I1469+I1470+I1471+I1472+I1473+I1474</f>
        <v>1430102.1600000004</v>
      </c>
      <c r="J1475" s="352">
        <f>IF(C1475="A",-I1475/I1447,I1475/I1447)</f>
        <v>0.30546011403929568</v>
      </c>
    </row>
    <row r="1476" spans="1:10" x14ac:dyDescent="0.2">
      <c r="A1476" s="383" t="s">
        <v>522</v>
      </c>
      <c r="B1476" s="397">
        <v>45962</v>
      </c>
      <c r="C1476" s="397" t="s">
        <v>534</v>
      </c>
      <c r="D1476" s="383">
        <v>8</v>
      </c>
      <c r="E1476" s="383" t="s">
        <v>527</v>
      </c>
      <c r="F1476" s="385" t="s">
        <v>359</v>
      </c>
      <c r="G1476" s="385"/>
      <c r="H1476" s="384" t="s">
        <v>479</v>
      </c>
      <c r="I1476" s="406">
        <f>I1435</f>
        <v>0</v>
      </c>
    </row>
    <row r="1477" spans="1:10" x14ac:dyDescent="0.2">
      <c r="A1477" s="383" t="s">
        <v>522</v>
      </c>
      <c r="B1477" s="397">
        <v>45962</v>
      </c>
      <c r="C1477" s="397" t="s">
        <v>534</v>
      </c>
      <c r="D1477" s="383">
        <v>8</v>
      </c>
      <c r="E1477" s="383" t="s">
        <v>527</v>
      </c>
      <c r="F1477" s="385" t="s">
        <v>360</v>
      </c>
      <c r="G1477" s="385"/>
      <c r="H1477" s="384" t="s">
        <v>480</v>
      </c>
      <c r="I1477" s="406">
        <f>I1436</f>
        <v>31212.34</v>
      </c>
    </row>
    <row r="1478" spans="1:10" x14ac:dyDescent="0.2">
      <c r="A1478" s="383" t="s">
        <v>522</v>
      </c>
      <c r="B1478" s="397">
        <v>45962</v>
      </c>
      <c r="C1478" s="397" t="s">
        <v>534</v>
      </c>
      <c r="D1478" s="383">
        <v>8</v>
      </c>
      <c r="E1478" s="383" t="s">
        <v>527</v>
      </c>
      <c r="F1478" s="390" t="s">
        <v>361</v>
      </c>
      <c r="G1478" s="390"/>
      <c r="H1478" s="384" t="s">
        <v>481</v>
      </c>
      <c r="I1478" s="406">
        <f>I1437</f>
        <v>-20017.18</v>
      </c>
    </row>
    <row r="1479" spans="1:10" x14ac:dyDescent="0.2">
      <c r="A1479" s="383" t="s">
        <v>522</v>
      </c>
      <c r="B1479" s="397">
        <v>45962</v>
      </c>
      <c r="C1479" s="397" t="s">
        <v>534</v>
      </c>
      <c r="D1479" s="383">
        <v>9</v>
      </c>
      <c r="E1479" s="383" t="s">
        <v>526</v>
      </c>
      <c r="F1479" s="390" t="s">
        <v>363</v>
      </c>
      <c r="G1479" s="390"/>
      <c r="H1479" s="405" t="s">
        <v>363</v>
      </c>
      <c r="I1479" s="396">
        <f>I1438-I1445</f>
        <v>-774848.78</v>
      </c>
    </row>
    <row r="1480" spans="1:10" x14ac:dyDescent="0.2">
      <c r="A1480" s="383" t="s">
        <v>522</v>
      </c>
      <c r="B1480" s="397">
        <v>45962</v>
      </c>
      <c r="C1480" s="397" t="s">
        <v>534</v>
      </c>
      <c r="D1480" s="383">
        <v>9</v>
      </c>
      <c r="E1480" s="383" t="s">
        <v>526</v>
      </c>
      <c r="F1480" s="390" t="s">
        <v>364</v>
      </c>
      <c r="G1480" s="390"/>
      <c r="H1480" s="384" t="s">
        <v>364</v>
      </c>
      <c r="I1480" s="406">
        <f>I1439</f>
        <v>-32092.9664204</v>
      </c>
    </row>
    <row r="1481" spans="1:10" x14ac:dyDescent="0.2">
      <c r="A1481" s="383" t="s">
        <v>522</v>
      </c>
      <c r="B1481" s="397">
        <v>45962</v>
      </c>
      <c r="C1481" s="397" t="s">
        <v>534</v>
      </c>
      <c r="D1481" s="383">
        <v>9</v>
      </c>
      <c r="E1481" s="383" t="s">
        <v>526</v>
      </c>
      <c r="F1481" s="394" t="s">
        <v>273</v>
      </c>
      <c r="G1481" s="394"/>
      <c r="H1481" s="398" t="s">
        <v>563</v>
      </c>
      <c r="I1481" s="406">
        <f>I1440</f>
        <v>0</v>
      </c>
    </row>
    <row r="1482" spans="1:10" x14ac:dyDescent="0.2">
      <c r="A1482" s="383" t="s">
        <v>522</v>
      </c>
      <c r="B1482" s="397">
        <v>45962</v>
      </c>
      <c r="C1482" s="397" t="s">
        <v>534</v>
      </c>
      <c r="D1482" s="383">
        <v>10</v>
      </c>
      <c r="E1482" s="383" t="s">
        <v>452</v>
      </c>
      <c r="F1482" s="400" t="s">
        <v>365</v>
      </c>
      <c r="G1482" s="400"/>
      <c r="H1482" s="403" t="s">
        <v>365</v>
      </c>
      <c r="I1482" s="396">
        <f>I1448+I1449+I1450+I1451+I1452+I1453+I1461+I1462+I1463+I1464+I1466+I1467+I1468+I1469+I1470+I1471+I1472+I1473+I1474+I1476+I1477+I1478+I1479+I1480+I1481</f>
        <v>-4047441.1464203997</v>
      </c>
      <c r="J1482" s="352">
        <f>IF(C1482="A",-I1482/I1447,I1482/I1447)</f>
        <v>0.86450595540175434</v>
      </c>
    </row>
    <row r="1483" spans="1:10" x14ac:dyDescent="0.2">
      <c r="A1483" s="383" t="s">
        <v>522</v>
      </c>
      <c r="B1483" s="397">
        <v>45962</v>
      </c>
      <c r="C1483" s="397" t="s">
        <v>535</v>
      </c>
      <c r="D1483" s="383">
        <v>11</v>
      </c>
      <c r="E1483" s="383" t="s">
        <v>528</v>
      </c>
      <c r="F1483" s="400" t="s">
        <v>367</v>
      </c>
      <c r="G1483" s="400"/>
      <c r="H1483" s="405" t="s">
        <v>367</v>
      </c>
      <c r="I1483" s="395">
        <f>I1447+I1482</f>
        <v>634355.57357960008</v>
      </c>
      <c r="J1483" s="352">
        <f>IF(C1483="A",-I1483/I1447,I1483/I1447)</f>
        <v>0.13549404459824563</v>
      </c>
    </row>
    <row r="1484" spans="1:10" ht="14.25" x14ac:dyDescent="0.2">
      <c r="A1484" s="383" t="s">
        <v>73</v>
      </c>
      <c r="B1484" s="397">
        <v>45992</v>
      </c>
      <c r="C1484" s="397" t="s">
        <v>536</v>
      </c>
      <c r="D1484" s="383">
        <v>1</v>
      </c>
      <c r="E1484" s="384" t="s">
        <v>530</v>
      </c>
      <c r="F1484" s="400" t="s">
        <v>440</v>
      </c>
      <c r="G1484" s="459" t="s">
        <v>324</v>
      </c>
      <c r="H1484" s="384" t="s">
        <v>440</v>
      </c>
      <c r="I1484" s="383">
        <f>INDEX(DRE!$W$2:$AS$53, MATCH('DRE 2025'!G1484,DRE!$D$2:$D$53,0), MATCH(B1484, DRE!$W$1:$AS$1, 0))</f>
        <v>7347433.0200000014</v>
      </c>
      <c r="J1484" s="352">
        <v>1</v>
      </c>
    </row>
    <row r="1485" spans="1:10" x14ac:dyDescent="0.2">
      <c r="A1485" s="383" t="s">
        <v>73</v>
      </c>
      <c r="B1485" s="397">
        <v>45992</v>
      </c>
      <c r="C1485" s="397" t="s">
        <v>534</v>
      </c>
      <c r="D1485" s="383">
        <v>2</v>
      </c>
      <c r="E1485" s="384" t="s">
        <v>325</v>
      </c>
      <c r="F1485" s="390" t="s">
        <v>326</v>
      </c>
      <c r="G1485" s="461" t="s">
        <v>326</v>
      </c>
      <c r="H1485" s="384" t="s">
        <v>519</v>
      </c>
      <c r="I1485" s="383">
        <f>INDEX(DRE!$W$2:$AS$53, MATCH('DRE 2025'!G1485,DRE!$D$2:$D$53,0), MATCH(B1485, DRE!$W$1:$AS$1, 0))</f>
        <v>-401095.77</v>
      </c>
    </row>
    <row r="1486" spans="1:10" x14ac:dyDescent="0.2">
      <c r="A1486" s="383" t="s">
        <v>73</v>
      </c>
      <c r="B1486" s="397">
        <v>45992</v>
      </c>
      <c r="C1486" s="397" t="s">
        <v>534</v>
      </c>
      <c r="D1486" s="383">
        <v>2</v>
      </c>
      <c r="E1486" s="384" t="s">
        <v>325</v>
      </c>
      <c r="F1486" s="385" t="s">
        <v>328</v>
      </c>
      <c r="G1486" s="462" t="s">
        <v>328</v>
      </c>
      <c r="H1486" s="384" t="s">
        <v>521</v>
      </c>
      <c r="I1486" s="383">
        <f>INDEX(DRE!$W$2:$AS$53, MATCH('DRE 2025'!G1486,DRE!$D$2:$D$53,0), MATCH(B1486, DRE!$W$1:$AS$1, 0))</f>
        <v>-10477.135</v>
      </c>
    </row>
    <row r="1487" spans="1:10" x14ac:dyDescent="0.2">
      <c r="A1487" s="383" t="s">
        <v>73</v>
      </c>
      <c r="B1487" s="397">
        <v>45992</v>
      </c>
      <c r="C1487" s="397" t="s">
        <v>534</v>
      </c>
      <c r="D1487" s="383">
        <v>2</v>
      </c>
      <c r="E1487" s="384" t="s">
        <v>325</v>
      </c>
      <c r="F1487" s="385" t="s">
        <v>329</v>
      </c>
      <c r="G1487" s="462" t="s">
        <v>329</v>
      </c>
      <c r="H1487" s="384" t="s">
        <v>329</v>
      </c>
      <c r="I1487" s="383">
        <f>INDEX(DRE!$W$2:$AS$53, MATCH('DRE 2025'!G1487,DRE!$D$2:$D$53,0), MATCH(B1487, DRE!$W$1:$AS$1, 0))</f>
        <v>0</v>
      </c>
    </row>
    <row r="1488" spans="1:10" x14ac:dyDescent="0.2">
      <c r="A1488" s="383" t="s">
        <v>73</v>
      </c>
      <c r="B1488" s="397">
        <v>45992</v>
      </c>
      <c r="C1488" s="397" t="s">
        <v>534</v>
      </c>
      <c r="D1488" s="383">
        <v>2</v>
      </c>
      <c r="E1488" s="384" t="s">
        <v>325</v>
      </c>
      <c r="F1488" s="385" t="s">
        <v>330</v>
      </c>
      <c r="G1488" s="462" t="s">
        <v>565</v>
      </c>
      <c r="H1488" s="384" t="s">
        <v>330</v>
      </c>
      <c r="I1488" s="383">
        <f>INDEX(DRE!$W$2:$AS$53, MATCH('DRE 2025'!G1488,DRE!$D$2:$D$53,0), MATCH(B1488, DRE!$W$1:$AS$1, 0))</f>
        <v>-40746.93</v>
      </c>
    </row>
    <row r="1489" spans="1:10" x14ac:dyDescent="0.2">
      <c r="A1489" s="383" t="s">
        <v>73</v>
      </c>
      <c r="B1489" s="397">
        <v>45992</v>
      </c>
      <c r="C1489" s="397" t="s">
        <v>534</v>
      </c>
      <c r="D1489" s="383">
        <v>2</v>
      </c>
      <c r="E1489" s="384" t="s">
        <v>325</v>
      </c>
      <c r="F1489" s="385" t="s">
        <v>331</v>
      </c>
      <c r="G1489" s="462" t="s">
        <v>331</v>
      </c>
      <c r="H1489" s="384" t="s">
        <v>331</v>
      </c>
      <c r="I1489" s="383">
        <f>INDEX(DRE!$W$2:$AS$53, MATCH('DRE 2025'!G1489,DRE!$D$2:$D$53,0), MATCH(B1489, DRE!$W$1:$AS$1, 0))</f>
        <v>-0.01</v>
      </c>
    </row>
    <row r="1490" spans="1:10" x14ac:dyDescent="0.2">
      <c r="A1490" s="383" t="s">
        <v>73</v>
      </c>
      <c r="B1490" s="397">
        <v>45992</v>
      </c>
      <c r="C1490" s="397" t="s">
        <v>534</v>
      </c>
      <c r="D1490" s="383">
        <v>2</v>
      </c>
      <c r="E1490" s="384" t="s">
        <v>325</v>
      </c>
      <c r="F1490" s="384" t="s">
        <v>332</v>
      </c>
      <c r="G1490" s="463" t="s">
        <v>332</v>
      </c>
      <c r="H1490" s="384" t="s">
        <v>520</v>
      </c>
      <c r="I1490" s="383">
        <f>INDEX(DRE!$W$2:$AS$53, MATCH('DRE 2025'!G1490,DRE!$D$2:$D$53,0), MATCH(B1490, DRE!$W$1:$AS$1, 0))</f>
        <v>0</v>
      </c>
    </row>
    <row r="1491" spans="1:10" x14ac:dyDescent="0.2">
      <c r="A1491" s="383" t="s">
        <v>73</v>
      </c>
      <c r="B1491" s="397">
        <v>45992</v>
      </c>
      <c r="C1491" s="397" t="s">
        <v>535</v>
      </c>
      <c r="D1491" s="383">
        <v>3</v>
      </c>
      <c r="E1491" s="384" t="s">
        <v>531</v>
      </c>
      <c r="F1491" s="385" t="s">
        <v>334</v>
      </c>
      <c r="G1491" s="462" t="s">
        <v>334</v>
      </c>
      <c r="H1491" s="384" t="s">
        <v>334</v>
      </c>
      <c r="I1491" s="383">
        <f>INDEX(DRE!$W$2:$AS$53, MATCH('DRE 2025'!G1491,DRE!$D$2:$D$53,0), MATCH(B1491, DRE!$W$1:$AS$1, 0))</f>
        <v>6386309.2800000003</v>
      </c>
    </row>
    <row r="1492" spans="1:10" x14ac:dyDescent="0.2">
      <c r="A1492" s="383" t="s">
        <v>73</v>
      </c>
      <c r="B1492" s="397">
        <v>45992</v>
      </c>
      <c r="C1492" s="397" t="s">
        <v>535</v>
      </c>
      <c r="D1492" s="383">
        <v>3</v>
      </c>
      <c r="E1492" s="384" t="s">
        <v>531</v>
      </c>
      <c r="F1492" s="385" t="s">
        <v>335</v>
      </c>
      <c r="G1492" s="462" t="s">
        <v>335</v>
      </c>
      <c r="H1492" s="384" t="s">
        <v>335</v>
      </c>
      <c r="I1492" s="383">
        <f>INDEX(DRE!$W$2:$AS$53, MATCH('DRE 2025'!G1492,DRE!$D$2:$D$53,0), MATCH(B1492, DRE!$W$1:$AS$1, 0))</f>
        <v>501699.87</v>
      </c>
    </row>
    <row r="1493" spans="1:10" x14ac:dyDescent="0.2">
      <c r="A1493" s="383" t="s">
        <v>73</v>
      </c>
      <c r="B1493" s="397">
        <v>45992</v>
      </c>
      <c r="C1493" s="397" t="s">
        <v>535</v>
      </c>
      <c r="D1493" s="383">
        <v>3</v>
      </c>
      <c r="E1493" s="384" t="s">
        <v>531</v>
      </c>
      <c r="F1493" s="385" t="s">
        <v>336</v>
      </c>
      <c r="G1493" s="462" t="s">
        <v>336</v>
      </c>
      <c r="H1493" s="384" t="s">
        <v>336</v>
      </c>
      <c r="I1493" s="383">
        <f>INDEX(DRE!$W$2:$AS$53, MATCH('DRE 2025'!G1493,DRE!$D$2:$D$53,0), MATCH(B1493, DRE!$W$1:$AS$1, 0))</f>
        <v>3026.68</v>
      </c>
    </row>
    <row r="1494" spans="1:10" x14ac:dyDescent="0.2">
      <c r="A1494" s="383" t="s">
        <v>73</v>
      </c>
      <c r="B1494" s="397">
        <v>45992</v>
      </c>
      <c r="C1494" s="397" t="s">
        <v>535</v>
      </c>
      <c r="D1494" s="383">
        <v>3</v>
      </c>
      <c r="E1494" s="384" t="s">
        <v>531</v>
      </c>
      <c r="F1494" s="387" t="s">
        <v>273</v>
      </c>
      <c r="G1494" s="464" t="s">
        <v>562</v>
      </c>
      <c r="H1494" s="384" t="s">
        <v>562</v>
      </c>
      <c r="I1494" s="383">
        <f>INDEX(DRE!$W$2:$AS$53, MATCH('DRE 2025'!G1494,DRE!$D$2:$D$53,0), MATCH(B1494, DRE!$W$1:$AS$1, 0))</f>
        <v>0</v>
      </c>
    </row>
    <row r="1495" spans="1:10" x14ac:dyDescent="0.2">
      <c r="A1495" s="383" t="s">
        <v>73</v>
      </c>
      <c r="B1495" s="397">
        <v>45992</v>
      </c>
      <c r="C1495" s="397" t="s">
        <v>535</v>
      </c>
      <c r="D1495" s="383">
        <v>3</v>
      </c>
      <c r="E1495" s="384" t="s">
        <v>531</v>
      </c>
      <c r="F1495" s="387" t="s">
        <v>513</v>
      </c>
      <c r="G1495" s="464" t="s">
        <v>513</v>
      </c>
      <c r="H1495" s="384" t="s">
        <v>513</v>
      </c>
      <c r="I1495" s="383" t="e">
        <f>INDEX(DRE!$W$2:$AS$53, MATCH('DRE 2025'!G1495,DRE!$D$2:$D$53,0), MATCH(B1495, DRE!$W$1:$AS$1, 0))</f>
        <v>#N/A</v>
      </c>
    </row>
    <row r="1496" spans="1:10" x14ac:dyDescent="0.2">
      <c r="A1496" s="383" t="s">
        <v>73</v>
      </c>
      <c r="B1496" s="397">
        <v>45992</v>
      </c>
      <c r="C1496" s="397" t="s">
        <v>535</v>
      </c>
      <c r="D1496" s="383">
        <v>3</v>
      </c>
      <c r="E1496" s="384" t="s">
        <v>531</v>
      </c>
      <c r="F1496" s="387" t="s">
        <v>514</v>
      </c>
      <c r="G1496" s="464" t="s">
        <v>514</v>
      </c>
      <c r="H1496" s="384" t="s">
        <v>514</v>
      </c>
      <c r="I1496" s="383" t="e">
        <f>INDEX(DRE!$W$2:$AS$53, MATCH('DRE 2025'!G1496,DRE!$D$2:$D$53,0), MATCH(B1496, DRE!$W$1:$AS$1, 0))</f>
        <v>#N/A</v>
      </c>
    </row>
    <row r="1497" spans="1:10" x14ac:dyDescent="0.2">
      <c r="A1497" s="383" t="s">
        <v>73</v>
      </c>
      <c r="B1497" s="397">
        <v>45992</v>
      </c>
      <c r="C1497" s="397" t="s">
        <v>535</v>
      </c>
      <c r="D1497" s="383">
        <v>3</v>
      </c>
      <c r="E1497" s="384" t="s">
        <v>531</v>
      </c>
      <c r="F1497" s="385" t="s">
        <v>337</v>
      </c>
      <c r="G1497" s="462" t="s">
        <v>337</v>
      </c>
      <c r="H1497" s="384" t="s">
        <v>337</v>
      </c>
      <c r="I1497" s="383">
        <f>INDEX(DRE!$W$2:$AS$53, MATCH('DRE 2025'!G1497,DRE!$D$2:$D$53,0), MATCH(B1497, DRE!$W$1:$AS$1, 0))</f>
        <v>8666.7800000000007</v>
      </c>
    </row>
    <row r="1498" spans="1:10" x14ac:dyDescent="0.2">
      <c r="A1498" s="383" t="s">
        <v>73</v>
      </c>
      <c r="B1498" s="397">
        <v>45992</v>
      </c>
      <c r="C1498" s="397" t="s">
        <v>534</v>
      </c>
      <c r="D1498" s="383">
        <v>4</v>
      </c>
      <c r="E1498" s="383" t="s">
        <v>523</v>
      </c>
      <c r="F1498" s="388" t="s">
        <v>340</v>
      </c>
      <c r="G1498" s="465" t="s">
        <v>340</v>
      </c>
      <c r="H1498" s="384" t="s">
        <v>340</v>
      </c>
      <c r="I1498" s="383">
        <f>INDEX(DRE!$W$2:$AS$53, MATCH('DRE 2025'!G1498,DRE!$D$2:$D$53,0), MATCH(B1498, DRE!$W$1:$AS$1, 0))</f>
        <v>-11083.78</v>
      </c>
    </row>
    <row r="1499" spans="1:10" x14ac:dyDescent="0.2">
      <c r="A1499" s="383" t="s">
        <v>73</v>
      </c>
      <c r="B1499" s="397">
        <v>45992</v>
      </c>
      <c r="C1499" s="397" t="s">
        <v>534</v>
      </c>
      <c r="D1499" s="383">
        <v>4</v>
      </c>
      <c r="E1499" s="383" t="s">
        <v>523</v>
      </c>
      <c r="F1499" s="388" t="s">
        <v>341</v>
      </c>
      <c r="G1499" s="465" t="s">
        <v>341</v>
      </c>
      <c r="H1499" s="384" t="s">
        <v>341</v>
      </c>
      <c r="I1499" s="383">
        <f>INDEX(DRE!$W$2:$AS$53, MATCH('DRE 2025'!G1499,DRE!$D$2:$D$53,0), MATCH(B1499, DRE!$W$1:$AS$1, 0))</f>
        <v>-201028.6</v>
      </c>
    </row>
    <row r="1500" spans="1:10" x14ac:dyDescent="0.2">
      <c r="A1500" s="383" t="s">
        <v>73</v>
      </c>
      <c r="B1500" s="397">
        <v>45992</v>
      </c>
      <c r="C1500" s="397" t="s">
        <v>534</v>
      </c>
      <c r="D1500" s="383">
        <v>4</v>
      </c>
      <c r="E1500" s="383" t="s">
        <v>523</v>
      </c>
      <c r="F1500" s="388" t="s">
        <v>342</v>
      </c>
      <c r="G1500" s="465" t="s">
        <v>342</v>
      </c>
      <c r="H1500" s="384" t="s">
        <v>342</v>
      </c>
      <c r="I1500" s="383">
        <f>INDEX(DRE!$W$2:$AS$53, MATCH('DRE 2025'!G1500,DRE!$D$2:$D$53,0), MATCH(B1500, DRE!$W$1:$AS$1, 0))</f>
        <v>-1708820.5143999998</v>
      </c>
    </row>
    <row r="1501" spans="1:10" x14ac:dyDescent="0.2">
      <c r="A1501" s="383" t="s">
        <v>73</v>
      </c>
      <c r="B1501" s="397">
        <v>45992</v>
      </c>
      <c r="C1501" s="397" t="s">
        <v>534</v>
      </c>
      <c r="D1501" s="383">
        <v>4</v>
      </c>
      <c r="E1501" s="383" t="s">
        <v>523</v>
      </c>
      <c r="F1501" s="388" t="s">
        <v>343</v>
      </c>
      <c r="G1501" s="465" t="s">
        <v>343</v>
      </c>
      <c r="H1501" s="384" t="s">
        <v>343</v>
      </c>
      <c r="I1501" s="383">
        <f>INDEX(DRE!$W$2:$AS$53, MATCH('DRE 2025'!G1501,DRE!$D$2:$D$53,0), MATCH(B1501, DRE!$W$1:$AS$1, 0))</f>
        <v>-85063.74</v>
      </c>
    </row>
    <row r="1502" spans="1:10" x14ac:dyDescent="0.2">
      <c r="A1502" s="383" t="s">
        <v>73</v>
      </c>
      <c r="B1502" s="397">
        <v>45992</v>
      </c>
      <c r="C1502" s="397" t="s">
        <v>535</v>
      </c>
      <c r="D1502" s="383">
        <v>5</v>
      </c>
      <c r="E1502" s="383" t="s">
        <v>532</v>
      </c>
      <c r="F1502" s="401" t="s">
        <v>345</v>
      </c>
      <c r="G1502" s="401"/>
      <c r="H1502" s="402" t="s">
        <v>345</v>
      </c>
      <c r="I1502" s="406" t="e">
        <f>I1491+I1492+I1493+I1494+I1495+I1496+I1497+I1498+I1499+I1500+I1501</f>
        <v>#N/A</v>
      </c>
      <c r="J1502" s="352" t="e">
        <f>IF(C1502="A",-I1502/I1484,I1502/I1484)</f>
        <v>#N/A</v>
      </c>
    </row>
    <row r="1503" spans="1:10" x14ac:dyDescent="0.2">
      <c r="A1503" s="383" t="s">
        <v>73</v>
      </c>
      <c r="B1503" s="397">
        <v>45992</v>
      </c>
      <c r="C1503" s="397" t="s">
        <v>534</v>
      </c>
      <c r="D1503" s="383">
        <v>6</v>
      </c>
      <c r="E1503" s="383" t="s">
        <v>524</v>
      </c>
      <c r="F1503" s="388" t="s">
        <v>349</v>
      </c>
      <c r="G1503" s="465" t="s">
        <v>349</v>
      </c>
      <c r="H1503" s="384" t="s">
        <v>473</v>
      </c>
      <c r="I1503" s="383">
        <f>INDEX(DRE!$W$2:$AS$53, MATCH('DRE 2025'!G1503,DRE!$D$2:$D$53,0), MATCH(B1503, DRE!$W$1:$AS$1, 0))</f>
        <v>-34309.64</v>
      </c>
    </row>
    <row r="1504" spans="1:10" x14ac:dyDescent="0.2">
      <c r="A1504" s="383" t="s">
        <v>73</v>
      </c>
      <c r="B1504" s="397">
        <v>45992</v>
      </c>
      <c r="C1504" s="397" t="s">
        <v>534</v>
      </c>
      <c r="D1504" s="383">
        <v>6</v>
      </c>
      <c r="E1504" s="383" t="s">
        <v>524</v>
      </c>
      <c r="F1504" s="388" t="s">
        <v>350</v>
      </c>
      <c r="G1504" s="465" t="s">
        <v>350</v>
      </c>
      <c r="H1504" s="384" t="s">
        <v>474</v>
      </c>
      <c r="I1504" s="383">
        <f>INDEX(DRE!$W$2:$AS$53, MATCH('DRE 2025'!G1504,DRE!$D$2:$D$53,0), MATCH(B1504, DRE!$W$1:$AS$1, 0))</f>
        <v>-20825.16</v>
      </c>
    </row>
    <row r="1505" spans="1:10" x14ac:dyDescent="0.2">
      <c r="A1505" s="383" t="s">
        <v>73</v>
      </c>
      <c r="B1505" s="397">
        <v>45992</v>
      </c>
      <c r="C1505" s="397" t="s">
        <v>534</v>
      </c>
      <c r="D1505" s="383">
        <v>6</v>
      </c>
      <c r="E1505" s="383" t="s">
        <v>524</v>
      </c>
      <c r="F1505" s="388" t="s">
        <v>351</v>
      </c>
      <c r="G1505" s="465" t="s">
        <v>351</v>
      </c>
      <c r="H1505" s="384" t="s">
        <v>475</v>
      </c>
      <c r="I1505" s="383">
        <f>INDEX(DRE!$W$2:$AS$53, MATCH('DRE 2025'!G1505,DRE!$D$2:$D$53,0), MATCH(B1505, DRE!$W$1:$AS$1, 0))</f>
        <v>-54501.75</v>
      </c>
    </row>
    <row r="1506" spans="1:10" x14ac:dyDescent="0.2">
      <c r="A1506" s="383" t="s">
        <v>73</v>
      </c>
      <c r="B1506" s="397">
        <v>45992</v>
      </c>
      <c r="C1506" s="397" t="s">
        <v>534</v>
      </c>
      <c r="D1506" s="383">
        <v>6</v>
      </c>
      <c r="E1506" s="383" t="s">
        <v>524</v>
      </c>
      <c r="F1506" s="388" t="s">
        <v>352</v>
      </c>
      <c r="G1506" s="465" t="s">
        <v>352</v>
      </c>
      <c r="H1506" s="384" t="s">
        <v>476</v>
      </c>
      <c r="I1506" s="383">
        <f>INDEX(DRE!$W$2:$AS$53, MATCH('DRE 2025'!G1506,DRE!$D$2:$D$53,0), MATCH(B1506, DRE!$W$1:$AS$1, 0))</f>
        <v>-6292.98</v>
      </c>
    </row>
    <row r="1507" spans="1:10" x14ac:dyDescent="0.2">
      <c r="A1507" s="383" t="s">
        <v>73</v>
      </c>
      <c r="B1507" s="397">
        <v>45992</v>
      </c>
      <c r="C1507" s="397" t="s">
        <v>534</v>
      </c>
      <c r="D1507" s="383">
        <v>6</v>
      </c>
      <c r="E1507" s="383" t="s">
        <v>524</v>
      </c>
      <c r="F1507" s="388" t="s">
        <v>353</v>
      </c>
      <c r="G1507" s="465" t="s">
        <v>353</v>
      </c>
      <c r="H1507" s="384" t="s">
        <v>477</v>
      </c>
      <c r="I1507" s="383">
        <f>INDEX(DRE!$W$2:$AS$53, MATCH('DRE 2025'!G1507,DRE!$D$2:$D$53,0), MATCH(B1507, DRE!$W$1:$AS$1, 0))</f>
        <v>-63040.480000000003</v>
      </c>
    </row>
    <row r="1508" spans="1:10" x14ac:dyDescent="0.2">
      <c r="A1508" s="383" t="s">
        <v>73</v>
      </c>
      <c r="B1508" s="397">
        <v>45992</v>
      </c>
      <c r="C1508" s="397" t="s">
        <v>534</v>
      </c>
      <c r="D1508" s="383">
        <v>6</v>
      </c>
      <c r="E1508" s="383" t="s">
        <v>524</v>
      </c>
      <c r="F1508" s="388" t="s">
        <v>354</v>
      </c>
      <c r="G1508" s="465" t="s">
        <v>354</v>
      </c>
      <c r="H1508" s="384" t="s">
        <v>478</v>
      </c>
      <c r="I1508" s="383">
        <f>INDEX(DRE!$W$2:$AS$53, MATCH('DRE 2025'!G1508,DRE!$D$2:$D$53,0), MATCH(B1508, DRE!$W$1:$AS$1, 0))</f>
        <v>-37518.379999999997</v>
      </c>
    </row>
    <row r="1509" spans="1:10" x14ac:dyDescent="0.2">
      <c r="A1509" s="383" t="s">
        <v>73</v>
      </c>
      <c r="B1509" s="397">
        <v>45992</v>
      </c>
      <c r="C1509" s="397" t="s">
        <v>534</v>
      </c>
      <c r="D1509" s="383">
        <v>6</v>
      </c>
      <c r="E1509" s="383" t="s">
        <v>524</v>
      </c>
      <c r="F1509" s="390" t="s">
        <v>355</v>
      </c>
      <c r="G1509" s="461" t="s">
        <v>355</v>
      </c>
      <c r="H1509" s="384" t="s">
        <v>355</v>
      </c>
      <c r="I1509" s="383">
        <f>INDEX(DRE!$W$2:$AS$53, MATCH('DRE 2025'!G1509,DRE!$D$2:$D$53,0), MATCH(B1509, DRE!$W$1:$AS$1, 0))</f>
        <v>-83355.8</v>
      </c>
    </row>
    <row r="1510" spans="1:10" x14ac:dyDescent="0.2">
      <c r="A1510" s="383" t="s">
        <v>73</v>
      </c>
      <c r="B1510" s="397">
        <v>45992</v>
      </c>
      <c r="C1510" s="397" t="s">
        <v>534</v>
      </c>
      <c r="D1510" s="383">
        <v>6</v>
      </c>
      <c r="E1510" s="383" t="s">
        <v>524</v>
      </c>
      <c r="F1510" s="390" t="s">
        <v>356</v>
      </c>
      <c r="G1510" s="461" t="s">
        <v>356</v>
      </c>
      <c r="H1510" s="384" t="s">
        <v>356</v>
      </c>
      <c r="I1510" s="383">
        <f>INDEX(DRE!$W$2:$AS$53, MATCH('DRE 2025'!G1510,DRE!$D$2:$D$53,0), MATCH(B1510, DRE!$W$1:$AS$1, 0))</f>
        <v>-878147.71000000008</v>
      </c>
    </row>
    <row r="1511" spans="1:10" x14ac:dyDescent="0.2">
      <c r="A1511" s="383" t="s">
        <v>73</v>
      </c>
      <c r="B1511" s="397">
        <v>45992</v>
      </c>
      <c r="C1511" s="397" t="s">
        <v>534</v>
      </c>
      <c r="D1511" s="383">
        <v>6</v>
      </c>
      <c r="E1511" s="383" t="s">
        <v>524</v>
      </c>
      <c r="F1511" s="390" t="s">
        <v>357</v>
      </c>
      <c r="G1511" s="461" t="s">
        <v>357</v>
      </c>
      <c r="H1511" s="384" t="s">
        <v>357</v>
      </c>
      <c r="I1511" s="383">
        <f>INDEX(DRE!$W$2:$AS$53, MATCH('DRE 2025'!G1511,DRE!$D$2:$D$53,0), MATCH(B1511, DRE!$W$1:$AS$1, 0))</f>
        <v>0</v>
      </c>
    </row>
    <row r="1512" spans="1:10" x14ac:dyDescent="0.2">
      <c r="A1512" s="383" t="s">
        <v>73</v>
      </c>
      <c r="B1512" s="397">
        <v>45992</v>
      </c>
      <c r="C1512" s="397" t="s">
        <v>535</v>
      </c>
      <c r="D1512" s="383">
        <v>7</v>
      </c>
      <c r="E1512" s="383" t="s">
        <v>529</v>
      </c>
      <c r="F1512" s="400" t="s">
        <v>358</v>
      </c>
      <c r="G1512" s="400"/>
      <c r="H1512" s="403" t="s">
        <v>358</v>
      </c>
      <c r="I1512" s="396" t="e">
        <f>I1502+I1503+I1504+I1505+I1506+I1507+I1508+I1509+I1510+I1511</f>
        <v>#N/A</v>
      </c>
      <c r="J1512" s="352" t="e">
        <f>IF(C1512="A",-I1512/I1484,I1512/I1484)</f>
        <v>#N/A</v>
      </c>
    </row>
    <row r="1513" spans="1:10" x14ac:dyDescent="0.2">
      <c r="A1513" s="383" t="s">
        <v>73</v>
      </c>
      <c r="B1513" s="397">
        <v>45992</v>
      </c>
      <c r="C1513" s="397" t="s">
        <v>534</v>
      </c>
      <c r="D1513" s="383">
        <v>8</v>
      </c>
      <c r="E1513" s="383" t="s">
        <v>527</v>
      </c>
      <c r="F1513" s="385" t="s">
        <v>359</v>
      </c>
      <c r="G1513" s="462" t="s">
        <v>359</v>
      </c>
      <c r="H1513" s="384" t="s">
        <v>479</v>
      </c>
      <c r="I1513" s="383">
        <f>INDEX(DRE!$W$2:$AS$53, MATCH('DRE 2025'!G1513,DRE!$D$2:$D$53,0), MATCH(B1513, DRE!$W$1:$AS$1, 0))</f>
        <v>2574.7600000000002</v>
      </c>
    </row>
    <row r="1514" spans="1:10" x14ac:dyDescent="0.2">
      <c r="A1514" s="383" t="s">
        <v>73</v>
      </c>
      <c r="B1514" s="397">
        <v>45992</v>
      </c>
      <c r="C1514" s="397" t="s">
        <v>534</v>
      </c>
      <c r="D1514" s="383">
        <v>8</v>
      </c>
      <c r="E1514" s="383" t="s">
        <v>527</v>
      </c>
      <c r="F1514" s="385" t="s">
        <v>360</v>
      </c>
      <c r="G1514" s="462" t="s">
        <v>360</v>
      </c>
      <c r="H1514" s="384" t="s">
        <v>480</v>
      </c>
      <c r="I1514" s="383">
        <f>INDEX(DRE!$W$2:$AS$53, MATCH('DRE 2025'!G1514,DRE!$D$2:$D$53,0), MATCH(B1514, DRE!$W$1:$AS$1, 0))</f>
        <v>65169.86</v>
      </c>
    </row>
    <row r="1515" spans="1:10" x14ac:dyDescent="0.2">
      <c r="A1515" s="383" t="s">
        <v>73</v>
      </c>
      <c r="B1515" s="397">
        <v>45992</v>
      </c>
      <c r="C1515" s="397" t="s">
        <v>534</v>
      </c>
      <c r="D1515" s="383">
        <v>8</v>
      </c>
      <c r="E1515" s="383" t="s">
        <v>527</v>
      </c>
      <c r="F1515" s="390" t="s">
        <v>361</v>
      </c>
      <c r="G1515" s="466" t="s">
        <v>361</v>
      </c>
      <c r="H1515" s="384" t="s">
        <v>481</v>
      </c>
      <c r="I1515" s="383">
        <f>INDEX(DRE!$W$2:$AS$53, MATCH('DRE 2025'!G1515,DRE!$D$2:$D$53,0), MATCH(B1515, DRE!$W$1:$AS$1, 0))</f>
        <v>-36805.29</v>
      </c>
    </row>
    <row r="1516" spans="1:10" x14ac:dyDescent="0.2">
      <c r="A1516" s="383" t="s">
        <v>73</v>
      </c>
      <c r="B1516" s="397">
        <v>45992</v>
      </c>
      <c r="C1516" s="397" t="s">
        <v>534</v>
      </c>
      <c r="D1516" s="383">
        <v>9</v>
      </c>
      <c r="E1516" s="383" t="s">
        <v>526</v>
      </c>
      <c r="F1516" s="390" t="s">
        <v>363</v>
      </c>
      <c r="G1516" s="461" t="s">
        <v>363</v>
      </c>
      <c r="H1516" s="384" t="s">
        <v>363</v>
      </c>
      <c r="I1516" s="383">
        <f>INDEX(DRE!$W$2:$AS$53, MATCH('DRE 2025'!G1516,DRE!$D$2:$D$53,0), MATCH(B1516, DRE!$W$1:$AS$1, 0))</f>
        <v>-830237.19</v>
      </c>
    </row>
    <row r="1517" spans="1:10" x14ac:dyDescent="0.2">
      <c r="A1517" s="383" t="s">
        <v>73</v>
      </c>
      <c r="B1517" s="397">
        <v>45992</v>
      </c>
      <c r="C1517" s="397" t="s">
        <v>534</v>
      </c>
      <c r="D1517" s="383">
        <v>9</v>
      </c>
      <c r="E1517" s="383" t="s">
        <v>526</v>
      </c>
      <c r="F1517" s="390" t="s">
        <v>364</v>
      </c>
      <c r="G1517" s="461" t="s">
        <v>364</v>
      </c>
      <c r="H1517" s="384" t="s">
        <v>364</v>
      </c>
      <c r="I1517" s="383">
        <f>INDEX(DRE!$W$2:$AS$53, MATCH('DRE 2025'!G1517,DRE!$D$2:$D$53,0), MATCH(B1517, DRE!$W$1:$AS$1, 0))</f>
        <v>-32092.9664204</v>
      </c>
    </row>
    <row r="1518" spans="1:10" x14ac:dyDescent="0.2">
      <c r="A1518" s="383" t="s">
        <v>73</v>
      </c>
      <c r="B1518" s="397">
        <v>45992</v>
      </c>
      <c r="C1518" s="397" t="s">
        <v>534</v>
      </c>
      <c r="D1518" s="383">
        <v>9</v>
      </c>
      <c r="E1518" s="383" t="s">
        <v>526</v>
      </c>
      <c r="F1518" s="394" t="s">
        <v>273</v>
      </c>
      <c r="G1518" s="467" t="s">
        <v>563</v>
      </c>
      <c r="H1518" s="398" t="s">
        <v>563</v>
      </c>
      <c r="I1518" s="383">
        <f>INDEX(DRE!$W$2:$AS$53, MATCH('DRE 2025'!G1518,DRE!$D$2:$D$53,0), MATCH(B1518, DRE!$W$1:$AS$1, 0))</f>
        <v>0</v>
      </c>
    </row>
    <row r="1519" spans="1:10" x14ac:dyDescent="0.2">
      <c r="A1519" s="383" t="s">
        <v>73</v>
      </c>
      <c r="B1519" s="397">
        <v>45992</v>
      </c>
      <c r="C1519" s="397" t="s">
        <v>534</v>
      </c>
      <c r="D1519" s="383">
        <v>10</v>
      </c>
      <c r="E1519" s="383" t="s">
        <v>452</v>
      </c>
      <c r="F1519" s="400" t="s">
        <v>365</v>
      </c>
      <c r="G1519" s="400"/>
      <c r="H1519" s="403" t="s">
        <v>365</v>
      </c>
      <c r="I1519" s="396">
        <f>I1485+I1486+I1487+I1488+I1489+I1490+I1498+I1499+I1500+I1501+I1503+I1504+I1505+I1506+I1507+I1508+I1509+I1510+I1511+I1513+I1514+I1515+I1516+I1517+I1518</f>
        <v>-4467699.2058204003</v>
      </c>
      <c r="J1519" s="352">
        <f>IF(C1519="A",-I1519/I1484,I1519/I1484)</f>
        <v>0.60806259732605217</v>
      </c>
    </row>
    <row r="1520" spans="1:10" x14ac:dyDescent="0.2">
      <c r="A1520" s="383" t="s">
        <v>73</v>
      </c>
      <c r="B1520" s="397">
        <v>45992</v>
      </c>
      <c r="C1520" s="397" t="s">
        <v>535</v>
      </c>
      <c r="D1520" s="383">
        <v>11</v>
      </c>
      <c r="E1520" s="383" t="s">
        <v>528</v>
      </c>
      <c r="F1520" s="400" t="s">
        <v>367</v>
      </c>
      <c r="G1520" s="400"/>
      <c r="H1520" s="403" t="s">
        <v>367</v>
      </c>
      <c r="I1520" s="395">
        <f>I1484+I1519</f>
        <v>2879733.8141796011</v>
      </c>
      <c r="J1520" s="352">
        <f>IF(C1520="A",-I1520/I1484,I1520/I1484)</f>
        <v>0.39193740267394783</v>
      </c>
    </row>
    <row r="1521" spans="1:10" x14ac:dyDescent="0.2">
      <c r="A1521" s="383" t="s">
        <v>516</v>
      </c>
      <c r="B1521" s="397">
        <v>45992</v>
      </c>
      <c r="C1521" s="397" t="s">
        <v>536</v>
      </c>
      <c r="D1521" s="383">
        <v>1</v>
      </c>
      <c r="E1521" s="384" t="s">
        <v>530</v>
      </c>
      <c r="F1521" s="400" t="s">
        <v>440</v>
      </c>
      <c r="G1521" s="400"/>
      <c r="H1521" s="404" t="s">
        <v>440</v>
      </c>
      <c r="I1521" s="407" t="e">
        <f>HLOOKUP(B1521,[5]Sucumbências!$BP$2:$CA$43,31,0)</f>
        <v>#N/A</v>
      </c>
      <c r="J1521" s="352">
        <v>1</v>
      </c>
    </row>
    <row r="1522" spans="1:10" x14ac:dyDescent="0.2">
      <c r="A1522" s="383" t="s">
        <v>516</v>
      </c>
      <c r="B1522" s="397">
        <v>45992</v>
      </c>
      <c r="C1522" s="397" t="s">
        <v>534</v>
      </c>
      <c r="D1522" s="383">
        <v>4</v>
      </c>
      <c r="E1522" s="383" t="s">
        <v>525</v>
      </c>
      <c r="F1522" s="388" t="s">
        <v>340</v>
      </c>
      <c r="G1522" s="388"/>
      <c r="H1522" s="404" t="s">
        <v>340</v>
      </c>
      <c r="I1522" s="407">
        <f>-HLOOKUP(B1522,GLOSAS!$BQ$1:$CB$43,30,0)</f>
        <v>0</v>
      </c>
    </row>
    <row r="1523" spans="1:10" x14ac:dyDescent="0.2">
      <c r="A1523" s="383" t="s">
        <v>516</v>
      </c>
      <c r="B1523" s="397">
        <v>45992</v>
      </c>
      <c r="C1523" s="397" t="s">
        <v>534</v>
      </c>
      <c r="D1523" s="383">
        <v>9</v>
      </c>
      <c r="E1523" s="383" t="s">
        <v>526</v>
      </c>
      <c r="F1523" s="390" t="s">
        <v>363</v>
      </c>
      <c r="G1523" s="390"/>
      <c r="H1523" s="404" t="s">
        <v>363</v>
      </c>
      <c r="I1523" s="407" t="e">
        <f>-I1521*0.1</f>
        <v>#N/A</v>
      </c>
    </row>
    <row r="1524" spans="1:10" x14ac:dyDescent="0.2">
      <c r="A1524" s="383" t="s">
        <v>516</v>
      </c>
      <c r="B1524" s="397">
        <v>45992</v>
      </c>
      <c r="C1524" s="397" t="s">
        <v>535</v>
      </c>
      <c r="D1524" s="383">
        <v>11</v>
      </c>
      <c r="E1524" s="383" t="s">
        <v>528</v>
      </c>
      <c r="F1524" s="400" t="s">
        <v>367</v>
      </c>
      <c r="G1524" s="400"/>
      <c r="H1524" s="404" t="s">
        <v>367</v>
      </c>
      <c r="I1524" s="407" t="e">
        <f>I1521+I1522+I1523</f>
        <v>#N/A</v>
      </c>
      <c r="J1524" s="352" t="e">
        <f>IF(C1524="A",-I1524/I1521,I1524/I1521)</f>
        <v>#N/A</v>
      </c>
    </row>
    <row r="1525" spans="1:10" x14ac:dyDescent="0.2">
      <c r="A1525" s="383" t="s">
        <v>522</v>
      </c>
      <c r="B1525" s="397">
        <v>45992</v>
      </c>
      <c r="C1525" s="397" t="s">
        <v>536</v>
      </c>
      <c r="D1525" s="383">
        <v>1</v>
      </c>
      <c r="E1525" s="384" t="s">
        <v>530</v>
      </c>
      <c r="F1525" s="400" t="s">
        <v>440</v>
      </c>
      <c r="G1525" s="400"/>
      <c r="H1525" s="405" t="s">
        <v>440</v>
      </c>
      <c r="I1525" s="396" t="e">
        <f>I1484-I1521</f>
        <v>#N/A</v>
      </c>
      <c r="J1525" s="352">
        <v>1</v>
      </c>
    </row>
    <row r="1526" spans="1:10" x14ac:dyDescent="0.2">
      <c r="A1526" s="383" t="s">
        <v>522</v>
      </c>
      <c r="B1526" s="397">
        <v>45992</v>
      </c>
      <c r="C1526" s="397" t="s">
        <v>534</v>
      </c>
      <c r="D1526" s="383">
        <v>2</v>
      </c>
      <c r="E1526" s="384" t="s">
        <v>325</v>
      </c>
      <c r="F1526" s="390" t="s">
        <v>326</v>
      </c>
      <c r="G1526" s="390"/>
      <c r="H1526" s="384" t="s">
        <v>519</v>
      </c>
      <c r="I1526" s="406">
        <f t="shared" ref="I1526:I1538" si="39">I1485</f>
        <v>-401095.77</v>
      </c>
    </row>
    <row r="1527" spans="1:10" x14ac:dyDescent="0.2">
      <c r="A1527" s="383" t="s">
        <v>522</v>
      </c>
      <c r="B1527" s="397">
        <v>45992</v>
      </c>
      <c r="C1527" s="397" t="s">
        <v>534</v>
      </c>
      <c r="D1527" s="383">
        <v>2</v>
      </c>
      <c r="E1527" s="384" t="s">
        <v>325</v>
      </c>
      <c r="F1527" s="385" t="s">
        <v>328</v>
      </c>
      <c r="G1527" s="385"/>
      <c r="H1527" s="384" t="s">
        <v>521</v>
      </c>
      <c r="I1527" s="406">
        <f t="shared" si="39"/>
        <v>-10477.135</v>
      </c>
    </row>
    <row r="1528" spans="1:10" x14ac:dyDescent="0.2">
      <c r="A1528" s="383" t="s">
        <v>522</v>
      </c>
      <c r="B1528" s="397">
        <v>45992</v>
      </c>
      <c r="C1528" s="397" t="s">
        <v>534</v>
      </c>
      <c r="D1528" s="383">
        <v>2</v>
      </c>
      <c r="E1528" s="384" t="s">
        <v>325</v>
      </c>
      <c r="F1528" s="385" t="s">
        <v>329</v>
      </c>
      <c r="G1528" s="385"/>
      <c r="H1528" s="384" t="s">
        <v>329</v>
      </c>
      <c r="I1528" s="406">
        <f t="shared" si="39"/>
        <v>0</v>
      </c>
    </row>
    <row r="1529" spans="1:10" x14ac:dyDescent="0.2">
      <c r="A1529" s="383" t="s">
        <v>522</v>
      </c>
      <c r="B1529" s="397">
        <v>45992</v>
      </c>
      <c r="C1529" s="397" t="s">
        <v>534</v>
      </c>
      <c r="D1529" s="383">
        <v>2</v>
      </c>
      <c r="E1529" s="384" t="s">
        <v>325</v>
      </c>
      <c r="F1529" s="385" t="s">
        <v>330</v>
      </c>
      <c r="G1529" s="385"/>
      <c r="H1529" s="384" t="s">
        <v>330</v>
      </c>
      <c r="I1529" s="406">
        <f t="shared" si="39"/>
        <v>-40746.93</v>
      </c>
    </row>
    <row r="1530" spans="1:10" x14ac:dyDescent="0.2">
      <c r="A1530" s="383" t="s">
        <v>522</v>
      </c>
      <c r="B1530" s="397">
        <v>45992</v>
      </c>
      <c r="C1530" s="397" t="s">
        <v>534</v>
      </c>
      <c r="D1530" s="383">
        <v>2</v>
      </c>
      <c r="E1530" s="384" t="s">
        <v>325</v>
      </c>
      <c r="F1530" s="385" t="s">
        <v>331</v>
      </c>
      <c r="G1530" s="385"/>
      <c r="H1530" s="384" t="s">
        <v>331</v>
      </c>
      <c r="I1530" s="406">
        <f t="shared" si="39"/>
        <v>-0.01</v>
      </c>
    </row>
    <row r="1531" spans="1:10" x14ac:dyDescent="0.2">
      <c r="A1531" s="383" t="s">
        <v>522</v>
      </c>
      <c r="B1531" s="397">
        <v>45992</v>
      </c>
      <c r="C1531" s="397" t="s">
        <v>534</v>
      </c>
      <c r="D1531" s="383">
        <v>2</v>
      </c>
      <c r="E1531" s="384" t="s">
        <v>325</v>
      </c>
      <c r="F1531" s="384" t="s">
        <v>332</v>
      </c>
      <c r="G1531" s="384"/>
      <c r="H1531" s="384" t="s">
        <v>520</v>
      </c>
      <c r="I1531" s="406">
        <f t="shared" si="39"/>
        <v>0</v>
      </c>
    </row>
    <row r="1532" spans="1:10" x14ac:dyDescent="0.2">
      <c r="A1532" s="383" t="s">
        <v>522</v>
      </c>
      <c r="B1532" s="397">
        <v>45992</v>
      </c>
      <c r="C1532" s="397" t="s">
        <v>535</v>
      </c>
      <c r="D1532" s="383">
        <v>3</v>
      </c>
      <c r="E1532" s="384" t="s">
        <v>531</v>
      </c>
      <c r="F1532" s="385" t="s">
        <v>334</v>
      </c>
      <c r="G1532" s="385"/>
      <c r="H1532" s="384" t="s">
        <v>334</v>
      </c>
      <c r="I1532" s="406">
        <f t="shared" si="39"/>
        <v>6386309.2800000003</v>
      </c>
    </row>
    <row r="1533" spans="1:10" x14ac:dyDescent="0.2">
      <c r="A1533" s="383" t="s">
        <v>522</v>
      </c>
      <c r="B1533" s="397">
        <v>45992</v>
      </c>
      <c r="C1533" s="397" t="s">
        <v>535</v>
      </c>
      <c r="D1533" s="383">
        <v>3</v>
      </c>
      <c r="E1533" s="384" t="s">
        <v>531</v>
      </c>
      <c r="F1533" s="385" t="s">
        <v>335</v>
      </c>
      <c r="G1533" s="385"/>
      <c r="H1533" s="384" t="s">
        <v>335</v>
      </c>
      <c r="I1533" s="406">
        <f t="shared" si="39"/>
        <v>501699.87</v>
      </c>
    </row>
    <row r="1534" spans="1:10" x14ac:dyDescent="0.2">
      <c r="A1534" s="383" t="s">
        <v>522</v>
      </c>
      <c r="B1534" s="397">
        <v>45992</v>
      </c>
      <c r="C1534" s="397" t="s">
        <v>535</v>
      </c>
      <c r="D1534" s="383">
        <v>3</v>
      </c>
      <c r="E1534" s="384" t="s">
        <v>531</v>
      </c>
      <c r="F1534" s="385" t="s">
        <v>336</v>
      </c>
      <c r="G1534" s="385"/>
      <c r="H1534" s="384" t="s">
        <v>336</v>
      </c>
      <c r="I1534" s="406">
        <f t="shared" si="39"/>
        <v>3026.68</v>
      </c>
    </row>
    <row r="1535" spans="1:10" x14ac:dyDescent="0.2">
      <c r="A1535" s="383" t="s">
        <v>522</v>
      </c>
      <c r="B1535" s="397">
        <v>45992</v>
      </c>
      <c r="C1535" s="397" t="s">
        <v>535</v>
      </c>
      <c r="D1535" s="383">
        <v>3</v>
      </c>
      <c r="E1535" s="384" t="s">
        <v>531</v>
      </c>
      <c r="F1535" s="387" t="s">
        <v>273</v>
      </c>
      <c r="G1535" s="387"/>
      <c r="H1535" s="384" t="s">
        <v>562</v>
      </c>
      <c r="I1535" s="406">
        <f t="shared" si="39"/>
        <v>0</v>
      </c>
    </row>
    <row r="1536" spans="1:10" x14ac:dyDescent="0.2">
      <c r="A1536" s="383" t="s">
        <v>522</v>
      </c>
      <c r="B1536" s="397">
        <v>45992</v>
      </c>
      <c r="C1536" s="397" t="s">
        <v>535</v>
      </c>
      <c r="D1536" s="383">
        <v>3</v>
      </c>
      <c r="E1536" s="384" t="s">
        <v>531</v>
      </c>
      <c r="F1536" s="387" t="s">
        <v>513</v>
      </c>
      <c r="G1536" s="387"/>
      <c r="H1536" s="384" t="s">
        <v>513</v>
      </c>
      <c r="I1536" s="406" t="e">
        <f t="shared" si="39"/>
        <v>#N/A</v>
      </c>
    </row>
    <row r="1537" spans="1:10" x14ac:dyDescent="0.2">
      <c r="A1537" s="383" t="s">
        <v>522</v>
      </c>
      <c r="B1537" s="397">
        <v>45992</v>
      </c>
      <c r="C1537" s="397" t="s">
        <v>535</v>
      </c>
      <c r="D1537" s="383">
        <v>3</v>
      </c>
      <c r="E1537" s="384" t="s">
        <v>531</v>
      </c>
      <c r="F1537" s="387" t="s">
        <v>514</v>
      </c>
      <c r="G1537" s="387"/>
      <c r="H1537" s="384" t="s">
        <v>514</v>
      </c>
      <c r="I1537" s="406" t="e">
        <f t="shared" si="39"/>
        <v>#N/A</v>
      </c>
    </row>
    <row r="1538" spans="1:10" x14ac:dyDescent="0.2">
      <c r="A1538" s="383" t="s">
        <v>522</v>
      </c>
      <c r="B1538" s="397">
        <v>45992</v>
      </c>
      <c r="C1538" s="397" t="s">
        <v>535</v>
      </c>
      <c r="D1538" s="383">
        <v>3</v>
      </c>
      <c r="E1538" s="384" t="s">
        <v>531</v>
      </c>
      <c r="F1538" s="385" t="s">
        <v>337</v>
      </c>
      <c r="G1538" s="385"/>
      <c r="H1538" s="384" t="s">
        <v>337</v>
      </c>
      <c r="I1538" s="406">
        <f t="shared" si="39"/>
        <v>8666.7800000000007</v>
      </c>
    </row>
    <row r="1539" spans="1:10" x14ac:dyDescent="0.2">
      <c r="A1539" s="383" t="s">
        <v>522</v>
      </c>
      <c r="B1539" s="397">
        <v>45992</v>
      </c>
      <c r="C1539" s="397" t="s">
        <v>534</v>
      </c>
      <c r="D1539" s="383">
        <v>4</v>
      </c>
      <c r="E1539" s="383" t="s">
        <v>523</v>
      </c>
      <c r="F1539" s="388" t="s">
        <v>340</v>
      </c>
      <c r="G1539" s="388"/>
      <c r="H1539" s="405" t="s">
        <v>340</v>
      </c>
      <c r="I1539" s="396">
        <f>I1498-I1522</f>
        <v>-11083.78</v>
      </c>
    </row>
    <row r="1540" spans="1:10" x14ac:dyDescent="0.2">
      <c r="A1540" s="383" t="s">
        <v>522</v>
      </c>
      <c r="B1540" s="397">
        <v>45992</v>
      </c>
      <c r="C1540" s="397" t="s">
        <v>534</v>
      </c>
      <c r="D1540" s="383">
        <v>4</v>
      </c>
      <c r="E1540" s="383" t="s">
        <v>523</v>
      </c>
      <c r="F1540" s="388" t="s">
        <v>341</v>
      </c>
      <c r="G1540" s="388"/>
      <c r="H1540" s="384" t="s">
        <v>341</v>
      </c>
      <c r="I1540" s="406">
        <f>I1499</f>
        <v>-201028.6</v>
      </c>
    </row>
    <row r="1541" spans="1:10" x14ac:dyDescent="0.2">
      <c r="A1541" s="383" t="s">
        <v>522</v>
      </c>
      <c r="B1541" s="397">
        <v>45992</v>
      </c>
      <c r="C1541" s="397" t="s">
        <v>534</v>
      </c>
      <c r="D1541" s="383">
        <v>4</v>
      </c>
      <c r="E1541" s="383" t="s">
        <v>523</v>
      </c>
      <c r="F1541" s="388" t="s">
        <v>342</v>
      </c>
      <c r="G1541" s="388"/>
      <c r="H1541" s="384" t="s">
        <v>342</v>
      </c>
      <c r="I1541" s="406">
        <f>I1500</f>
        <v>-1708820.5143999998</v>
      </c>
    </row>
    <row r="1542" spans="1:10" x14ac:dyDescent="0.2">
      <c r="A1542" s="383" t="s">
        <v>522</v>
      </c>
      <c r="B1542" s="397">
        <v>45992</v>
      </c>
      <c r="C1542" s="397" t="s">
        <v>534</v>
      </c>
      <c r="D1542" s="383">
        <v>4</v>
      </c>
      <c r="E1542" s="383" t="s">
        <v>523</v>
      </c>
      <c r="F1542" s="388" t="s">
        <v>343</v>
      </c>
      <c r="G1542" s="388"/>
      <c r="H1542" s="384" t="s">
        <v>343</v>
      </c>
      <c r="I1542" s="406">
        <f>I1501</f>
        <v>-85063.74</v>
      </c>
    </row>
    <row r="1543" spans="1:10" x14ac:dyDescent="0.2">
      <c r="A1543" s="383" t="s">
        <v>522</v>
      </c>
      <c r="B1543" s="397">
        <v>45992</v>
      </c>
      <c r="C1543" s="397" t="s">
        <v>535</v>
      </c>
      <c r="D1543" s="383">
        <v>5</v>
      </c>
      <c r="E1543" s="383" t="s">
        <v>532</v>
      </c>
      <c r="F1543" s="401" t="s">
        <v>345</v>
      </c>
      <c r="G1543" s="401"/>
      <c r="H1543" s="403" t="s">
        <v>345</v>
      </c>
      <c r="I1543" s="406" t="e">
        <f>I1525+I1526+I1527+I1528+I1529+I1530+I1531+I1539+I1540+I1541+I1542</f>
        <v>#N/A</v>
      </c>
      <c r="J1543" s="352" t="e">
        <f>IF(C1543="A",-I1543/I1525,I1543/I1525)</f>
        <v>#N/A</v>
      </c>
    </row>
    <row r="1544" spans="1:10" x14ac:dyDescent="0.2">
      <c r="A1544" s="383" t="s">
        <v>522</v>
      </c>
      <c r="B1544" s="397">
        <v>45992</v>
      </c>
      <c r="C1544" s="397" t="s">
        <v>534</v>
      </c>
      <c r="D1544" s="383">
        <v>6</v>
      </c>
      <c r="E1544" s="383" t="s">
        <v>524</v>
      </c>
      <c r="F1544" s="388" t="s">
        <v>349</v>
      </c>
      <c r="G1544" s="388"/>
      <c r="H1544" s="384" t="s">
        <v>473</v>
      </c>
      <c r="I1544" s="406">
        <f t="shared" ref="I1544:I1552" si="40">I1503</f>
        <v>-34309.64</v>
      </c>
    </row>
    <row r="1545" spans="1:10" x14ac:dyDescent="0.2">
      <c r="A1545" s="383" t="s">
        <v>522</v>
      </c>
      <c r="B1545" s="397">
        <v>45992</v>
      </c>
      <c r="C1545" s="397" t="s">
        <v>534</v>
      </c>
      <c r="D1545" s="383">
        <v>6</v>
      </c>
      <c r="E1545" s="383" t="s">
        <v>524</v>
      </c>
      <c r="F1545" s="388" t="s">
        <v>350</v>
      </c>
      <c r="G1545" s="388"/>
      <c r="H1545" s="384" t="s">
        <v>474</v>
      </c>
      <c r="I1545" s="406">
        <f t="shared" si="40"/>
        <v>-20825.16</v>
      </c>
    </row>
    <row r="1546" spans="1:10" x14ac:dyDescent="0.2">
      <c r="A1546" s="383" t="s">
        <v>522</v>
      </c>
      <c r="B1546" s="397">
        <v>45992</v>
      </c>
      <c r="C1546" s="397" t="s">
        <v>534</v>
      </c>
      <c r="D1546" s="383">
        <v>6</v>
      </c>
      <c r="E1546" s="383" t="s">
        <v>524</v>
      </c>
      <c r="F1546" s="388" t="s">
        <v>351</v>
      </c>
      <c r="G1546" s="388"/>
      <c r="H1546" s="384" t="s">
        <v>475</v>
      </c>
      <c r="I1546" s="406">
        <f t="shared" si="40"/>
        <v>-54501.75</v>
      </c>
    </row>
    <row r="1547" spans="1:10" x14ac:dyDescent="0.2">
      <c r="A1547" s="383" t="s">
        <v>522</v>
      </c>
      <c r="B1547" s="397">
        <v>45992</v>
      </c>
      <c r="C1547" s="397" t="s">
        <v>534</v>
      </c>
      <c r="D1547" s="383">
        <v>6</v>
      </c>
      <c r="E1547" s="383" t="s">
        <v>524</v>
      </c>
      <c r="F1547" s="388" t="s">
        <v>352</v>
      </c>
      <c r="G1547" s="388"/>
      <c r="H1547" s="384" t="s">
        <v>476</v>
      </c>
      <c r="I1547" s="406">
        <f t="shared" si="40"/>
        <v>-6292.98</v>
      </c>
    </row>
    <row r="1548" spans="1:10" x14ac:dyDescent="0.2">
      <c r="A1548" s="383" t="s">
        <v>522</v>
      </c>
      <c r="B1548" s="397">
        <v>45992</v>
      </c>
      <c r="C1548" s="397" t="s">
        <v>534</v>
      </c>
      <c r="D1548" s="383">
        <v>6</v>
      </c>
      <c r="E1548" s="383" t="s">
        <v>524</v>
      </c>
      <c r="F1548" s="388" t="s">
        <v>353</v>
      </c>
      <c r="G1548" s="388"/>
      <c r="H1548" s="384" t="s">
        <v>477</v>
      </c>
      <c r="I1548" s="406">
        <f t="shared" si="40"/>
        <v>-63040.480000000003</v>
      </c>
    </row>
    <row r="1549" spans="1:10" x14ac:dyDescent="0.2">
      <c r="A1549" s="383" t="s">
        <v>522</v>
      </c>
      <c r="B1549" s="397">
        <v>45992</v>
      </c>
      <c r="C1549" s="397" t="s">
        <v>534</v>
      </c>
      <c r="D1549" s="383">
        <v>6</v>
      </c>
      <c r="E1549" s="383" t="s">
        <v>524</v>
      </c>
      <c r="F1549" s="388" t="s">
        <v>354</v>
      </c>
      <c r="G1549" s="388"/>
      <c r="H1549" s="384" t="s">
        <v>478</v>
      </c>
      <c r="I1549" s="406">
        <f t="shared" si="40"/>
        <v>-37518.379999999997</v>
      </c>
    </row>
    <row r="1550" spans="1:10" x14ac:dyDescent="0.2">
      <c r="A1550" s="383" t="s">
        <v>522</v>
      </c>
      <c r="B1550" s="397">
        <v>45992</v>
      </c>
      <c r="C1550" s="397" t="s">
        <v>534</v>
      </c>
      <c r="D1550" s="383">
        <v>6</v>
      </c>
      <c r="E1550" s="383" t="s">
        <v>524</v>
      </c>
      <c r="F1550" s="390" t="s">
        <v>355</v>
      </c>
      <c r="G1550" s="390"/>
      <c r="H1550" s="384" t="s">
        <v>355</v>
      </c>
      <c r="I1550" s="406">
        <f t="shared" si="40"/>
        <v>-83355.8</v>
      </c>
    </row>
    <row r="1551" spans="1:10" x14ac:dyDescent="0.2">
      <c r="A1551" s="383" t="s">
        <v>522</v>
      </c>
      <c r="B1551" s="397">
        <v>45992</v>
      </c>
      <c r="C1551" s="397" t="s">
        <v>534</v>
      </c>
      <c r="D1551" s="383">
        <v>6</v>
      </c>
      <c r="E1551" s="383" t="s">
        <v>524</v>
      </c>
      <c r="F1551" s="390" t="s">
        <v>356</v>
      </c>
      <c r="G1551" s="390"/>
      <c r="H1551" s="384" t="s">
        <v>356</v>
      </c>
      <c r="I1551" s="406">
        <f t="shared" si="40"/>
        <v>-878147.71000000008</v>
      </c>
    </row>
    <row r="1552" spans="1:10" x14ac:dyDescent="0.2">
      <c r="A1552" s="383" t="s">
        <v>522</v>
      </c>
      <c r="B1552" s="397">
        <v>45992</v>
      </c>
      <c r="C1552" s="397" t="s">
        <v>534</v>
      </c>
      <c r="D1552" s="383">
        <v>6</v>
      </c>
      <c r="E1552" s="383" t="s">
        <v>524</v>
      </c>
      <c r="F1552" s="390" t="s">
        <v>357</v>
      </c>
      <c r="G1552" s="390"/>
      <c r="H1552" s="384" t="s">
        <v>357</v>
      </c>
      <c r="I1552" s="406">
        <f t="shared" si="40"/>
        <v>0</v>
      </c>
    </row>
    <row r="1553" spans="1:10" x14ac:dyDescent="0.2">
      <c r="A1553" s="383" t="s">
        <v>522</v>
      </c>
      <c r="B1553" s="397">
        <v>45992</v>
      </c>
      <c r="C1553" s="397" t="s">
        <v>535</v>
      </c>
      <c r="D1553" s="383">
        <v>7</v>
      </c>
      <c r="E1553" s="383" t="s">
        <v>529</v>
      </c>
      <c r="F1553" s="400" t="s">
        <v>358</v>
      </c>
      <c r="G1553" s="400"/>
      <c r="H1553" s="403" t="s">
        <v>358</v>
      </c>
      <c r="I1553" s="396" t="e">
        <f>I1543+I1544+I1545+I1546+I1547+I1548+I1549+I1550+I1551+I1552</f>
        <v>#N/A</v>
      </c>
      <c r="J1553" s="352" t="e">
        <f>IF(C1553="A",-I1553/I1525,I1553/I1525)</f>
        <v>#N/A</v>
      </c>
    </row>
    <row r="1554" spans="1:10" x14ac:dyDescent="0.2">
      <c r="A1554" s="383" t="s">
        <v>522</v>
      </c>
      <c r="B1554" s="397">
        <v>45992</v>
      </c>
      <c r="C1554" s="397" t="s">
        <v>534</v>
      </c>
      <c r="D1554" s="383">
        <v>8</v>
      </c>
      <c r="E1554" s="383" t="s">
        <v>527</v>
      </c>
      <c r="F1554" s="385" t="s">
        <v>359</v>
      </c>
      <c r="G1554" s="385"/>
      <c r="H1554" s="384" t="s">
        <v>479</v>
      </c>
      <c r="I1554" s="406">
        <f>I1513</f>
        <v>2574.7600000000002</v>
      </c>
    </row>
    <row r="1555" spans="1:10" x14ac:dyDescent="0.2">
      <c r="A1555" s="383" t="s">
        <v>522</v>
      </c>
      <c r="B1555" s="397">
        <v>45992</v>
      </c>
      <c r="C1555" s="397" t="s">
        <v>534</v>
      </c>
      <c r="D1555" s="383">
        <v>8</v>
      </c>
      <c r="E1555" s="383" t="s">
        <v>527</v>
      </c>
      <c r="F1555" s="385" t="s">
        <v>360</v>
      </c>
      <c r="G1555" s="385"/>
      <c r="H1555" s="384" t="s">
        <v>480</v>
      </c>
      <c r="I1555" s="406">
        <f>I1514</f>
        <v>65169.86</v>
      </c>
    </row>
    <row r="1556" spans="1:10" x14ac:dyDescent="0.2">
      <c r="A1556" s="383" t="s">
        <v>522</v>
      </c>
      <c r="B1556" s="397">
        <v>45992</v>
      </c>
      <c r="C1556" s="397" t="s">
        <v>534</v>
      </c>
      <c r="D1556" s="383">
        <v>8</v>
      </c>
      <c r="E1556" s="383" t="s">
        <v>527</v>
      </c>
      <c r="F1556" s="390" t="s">
        <v>361</v>
      </c>
      <c r="G1556" s="390"/>
      <c r="H1556" s="384" t="s">
        <v>481</v>
      </c>
      <c r="I1556" s="406">
        <f>I1515</f>
        <v>-36805.29</v>
      </c>
    </row>
    <row r="1557" spans="1:10" x14ac:dyDescent="0.2">
      <c r="A1557" s="383" t="s">
        <v>522</v>
      </c>
      <c r="B1557" s="397">
        <v>45992</v>
      </c>
      <c r="C1557" s="397" t="s">
        <v>534</v>
      </c>
      <c r="D1557" s="383">
        <v>9</v>
      </c>
      <c r="E1557" s="383" t="s">
        <v>526</v>
      </c>
      <c r="F1557" s="390" t="s">
        <v>363</v>
      </c>
      <c r="G1557" s="390"/>
      <c r="H1557" s="405" t="s">
        <v>363</v>
      </c>
      <c r="I1557" s="396" t="e">
        <f>I1516-I1523</f>
        <v>#N/A</v>
      </c>
    </row>
    <row r="1558" spans="1:10" x14ac:dyDescent="0.2">
      <c r="A1558" s="383" t="s">
        <v>522</v>
      </c>
      <c r="B1558" s="397">
        <v>45992</v>
      </c>
      <c r="C1558" s="397" t="s">
        <v>534</v>
      </c>
      <c r="D1558" s="383">
        <v>9</v>
      </c>
      <c r="E1558" s="383" t="s">
        <v>526</v>
      </c>
      <c r="F1558" s="390" t="s">
        <v>364</v>
      </c>
      <c r="G1558" s="390"/>
      <c r="H1558" s="384" t="s">
        <v>364</v>
      </c>
      <c r="I1558" s="406">
        <f>I1517</f>
        <v>-32092.9664204</v>
      </c>
    </row>
    <row r="1559" spans="1:10" x14ac:dyDescent="0.2">
      <c r="A1559" s="383" t="s">
        <v>522</v>
      </c>
      <c r="B1559" s="397">
        <v>45992</v>
      </c>
      <c r="C1559" s="397" t="s">
        <v>534</v>
      </c>
      <c r="D1559" s="383">
        <v>9</v>
      </c>
      <c r="E1559" s="383" t="s">
        <v>526</v>
      </c>
      <c r="F1559" s="394" t="s">
        <v>273</v>
      </c>
      <c r="G1559" s="394"/>
      <c r="H1559" s="398" t="s">
        <v>563</v>
      </c>
      <c r="I1559" s="406">
        <f>I1518</f>
        <v>0</v>
      </c>
    </row>
    <row r="1560" spans="1:10" x14ac:dyDescent="0.2">
      <c r="A1560" s="383" t="s">
        <v>522</v>
      </c>
      <c r="B1560" s="397">
        <v>45992</v>
      </c>
      <c r="C1560" s="397" t="s">
        <v>534</v>
      </c>
      <c r="D1560" s="383">
        <v>10</v>
      </c>
      <c r="E1560" s="383" t="s">
        <v>452</v>
      </c>
      <c r="F1560" s="400" t="s">
        <v>365</v>
      </c>
      <c r="G1560" s="400"/>
      <c r="H1560" s="403" t="s">
        <v>365</v>
      </c>
      <c r="I1560" s="396" t="e">
        <f>I1526+I1527+I1528+I1529+I1530+I1531+I1539+I1540+I1541+I1542+I1544+I1545+I1546+I1547+I1548+I1549+I1550+I1551+I1552+I1554+I1555+I1556+I1557+I1558+I1559</f>
        <v>#N/A</v>
      </c>
      <c r="J1560" s="352" t="e">
        <f>IF(C1560="A",-I1560/I1525,I1560/I1525)</f>
        <v>#N/A</v>
      </c>
    </row>
    <row r="1561" spans="1:10" x14ac:dyDescent="0.2">
      <c r="A1561" s="383" t="s">
        <v>522</v>
      </c>
      <c r="B1561" s="397">
        <v>45992</v>
      </c>
      <c r="C1561" s="397" t="s">
        <v>535</v>
      </c>
      <c r="D1561" s="383">
        <v>11</v>
      </c>
      <c r="E1561" s="383" t="s">
        <v>528</v>
      </c>
      <c r="F1561" s="400" t="s">
        <v>367</v>
      </c>
      <c r="G1561" s="400"/>
      <c r="H1561" s="405" t="s">
        <v>367</v>
      </c>
      <c r="I1561" s="395" t="e">
        <f>I1525+I1560</f>
        <v>#N/A</v>
      </c>
      <c r="J1561" s="352" t="e">
        <f>IF(C1561="A",-I1561/I1525,I1561/I1525)</f>
        <v>#N/A</v>
      </c>
    </row>
  </sheetData>
  <autoFilter ref="A1:I937" xr:uid="{D15CD3D0-EED7-49B4-A142-31F69DF7C92F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9A2B-A7D8-4F11-9F52-C3BE4F8E7AF5}">
  <sheetPr>
    <tabColor theme="9"/>
  </sheetPr>
  <dimension ref="A1:H121"/>
  <sheetViews>
    <sheetView topLeftCell="A73" zoomScaleNormal="100" workbookViewId="0">
      <selection activeCell="G84" sqref="G84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23.140625" bestFit="1" customWidth="1"/>
    <col min="5" max="5" width="13.7109375" customWidth="1"/>
    <col min="6" max="6" width="38.42578125" bestFit="1" customWidth="1"/>
    <col min="7" max="7" width="19.28515625" customWidth="1"/>
    <col min="8" max="8" width="8.28515625" bestFit="1" customWidth="1"/>
  </cols>
  <sheetData>
    <row r="1" spans="1:8" x14ac:dyDescent="0.2">
      <c r="A1" t="s">
        <v>9</v>
      </c>
      <c r="B1" t="s">
        <v>75</v>
      </c>
      <c r="C1" s="2" t="s">
        <v>483</v>
      </c>
      <c r="D1" s="2" t="s">
        <v>575</v>
      </c>
      <c r="E1" s="2" t="s">
        <v>576</v>
      </c>
      <c r="F1" s="2" t="s">
        <v>467</v>
      </c>
      <c r="G1" t="s">
        <v>468</v>
      </c>
      <c r="H1" s="375" t="s">
        <v>469</v>
      </c>
    </row>
    <row r="2" spans="1:8" x14ac:dyDescent="0.2">
      <c r="A2" s="453">
        <v>45413</v>
      </c>
      <c r="B2" s="443">
        <v>1</v>
      </c>
      <c r="C2" s="439" t="s">
        <v>342</v>
      </c>
      <c r="D2" s="451"/>
      <c r="E2" s="451" t="s">
        <v>73</v>
      </c>
      <c r="F2" s="447" t="s">
        <v>455</v>
      </c>
      <c r="G2" s="447">
        <f>-SUMIFS('DRE 2025'!I:I,'DRE 2025'!B:B,'Resumo DRE 2'!A2,'DRE 2025'!H:H,'Resumo DRE 2'!C2,'DRE 2025'!A:A,'Resumo DRE 2'!E2)</f>
        <v>1261018.94</v>
      </c>
      <c r="H2" s="444">
        <f>G2/G7</f>
        <v>0.44657306222669579</v>
      </c>
    </row>
    <row r="3" spans="1:8" x14ac:dyDescent="0.2">
      <c r="A3" s="453">
        <v>45413</v>
      </c>
      <c r="B3" s="443">
        <v>2</v>
      </c>
      <c r="C3" s="439" t="s">
        <v>356</v>
      </c>
      <c r="D3" s="451"/>
      <c r="E3" s="451" t="s">
        <v>73</v>
      </c>
      <c r="F3" s="447" t="s">
        <v>142</v>
      </c>
      <c r="G3" s="447">
        <f>-SUMIFS('DRE 2025'!I:I,'DRE 2025'!B:B,'Resumo DRE 2'!A3,'DRE 2025'!H:H,'Resumo DRE 2'!C3,'DRE 2025'!A:A,'Resumo DRE 2'!E3)</f>
        <v>454368.6</v>
      </c>
      <c r="H3" s="444">
        <f>G3/G7</f>
        <v>0.16090858800396499</v>
      </c>
    </row>
    <row r="4" spans="1:8" x14ac:dyDescent="0.2">
      <c r="A4" s="453">
        <v>45413</v>
      </c>
      <c r="B4" s="443">
        <v>3</v>
      </c>
      <c r="C4" s="439" t="s">
        <v>519</v>
      </c>
      <c r="D4" s="439" t="s">
        <v>363</v>
      </c>
      <c r="E4" s="451" t="s">
        <v>73</v>
      </c>
      <c r="F4" s="447" t="s">
        <v>453</v>
      </c>
      <c r="G4" s="447">
        <f>-(SUMIFS('DRE 2025'!I:I,'DRE 2025'!B:B,'Resumo DRE 2'!A4,'DRE 2025'!H:H,'Resumo DRE 2'!C4,'DRE 2025'!A:A,'Resumo DRE 2'!E4)+SUMIFS('DRE 2025'!I:I,'DRE 2025'!B:B,'Resumo DRE 2'!A4,'DRE 2025'!H:H,'Resumo DRE 2'!D4,'DRE 2025'!A:A,'Resumo DRE 2'!E4))</f>
        <v>577744.15</v>
      </c>
      <c r="H4" s="444">
        <f>G4/G7</f>
        <v>0.20460039581091424</v>
      </c>
    </row>
    <row r="5" spans="1:8" x14ac:dyDescent="0.2">
      <c r="A5" s="453">
        <v>45413</v>
      </c>
      <c r="B5" s="443">
        <v>4</v>
      </c>
      <c r="C5" s="439" t="s">
        <v>341</v>
      </c>
      <c r="D5" s="451"/>
      <c r="E5" s="451" t="s">
        <v>73</v>
      </c>
      <c r="F5" s="447" t="s">
        <v>454</v>
      </c>
      <c r="G5" s="447">
        <f>-SUMIFS('DRE 2025'!I:I,'DRE 2025'!B:B,'Resumo DRE 2'!A5,'DRE 2025'!H:H,'Resumo DRE 2'!C5,'DRE 2025'!A:A,'Resumo DRE 2'!E5)</f>
        <v>138202.63</v>
      </c>
      <c r="H5" s="444">
        <f>G5/G7</f>
        <v>4.8942620708681051E-2</v>
      </c>
    </row>
    <row r="6" spans="1:8" x14ac:dyDescent="0.2">
      <c r="A6" s="453">
        <v>45413</v>
      </c>
      <c r="B6" s="446">
        <v>5</v>
      </c>
      <c r="C6" s="446"/>
      <c r="D6" s="446"/>
      <c r="E6" s="452" t="s">
        <v>73</v>
      </c>
      <c r="F6" s="442" t="s">
        <v>331</v>
      </c>
      <c r="G6" s="442">
        <f>SUMIF('Resumo DRE 2 Outros'!A:A,'Resumo DRE 2'!A6,'Resumo DRE 2 Outros'!F:F)/2</f>
        <v>392434.16642039997</v>
      </c>
      <c r="H6" s="445">
        <f>G6/G7</f>
        <v>0.13897533324974387</v>
      </c>
    </row>
    <row r="7" spans="1:8" x14ac:dyDescent="0.2">
      <c r="A7" s="453">
        <v>45413</v>
      </c>
      <c r="B7" s="448">
        <v>6</v>
      </c>
      <c r="C7" s="448"/>
      <c r="D7" s="448"/>
      <c r="E7" s="441" t="s">
        <v>73</v>
      </c>
      <c r="F7" s="450" t="s">
        <v>452</v>
      </c>
      <c r="G7" s="450">
        <f>G2+G3+G4+G5+G6</f>
        <v>2823768.4864204</v>
      </c>
      <c r="H7" s="440">
        <f>SUM(H2:H6)</f>
        <v>1</v>
      </c>
    </row>
    <row r="8" spans="1:8" x14ac:dyDescent="0.2">
      <c r="A8" s="453">
        <v>45444</v>
      </c>
      <c r="B8" s="443">
        <v>1</v>
      </c>
      <c r="C8" s="439" t="s">
        <v>342</v>
      </c>
      <c r="D8" s="451"/>
      <c r="E8" s="451" t="s">
        <v>73</v>
      </c>
      <c r="F8" s="447" t="s">
        <v>455</v>
      </c>
      <c r="G8" s="447">
        <f>-SUMIFS('DRE 2025'!I:I,'DRE 2025'!B:B,'Resumo DRE 2'!A8,'DRE 2025'!H:H,'Resumo DRE 2'!C8,'DRE 2025'!A:A,'Resumo DRE 2'!E8)</f>
        <v>1247698.2404</v>
      </c>
      <c r="H8" s="444">
        <f>G8/G13</f>
        <v>0.42746005105229085</v>
      </c>
    </row>
    <row r="9" spans="1:8" x14ac:dyDescent="0.2">
      <c r="A9" s="453">
        <v>45444</v>
      </c>
      <c r="B9" s="443">
        <v>2</v>
      </c>
      <c r="C9" s="439" t="s">
        <v>356</v>
      </c>
      <c r="D9" s="451"/>
      <c r="E9" s="451" t="s">
        <v>73</v>
      </c>
      <c r="F9" s="447" t="s">
        <v>142</v>
      </c>
      <c r="G9" s="447">
        <f>-SUMIFS('DRE 2025'!I:I,'DRE 2025'!B:B,'Resumo DRE 2'!A9,'DRE 2025'!H:H,'Resumo DRE 2'!C9,'DRE 2025'!A:A,'Resumo DRE 2'!E9)</f>
        <v>447513.51</v>
      </c>
      <c r="H9" s="444">
        <f>G9/G13</f>
        <v>0.15331763854204269</v>
      </c>
    </row>
    <row r="10" spans="1:8" x14ac:dyDescent="0.2">
      <c r="A10" s="453">
        <v>45444</v>
      </c>
      <c r="B10" s="443">
        <v>3</v>
      </c>
      <c r="C10" s="439" t="s">
        <v>519</v>
      </c>
      <c r="D10" s="439" t="s">
        <v>363</v>
      </c>
      <c r="E10" s="451" t="s">
        <v>73</v>
      </c>
      <c r="F10" s="447" t="s">
        <v>453</v>
      </c>
      <c r="G10" s="447">
        <f>-(SUMIFS('DRE 2025'!I:I,'DRE 2025'!B:B,'Resumo DRE 2'!A10,'DRE 2025'!H:H,'Resumo DRE 2'!C10,'DRE 2025'!A:A,'Resumo DRE 2'!E10)+SUMIFS('DRE 2025'!I:I,'DRE 2025'!B:B,'Resumo DRE 2'!A10,'DRE 2025'!H:H,'Resumo DRE 2'!D10,'DRE 2025'!A:A,'Resumo DRE 2'!E10))</f>
        <v>693384.02</v>
      </c>
      <c r="H10" s="444">
        <f>G10/G13</f>
        <v>0.23755260606364376</v>
      </c>
    </row>
    <row r="11" spans="1:8" x14ac:dyDescent="0.2">
      <c r="A11" s="453">
        <v>45444</v>
      </c>
      <c r="B11" s="443">
        <v>4</v>
      </c>
      <c r="C11" s="439" t="s">
        <v>341</v>
      </c>
      <c r="D11" s="451"/>
      <c r="E11" s="451" t="s">
        <v>73</v>
      </c>
      <c r="F11" s="447" t="s">
        <v>454</v>
      </c>
      <c r="G11" s="447">
        <f>-SUMIFS('DRE 2025'!I:I,'DRE 2025'!B:B,'Resumo DRE 2'!A11,'DRE 2025'!H:H,'Resumo DRE 2'!C11,'DRE 2025'!A:A,'Resumo DRE 2'!E11)</f>
        <v>165444.51</v>
      </c>
      <c r="H11" s="444">
        <f>G11/G13</f>
        <v>5.6681107980282801E-2</v>
      </c>
    </row>
    <row r="12" spans="1:8" x14ac:dyDescent="0.2">
      <c r="A12" s="453">
        <v>45444</v>
      </c>
      <c r="B12" s="446">
        <v>5</v>
      </c>
      <c r="C12" s="446"/>
      <c r="D12" s="446"/>
      <c r="E12" s="452" t="s">
        <v>73</v>
      </c>
      <c r="F12" s="442" t="s">
        <v>331</v>
      </c>
      <c r="G12" s="442">
        <f>SUMIF('Resumo DRE 2 Outros'!A:A,'Resumo DRE 2'!A12,'Resumo DRE 2 Outros'!F:F)/2</f>
        <v>364824.85642039997</v>
      </c>
      <c r="H12" s="445">
        <f>G12/G13</f>
        <v>0.12498859636174001</v>
      </c>
    </row>
    <row r="13" spans="1:8" x14ac:dyDescent="0.2">
      <c r="A13" s="453">
        <v>45444</v>
      </c>
      <c r="B13" s="448">
        <v>6</v>
      </c>
      <c r="C13" s="448"/>
      <c r="D13" s="448"/>
      <c r="E13" s="441" t="s">
        <v>73</v>
      </c>
      <c r="F13" s="450" t="s">
        <v>452</v>
      </c>
      <c r="G13" s="450">
        <f>G8+G9+G10+G11+G12</f>
        <v>2918865.1368203997</v>
      </c>
      <c r="H13" s="440">
        <f>SUM(H8:H12)</f>
        <v>1</v>
      </c>
    </row>
    <row r="14" spans="1:8" x14ac:dyDescent="0.2">
      <c r="A14" s="453">
        <v>45474</v>
      </c>
      <c r="B14" s="443">
        <v>1</v>
      </c>
      <c r="C14" s="439" t="s">
        <v>342</v>
      </c>
      <c r="D14" s="451"/>
      <c r="E14" s="451" t="s">
        <v>73</v>
      </c>
      <c r="F14" s="447" t="s">
        <v>455</v>
      </c>
      <c r="G14" s="447">
        <f>-SUMIFS('DRE 2025'!I:I,'DRE 2025'!B:B,'Resumo DRE 2'!A14,'DRE 2025'!H:H,'Resumo DRE 2'!C14,'DRE 2025'!A:A,'Resumo DRE 2'!E14)</f>
        <v>1257014.5288</v>
      </c>
      <c r="H14" s="444">
        <f>G14/G19</f>
        <v>0.39537077527296655</v>
      </c>
    </row>
    <row r="15" spans="1:8" x14ac:dyDescent="0.2">
      <c r="A15" s="453">
        <v>45474</v>
      </c>
      <c r="B15" s="443">
        <v>2</v>
      </c>
      <c r="C15" s="439" t="s">
        <v>356</v>
      </c>
      <c r="D15" s="451"/>
      <c r="E15" s="451" t="s">
        <v>73</v>
      </c>
      <c r="F15" s="447" t="s">
        <v>142</v>
      </c>
      <c r="G15" s="447">
        <f>-SUMIFS('DRE 2025'!I:I,'DRE 2025'!B:B,'Resumo DRE 2'!A15,'DRE 2025'!H:H,'Resumo DRE 2'!C15,'DRE 2025'!A:A,'Resumo DRE 2'!E15)</f>
        <v>494827.37000000005</v>
      </c>
      <c r="H15" s="444">
        <f>G15/G19</f>
        <v>0.15563883823200492</v>
      </c>
    </row>
    <row r="16" spans="1:8" x14ac:dyDescent="0.2">
      <c r="A16" s="453">
        <v>45474</v>
      </c>
      <c r="B16" s="443">
        <v>3</v>
      </c>
      <c r="C16" s="439" t="s">
        <v>519</v>
      </c>
      <c r="D16" s="439" t="s">
        <v>363</v>
      </c>
      <c r="E16" s="451" t="s">
        <v>73</v>
      </c>
      <c r="F16" s="447" t="s">
        <v>453</v>
      </c>
      <c r="G16" s="447">
        <f>-(SUMIFS('DRE 2025'!I:I,'DRE 2025'!B:B,'Resumo DRE 2'!A16,'DRE 2025'!H:H,'Resumo DRE 2'!C16,'DRE 2025'!A:A,'Resumo DRE 2'!E16)+SUMIFS('DRE 2025'!I:I,'DRE 2025'!B:B,'Resumo DRE 2'!A16,'DRE 2025'!H:H,'Resumo DRE 2'!D16,'DRE 2025'!A:A,'Resumo DRE 2'!E16))</f>
        <v>771453.1</v>
      </c>
      <c r="H16" s="444">
        <f>G16/G19</f>
        <v>0.24264636823641891</v>
      </c>
    </row>
    <row r="17" spans="1:8" x14ac:dyDescent="0.2">
      <c r="A17" s="453">
        <v>45474</v>
      </c>
      <c r="B17" s="443">
        <v>4</v>
      </c>
      <c r="C17" s="439" t="s">
        <v>341</v>
      </c>
      <c r="D17" s="451"/>
      <c r="E17" s="451" t="s">
        <v>73</v>
      </c>
      <c r="F17" s="447" t="s">
        <v>454</v>
      </c>
      <c r="G17" s="447">
        <f>-SUMIFS('DRE 2025'!I:I,'DRE 2025'!B:B,'Resumo DRE 2'!A17,'DRE 2025'!H:H,'Resumo DRE 2'!C17,'DRE 2025'!A:A,'Resumo DRE 2'!E17)</f>
        <v>169686.16</v>
      </c>
      <c r="H17" s="444">
        <f>G17/G19</f>
        <v>5.3371657284135482E-2</v>
      </c>
    </row>
    <row r="18" spans="1:8" x14ac:dyDescent="0.2">
      <c r="A18" s="453">
        <v>45474</v>
      </c>
      <c r="B18" s="446">
        <v>5</v>
      </c>
      <c r="C18" s="446"/>
      <c r="D18" s="446"/>
      <c r="E18" s="452" t="s">
        <v>73</v>
      </c>
      <c r="F18" s="442" t="s">
        <v>331</v>
      </c>
      <c r="G18" s="442">
        <f>SUMIF('Resumo DRE 2 Outros'!A:A,'Resumo DRE 2'!A18,'Resumo DRE 2 Outros'!F:F)/2</f>
        <v>486349.75642039999</v>
      </c>
      <c r="H18" s="445">
        <f>G18/G19</f>
        <v>0.15297236097447403</v>
      </c>
    </row>
    <row r="19" spans="1:8" x14ac:dyDescent="0.2">
      <c r="A19" s="453">
        <v>45474</v>
      </c>
      <c r="B19" s="448">
        <v>6</v>
      </c>
      <c r="C19" s="448"/>
      <c r="D19" s="448"/>
      <c r="E19" s="441" t="s">
        <v>73</v>
      </c>
      <c r="F19" s="450" t="s">
        <v>452</v>
      </c>
      <c r="G19" s="450">
        <f>G14+G15+G16+G17+G18</f>
        <v>3179330.9152204003</v>
      </c>
      <c r="H19" s="440">
        <f>SUM(H14:H18)</f>
        <v>1</v>
      </c>
    </row>
    <row r="20" spans="1:8" x14ac:dyDescent="0.2">
      <c r="A20" s="453">
        <v>45505</v>
      </c>
      <c r="B20" s="443">
        <v>1</v>
      </c>
      <c r="C20" s="439" t="s">
        <v>342</v>
      </c>
      <c r="D20" s="451"/>
      <c r="E20" s="451" t="s">
        <v>73</v>
      </c>
      <c r="F20" s="447" t="s">
        <v>455</v>
      </c>
      <c r="G20" s="447">
        <f>-SUMIFS('DRE 2025'!I:I,'DRE 2025'!B:B,'Resumo DRE 2'!A20,'DRE 2025'!H:H,'Resumo DRE 2'!C20,'DRE 2025'!A:A,'Resumo DRE 2'!E20)</f>
        <v>1275862.1514000001</v>
      </c>
      <c r="H20" s="444">
        <f>G20/G25</f>
        <v>0.42071684254332692</v>
      </c>
    </row>
    <row r="21" spans="1:8" x14ac:dyDescent="0.2">
      <c r="A21" s="453">
        <v>45505</v>
      </c>
      <c r="B21" s="443">
        <v>2</v>
      </c>
      <c r="C21" s="439" t="s">
        <v>356</v>
      </c>
      <c r="D21" s="451"/>
      <c r="E21" s="451" t="s">
        <v>73</v>
      </c>
      <c r="F21" s="447" t="s">
        <v>142</v>
      </c>
      <c r="G21" s="447">
        <f>-SUMIFS('DRE 2025'!I:I,'DRE 2025'!B:B,'Resumo DRE 2'!A21,'DRE 2025'!H:H,'Resumo DRE 2'!C21,'DRE 2025'!A:A,'Resumo DRE 2'!E21)</f>
        <v>502670.66000000003</v>
      </c>
      <c r="H21" s="444">
        <f>G21/G25</f>
        <v>0.16575616157459613</v>
      </c>
    </row>
    <row r="22" spans="1:8" x14ac:dyDescent="0.2">
      <c r="A22" s="453">
        <v>45505</v>
      </c>
      <c r="B22" s="443">
        <v>3</v>
      </c>
      <c r="C22" s="439" t="s">
        <v>519</v>
      </c>
      <c r="D22" s="439" t="s">
        <v>363</v>
      </c>
      <c r="E22" s="451" t="s">
        <v>73</v>
      </c>
      <c r="F22" s="447" t="s">
        <v>453</v>
      </c>
      <c r="G22" s="447">
        <f>-(SUMIFS('DRE 2025'!I:I,'DRE 2025'!B:B,'Resumo DRE 2'!A22,'DRE 2025'!H:H,'Resumo DRE 2'!C22,'DRE 2025'!A:A,'Resumo DRE 2'!E22)+SUMIFS('DRE 2025'!I:I,'DRE 2025'!B:B,'Resumo DRE 2'!A22,'DRE 2025'!H:H,'Resumo DRE 2'!D22,'DRE 2025'!A:A,'Resumo DRE 2'!E22))</f>
        <v>695502.16</v>
      </c>
      <c r="H22" s="444">
        <f>G22/G25</f>
        <v>0.22934254489498274</v>
      </c>
    </row>
    <row r="23" spans="1:8" x14ac:dyDescent="0.2">
      <c r="A23" s="453">
        <v>45505</v>
      </c>
      <c r="B23" s="443">
        <v>4</v>
      </c>
      <c r="C23" s="439" t="s">
        <v>341</v>
      </c>
      <c r="D23" s="451"/>
      <c r="E23" s="451" t="s">
        <v>73</v>
      </c>
      <c r="F23" s="447" t="s">
        <v>454</v>
      </c>
      <c r="G23" s="447">
        <f>-SUMIFS('DRE 2025'!I:I,'DRE 2025'!B:B,'Resumo DRE 2'!A23,'DRE 2025'!H:H,'Resumo DRE 2'!C23,'DRE 2025'!A:A,'Resumo DRE 2'!E23)</f>
        <v>165603.79999999999</v>
      </c>
      <c r="H23" s="444">
        <f>G23/G25</f>
        <v>5.4608021542707698E-2</v>
      </c>
    </row>
    <row r="24" spans="1:8" x14ac:dyDescent="0.2">
      <c r="A24" s="453">
        <v>45505</v>
      </c>
      <c r="B24" s="446">
        <v>5</v>
      </c>
      <c r="C24" s="446"/>
      <c r="D24" s="446"/>
      <c r="E24" s="452" t="s">
        <v>73</v>
      </c>
      <c r="F24" s="442" t="s">
        <v>331</v>
      </c>
      <c r="G24" s="442">
        <f>SUMIF('Resumo DRE 2 Outros'!A:A,'Resumo DRE 2'!A24,'Resumo DRE 2 Outros'!F:F)/2</f>
        <v>392952.32642039994</v>
      </c>
      <c r="H24" s="445">
        <f>G24/G25</f>
        <v>0.1295764294443866</v>
      </c>
    </row>
    <row r="25" spans="1:8" x14ac:dyDescent="0.2">
      <c r="A25" s="453">
        <v>45505</v>
      </c>
      <c r="B25" s="448">
        <v>6</v>
      </c>
      <c r="C25" s="448"/>
      <c r="D25" s="448"/>
      <c r="E25" s="441" t="s">
        <v>73</v>
      </c>
      <c r="F25" s="450" t="s">
        <v>452</v>
      </c>
      <c r="G25" s="450">
        <f>G20+G21+G22+G23+G24</f>
        <v>3032591.0978203998</v>
      </c>
      <c r="H25" s="440">
        <f>SUM(H20:H24)</f>
        <v>1</v>
      </c>
    </row>
    <row r="26" spans="1:8" x14ac:dyDescent="0.2">
      <c r="A26" s="453">
        <v>45536</v>
      </c>
      <c r="B26" s="443">
        <v>1</v>
      </c>
      <c r="C26" s="439" t="s">
        <v>342</v>
      </c>
      <c r="D26" s="451"/>
      <c r="E26" s="451" t="s">
        <v>73</v>
      </c>
      <c r="F26" s="447" t="s">
        <v>455</v>
      </c>
      <c r="G26" s="447">
        <f>-SUMIFS('DRE 2025'!I:I,'DRE 2025'!B:B,'Resumo DRE 2'!A26,'DRE 2025'!H:H,'Resumo DRE 2'!C26,'DRE 2025'!A:A,'Resumo DRE 2'!E26)</f>
        <v>1300087.375</v>
      </c>
      <c r="H26" s="444">
        <f>G26/G31</f>
        <v>0.41893909856434064</v>
      </c>
    </row>
    <row r="27" spans="1:8" x14ac:dyDescent="0.2">
      <c r="A27" s="453">
        <v>45536</v>
      </c>
      <c r="B27" s="443">
        <v>2</v>
      </c>
      <c r="C27" s="439" t="s">
        <v>356</v>
      </c>
      <c r="D27" s="451"/>
      <c r="E27" s="451" t="s">
        <v>73</v>
      </c>
      <c r="F27" s="447" t="s">
        <v>142</v>
      </c>
      <c r="G27" s="447">
        <f>-SUMIFS('DRE 2025'!I:I,'DRE 2025'!B:B,'Resumo DRE 2'!A27,'DRE 2025'!H:H,'Resumo DRE 2'!C27,'DRE 2025'!A:A,'Resumo DRE 2'!E27)</f>
        <v>508838.19</v>
      </c>
      <c r="H27" s="444">
        <f>G27/G31</f>
        <v>0.16396760458789217</v>
      </c>
    </row>
    <row r="28" spans="1:8" x14ac:dyDescent="0.2">
      <c r="A28" s="453">
        <v>45536</v>
      </c>
      <c r="B28" s="443">
        <v>3</v>
      </c>
      <c r="C28" s="439" t="s">
        <v>519</v>
      </c>
      <c r="D28" s="439" t="s">
        <v>363</v>
      </c>
      <c r="E28" s="451" t="s">
        <v>73</v>
      </c>
      <c r="F28" s="447" t="s">
        <v>453</v>
      </c>
      <c r="G28" s="447">
        <f>-(SUMIFS('DRE 2025'!I:I,'DRE 2025'!B:B,'Resumo DRE 2'!A28,'DRE 2025'!H:H,'Resumo DRE 2'!C28,'DRE 2025'!A:A,'Resumo DRE 2'!E28)+SUMIFS('DRE 2025'!I:I,'DRE 2025'!B:B,'Resumo DRE 2'!A28,'DRE 2025'!H:H,'Resumo DRE 2'!D28,'DRE 2025'!A:A,'Resumo DRE 2'!E28))</f>
        <v>716854.42</v>
      </c>
      <c r="H28" s="444">
        <f>G28/G31</f>
        <v>0.23099858539635712</v>
      </c>
    </row>
    <row r="29" spans="1:8" x14ac:dyDescent="0.2">
      <c r="A29" s="453">
        <v>45536</v>
      </c>
      <c r="B29" s="443">
        <v>4</v>
      </c>
      <c r="C29" s="439" t="s">
        <v>341</v>
      </c>
      <c r="D29" s="451"/>
      <c r="E29" s="451" t="s">
        <v>73</v>
      </c>
      <c r="F29" s="447" t="s">
        <v>454</v>
      </c>
      <c r="G29" s="447">
        <f>-SUMIFS('DRE 2025'!I:I,'DRE 2025'!B:B,'Resumo DRE 2'!A29,'DRE 2025'!H:H,'Resumo DRE 2'!C29,'DRE 2025'!A:A,'Resumo DRE 2'!E29)</f>
        <v>198728.85</v>
      </c>
      <c r="H29" s="444">
        <f>G29/G31</f>
        <v>6.4038223029223768E-2</v>
      </c>
    </row>
    <row r="30" spans="1:8" x14ac:dyDescent="0.2">
      <c r="A30" s="453">
        <v>45536</v>
      </c>
      <c r="B30" s="446">
        <v>5</v>
      </c>
      <c r="C30" s="446"/>
      <c r="D30" s="446"/>
      <c r="E30" s="452" t="s">
        <v>73</v>
      </c>
      <c r="F30" s="442" t="s">
        <v>331</v>
      </c>
      <c r="G30" s="442">
        <f>SUMIF('Resumo DRE 2 Outros'!A:A,'Resumo DRE 2'!A30,'Resumo DRE 2 Outros'!F:F)/2</f>
        <v>378776.05642039992</v>
      </c>
      <c r="H30" s="445">
        <f>G30/G31</f>
        <v>0.12205648842218637</v>
      </c>
    </row>
    <row r="31" spans="1:8" x14ac:dyDescent="0.2">
      <c r="A31" s="453">
        <v>45536</v>
      </c>
      <c r="B31" s="448">
        <v>6</v>
      </c>
      <c r="C31" s="448"/>
      <c r="D31" s="448"/>
      <c r="E31" s="441" t="s">
        <v>73</v>
      </c>
      <c r="F31" s="450" t="s">
        <v>452</v>
      </c>
      <c r="G31" s="450">
        <f>G26+G27+G28+G29+G30</f>
        <v>3103284.8914203998</v>
      </c>
      <c r="H31" s="440">
        <f>SUM(H26:H30)</f>
        <v>1</v>
      </c>
    </row>
    <row r="32" spans="1:8" x14ac:dyDescent="0.2">
      <c r="A32" s="453">
        <v>45566</v>
      </c>
      <c r="B32" s="443">
        <v>1</v>
      </c>
      <c r="C32" s="439" t="s">
        <v>342</v>
      </c>
      <c r="D32" s="451"/>
      <c r="E32" s="451" t="s">
        <v>73</v>
      </c>
      <c r="F32" s="447" t="s">
        <v>455</v>
      </c>
      <c r="G32" s="447">
        <f>-SUMIFS('DRE 2025'!I:I,'DRE 2025'!B:B,'Resumo DRE 2'!A32,'DRE 2025'!H:H,'Resumo DRE 2'!C32,'DRE 2025'!A:A,'Resumo DRE 2'!E32)</f>
        <v>1339147.3012000001</v>
      </c>
      <c r="H32" s="444">
        <f>G32/G37</f>
        <v>0.39352464916432711</v>
      </c>
    </row>
    <row r="33" spans="1:8" x14ac:dyDescent="0.2">
      <c r="A33" s="453">
        <v>45566</v>
      </c>
      <c r="B33" s="443">
        <v>2</v>
      </c>
      <c r="C33" s="439" t="s">
        <v>356</v>
      </c>
      <c r="D33" s="451"/>
      <c r="E33" s="451" t="s">
        <v>73</v>
      </c>
      <c r="F33" s="447" t="s">
        <v>142</v>
      </c>
      <c r="G33" s="447">
        <f>-SUMIFS('DRE 2025'!I:I,'DRE 2025'!B:B,'Resumo DRE 2'!A33,'DRE 2025'!H:H,'Resumo DRE 2'!C33,'DRE 2025'!A:A,'Resumo DRE 2'!E33)</f>
        <v>521239.39</v>
      </c>
      <c r="H33" s="444">
        <f>G33/G37</f>
        <v>0.15317250603915705</v>
      </c>
    </row>
    <row r="34" spans="1:8" x14ac:dyDescent="0.2">
      <c r="A34" s="453">
        <v>45566</v>
      </c>
      <c r="B34" s="443">
        <v>3</v>
      </c>
      <c r="C34" s="439" t="s">
        <v>519</v>
      </c>
      <c r="D34" s="439" t="s">
        <v>363</v>
      </c>
      <c r="E34" s="451" t="s">
        <v>73</v>
      </c>
      <c r="F34" s="447" t="s">
        <v>453</v>
      </c>
      <c r="G34" s="447">
        <f>-(SUMIFS('DRE 2025'!I:I,'DRE 2025'!B:B,'Resumo DRE 2'!A34,'DRE 2025'!H:H,'Resumo DRE 2'!C34,'DRE 2025'!A:A,'Resumo DRE 2'!E34)+SUMIFS('DRE 2025'!I:I,'DRE 2025'!B:B,'Resumo DRE 2'!A34,'DRE 2025'!H:H,'Resumo DRE 2'!D34,'DRE 2025'!A:A,'Resumo DRE 2'!E34))</f>
        <v>787923.26</v>
      </c>
      <c r="H34" s="444">
        <f>G34/G37</f>
        <v>0.23154079030892563</v>
      </c>
    </row>
    <row r="35" spans="1:8" x14ac:dyDescent="0.2">
      <c r="A35" s="453">
        <v>45566</v>
      </c>
      <c r="B35" s="443">
        <v>4</v>
      </c>
      <c r="C35" s="439" t="s">
        <v>341</v>
      </c>
      <c r="D35" s="451"/>
      <c r="E35" s="451" t="s">
        <v>73</v>
      </c>
      <c r="F35" s="447" t="s">
        <v>454</v>
      </c>
      <c r="G35" s="447">
        <f>-SUMIFS('DRE 2025'!I:I,'DRE 2025'!B:B,'Resumo DRE 2'!A35,'DRE 2025'!H:H,'Resumo DRE 2'!C35,'DRE 2025'!A:A,'Resumo DRE 2'!E35)</f>
        <v>216962.07</v>
      </c>
      <c r="H35" s="444">
        <f>G35/G37</f>
        <v>6.3756931296660088E-2</v>
      </c>
    </row>
    <row r="36" spans="1:8" x14ac:dyDescent="0.2">
      <c r="A36" s="453">
        <v>45566</v>
      </c>
      <c r="B36" s="446">
        <v>5</v>
      </c>
      <c r="C36" s="446"/>
      <c r="D36" s="446"/>
      <c r="E36" s="452" t="s">
        <v>73</v>
      </c>
      <c r="F36" s="442" t="s">
        <v>331</v>
      </c>
      <c r="G36" s="442">
        <f>SUMIF('Resumo DRE 2 Outros'!A:A,'Resumo DRE 2'!A36,'Resumo DRE 2 Outros'!F:F)/2</f>
        <v>537684.57642039994</v>
      </c>
      <c r="H36" s="445">
        <f>G36/G37</f>
        <v>0.15800512319093021</v>
      </c>
    </row>
    <row r="37" spans="1:8" x14ac:dyDescent="0.2">
      <c r="A37" s="453">
        <v>45566</v>
      </c>
      <c r="B37" s="448">
        <v>6</v>
      </c>
      <c r="C37" s="448"/>
      <c r="D37" s="448"/>
      <c r="E37" s="441" t="s">
        <v>73</v>
      </c>
      <c r="F37" s="450" t="s">
        <v>452</v>
      </c>
      <c r="G37" s="450">
        <f>G32+G33+G34+G35+G36</f>
        <v>3402956.5976203997</v>
      </c>
      <c r="H37" s="440">
        <f>SUM(H32:H36)</f>
        <v>1</v>
      </c>
    </row>
    <row r="38" spans="1:8" x14ac:dyDescent="0.2">
      <c r="A38" s="453">
        <v>45597</v>
      </c>
      <c r="B38" s="443">
        <v>1</v>
      </c>
      <c r="C38" s="439" t="s">
        <v>342</v>
      </c>
      <c r="D38" s="451"/>
      <c r="E38" s="451" t="s">
        <v>73</v>
      </c>
      <c r="F38" s="447" t="s">
        <v>455</v>
      </c>
      <c r="G38" s="447">
        <f>-SUMIFS('DRE 2025'!I:I,'DRE 2025'!B:B,'Resumo DRE 2'!A38,'DRE 2025'!H:H,'Resumo DRE 2'!C38,'DRE 2025'!A:A,'Resumo DRE 2'!E38)</f>
        <v>1351942.3735999998</v>
      </c>
      <c r="H38" s="444">
        <f>G38/G43</f>
        <v>0.35475006977099394</v>
      </c>
    </row>
    <row r="39" spans="1:8" x14ac:dyDescent="0.2">
      <c r="A39" s="453">
        <v>45597</v>
      </c>
      <c r="B39" s="443">
        <v>2</v>
      </c>
      <c r="C39" s="439" t="s">
        <v>356</v>
      </c>
      <c r="D39" s="451"/>
      <c r="E39" s="451" t="s">
        <v>73</v>
      </c>
      <c r="F39" s="447" t="s">
        <v>142</v>
      </c>
      <c r="G39" s="447">
        <f>-SUMIFS('DRE 2025'!I:I,'DRE 2025'!B:B,'Resumo DRE 2'!A39,'DRE 2025'!H:H,'Resumo DRE 2'!C39,'DRE 2025'!A:A,'Resumo DRE 2'!E39)</f>
        <v>600306.92999999982</v>
      </c>
      <c r="H39" s="444">
        <f>G39/G43</f>
        <v>0.15752071202150175</v>
      </c>
    </row>
    <row r="40" spans="1:8" x14ac:dyDescent="0.2">
      <c r="A40" s="453">
        <v>45597</v>
      </c>
      <c r="B40" s="443">
        <v>3</v>
      </c>
      <c r="C40" s="439" t="s">
        <v>519</v>
      </c>
      <c r="D40" s="439" t="s">
        <v>363</v>
      </c>
      <c r="E40" s="451" t="s">
        <v>73</v>
      </c>
      <c r="F40" s="447" t="s">
        <v>453</v>
      </c>
      <c r="G40" s="447">
        <f>-(SUMIFS('DRE 2025'!I:I,'DRE 2025'!B:B,'Resumo DRE 2'!A40,'DRE 2025'!H:H,'Resumo DRE 2'!C40,'DRE 2025'!A:A,'Resumo DRE 2'!E40)+SUMIFS('DRE 2025'!I:I,'DRE 2025'!B:B,'Resumo DRE 2'!A40,'DRE 2025'!H:H,'Resumo DRE 2'!D40,'DRE 2025'!A:A,'Resumo DRE 2'!E40))</f>
        <v>856258.95</v>
      </c>
      <c r="H40" s="444">
        <f>G40/G43</f>
        <v>0.22468259608261312</v>
      </c>
    </row>
    <row r="41" spans="1:8" x14ac:dyDescent="0.2">
      <c r="A41" s="453">
        <v>45597</v>
      </c>
      <c r="B41" s="443">
        <v>4</v>
      </c>
      <c r="C41" s="439" t="s">
        <v>341</v>
      </c>
      <c r="D41" s="451"/>
      <c r="E41" s="451" t="s">
        <v>73</v>
      </c>
      <c r="F41" s="447" t="s">
        <v>454</v>
      </c>
      <c r="G41" s="447">
        <f>-SUMIFS('DRE 2025'!I:I,'DRE 2025'!B:B,'Resumo DRE 2'!A41,'DRE 2025'!H:H,'Resumo DRE 2'!C41,'DRE 2025'!A:A,'Resumo DRE 2'!E41)</f>
        <v>264809.08</v>
      </c>
      <c r="H41" s="444">
        <f>G41/G43</f>
        <v>6.9485979166288875E-2</v>
      </c>
    </row>
    <row r="42" spans="1:8" x14ac:dyDescent="0.2">
      <c r="A42" s="453">
        <v>45597</v>
      </c>
      <c r="B42" s="446">
        <v>5</v>
      </c>
      <c r="C42" s="446"/>
      <c r="D42" s="446"/>
      <c r="E42" s="452" t="s">
        <v>73</v>
      </c>
      <c r="F42" s="442" t="s">
        <v>331</v>
      </c>
      <c r="G42" s="442">
        <f>SUMIF('Resumo DRE 2 Outros'!A:A,'Resumo DRE 2'!A42,'Resumo DRE 2 Outros'!F:F)/2</f>
        <v>737654.07642039983</v>
      </c>
      <c r="H42" s="445">
        <f>G42/G43</f>
        <v>0.19356064295860234</v>
      </c>
    </row>
    <row r="43" spans="1:8" x14ac:dyDescent="0.2">
      <c r="A43" s="453">
        <v>45597</v>
      </c>
      <c r="B43" s="448">
        <v>6</v>
      </c>
      <c r="C43" s="448"/>
      <c r="D43" s="448"/>
      <c r="E43" s="441" t="s">
        <v>73</v>
      </c>
      <c r="F43" s="450" t="s">
        <v>452</v>
      </c>
      <c r="G43" s="450">
        <f>G38+G39+G40+G41+G42</f>
        <v>3810971.4100203994</v>
      </c>
      <c r="H43" s="440">
        <f>SUM(H38:H42)</f>
        <v>0.99999999999999989</v>
      </c>
    </row>
    <row r="44" spans="1:8" x14ac:dyDescent="0.2">
      <c r="A44" s="453">
        <v>45627</v>
      </c>
      <c r="B44" s="443">
        <v>1</v>
      </c>
      <c r="C44" s="439" t="s">
        <v>342</v>
      </c>
      <c r="D44" s="451"/>
      <c r="E44" s="451" t="s">
        <v>73</v>
      </c>
      <c r="F44" s="447" t="s">
        <v>455</v>
      </c>
      <c r="G44" s="447">
        <f>-SUMIFS('DRE 2025'!I:I,'DRE 2025'!B:B,'Resumo DRE 2'!A44,'DRE 2025'!H:H,'Resumo DRE 2'!C44,'DRE 2025'!A:A,'Resumo DRE 2'!E44)</f>
        <v>1333428.7895000002</v>
      </c>
      <c r="H44" s="444">
        <f>G44/G49</f>
        <v>0.33545898158168913</v>
      </c>
    </row>
    <row r="45" spans="1:8" x14ac:dyDescent="0.2">
      <c r="A45" s="453">
        <v>45627</v>
      </c>
      <c r="B45" s="443">
        <v>2</v>
      </c>
      <c r="C45" s="439" t="s">
        <v>356</v>
      </c>
      <c r="D45" s="451"/>
      <c r="E45" s="451" t="s">
        <v>73</v>
      </c>
      <c r="F45" s="447" t="s">
        <v>142</v>
      </c>
      <c r="G45" s="447">
        <f>-SUMIFS('DRE 2025'!I:I,'DRE 2025'!B:B,'Resumo DRE 2'!A45,'DRE 2025'!H:H,'Resumo DRE 2'!C45,'DRE 2025'!A:A,'Resumo DRE 2'!E45)</f>
        <v>615099.82999999996</v>
      </c>
      <c r="H45" s="444">
        <f>G45/G49</f>
        <v>0.15474449342003657</v>
      </c>
    </row>
    <row r="46" spans="1:8" x14ac:dyDescent="0.2">
      <c r="A46" s="453">
        <v>45627</v>
      </c>
      <c r="B46" s="443">
        <v>3</v>
      </c>
      <c r="C46" s="439" t="s">
        <v>519</v>
      </c>
      <c r="D46" s="439" t="s">
        <v>363</v>
      </c>
      <c r="E46" s="451" t="s">
        <v>73</v>
      </c>
      <c r="F46" s="447" t="s">
        <v>453</v>
      </c>
      <c r="G46" s="447">
        <f>-(SUMIFS('DRE 2025'!I:I,'DRE 2025'!B:B,'Resumo DRE 2'!A46,'DRE 2025'!H:H,'Resumo DRE 2'!C46,'DRE 2025'!A:A,'Resumo DRE 2'!E46)+SUMIFS('DRE 2025'!I:I,'DRE 2025'!B:B,'Resumo DRE 2'!A46,'DRE 2025'!H:H,'Resumo DRE 2'!D46,'DRE 2025'!A:A,'Resumo DRE 2'!E46))</f>
        <v>854624.71</v>
      </c>
      <c r="H46" s="444">
        <f>G46/G49</f>
        <v>0.2150032585981948</v>
      </c>
    </row>
    <row r="47" spans="1:8" x14ac:dyDescent="0.2">
      <c r="A47" s="453">
        <v>45627</v>
      </c>
      <c r="B47" s="443">
        <v>4</v>
      </c>
      <c r="C47" s="439" t="s">
        <v>341</v>
      </c>
      <c r="D47" s="451"/>
      <c r="E47" s="451" t="s">
        <v>73</v>
      </c>
      <c r="F47" s="447" t="s">
        <v>454</v>
      </c>
      <c r="G47" s="447">
        <f>-SUMIFS('DRE 2025'!I:I,'DRE 2025'!B:B,'Resumo DRE 2'!A47,'DRE 2025'!H:H,'Resumo DRE 2'!C47,'DRE 2025'!A:A,'Resumo DRE 2'!E47)</f>
        <v>254639.2</v>
      </c>
      <c r="H47" s="444">
        <f>G47/G49</f>
        <v>6.4061168751881101E-2</v>
      </c>
    </row>
    <row r="48" spans="1:8" x14ac:dyDescent="0.2">
      <c r="A48" s="453">
        <v>45627</v>
      </c>
      <c r="B48" s="446">
        <v>5</v>
      </c>
      <c r="C48" s="446"/>
      <c r="D48" s="446"/>
      <c r="E48" s="452" t="s">
        <v>73</v>
      </c>
      <c r="F48" s="442" t="s">
        <v>331</v>
      </c>
      <c r="G48" s="442">
        <f>SUMIF('Resumo DRE 2 Outros'!A:A,'Resumo DRE 2'!A48,'Resumo DRE 2 Outros'!F:F)/2</f>
        <v>917145.87642039976</v>
      </c>
      <c r="H48" s="445">
        <f>G48/G49</f>
        <v>0.23073209764819838</v>
      </c>
    </row>
    <row r="49" spans="1:8" x14ac:dyDescent="0.2">
      <c r="A49" s="453">
        <v>45627</v>
      </c>
      <c r="B49" s="448">
        <v>6</v>
      </c>
      <c r="C49" s="448"/>
      <c r="D49" s="448"/>
      <c r="E49" s="441" t="s">
        <v>73</v>
      </c>
      <c r="F49" s="450" t="s">
        <v>452</v>
      </c>
      <c r="G49" s="450">
        <f>G44+G45+G46+G47+G48</f>
        <v>3974938.4059203998</v>
      </c>
      <c r="H49" s="440">
        <f>SUM(H44:H48)</f>
        <v>0.99999999999999989</v>
      </c>
    </row>
    <row r="50" spans="1:8" x14ac:dyDescent="0.2">
      <c r="A50" s="453">
        <v>45658</v>
      </c>
      <c r="B50" s="443">
        <v>1</v>
      </c>
      <c r="C50" s="439" t="s">
        <v>342</v>
      </c>
      <c r="D50" s="451"/>
      <c r="E50" s="451" t="s">
        <v>73</v>
      </c>
      <c r="F50" s="447" t="s">
        <v>455</v>
      </c>
      <c r="G50" s="447">
        <f>-SUMIFS('DRE 2025'!I:I,'DRE 2025'!B:B,'Resumo DRE 2'!A50,'DRE 2025'!H:H,'Resumo DRE 2'!C50,'DRE 2025'!A:A,'Resumo DRE 2'!E50)</f>
        <v>1388902.2948</v>
      </c>
      <c r="H50" s="444">
        <f>G50/G55</f>
        <v>0.4044610417710357</v>
      </c>
    </row>
    <row r="51" spans="1:8" x14ac:dyDescent="0.2">
      <c r="A51" s="453">
        <v>45658</v>
      </c>
      <c r="B51" s="443">
        <v>2</v>
      </c>
      <c r="C51" s="439" t="s">
        <v>356</v>
      </c>
      <c r="D51" s="451"/>
      <c r="E51" s="451" t="s">
        <v>73</v>
      </c>
      <c r="F51" s="447" t="s">
        <v>142</v>
      </c>
      <c r="G51" s="447">
        <f>-SUMIFS('DRE 2025'!I:I,'DRE 2025'!B:B,'Resumo DRE 2'!A51,'DRE 2025'!H:H,'Resumo DRE 2'!C51,'DRE 2025'!A:A,'Resumo DRE 2'!E51)</f>
        <v>526895.42879999999</v>
      </c>
      <c r="H51" s="444">
        <f>G51/G55</f>
        <v>0.1534367642955993</v>
      </c>
    </row>
    <row r="52" spans="1:8" x14ac:dyDescent="0.2">
      <c r="A52" s="453">
        <v>45658</v>
      </c>
      <c r="B52" s="443">
        <v>3</v>
      </c>
      <c r="C52" s="439" t="s">
        <v>519</v>
      </c>
      <c r="D52" s="439" t="s">
        <v>363</v>
      </c>
      <c r="E52" s="451" t="s">
        <v>73</v>
      </c>
      <c r="F52" s="447" t="s">
        <v>453</v>
      </c>
      <c r="G52" s="447">
        <f>-(SUMIFS('DRE 2025'!I:I,'DRE 2025'!B:B,'Resumo DRE 2'!A52,'DRE 2025'!H:H,'Resumo DRE 2'!C52,'DRE 2025'!A:A,'Resumo DRE 2'!E52)+SUMIFS('DRE 2025'!I:I,'DRE 2025'!B:B,'Resumo DRE 2'!A52,'DRE 2025'!H:H,'Resumo DRE 2'!D52,'DRE 2025'!A:A,'Resumo DRE 2'!E52))</f>
        <v>1041992.34</v>
      </c>
      <c r="H52" s="444">
        <f>G52/G55</f>
        <v>0.30343769243647678</v>
      </c>
    </row>
    <row r="53" spans="1:8" x14ac:dyDescent="0.2">
      <c r="A53" s="453">
        <v>45658</v>
      </c>
      <c r="B53" s="443">
        <v>4</v>
      </c>
      <c r="C53" s="439" t="s">
        <v>341</v>
      </c>
      <c r="D53" s="451"/>
      <c r="E53" s="451" t="s">
        <v>73</v>
      </c>
      <c r="F53" s="447" t="s">
        <v>454</v>
      </c>
      <c r="G53" s="447">
        <f>-SUMIFS('DRE 2025'!I:I,'DRE 2025'!B:B,'Resumo DRE 2'!A53,'DRE 2025'!H:H,'Resumo DRE 2'!C53,'DRE 2025'!A:A,'Resumo DRE 2'!E53)</f>
        <v>217634.95</v>
      </c>
      <c r="H53" s="444">
        <f>G53/G55</f>
        <v>6.3377286460213331E-2</v>
      </c>
    </row>
    <row r="54" spans="1:8" x14ac:dyDescent="0.2">
      <c r="A54" s="453">
        <v>45658</v>
      </c>
      <c r="B54" s="446">
        <v>5</v>
      </c>
      <c r="C54" s="446"/>
      <c r="D54" s="446"/>
      <c r="E54" s="452" t="s">
        <v>73</v>
      </c>
      <c r="F54" s="442" t="s">
        <v>331</v>
      </c>
      <c r="G54" s="442">
        <f>SUMIF('Resumo DRE 2 Outros'!A:A,'Resumo DRE 2'!A54,'Resumo DRE 2 Outros'!F:F)/2</f>
        <v>258533.14642039995</v>
      </c>
      <c r="H54" s="445">
        <f>G54/G55</f>
        <v>7.5287215036674779E-2</v>
      </c>
    </row>
    <row r="55" spans="1:8" x14ac:dyDescent="0.2">
      <c r="A55" s="453">
        <v>45658</v>
      </c>
      <c r="B55" s="448">
        <v>6</v>
      </c>
      <c r="C55" s="448"/>
      <c r="D55" s="448"/>
      <c r="E55" s="441" t="s">
        <v>73</v>
      </c>
      <c r="F55" s="450" t="s">
        <v>452</v>
      </c>
      <c r="G55" s="450">
        <f>G50+G51+G52+G53+G54</f>
        <v>3433958.1600204003</v>
      </c>
      <c r="H55" s="440">
        <f>SUM(H50:H54)</f>
        <v>0.99999999999999989</v>
      </c>
    </row>
    <row r="56" spans="1:8" x14ac:dyDescent="0.2">
      <c r="A56" s="453">
        <v>45689</v>
      </c>
      <c r="B56" s="443">
        <v>1</v>
      </c>
      <c r="C56" s="439" t="s">
        <v>342</v>
      </c>
      <c r="D56" s="451"/>
      <c r="E56" s="451" t="s">
        <v>73</v>
      </c>
      <c r="F56" s="447" t="s">
        <v>455</v>
      </c>
      <c r="G56" s="447">
        <f>-SUMIFS('DRE 2025'!I:I,'DRE 2025'!B:B,'Resumo DRE 2'!A56,'DRE 2025'!H:H,'Resumo DRE 2'!C56,'DRE 2025'!A:A,'Resumo DRE 2'!E56)</f>
        <v>1404814.5481999996</v>
      </c>
      <c r="H56" s="444">
        <f>G56/G61</f>
        <v>0.41612055409116128</v>
      </c>
    </row>
    <row r="57" spans="1:8" x14ac:dyDescent="0.2">
      <c r="A57" s="453">
        <v>45689</v>
      </c>
      <c r="B57" s="443">
        <v>2</v>
      </c>
      <c r="C57" s="439" t="s">
        <v>356</v>
      </c>
      <c r="D57" s="451"/>
      <c r="E57" s="451" t="s">
        <v>73</v>
      </c>
      <c r="F57" s="447" t="s">
        <v>142</v>
      </c>
      <c r="G57" s="447">
        <f>-SUMIFS('DRE 2025'!I:I,'DRE 2025'!B:B,'Resumo DRE 2'!A57,'DRE 2025'!H:H,'Resumo DRE 2'!C57,'DRE 2025'!A:A,'Resumo DRE 2'!E57)</f>
        <v>475823.33700000006</v>
      </c>
      <c r="H57" s="444">
        <f>G57/G61</f>
        <v>0.14094377859030877</v>
      </c>
    </row>
    <row r="58" spans="1:8" x14ac:dyDescent="0.2">
      <c r="A58" s="453">
        <v>45689</v>
      </c>
      <c r="B58" s="443">
        <v>3</v>
      </c>
      <c r="C58" s="439" t="s">
        <v>519</v>
      </c>
      <c r="D58" s="439" t="s">
        <v>363</v>
      </c>
      <c r="E58" s="451" t="s">
        <v>73</v>
      </c>
      <c r="F58" s="447" t="s">
        <v>453</v>
      </c>
      <c r="G58" s="447">
        <f>-(SUMIFS('DRE 2025'!I:I,'DRE 2025'!B:B,'Resumo DRE 2'!A58,'DRE 2025'!H:H,'Resumo DRE 2'!C58,'DRE 2025'!A:A,'Resumo DRE 2'!E58)+SUMIFS('DRE 2025'!I:I,'DRE 2025'!B:B,'Resumo DRE 2'!A58,'DRE 2025'!H:H,'Resumo DRE 2'!D58,'DRE 2025'!A:A,'Resumo DRE 2'!E58))</f>
        <v>847593.64</v>
      </c>
      <c r="H58" s="444">
        <f>G58/G61</f>
        <v>0.25106597562850069</v>
      </c>
    </row>
    <row r="59" spans="1:8" x14ac:dyDescent="0.2">
      <c r="A59" s="453">
        <v>45689</v>
      </c>
      <c r="B59" s="443">
        <v>4</v>
      </c>
      <c r="C59" s="439" t="s">
        <v>341</v>
      </c>
      <c r="D59" s="451"/>
      <c r="E59" s="451" t="s">
        <v>73</v>
      </c>
      <c r="F59" s="447" t="s">
        <v>454</v>
      </c>
      <c r="G59" s="447">
        <f>-SUMIFS('DRE 2025'!I:I,'DRE 2025'!B:B,'Resumo DRE 2'!A59,'DRE 2025'!H:H,'Resumo DRE 2'!C59,'DRE 2025'!A:A,'Resumo DRE 2'!E59)</f>
        <v>151787.51</v>
      </c>
      <c r="H59" s="444">
        <f>G59/G61</f>
        <v>4.4961025529133045E-2</v>
      </c>
    </row>
    <row r="60" spans="1:8" x14ac:dyDescent="0.2">
      <c r="A60" s="453">
        <v>45689</v>
      </c>
      <c r="B60" s="446">
        <v>5</v>
      </c>
      <c r="C60" s="446"/>
      <c r="D60" s="446"/>
      <c r="E60" s="452" t="s">
        <v>73</v>
      </c>
      <c r="F60" s="442" t="s">
        <v>331</v>
      </c>
      <c r="G60" s="442">
        <f>SUMIF('Resumo DRE 2 Outros'!A:A,'Resumo DRE 2'!A60,'Resumo DRE 2 Outros'!F:F)/2</f>
        <v>495960.67642040004</v>
      </c>
      <c r="H60" s="445">
        <f>G60/G61</f>
        <v>0.14690866616089623</v>
      </c>
    </row>
    <row r="61" spans="1:8" x14ac:dyDescent="0.2">
      <c r="A61" s="453">
        <v>45689</v>
      </c>
      <c r="B61" s="448">
        <v>6</v>
      </c>
      <c r="C61" s="448"/>
      <c r="D61" s="448"/>
      <c r="E61" s="441" t="s">
        <v>73</v>
      </c>
      <c r="F61" s="450" t="s">
        <v>452</v>
      </c>
      <c r="G61" s="450">
        <f>G56+G57+G58+G59+G60</f>
        <v>3375979.7116203997</v>
      </c>
      <c r="H61" s="440">
        <f>SUM(H56:H60)</f>
        <v>1</v>
      </c>
    </row>
    <row r="62" spans="1:8" x14ac:dyDescent="0.2">
      <c r="A62" s="453">
        <v>45717</v>
      </c>
      <c r="B62" s="443">
        <v>1</v>
      </c>
      <c r="C62" s="439" t="s">
        <v>342</v>
      </c>
      <c r="D62" s="451"/>
      <c r="E62" s="451" t="s">
        <v>73</v>
      </c>
      <c r="F62" s="447" t="s">
        <v>455</v>
      </c>
      <c r="G62" s="447">
        <f>-SUMIFS('DRE 2025'!I:I,'DRE 2025'!B:B,'Resumo DRE 2'!A62,'DRE 2025'!H:H,'Resumo DRE 2'!C62,'DRE 2025'!A:A,'Resumo DRE 2'!E62)</f>
        <v>1420450.1930999998</v>
      </c>
      <c r="H62" s="444">
        <f>G62/G67</f>
        <v>0.41171213201424955</v>
      </c>
    </row>
    <row r="63" spans="1:8" x14ac:dyDescent="0.2">
      <c r="A63" s="453">
        <v>45717</v>
      </c>
      <c r="B63" s="443">
        <v>2</v>
      </c>
      <c r="C63" s="439" t="s">
        <v>356</v>
      </c>
      <c r="D63" s="451"/>
      <c r="E63" s="451" t="s">
        <v>73</v>
      </c>
      <c r="F63" s="447" t="s">
        <v>142</v>
      </c>
      <c r="G63" s="447">
        <f>-SUMIFS('DRE 2025'!I:I,'DRE 2025'!B:B,'Resumo DRE 2'!A63,'DRE 2025'!H:H,'Resumo DRE 2'!C63,'DRE 2025'!A:A,'Resumo DRE 2'!E63)</f>
        <v>522863.83350000001</v>
      </c>
      <c r="H63" s="444">
        <f>G63/G67</f>
        <v>0.15155011044324143</v>
      </c>
    </row>
    <row r="64" spans="1:8" x14ac:dyDescent="0.2">
      <c r="A64" s="453">
        <v>45717</v>
      </c>
      <c r="B64" s="443">
        <v>3</v>
      </c>
      <c r="C64" s="439" t="s">
        <v>519</v>
      </c>
      <c r="D64" s="439" t="s">
        <v>363</v>
      </c>
      <c r="E64" s="451" t="s">
        <v>73</v>
      </c>
      <c r="F64" s="447" t="s">
        <v>453</v>
      </c>
      <c r="G64" s="447">
        <f>-(SUMIFS('DRE 2025'!I:I,'DRE 2025'!B:B,'Resumo DRE 2'!A64,'DRE 2025'!H:H,'Resumo DRE 2'!C64,'DRE 2025'!A:A,'Resumo DRE 2'!E64)+SUMIFS('DRE 2025'!I:I,'DRE 2025'!B:B,'Resumo DRE 2'!A64,'DRE 2025'!H:H,'Resumo DRE 2'!D64,'DRE 2025'!A:A,'Resumo DRE 2'!E64))</f>
        <v>917016.74</v>
      </c>
      <c r="H64" s="444">
        <f>G64/G67</f>
        <v>0.26579384405883028</v>
      </c>
    </row>
    <row r="65" spans="1:8" x14ac:dyDescent="0.2">
      <c r="A65" s="453">
        <v>45717</v>
      </c>
      <c r="B65" s="443">
        <v>4</v>
      </c>
      <c r="C65" s="439" t="s">
        <v>341</v>
      </c>
      <c r="D65" s="451"/>
      <c r="E65" s="451" t="s">
        <v>73</v>
      </c>
      <c r="F65" s="447" t="s">
        <v>454</v>
      </c>
      <c r="G65" s="447">
        <f>-SUMIFS('DRE 2025'!I:I,'DRE 2025'!B:B,'Resumo DRE 2'!A65,'DRE 2025'!H:H,'Resumo DRE 2'!C65,'DRE 2025'!A:A,'Resumo DRE 2'!E65)</f>
        <v>127979.75</v>
      </c>
      <c r="H65" s="444">
        <f>G65/G67</f>
        <v>3.7094447931439165E-2</v>
      </c>
    </row>
    <row r="66" spans="1:8" x14ac:dyDescent="0.2">
      <c r="A66" s="453">
        <v>45717</v>
      </c>
      <c r="B66" s="446">
        <v>5</v>
      </c>
      <c r="C66" s="446"/>
      <c r="D66" s="446"/>
      <c r="E66" s="452" t="s">
        <v>73</v>
      </c>
      <c r="F66" s="442" t="s">
        <v>331</v>
      </c>
      <c r="G66" s="442">
        <f>SUMIF('Resumo DRE 2 Outros'!A:A,'Resumo DRE 2'!A66,'Resumo DRE 2 Outros'!F:F)/2</f>
        <v>461794.7454204</v>
      </c>
      <c r="H66" s="445">
        <f>G66/G67</f>
        <v>0.13384946555223959</v>
      </c>
    </row>
    <row r="67" spans="1:8" x14ac:dyDescent="0.2">
      <c r="A67" s="453">
        <v>45717</v>
      </c>
      <c r="B67" s="448">
        <v>6</v>
      </c>
      <c r="C67" s="448"/>
      <c r="D67" s="448"/>
      <c r="E67" s="441" t="s">
        <v>73</v>
      </c>
      <c r="F67" s="450" t="s">
        <v>452</v>
      </c>
      <c r="G67" s="450">
        <f>G62+G63+G64+G65+G66</f>
        <v>3450105.2620203998</v>
      </c>
      <c r="H67" s="440">
        <f>SUM(H62:H66)</f>
        <v>1</v>
      </c>
    </row>
    <row r="68" spans="1:8" x14ac:dyDescent="0.2">
      <c r="A68" s="453">
        <v>45748</v>
      </c>
      <c r="B68" s="443">
        <v>1</v>
      </c>
      <c r="C68" s="439" t="s">
        <v>342</v>
      </c>
      <c r="D68" s="451"/>
      <c r="E68" s="451" t="s">
        <v>73</v>
      </c>
      <c r="F68" s="447" t="s">
        <v>455</v>
      </c>
      <c r="G68" s="447">
        <f>-SUMIFS('DRE 2025'!I:I,'DRE 2025'!B:B,'Resumo DRE 2'!A68,'DRE 2025'!H:H,'Resumo DRE 2'!C68,'DRE 2025'!A:A,'Resumo DRE 2'!E68)</f>
        <v>1483785.7775999999</v>
      </c>
      <c r="H68" s="444">
        <f>G68/G73</f>
        <v>0.43365448756043912</v>
      </c>
    </row>
    <row r="69" spans="1:8" x14ac:dyDescent="0.2">
      <c r="A69" s="453">
        <v>45748</v>
      </c>
      <c r="B69" s="443">
        <v>2</v>
      </c>
      <c r="C69" s="439" t="s">
        <v>356</v>
      </c>
      <c r="D69" s="451"/>
      <c r="E69" s="451" t="s">
        <v>73</v>
      </c>
      <c r="F69" s="447" t="s">
        <v>142</v>
      </c>
      <c r="G69" s="447">
        <f>-SUMIFS('DRE 2025'!I:I,'DRE 2025'!B:B,'Resumo DRE 2'!A69,'DRE 2025'!H:H,'Resumo DRE 2'!C69,'DRE 2025'!A:A,'Resumo DRE 2'!E69)</f>
        <v>540123.74239999999</v>
      </c>
      <c r="H69" s="444">
        <f>G69/G73</f>
        <v>0.15785775026672463</v>
      </c>
    </row>
    <row r="70" spans="1:8" x14ac:dyDescent="0.2">
      <c r="A70" s="453">
        <v>45748</v>
      </c>
      <c r="B70" s="443">
        <v>3</v>
      </c>
      <c r="C70" s="439" t="s">
        <v>519</v>
      </c>
      <c r="D70" s="439" t="s">
        <v>363</v>
      </c>
      <c r="E70" s="451" t="s">
        <v>73</v>
      </c>
      <c r="F70" s="447" t="s">
        <v>453</v>
      </c>
      <c r="G70" s="447">
        <f>-(SUMIFS('DRE 2025'!I:I,'DRE 2025'!B:B,'Resumo DRE 2'!A70,'DRE 2025'!H:H,'Resumo DRE 2'!C70,'DRE 2025'!A:A,'Resumo DRE 2'!E70)+SUMIFS('DRE 2025'!I:I,'DRE 2025'!B:B,'Resumo DRE 2'!A70,'DRE 2025'!H:H,'Resumo DRE 2'!D70,'DRE 2025'!A:A,'Resumo DRE 2'!E70))</f>
        <v>774000.14399999997</v>
      </c>
      <c r="H70" s="444">
        <f>G70/G73</f>
        <v>0.22621098064501768</v>
      </c>
    </row>
    <row r="71" spans="1:8" x14ac:dyDescent="0.2">
      <c r="A71" s="453">
        <v>45748</v>
      </c>
      <c r="B71" s="443">
        <v>4</v>
      </c>
      <c r="C71" s="439" t="s">
        <v>341</v>
      </c>
      <c r="D71" s="451"/>
      <c r="E71" s="451" t="s">
        <v>73</v>
      </c>
      <c r="F71" s="447" t="s">
        <v>454</v>
      </c>
      <c r="G71" s="447">
        <f>-SUMIFS('DRE 2025'!I:I,'DRE 2025'!B:B,'Resumo DRE 2'!A71,'DRE 2025'!H:H,'Resumo DRE 2'!C71,'DRE 2025'!A:A,'Resumo DRE 2'!E71)</f>
        <v>227020.69</v>
      </c>
      <c r="H71" s="444">
        <f>G71/G73</f>
        <v>6.6349565061073895E-2</v>
      </c>
    </row>
    <row r="72" spans="1:8" x14ac:dyDescent="0.2">
      <c r="A72" s="453">
        <v>45748</v>
      </c>
      <c r="B72" s="446">
        <v>5</v>
      </c>
      <c r="C72" s="446"/>
      <c r="D72" s="446"/>
      <c r="E72" s="452" t="s">
        <v>73</v>
      </c>
      <c r="F72" s="442" t="s">
        <v>331</v>
      </c>
      <c r="G72" s="442">
        <f>SUMIF('Resumo DRE 2 Outros'!A:A,'Resumo DRE 2'!A72,'Resumo DRE 2 Outros'!F:F)/2</f>
        <v>396654.84842040011</v>
      </c>
      <c r="H72" s="445">
        <f>G72/G73</f>
        <v>0.11592721646674468</v>
      </c>
    </row>
    <row r="73" spans="1:8" x14ac:dyDescent="0.2">
      <c r="A73" s="453">
        <v>45748</v>
      </c>
      <c r="B73" s="448">
        <v>6</v>
      </c>
      <c r="C73" s="448"/>
      <c r="D73" s="448"/>
      <c r="E73" s="441" t="s">
        <v>73</v>
      </c>
      <c r="F73" s="450" t="s">
        <v>452</v>
      </c>
      <c r="G73" s="450">
        <f>G68+G69+G70+G71+G72</f>
        <v>3421585.2024204</v>
      </c>
      <c r="H73" s="440">
        <f>SUM(H68:H72)</f>
        <v>1</v>
      </c>
    </row>
    <row r="74" spans="1:8" x14ac:dyDescent="0.2">
      <c r="A74" s="453">
        <v>45778</v>
      </c>
      <c r="B74" s="443">
        <v>1</v>
      </c>
      <c r="C74" s="439" t="s">
        <v>342</v>
      </c>
      <c r="D74" s="451"/>
      <c r="E74" s="451" t="s">
        <v>73</v>
      </c>
      <c r="F74" s="447" t="s">
        <v>455</v>
      </c>
      <c r="G74" s="447">
        <f>-SUMIFS('DRE 2025'!I:I,'DRE 2025'!B:B,'Resumo DRE 2'!A74,'DRE 2025'!H:H,'Resumo DRE 2'!C74,'DRE 2025'!A:A,'Resumo DRE 2'!E74)</f>
        <v>1575153.351</v>
      </c>
      <c r="H74" s="444">
        <f>G74/G79</f>
        <v>0.45794174915470121</v>
      </c>
    </row>
    <row r="75" spans="1:8" x14ac:dyDescent="0.2">
      <c r="A75" s="453">
        <v>45778</v>
      </c>
      <c r="B75" s="443">
        <v>2</v>
      </c>
      <c r="C75" s="439" t="s">
        <v>356</v>
      </c>
      <c r="D75" s="451"/>
      <c r="E75" s="451" t="s">
        <v>73</v>
      </c>
      <c r="F75" s="447" t="s">
        <v>142</v>
      </c>
      <c r="G75" s="447">
        <f>-SUMIFS('DRE 2025'!I:I,'DRE 2025'!B:B,'Resumo DRE 2'!A75,'DRE 2025'!H:H,'Resumo DRE 2'!C75,'DRE 2025'!A:A,'Resumo DRE 2'!E75)</f>
        <v>556426.91</v>
      </c>
      <c r="H75" s="444">
        <f>G75/G79</f>
        <v>0.16176908253433003</v>
      </c>
    </row>
    <row r="76" spans="1:8" x14ac:dyDescent="0.2">
      <c r="A76" s="453">
        <v>45778</v>
      </c>
      <c r="B76" s="443">
        <v>3</v>
      </c>
      <c r="C76" s="439" t="s">
        <v>519</v>
      </c>
      <c r="D76" s="439" t="s">
        <v>363</v>
      </c>
      <c r="E76" s="451" t="s">
        <v>73</v>
      </c>
      <c r="F76" s="447" t="s">
        <v>453</v>
      </c>
      <c r="G76" s="447">
        <f>-(SUMIFS('DRE 2025'!I:I,'DRE 2025'!B:B,'Resumo DRE 2'!A76,'DRE 2025'!H:H,'Resumo DRE 2'!C76,'DRE 2025'!A:A,'Resumo DRE 2'!E76)+SUMIFS('DRE 2025'!I:I,'DRE 2025'!B:B,'Resumo DRE 2'!A76,'DRE 2025'!H:H,'Resumo DRE 2'!D76,'DRE 2025'!A:A,'Resumo DRE 2'!E76))</f>
        <v>733799.61</v>
      </c>
      <c r="H76" s="444">
        <f>G76/G79</f>
        <v>0.21333635656433148</v>
      </c>
    </row>
    <row r="77" spans="1:8" x14ac:dyDescent="0.2">
      <c r="A77" s="453">
        <v>45778</v>
      </c>
      <c r="B77" s="443">
        <v>4</v>
      </c>
      <c r="C77" s="439" t="s">
        <v>341</v>
      </c>
      <c r="D77" s="451"/>
      <c r="E77" s="451" t="s">
        <v>73</v>
      </c>
      <c r="F77" s="447" t="s">
        <v>454</v>
      </c>
      <c r="G77" s="447">
        <f>-SUMIFS('DRE 2025'!I:I,'DRE 2025'!B:B,'Resumo DRE 2'!A77,'DRE 2025'!H:H,'Resumo DRE 2'!C77,'DRE 2025'!A:A,'Resumo DRE 2'!E77)</f>
        <v>197541.58</v>
      </c>
      <c r="H77" s="444">
        <f>G77/G79</f>
        <v>5.7430939418407989E-2</v>
      </c>
    </row>
    <row r="78" spans="1:8" x14ac:dyDescent="0.2">
      <c r="A78" s="453">
        <v>45778</v>
      </c>
      <c r="B78" s="446">
        <v>5</v>
      </c>
      <c r="C78" s="446"/>
      <c r="D78" s="446"/>
      <c r="E78" s="452" t="s">
        <v>73</v>
      </c>
      <c r="F78" s="442" t="s">
        <v>331</v>
      </c>
      <c r="G78" s="442">
        <f>SUMIF('Resumo DRE 2 Outros'!A:A,'Resumo DRE 2'!A78,'Resumo DRE 2 Outros'!F:F)/2</f>
        <v>376715.47642040002</v>
      </c>
      <c r="H78" s="445">
        <f>G78/G79</f>
        <v>0.10952187232822931</v>
      </c>
    </row>
    <row r="79" spans="1:8" x14ac:dyDescent="0.2">
      <c r="A79" s="453">
        <v>45778</v>
      </c>
      <c r="B79" s="448">
        <v>6</v>
      </c>
      <c r="C79" s="448"/>
      <c r="D79" s="448"/>
      <c r="E79" s="441" t="s">
        <v>73</v>
      </c>
      <c r="F79" s="450" t="s">
        <v>452</v>
      </c>
      <c r="G79" s="450">
        <f>G74+G75+G76+G77+G78</f>
        <v>3439636.9274204001</v>
      </c>
      <c r="H79" s="440">
        <f>SUM(H74:H78)</f>
        <v>0.99999999999999989</v>
      </c>
    </row>
    <row r="80" spans="1:8" x14ac:dyDescent="0.2">
      <c r="A80" s="453">
        <v>45809</v>
      </c>
      <c r="B80" s="443">
        <v>1</v>
      </c>
      <c r="C80" s="439" t="s">
        <v>342</v>
      </c>
      <c r="D80" s="451"/>
      <c r="E80" s="451" t="s">
        <v>73</v>
      </c>
      <c r="F80" s="447" t="s">
        <v>455</v>
      </c>
      <c r="G80" s="447">
        <f>-SUMIFS('DRE 2025'!I:I,'DRE 2025'!B:B,'Resumo DRE 2'!A80,'DRE 2025'!H:H,'Resumo DRE 2'!C80,'DRE 2025'!A:A,'Resumo DRE 2'!E80)</f>
        <v>1596757.1</v>
      </c>
      <c r="H80" s="444">
        <f>G80/G85</f>
        <v>0.43588245190157415</v>
      </c>
    </row>
    <row r="81" spans="1:8" x14ac:dyDescent="0.2">
      <c r="A81" s="453">
        <v>45809</v>
      </c>
      <c r="B81" s="443">
        <v>2</v>
      </c>
      <c r="C81" s="439" t="s">
        <v>356</v>
      </c>
      <c r="D81" s="451"/>
      <c r="E81" s="451" t="s">
        <v>73</v>
      </c>
      <c r="F81" s="447" t="s">
        <v>142</v>
      </c>
      <c r="G81" s="447">
        <f>-SUMIFS('DRE 2025'!I:I,'DRE 2025'!B:B,'Resumo DRE 2'!A81,'DRE 2025'!H:H,'Resumo DRE 2'!C81,'DRE 2025'!A:A,'Resumo DRE 2'!E81)</f>
        <v>550571.80000000005</v>
      </c>
      <c r="H81" s="444">
        <f>G81/G85</f>
        <v>0.15029498608890676</v>
      </c>
    </row>
    <row r="82" spans="1:8" x14ac:dyDescent="0.2">
      <c r="A82" s="453">
        <v>45809</v>
      </c>
      <c r="B82" s="443">
        <v>3</v>
      </c>
      <c r="C82" s="439" t="s">
        <v>519</v>
      </c>
      <c r="D82" s="439" t="s">
        <v>363</v>
      </c>
      <c r="E82" s="451" t="s">
        <v>73</v>
      </c>
      <c r="F82" s="447" t="s">
        <v>453</v>
      </c>
      <c r="G82" s="447">
        <f>-(SUMIFS('DRE 2025'!I:I,'DRE 2025'!B:B,'Resumo DRE 2'!A82,'DRE 2025'!H:H,'Resumo DRE 2'!C82,'DRE 2025'!A:A,'Resumo DRE 2'!E82)+SUMIFS('DRE 2025'!I:I,'DRE 2025'!B:B,'Resumo DRE 2'!A82,'DRE 2025'!H:H,'Resumo DRE 2'!D82,'DRE 2025'!A:A,'Resumo DRE 2'!E82))</f>
        <v>779606.24</v>
      </c>
      <c r="H82" s="444">
        <f>G82/G85</f>
        <v>0.21281676430871485</v>
      </c>
    </row>
    <row r="83" spans="1:8" x14ac:dyDescent="0.2">
      <c r="A83" s="453">
        <v>45809</v>
      </c>
      <c r="B83" s="443">
        <v>4</v>
      </c>
      <c r="C83" s="439" t="s">
        <v>341</v>
      </c>
      <c r="D83" s="451"/>
      <c r="E83" s="451" t="s">
        <v>73</v>
      </c>
      <c r="F83" s="447" t="s">
        <v>454</v>
      </c>
      <c r="G83" s="447">
        <f>-SUMIFS('DRE 2025'!I:I,'DRE 2025'!B:B,'Resumo DRE 2'!A83,'DRE 2025'!H:H,'Resumo DRE 2'!C83,'DRE 2025'!A:A,'Resumo DRE 2'!E83)</f>
        <v>195387.87</v>
      </c>
      <c r="H83" s="444">
        <f>G83/G85</f>
        <v>5.3336943889227745E-2</v>
      </c>
    </row>
    <row r="84" spans="1:8" x14ac:dyDescent="0.2">
      <c r="A84" s="453">
        <v>45809</v>
      </c>
      <c r="B84" s="446">
        <v>5</v>
      </c>
      <c r="C84" s="446"/>
      <c r="D84" s="446"/>
      <c r="E84" s="452" t="s">
        <v>73</v>
      </c>
      <c r="F84" s="442" t="s">
        <v>331</v>
      </c>
      <c r="G84" s="442">
        <f>SUMIF('Resumo DRE 2 Outros'!A:A,'Resumo DRE 2'!A84,'Resumo DRE 2 Outros'!F:F)/2</f>
        <v>540951.55642039992</v>
      </c>
      <c r="H84" s="445">
        <f>G84/G85</f>
        <v>0.14766885381157638</v>
      </c>
    </row>
    <row r="85" spans="1:8" x14ac:dyDescent="0.2">
      <c r="A85" s="453">
        <v>45809</v>
      </c>
      <c r="B85" s="448">
        <v>6</v>
      </c>
      <c r="C85" s="448"/>
      <c r="D85" s="448"/>
      <c r="E85" s="441" t="s">
        <v>73</v>
      </c>
      <c r="F85" s="450" t="s">
        <v>452</v>
      </c>
      <c r="G85" s="450">
        <f>G80+G81+G82+G83+G84</f>
        <v>3663274.5664204005</v>
      </c>
      <c r="H85" s="440">
        <f>SUM(H80:H84)</f>
        <v>0.99999999999999989</v>
      </c>
    </row>
    <row r="86" spans="1:8" x14ac:dyDescent="0.2">
      <c r="A86" s="453">
        <v>45839</v>
      </c>
      <c r="B86" s="443">
        <v>1</v>
      </c>
      <c r="C86" s="439" t="s">
        <v>342</v>
      </c>
      <c r="D86" s="451"/>
      <c r="E86" s="451" t="s">
        <v>73</v>
      </c>
      <c r="F86" s="447" t="s">
        <v>455</v>
      </c>
      <c r="G86" s="447">
        <f>-SUMIFS('DRE 2025'!I:I,'DRE 2025'!B:B,'Resumo DRE 2'!A86,'DRE 2025'!H:H,'Resumo DRE 2'!C86,'DRE 2025'!A:A,'Resumo DRE 2'!E86)</f>
        <v>1594773.16</v>
      </c>
      <c r="H86" s="444">
        <f>G86/G91</f>
        <v>0.43153235743820939</v>
      </c>
    </row>
    <row r="87" spans="1:8" x14ac:dyDescent="0.2">
      <c r="A87" s="453">
        <v>45839</v>
      </c>
      <c r="B87" s="443">
        <v>2</v>
      </c>
      <c r="C87" s="439" t="s">
        <v>356</v>
      </c>
      <c r="D87" s="451"/>
      <c r="E87" s="451" t="s">
        <v>73</v>
      </c>
      <c r="F87" s="447" t="s">
        <v>142</v>
      </c>
      <c r="G87" s="447">
        <f>-SUMIFS('DRE 2025'!I:I,'DRE 2025'!B:B,'Resumo DRE 2'!A87,'DRE 2025'!H:H,'Resumo DRE 2'!C87,'DRE 2025'!A:A,'Resumo DRE 2'!E87)</f>
        <v>591983.14500000002</v>
      </c>
      <c r="H87" s="444">
        <f>G87/G91</f>
        <v>0.16018571702419129</v>
      </c>
    </row>
    <row r="88" spans="1:8" x14ac:dyDescent="0.2">
      <c r="A88" s="453">
        <v>45839</v>
      </c>
      <c r="B88" s="443">
        <v>3</v>
      </c>
      <c r="C88" s="439" t="s">
        <v>519</v>
      </c>
      <c r="D88" s="439" t="s">
        <v>363</v>
      </c>
      <c r="E88" s="451" t="s">
        <v>73</v>
      </c>
      <c r="F88" s="447" t="s">
        <v>453</v>
      </c>
      <c r="G88" s="447">
        <f>-(SUMIFS('DRE 2025'!I:I,'DRE 2025'!B:B,'Resumo DRE 2'!A88,'DRE 2025'!H:H,'Resumo DRE 2'!C88,'DRE 2025'!A:A,'Resumo DRE 2'!E88)+SUMIFS('DRE 2025'!I:I,'DRE 2025'!B:B,'Resumo DRE 2'!A88,'DRE 2025'!H:H,'Resumo DRE 2'!D88,'DRE 2025'!A:A,'Resumo DRE 2'!E88))</f>
        <v>879024.94</v>
      </c>
      <c r="H88" s="444">
        <f>G88/G91</f>
        <v>0.23785684015724251</v>
      </c>
    </row>
    <row r="89" spans="1:8" x14ac:dyDescent="0.2">
      <c r="A89" s="453">
        <v>45839</v>
      </c>
      <c r="B89" s="443">
        <v>4</v>
      </c>
      <c r="C89" s="439" t="s">
        <v>341</v>
      </c>
      <c r="D89" s="451"/>
      <c r="E89" s="451" t="s">
        <v>73</v>
      </c>
      <c r="F89" s="447" t="s">
        <v>454</v>
      </c>
      <c r="G89" s="447">
        <f>-SUMIFS('DRE 2025'!I:I,'DRE 2025'!B:B,'Resumo DRE 2'!A89,'DRE 2025'!H:H,'Resumo DRE 2'!C89,'DRE 2025'!A:A,'Resumo DRE 2'!E89)</f>
        <v>196590.73</v>
      </c>
      <c r="H89" s="444">
        <f>G89/G91</f>
        <v>5.3195816994686895E-2</v>
      </c>
    </row>
    <row r="90" spans="1:8" x14ac:dyDescent="0.2">
      <c r="A90" s="453">
        <v>45839</v>
      </c>
      <c r="B90" s="446">
        <v>5</v>
      </c>
      <c r="C90" s="446"/>
      <c r="D90" s="446"/>
      <c r="E90" s="452" t="s">
        <v>73</v>
      </c>
      <c r="F90" s="442" t="s">
        <v>331</v>
      </c>
      <c r="G90" s="442">
        <f>SUMIF('Resumo DRE 2 Outros'!A:A,'Resumo DRE 2'!A90,'Resumo DRE 2 Outros'!F:F)/2</f>
        <v>433233.0764204</v>
      </c>
      <c r="H90" s="445">
        <f>G90/G91</f>
        <v>0.11722926838567006</v>
      </c>
    </row>
    <row r="91" spans="1:8" x14ac:dyDescent="0.2">
      <c r="A91" s="453">
        <v>45839</v>
      </c>
      <c r="B91" s="448">
        <v>6</v>
      </c>
      <c r="C91" s="448"/>
      <c r="D91" s="448"/>
      <c r="E91" s="441" t="s">
        <v>73</v>
      </c>
      <c r="F91" s="450" t="s">
        <v>452</v>
      </c>
      <c r="G91" s="450">
        <f>G86+G87+G88+G89+G90</f>
        <v>3695605.0514203995</v>
      </c>
      <c r="H91" s="440">
        <f>SUM(H86:H90)</f>
        <v>1.0000000000000002</v>
      </c>
    </row>
    <row r="92" spans="1:8" x14ac:dyDescent="0.2">
      <c r="A92" s="453">
        <v>45870</v>
      </c>
      <c r="B92" s="443">
        <v>1</v>
      </c>
      <c r="C92" s="439" t="s">
        <v>342</v>
      </c>
      <c r="D92" s="451"/>
      <c r="E92" s="451" t="s">
        <v>73</v>
      </c>
      <c r="F92" s="447" t="s">
        <v>455</v>
      </c>
      <c r="G92" s="447">
        <f>-SUMIFS('DRE 2025'!I:I,'DRE 2025'!B:B,'Resumo DRE 2'!A92,'DRE 2025'!H:H,'Resumo DRE 2'!C92,'DRE 2025'!A:A,'Resumo DRE 2'!E92)</f>
        <v>1598716.6397999995</v>
      </c>
      <c r="H92" s="444">
        <f>G92/G97</f>
        <v>0.44658030146397942</v>
      </c>
    </row>
    <row r="93" spans="1:8" x14ac:dyDescent="0.2">
      <c r="A93" s="453">
        <v>45870</v>
      </c>
      <c r="B93" s="443">
        <v>2</v>
      </c>
      <c r="C93" s="439" t="s">
        <v>356</v>
      </c>
      <c r="D93" s="451"/>
      <c r="E93" s="451" t="s">
        <v>73</v>
      </c>
      <c r="F93" s="447" t="s">
        <v>142</v>
      </c>
      <c r="G93" s="447">
        <f>-SUMIFS('DRE 2025'!I:I,'DRE 2025'!B:B,'Resumo DRE 2'!A93,'DRE 2025'!H:H,'Resumo DRE 2'!C93,'DRE 2025'!A:A,'Resumo DRE 2'!E93)</f>
        <v>568047.18450000009</v>
      </c>
      <c r="H93" s="444">
        <f>G93/G97</f>
        <v>0.15867645121371238</v>
      </c>
    </row>
    <row r="94" spans="1:8" x14ac:dyDescent="0.2">
      <c r="A94" s="453">
        <v>45870</v>
      </c>
      <c r="B94" s="443">
        <v>3</v>
      </c>
      <c r="C94" s="439" t="s">
        <v>519</v>
      </c>
      <c r="D94" s="439" t="s">
        <v>363</v>
      </c>
      <c r="E94" s="451" t="s">
        <v>73</v>
      </c>
      <c r="F94" s="447" t="s">
        <v>453</v>
      </c>
      <c r="G94" s="447">
        <f>-(SUMIFS('DRE 2025'!I:I,'DRE 2025'!B:B,'Resumo DRE 2'!A94,'DRE 2025'!H:H,'Resumo DRE 2'!C94,'DRE 2025'!A:A,'Resumo DRE 2'!E94)+SUMIFS('DRE 2025'!I:I,'DRE 2025'!B:B,'Resumo DRE 2'!A94,'DRE 2025'!H:H,'Resumo DRE 2'!D94,'DRE 2025'!A:A,'Resumo DRE 2'!E94))</f>
        <v>851867.99001299997</v>
      </c>
      <c r="H94" s="444">
        <f>G94/G97</f>
        <v>0.23795803103363675</v>
      </c>
    </row>
    <row r="95" spans="1:8" x14ac:dyDescent="0.2">
      <c r="A95" s="453">
        <v>45870</v>
      </c>
      <c r="B95" s="443">
        <v>4</v>
      </c>
      <c r="C95" s="439" t="s">
        <v>341</v>
      </c>
      <c r="D95" s="451"/>
      <c r="E95" s="451" t="s">
        <v>73</v>
      </c>
      <c r="F95" s="447" t="s">
        <v>454</v>
      </c>
      <c r="G95" s="447">
        <f>-SUMIFS('DRE 2025'!I:I,'DRE 2025'!B:B,'Resumo DRE 2'!A95,'DRE 2025'!H:H,'Resumo DRE 2'!C95,'DRE 2025'!A:A,'Resumo DRE 2'!E95)</f>
        <v>173444.26</v>
      </c>
      <c r="H95" s="444">
        <f>G95/G97</f>
        <v>4.844935493239548E-2</v>
      </c>
    </row>
    <row r="96" spans="1:8" x14ac:dyDescent="0.2">
      <c r="A96" s="453">
        <v>45870</v>
      </c>
      <c r="B96" s="446">
        <v>5</v>
      </c>
      <c r="C96" s="446"/>
      <c r="D96" s="446"/>
      <c r="E96" s="452" t="s">
        <v>73</v>
      </c>
      <c r="F96" s="442" t="s">
        <v>331</v>
      </c>
      <c r="G96" s="442">
        <f>SUMIF('Resumo DRE 2 Outros'!A:A,'Resumo DRE 2'!A96,'Resumo DRE 2 Outros'!F:F)/2</f>
        <v>387832.47642040002</v>
      </c>
      <c r="H96" s="445">
        <f>G96/G97</f>
        <v>0.10833586135627585</v>
      </c>
    </row>
    <row r="97" spans="1:8" x14ac:dyDescent="0.2">
      <c r="A97" s="453">
        <v>45870</v>
      </c>
      <c r="B97" s="448">
        <v>6</v>
      </c>
      <c r="C97" s="448"/>
      <c r="D97" s="448"/>
      <c r="E97" s="441" t="s">
        <v>73</v>
      </c>
      <c r="F97" s="450" t="s">
        <v>452</v>
      </c>
      <c r="G97" s="450">
        <f>G92+G93+G94+G95+G96</f>
        <v>3579908.5507334</v>
      </c>
      <c r="H97" s="440">
        <f>SUM(H92:H96)</f>
        <v>0.99999999999999978</v>
      </c>
    </row>
    <row r="98" spans="1:8" x14ac:dyDescent="0.2">
      <c r="A98" s="453">
        <v>45901</v>
      </c>
      <c r="B98" s="443">
        <v>1</v>
      </c>
      <c r="C98" s="439" t="s">
        <v>342</v>
      </c>
      <c r="D98" s="451"/>
      <c r="E98" s="451" t="s">
        <v>73</v>
      </c>
      <c r="F98" s="447" t="s">
        <v>455</v>
      </c>
      <c r="G98" s="447">
        <f>-SUMIFS('DRE 2025'!I:I,'DRE 2025'!B:B,'Resumo DRE 2'!A98,'DRE 2025'!H:H,'Resumo DRE 2'!C98,'DRE 2025'!A:A,'Resumo DRE 2'!E98)</f>
        <v>1618700.8512999993</v>
      </c>
      <c r="H98" s="444">
        <f>G98/G103</f>
        <v>0.40375592546423589</v>
      </c>
    </row>
    <row r="99" spans="1:8" x14ac:dyDescent="0.2">
      <c r="A99" s="453">
        <v>45901</v>
      </c>
      <c r="B99" s="443">
        <v>2</v>
      </c>
      <c r="C99" s="439" t="s">
        <v>356</v>
      </c>
      <c r="D99" s="451"/>
      <c r="E99" s="451" t="s">
        <v>73</v>
      </c>
      <c r="F99" s="447" t="s">
        <v>142</v>
      </c>
      <c r="G99" s="447">
        <f>-SUMIFS('DRE 2025'!I:I,'DRE 2025'!B:B,'Resumo DRE 2'!A99,'DRE 2025'!H:H,'Resumo DRE 2'!C99,'DRE 2025'!A:A,'Resumo DRE 2'!E99)</f>
        <v>593873.33950000012</v>
      </c>
      <c r="H99" s="444">
        <f>G99/G103</f>
        <v>0.14813106424561934</v>
      </c>
    </row>
    <row r="100" spans="1:8" x14ac:dyDescent="0.2">
      <c r="A100" s="453">
        <v>45901</v>
      </c>
      <c r="B100" s="443">
        <v>3</v>
      </c>
      <c r="C100" s="439" t="s">
        <v>519</v>
      </c>
      <c r="D100" s="439" t="s">
        <v>363</v>
      </c>
      <c r="E100" s="451" t="s">
        <v>73</v>
      </c>
      <c r="F100" s="447" t="s">
        <v>453</v>
      </c>
      <c r="G100" s="447">
        <f>-(SUMIFS('DRE 2025'!I:I,'DRE 2025'!B:B,'Resumo DRE 2'!A100,'DRE 2025'!H:H,'Resumo DRE 2'!C100,'DRE 2025'!A:A,'Resumo DRE 2'!E100)+SUMIFS('DRE 2025'!I:I,'DRE 2025'!B:B,'Resumo DRE 2'!A100,'DRE 2025'!H:H,'Resumo DRE 2'!D100,'DRE 2025'!A:A,'Resumo DRE 2'!E100))</f>
        <v>942667.67</v>
      </c>
      <c r="H100" s="444">
        <f>G100/G103</f>
        <v>0.2351315607206817</v>
      </c>
    </row>
    <row r="101" spans="1:8" x14ac:dyDescent="0.2">
      <c r="A101" s="453">
        <v>45901</v>
      </c>
      <c r="B101" s="443">
        <v>4</v>
      </c>
      <c r="C101" s="439" t="s">
        <v>341</v>
      </c>
      <c r="D101" s="451"/>
      <c r="E101" s="451" t="s">
        <v>73</v>
      </c>
      <c r="F101" s="447" t="s">
        <v>454</v>
      </c>
      <c r="G101" s="447">
        <f>-SUMIFS('DRE 2025'!I:I,'DRE 2025'!B:B,'Resumo DRE 2'!A101,'DRE 2025'!H:H,'Resumo DRE 2'!C101,'DRE 2025'!A:A,'Resumo DRE 2'!E101)</f>
        <v>188176.32</v>
      </c>
      <c r="H101" s="444">
        <f>G101/G103</f>
        <v>4.6937211511957795E-2</v>
      </c>
    </row>
    <row r="102" spans="1:8" x14ac:dyDescent="0.2">
      <c r="A102" s="453">
        <v>45901</v>
      </c>
      <c r="B102" s="446">
        <v>5</v>
      </c>
      <c r="C102" s="446"/>
      <c r="D102" s="446"/>
      <c r="E102" s="452" t="s">
        <v>73</v>
      </c>
      <c r="F102" s="442" t="s">
        <v>331</v>
      </c>
      <c r="G102" s="442">
        <f>SUMIF('Resumo DRE 2 Outros'!A:A,'Resumo DRE 2'!A102,'Resumo DRE 2 Outros'!F:F)/2</f>
        <v>665689.17642040004</v>
      </c>
      <c r="H102" s="445">
        <f>G102/G103</f>
        <v>0.16604423805750534</v>
      </c>
    </row>
    <row r="103" spans="1:8" x14ac:dyDescent="0.2">
      <c r="A103" s="453">
        <v>45901</v>
      </c>
      <c r="B103" s="448">
        <v>6</v>
      </c>
      <c r="C103" s="448"/>
      <c r="D103" s="448"/>
      <c r="E103" s="441" t="s">
        <v>73</v>
      </c>
      <c r="F103" s="450" t="s">
        <v>452</v>
      </c>
      <c r="G103" s="450">
        <f>G98+G99+G100+G101+G102</f>
        <v>4009107.3572203992</v>
      </c>
      <c r="H103" s="440">
        <f>SUM(H98:H102)</f>
        <v>1</v>
      </c>
    </row>
    <row r="104" spans="1:8" x14ac:dyDescent="0.2">
      <c r="A104" s="453">
        <v>45931</v>
      </c>
      <c r="B104" s="443">
        <v>1</v>
      </c>
      <c r="C104" s="439" t="s">
        <v>342</v>
      </c>
      <c r="D104" s="451"/>
      <c r="E104" s="451" t="s">
        <v>73</v>
      </c>
      <c r="F104" s="447" t="s">
        <v>455</v>
      </c>
      <c r="G104" s="447">
        <f>-SUMIFS('DRE 2025'!I:I,'DRE 2025'!B:B,'Resumo DRE 2'!A104,'DRE 2025'!H:H,'Resumo DRE 2'!C104,'DRE 2025'!A:A,'Resumo DRE 2'!E104)</f>
        <v>1632905.1767999995</v>
      </c>
      <c r="H104" s="444">
        <f>G104/G109</f>
        <v>0.44732624962856038</v>
      </c>
    </row>
    <row r="105" spans="1:8" x14ac:dyDescent="0.2">
      <c r="A105" s="453">
        <v>45931</v>
      </c>
      <c r="B105" s="443">
        <v>2</v>
      </c>
      <c r="C105" s="439" t="s">
        <v>356</v>
      </c>
      <c r="D105" s="451"/>
      <c r="E105" s="451" t="s">
        <v>73</v>
      </c>
      <c r="F105" s="447" t="s">
        <v>142</v>
      </c>
      <c r="G105" s="447">
        <f>-SUMIFS('DRE 2025'!I:I,'DRE 2025'!B:B,'Resumo DRE 2'!A105,'DRE 2025'!H:H,'Resumo DRE 2'!C105,'DRE 2025'!A:A,'Resumo DRE 2'!E105)</f>
        <v>528241.38699999999</v>
      </c>
      <c r="H105" s="444">
        <f>G105/G109</f>
        <v>0.14470910001545109</v>
      </c>
    </row>
    <row r="106" spans="1:8" x14ac:dyDescent="0.2">
      <c r="A106" s="453">
        <v>45931</v>
      </c>
      <c r="B106" s="443">
        <v>3</v>
      </c>
      <c r="C106" s="439" t="s">
        <v>519</v>
      </c>
      <c r="D106" s="439" t="s">
        <v>363</v>
      </c>
      <c r="E106" s="451" t="s">
        <v>73</v>
      </c>
      <c r="F106" s="447" t="s">
        <v>453</v>
      </c>
      <c r="G106" s="447">
        <f>-(SUMIFS('DRE 2025'!I:I,'DRE 2025'!B:B,'Resumo DRE 2'!A106,'DRE 2025'!H:H,'Resumo DRE 2'!C106,'DRE 2025'!A:A,'Resumo DRE 2'!E106)+SUMIFS('DRE 2025'!I:I,'DRE 2025'!B:B,'Resumo DRE 2'!A106,'DRE 2025'!H:H,'Resumo DRE 2'!D106,'DRE 2025'!A:A,'Resumo DRE 2'!E106))</f>
        <v>850647.94</v>
      </c>
      <c r="H106" s="444">
        <f>G106/G109</f>
        <v>0.23303077126631394</v>
      </c>
    </row>
    <row r="107" spans="1:8" x14ac:dyDescent="0.2">
      <c r="A107" s="453">
        <v>45931</v>
      </c>
      <c r="B107" s="443">
        <v>4</v>
      </c>
      <c r="C107" s="439" t="s">
        <v>341</v>
      </c>
      <c r="D107" s="451"/>
      <c r="E107" s="451" t="s">
        <v>73</v>
      </c>
      <c r="F107" s="447" t="s">
        <v>454</v>
      </c>
      <c r="G107" s="447">
        <f>-SUMIFS('DRE 2025'!I:I,'DRE 2025'!B:B,'Resumo DRE 2'!A107,'DRE 2025'!H:H,'Resumo DRE 2'!C107,'DRE 2025'!A:A,'Resumo DRE 2'!E107)</f>
        <v>191160.75</v>
      </c>
      <c r="H107" s="444">
        <f>G107/G109</f>
        <v>5.2367536455031005E-2</v>
      </c>
    </row>
    <row r="108" spans="1:8" x14ac:dyDescent="0.2">
      <c r="A108" s="453">
        <v>45931</v>
      </c>
      <c r="B108" s="446">
        <v>5</v>
      </c>
      <c r="C108" s="446"/>
      <c r="D108" s="446"/>
      <c r="E108" s="452" t="s">
        <v>73</v>
      </c>
      <c r="F108" s="442" t="s">
        <v>331</v>
      </c>
      <c r="G108" s="442">
        <f>SUMIF('Resumo DRE 2 Outros'!A:A,'Resumo DRE 2'!A108,'Resumo DRE 2 Outros'!F:F)/2</f>
        <v>447412.18642040004</v>
      </c>
      <c r="H108" s="445">
        <f>G108/G109</f>
        <v>0.1225663426346435</v>
      </c>
    </row>
    <row r="109" spans="1:8" x14ac:dyDescent="0.2">
      <c r="A109" s="453">
        <v>45931</v>
      </c>
      <c r="B109" s="448">
        <v>6</v>
      </c>
      <c r="C109" s="448"/>
      <c r="D109" s="448"/>
      <c r="E109" s="441" t="s">
        <v>73</v>
      </c>
      <c r="F109" s="450" t="s">
        <v>452</v>
      </c>
      <c r="G109" s="450">
        <f>G104+G105+G106+G107+G108</f>
        <v>3650367.4402203998</v>
      </c>
      <c r="H109" s="440">
        <f>SUM(H104:H108)</f>
        <v>0.99999999999999989</v>
      </c>
    </row>
    <row r="110" spans="1:8" x14ac:dyDescent="0.2">
      <c r="A110" s="453">
        <v>45962</v>
      </c>
      <c r="B110" s="443">
        <v>1</v>
      </c>
      <c r="C110" s="439" t="s">
        <v>342</v>
      </c>
      <c r="D110" s="451"/>
      <c r="E110" s="451" t="s">
        <v>73</v>
      </c>
      <c r="F110" s="447" t="s">
        <v>455</v>
      </c>
      <c r="G110" s="447">
        <f>-SUMIFS('DRE 2025'!I:I,'DRE 2025'!B:B,'Resumo DRE 2'!A110,'DRE 2025'!H:H,'Resumo DRE 2'!C110,'DRE 2025'!A:A,'Resumo DRE 2'!E110)</f>
        <v>1653420.7499999998</v>
      </c>
      <c r="H110" s="444">
        <f>G110/G115</f>
        <v>0.40851014015665243</v>
      </c>
    </row>
    <row r="111" spans="1:8" x14ac:dyDescent="0.2">
      <c r="A111" s="453">
        <v>45962</v>
      </c>
      <c r="B111" s="443">
        <v>2</v>
      </c>
      <c r="C111" s="439" t="s">
        <v>356</v>
      </c>
      <c r="D111" s="451"/>
      <c r="E111" s="451" t="s">
        <v>73</v>
      </c>
      <c r="F111" s="447" t="s">
        <v>142</v>
      </c>
      <c r="G111" s="447">
        <f>-SUMIFS('DRE 2025'!I:I,'DRE 2025'!B:B,'Resumo DRE 2'!A111,'DRE 2025'!H:H,'Resumo DRE 2'!C111,'DRE 2025'!A:A,'Resumo DRE 2'!E111)</f>
        <v>663956.28</v>
      </c>
      <c r="H111" s="444">
        <f>G111/G115</f>
        <v>0.1640434674602273</v>
      </c>
    </row>
    <row r="112" spans="1:8" x14ac:dyDescent="0.2">
      <c r="A112" s="453">
        <v>45962</v>
      </c>
      <c r="B112" s="443">
        <v>3</v>
      </c>
      <c r="C112" s="439" t="s">
        <v>519</v>
      </c>
      <c r="D112" s="439" t="s">
        <v>363</v>
      </c>
      <c r="E112" s="451" t="s">
        <v>73</v>
      </c>
      <c r="F112" s="447" t="s">
        <v>453</v>
      </c>
      <c r="G112" s="447">
        <f>-(SUMIFS('DRE 2025'!I:I,'DRE 2025'!B:B,'Resumo DRE 2'!A112,'DRE 2025'!H:H,'Resumo DRE 2'!C112,'DRE 2025'!A:A,'Resumo DRE 2'!E112)+SUMIFS('DRE 2025'!I:I,'DRE 2025'!B:B,'Resumo DRE 2'!A112,'DRE 2025'!H:H,'Resumo DRE 2'!D112,'DRE 2025'!A:A,'Resumo DRE 2'!E112))</f>
        <v>1008517.8300000001</v>
      </c>
      <c r="H112" s="444">
        <f>G112/G115</f>
        <v>0.2491741803069685</v>
      </c>
    </row>
    <row r="113" spans="1:8" x14ac:dyDescent="0.2">
      <c r="A113" s="453">
        <v>45962</v>
      </c>
      <c r="B113" s="443">
        <v>4</v>
      </c>
      <c r="C113" s="439" t="s">
        <v>341</v>
      </c>
      <c r="D113" s="451"/>
      <c r="E113" s="451" t="s">
        <v>73</v>
      </c>
      <c r="F113" s="447" t="s">
        <v>454</v>
      </c>
      <c r="G113" s="447">
        <f>-SUMIFS('DRE 2025'!I:I,'DRE 2025'!B:B,'Resumo DRE 2'!A113,'DRE 2025'!H:H,'Resumo DRE 2'!C113,'DRE 2025'!A:A,'Resumo DRE 2'!E113)</f>
        <v>197274.26</v>
      </c>
      <c r="H113" s="444">
        <f>G113/G115</f>
        <v>4.8740488833165979E-2</v>
      </c>
    </row>
    <row r="114" spans="1:8" x14ac:dyDescent="0.2">
      <c r="A114" s="453">
        <v>45962</v>
      </c>
      <c r="B114" s="446">
        <v>5</v>
      </c>
      <c r="C114" s="446"/>
      <c r="D114" s="446"/>
      <c r="E114" s="452" t="s">
        <v>73</v>
      </c>
      <c r="F114" s="442" t="s">
        <v>331</v>
      </c>
      <c r="G114" s="442">
        <f>SUMIF('Resumo DRE 2 Outros'!A:A,'Resumo DRE 2'!A114,'Resumo DRE 2 Outros'!F:F)/2</f>
        <v>524272.02642039984</v>
      </c>
      <c r="H114" s="445">
        <f>G114/G115</f>
        <v>0.12953172324298565</v>
      </c>
    </row>
    <row r="115" spans="1:8" x14ac:dyDescent="0.2">
      <c r="A115" s="453">
        <v>45962</v>
      </c>
      <c r="B115" s="448">
        <v>6</v>
      </c>
      <c r="C115" s="448"/>
      <c r="D115" s="448"/>
      <c r="E115" s="441" t="s">
        <v>73</v>
      </c>
      <c r="F115" s="450" t="s">
        <v>452</v>
      </c>
      <c r="G115" s="450">
        <f>G110+G111+G112+G113+G114</f>
        <v>4047441.1464204001</v>
      </c>
      <c r="H115" s="440">
        <f>SUM(H110:H114)</f>
        <v>0.99999999999999989</v>
      </c>
    </row>
    <row r="116" spans="1:8" x14ac:dyDescent="0.2">
      <c r="A116" s="453">
        <v>45992</v>
      </c>
      <c r="B116" s="443">
        <v>1</v>
      </c>
      <c r="C116" s="439" t="s">
        <v>342</v>
      </c>
      <c r="D116" s="451"/>
      <c r="E116" s="451" t="s">
        <v>73</v>
      </c>
      <c r="F116" s="447" t="s">
        <v>455</v>
      </c>
      <c r="G116" s="447">
        <f>-SUMIFS('DRE 2025'!I:I,'DRE 2025'!B:B,'Resumo DRE 2'!A116,'DRE 2025'!H:H,'Resumo DRE 2'!C116,'DRE 2025'!A:A,'Resumo DRE 2'!E116)</f>
        <v>1708820.5143999998</v>
      </c>
      <c r="H116" s="444">
        <f>G116/G121</f>
        <v>0.38248334000950512</v>
      </c>
    </row>
    <row r="117" spans="1:8" x14ac:dyDescent="0.2">
      <c r="A117" s="453">
        <v>45992</v>
      </c>
      <c r="B117" s="443">
        <v>2</v>
      </c>
      <c r="C117" s="439" t="s">
        <v>356</v>
      </c>
      <c r="D117" s="451"/>
      <c r="E117" s="451" t="s">
        <v>73</v>
      </c>
      <c r="F117" s="447" t="s">
        <v>142</v>
      </c>
      <c r="G117" s="447">
        <f>-SUMIFS('DRE 2025'!I:I,'DRE 2025'!B:B,'Resumo DRE 2'!A117,'DRE 2025'!H:H,'Resumo DRE 2'!C117,'DRE 2025'!A:A,'Resumo DRE 2'!E117)</f>
        <v>878147.71000000008</v>
      </c>
      <c r="H117" s="444">
        <f>G117/G121</f>
        <v>0.19655479689769012</v>
      </c>
    </row>
    <row r="118" spans="1:8" x14ac:dyDescent="0.2">
      <c r="A118" s="453">
        <v>45992</v>
      </c>
      <c r="B118" s="443">
        <v>3</v>
      </c>
      <c r="C118" s="439" t="s">
        <v>519</v>
      </c>
      <c r="D118" s="439" t="s">
        <v>363</v>
      </c>
      <c r="E118" s="451" t="s">
        <v>73</v>
      </c>
      <c r="F118" s="447" t="s">
        <v>453</v>
      </c>
      <c r="G118" s="447">
        <f>-(SUMIFS('DRE 2025'!I:I,'DRE 2025'!B:B,'Resumo DRE 2'!A118,'DRE 2025'!H:H,'Resumo DRE 2'!C118,'DRE 2025'!A:A,'Resumo DRE 2'!E118)+SUMIFS('DRE 2025'!I:I,'DRE 2025'!B:B,'Resumo DRE 2'!A118,'DRE 2025'!H:H,'Resumo DRE 2'!D118,'DRE 2025'!A:A,'Resumo DRE 2'!E118))</f>
        <v>1231332.96</v>
      </c>
      <c r="H118" s="444">
        <f>G118/G121</f>
        <v>0.27560784718806769</v>
      </c>
    </row>
    <row r="119" spans="1:8" x14ac:dyDescent="0.2">
      <c r="A119" s="453">
        <v>45992</v>
      </c>
      <c r="B119" s="443">
        <v>4</v>
      </c>
      <c r="C119" s="439" t="s">
        <v>341</v>
      </c>
      <c r="D119" s="451"/>
      <c r="E119" s="451" t="s">
        <v>73</v>
      </c>
      <c r="F119" s="447" t="s">
        <v>454</v>
      </c>
      <c r="G119" s="447">
        <f>-SUMIFS('DRE 2025'!I:I,'DRE 2025'!B:B,'Resumo DRE 2'!A119,'DRE 2025'!H:H,'Resumo DRE 2'!C119,'DRE 2025'!A:A,'Resumo DRE 2'!E119)</f>
        <v>201028.6</v>
      </c>
      <c r="H119" s="444">
        <f>G119/G121</f>
        <v>4.4996001462700379E-2</v>
      </c>
    </row>
    <row r="120" spans="1:8" x14ac:dyDescent="0.2">
      <c r="A120" s="453">
        <v>45992</v>
      </c>
      <c r="B120" s="446">
        <v>5</v>
      </c>
      <c r="C120" s="446"/>
      <c r="D120" s="446"/>
      <c r="E120" s="452" t="s">
        <v>73</v>
      </c>
      <c r="F120" s="442" t="s">
        <v>331</v>
      </c>
      <c r="G120" s="442">
        <f>SUMIF('Resumo DRE 2 Outros'!A:A,'Resumo DRE 2'!A120,'Resumo DRE 2 Outros'!F:F)/2</f>
        <v>448369.42142039997</v>
      </c>
      <c r="H120" s="445">
        <f>G120/G121</f>
        <v>0.10035801444203681</v>
      </c>
    </row>
    <row r="121" spans="1:8" x14ac:dyDescent="0.2">
      <c r="A121" s="453">
        <v>45992</v>
      </c>
      <c r="B121" s="448">
        <v>6</v>
      </c>
      <c r="C121" s="448"/>
      <c r="D121" s="448"/>
      <c r="E121" s="441" t="s">
        <v>73</v>
      </c>
      <c r="F121" s="450" t="s">
        <v>452</v>
      </c>
      <c r="G121" s="450">
        <f>G116+G117+G118+G119+G120</f>
        <v>4467699.2058203993</v>
      </c>
      <c r="H121" s="440">
        <f>SUM(H116:H120)</f>
        <v>1</v>
      </c>
    </row>
  </sheetData>
  <autoFilter ref="A1:H73" xr:uid="{04219A2B-A7D8-4F11-9F52-C3BE4F8E7AF5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630A-09F2-4AE8-932C-C5849BEF28E4}">
  <sheetPr>
    <tabColor theme="9"/>
  </sheetPr>
  <dimension ref="A1:G421"/>
  <sheetViews>
    <sheetView topLeftCell="A292" zoomScaleNormal="100" workbookViewId="0">
      <selection activeCell="G296" sqref="G296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3" width="38.42578125" bestFit="1" customWidth="1"/>
    <col min="4" max="4" width="13.7109375" customWidth="1"/>
    <col min="5" max="5" width="40.5703125" bestFit="1" customWidth="1"/>
    <col min="6" max="6" width="19.28515625" customWidth="1"/>
    <col min="7" max="7" width="8.5703125" bestFit="1" customWidth="1"/>
  </cols>
  <sheetData>
    <row r="1" spans="1:7" x14ac:dyDescent="0.2">
      <c r="A1" t="s">
        <v>9</v>
      </c>
      <c r="B1" t="s">
        <v>75</v>
      </c>
      <c r="C1" s="2" t="s">
        <v>483</v>
      </c>
      <c r="D1" s="2" t="s">
        <v>576</v>
      </c>
      <c r="E1" s="2" t="s">
        <v>485</v>
      </c>
      <c r="F1" t="s">
        <v>468</v>
      </c>
      <c r="G1" s="375" t="s">
        <v>469</v>
      </c>
    </row>
    <row r="2" spans="1:7" x14ac:dyDescent="0.2">
      <c r="A2" s="453">
        <v>45413</v>
      </c>
      <c r="B2" s="446">
        <v>7</v>
      </c>
      <c r="C2" s="438" t="s">
        <v>340</v>
      </c>
      <c r="D2" s="452" t="s">
        <v>73</v>
      </c>
      <c r="E2" s="442" t="s">
        <v>486</v>
      </c>
      <c r="F2" s="442">
        <f>-SUMIFS('DRE 2025'!I:I,'DRE 2025'!B:B,'Resumo DRE 2 Outros'!A2,'DRE 2025'!H:H,'Resumo DRE 2 Outros'!C2,'DRE 2025'!A:A,'Resumo DRE 2 Outros'!D2)</f>
        <v>69000.39</v>
      </c>
      <c r="G2" s="445">
        <f>F2/F22</f>
        <v>0.17582666318121362</v>
      </c>
    </row>
    <row r="3" spans="1:7" x14ac:dyDescent="0.2">
      <c r="A3" s="453">
        <v>45413</v>
      </c>
      <c r="B3" s="446">
        <v>8</v>
      </c>
      <c r="C3" s="438" t="s">
        <v>563</v>
      </c>
      <c r="D3" s="452" t="s">
        <v>73</v>
      </c>
      <c r="E3" s="442" t="s">
        <v>487</v>
      </c>
      <c r="F3" s="442">
        <f>-SUMIFS('DRE 2025'!I:I,'DRE 2025'!B:B,'Resumo DRE 2 Outros'!A3,'DRE 2025'!H:H,'Resumo DRE 2 Outros'!C3,'DRE 2025'!A:A,'Resumo DRE 2 Outros'!D3)</f>
        <v>0</v>
      </c>
      <c r="G3" s="445">
        <f>F3/F22</f>
        <v>0</v>
      </c>
    </row>
    <row r="4" spans="1:7" x14ac:dyDescent="0.2">
      <c r="A4" s="453">
        <v>45413</v>
      </c>
      <c r="B4" s="446">
        <v>9</v>
      </c>
      <c r="C4" s="438" t="s">
        <v>355</v>
      </c>
      <c r="D4" s="452" t="s">
        <v>73</v>
      </c>
      <c r="E4" s="442" t="s">
        <v>488</v>
      </c>
      <c r="F4" s="442">
        <f>-SUMIFS('DRE 2025'!I:I,'DRE 2025'!B:B,'Resumo DRE 2 Outros'!A4,'DRE 2025'!H:H,'Resumo DRE 2 Outros'!C4,'DRE 2025'!A:A,'Resumo DRE 2 Outros'!D4)</f>
        <v>52394.22</v>
      </c>
      <c r="G4" s="445">
        <f>F4/F22</f>
        <v>0.13351085222246434</v>
      </c>
    </row>
    <row r="5" spans="1:7" x14ac:dyDescent="0.2">
      <c r="A5" s="453">
        <v>45413</v>
      </c>
      <c r="B5" s="446">
        <v>10</v>
      </c>
      <c r="C5" s="449" t="s">
        <v>477</v>
      </c>
      <c r="D5" s="452" t="s">
        <v>73</v>
      </c>
      <c r="E5" s="442" t="s">
        <v>489</v>
      </c>
      <c r="F5" s="442">
        <f>-SUMIFS('DRE 2025'!I:I,'DRE 2025'!B:B,'Resumo DRE 2 Outros'!A5,'DRE 2025'!H:H,'Resumo DRE 2 Outros'!C5,'DRE 2025'!A:A,'Resumo DRE 2 Outros'!D5)</f>
        <v>37496.6</v>
      </c>
      <c r="G5" s="445">
        <f>F5/F22</f>
        <v>9.5548765139453484E-2</v>
      </c>
    </row>
    <row r="6" spans="1:7" x14ac:dyDescent="0.2">
      <c r="A6" s="453">
        <v>45413</v>
      </c>
      <c r="B6" s="446">
        <v>11</v>
      </c>
      <c r="C6" s="438" t="s">
        <v>343</v>
      </c>
      <c r="D6" s="452" t="s">
        <v>73</v>
      </c>
      <c r="E6" s="442" t="s">
        <v>490</v>
      </c>
      <c r="F6" s="442">
        <f>-SUMIFS('DRE 2025'!I:I,'DRE 2025'!B:B,'Resumo DRE 2 Outros'!A6,'DRE 2025'!H:H,'Resumo DRE 2 Outros'!C6,'DRE 2025'!A:A,'Resumo DRE 2 Outros'!D6)</f>
        <v>20420.989999999998</v>
      </c>
      <c r="G6" s="445">
        <f>F6/F22</f>
        <v>5.203672806134764E-2</v>
      </c>
    </row>
    <row r="7" spans="1:7" x14ac:dyDescent="0.2">
      <c r="A7" s="453">
        <v>45413</v>
      </c>
      <c r="B7" s="446">
        <v>12</v>
      </c>
      <c r="C7" s="438" t="s">
        <v>475</v>
      </c>
      <c r="D7" s="452" t="s">
        <v>73</v>
      </c>
      <c r="E7" s="442" t="s">
        <v>491</v>
      </c>
      <c r="F7" s="442">
        <f>-SUMIFS('DRE 2025'!I:I,'DRE 2025'!B:B,'Resumo DRE 2 Outros'!A7,'DRE 2025'!H:H,'Resumo DRE 2 Outros'!C7,'DRE 2025'!A:A,'Resumo DRE 2 Outros'!D7)</f>
        <v>57562.549999999996</v>
      </c>
      <c r="G7" s="445">
        <f>F7/F22</f>
        <v>0.14668078094488696</v>
      </c>
    </row>
    <row r="8" spans="1:7" x14ac:dyDescent="0.2">
      <c r="A8" s="453">
        <v>45413</v>
      </c>
      <c r="B8" s="446">
        <v>13</v>
      </c>
      <c r="C8" s="438" t="s">
        <v>364</v>
      </c>
      <c r="D8" s="452" t="s">
        <v>73</v>
      </c>
      <c r="E8" s="442" t="s">
        <v>492</v>
      </c>
      <c r="F8" s="442">
        <f>-SUMIFS('DRE 2025'!I:I,'DRE 2025'!B:B,'Resumo DRE 2 Outros'!A8,'DRE 2025'!H:H,'Resumo DRE 2 Outros'!C8,'DRE 2025'!A:A,'Resumo DRE 2 Outros'!D8)</f>
        <v>32092.9664204</v>
      </c>
      <c r="G8" s="445">
        <f>F8/F22</f>
        <v>8.1779236280920584E-2</v>
      </c>
    </row>
    <row r="9" spans="1:7" x14ac:dyDescent="0.2">
      <c r="A9" s="453">
        <v>45413</v>
      </c>
      <c r="B9" s="446">
        <v>14</v>
      </c>
      <c r="C9" s="438" t="s">
        <v>473</v>
      </c>
      <c r="D9" s="452" t="s">
        <v>73</v>
      </c>
      <c r="E9" s="442" t="s">
        <v>493</v>
      </c>
      <c r="F9" s="442">
        <f>-SUMIFS('DRE 2025'!I:I,'DRE 2025'!B:B,'Resumo DRE 2 Outros'!A9,'DRE 2025'!H:H,'Resumo DRE 2 Outros'!C9,'DRE 2025'!A:A,'Resumo DRE 2 Outros'!D9)</f>
        <v>28028.559999999998</v>
      </c>
      <c r="G9" s="445">
        <f>F9/F22</f>
        <v>7.1422323534322582E-2</v>
      </c>
    </row>
    <row r="10" spans="1:7" x14ac:dyDescent="0.2">
      <c r="A10" s="453">
        <v>45413</v>
      </c>
      <c r="B10" s="446">
        <v>15</v>
      </c>
      <c r="C10" s="438" t="s">
        <v>329</v>
      </c>
      <c r="D10" s="452" t="s">
        <v>73</v>
      </c>
      <c r="E10" s="442" t="s">
        <v>494</v>
      </c>
      <c r="F10" s="442">
        <f>-SUMIFS('DRE 2025'!I:I,'DRE 2025'!B:B,'Resumo DRE 2 Outros'!A10,'DRE 2025'!H:H,'Resumo DRE 2 Outros'!C10,'DRE 2025'!A:A,'Resumo DRE 2 Outros'!D10)</f>
        <v>31292.27</v>
      </c>
      <c r="G10" s="445">
        <f>F10/F22</f>
        <v>7.973890317816458E-2</v>
      </c>
    </row>
    <row r="11" spans="1:7" x14ac:dyDescent="0.2">
      <c r="A11" s="453">
        <v>45413</v>
      </c>
      <c r="B11" s="446">
        <v>16</v>
      </c>
      <c r="C11" s="438" t="s">
        <v>481</v>
      </c>
      <c r="D11" s="452" t="s">
        <v>73</v>
      </c>
      <c r="E11" s="442" t="s">
        <v>495</v>
      </c>
      <c r="F11" s="442">
        <f>-SUMIFS('DRE 2025'!I:I,'DRE 2025'!B:B,'Resumo DRE 2 Outros'!A11,'DRE 2025'!H:H,'Resumo DRE 2 Outros'!C11,'DRE 2025'!A:A,'Resumo DRE 2 Outros'!D11)</f>
        <v>17854.25</v>
      </c>
      <c r="G11" s="445">
        <f>F11/F22</f>
        <v>4.5496166052151059E-2</v>
      </c>
    </row>
    <row r="12" spans="1:7" x14ac:dyDescent="0.2">
      <c r="A12" s="453">
        <v>45413</v>
      </c>
      <c r="B12" s="446">
        <v>17</v>
      </c>
      <c r="C12" s="438" t="s">
        <v>478</v>
      </c>
      <c r="D12" s="452" t="s">
        <v>73</v>
      </c>
      <c r="E12" s="442" t="s">
        <v>496</v>
      </c>
      <c r="F12" s="442">
        <f>-SUMIFS('DRE 2025'!I:I,'DRE 2025'!B:B,'Resumo DRE 2 Outros'!A12,'DRE 2025'!H:H,'Resumo DRE 2 Outros'!C12,'DRE 2025'!A:A,'Resumo DRE 2 Outros'!D12)</f>
        <v>17075.189999999999</v>
      </c>
      <c r="G12" s="445">
        <f>F12/F22</f>
        <v>4.351096683490089E-2</v>
      </c>
    </row>
    <row r="13" spans="1:7" x14ac:dyDescent="0.2">
      <c r="A13" s="453">
        <v>45413</v>
      </c>
      <c r="B13" s="446">
        <v>18</v>
      </c>
      <c r="C13" s="438" t="s">
        <v>474</v>
      </c>
      <c r="D13" s="452" t="s">
        <v>73</v>
      </c>
      <c r="E13" s="442" t="s">
        <v>497</v>
      </c>
      <c r="F13" s="442">
        <f>-SUMIFS('DRE 2025'!I:I,'DRE 2025'!B:B,'Resumo DRE 2 Outros'!A13,'DRE 2025'!H:H,'Resumo DRE 2 Outros'!C13,'DRE 2025'!A:A,'Resumo DRE 2 Outros'!D13)</f>
        <v>11955.59</v>
      </c>
      <c r="G13" s="445">
        <f>F13/F22</f>
        <v>3.0465211806233065E-2</v>
      </c>
    </row>
    <row r="14" spans="1:7" x14ac:dyDescent="0.2">
      <c r="A14" s="453">
        <v>45413</v>
      </c>
      <c r="B14" s="446">
        <v>19</v>
      </c>
      <c r="C14" s="438" t="s">
        <v>476</v>
      </c>
      <c r="D14" s="452" t="s">
        <v>73</v>
      </c>
      <c r="E14" s="442" t="s">
        <v>498</v>
      </c>
      <c r="F14" s="442">
        <f>-SUMIFS('DRE 2025'!I:I,'DRE 2025'!B:B,'Resumo DRE 2 Outros'!A14,'DRE 2025'!H:H,'Resumo DRE 2 Outros'!C14,'DRE 2025'!A:A,'Resumo DRE 2 Outros'!D14)</f>
        <v>7231.5300000000007</v>
      </c>
      <c r="G14" s="445">
        <f>F14/F22</f>
        <v>1.8427371056813475E-2</v>
      </c>
    </row>
    <row r="15" spans="1:7" x14ac:dyDescent="0.2">
      <c r="A15" s="453">
        <v>45413</v>
      </c>
      <c r="B15" s="446">
        <v>20</v>
      </c>
      <c r="C15" s="438" t="s">
        <v>357</v>
      </c>
      <c r="D15" s="452" t="s">
        <v>73</v>
      </c>
      <c r="E15" s="442" t="s">
        <v>499</v>
      </c>
      <c r="F15" s="442">
        <f>-SUMIFS('DRE 2025'!I:I,'DRE 2025'!B:B,'Resumo DRE 2 Outros'!A15,'DRE 2025'!H:H,'Resumo DRE 2 Outros'!C15,'DRE 2025'!A:A,'Resumo DRE 2 Outros'!D15)</f>
        <v>4840.16</v>
      </c>
      <c r="G15" s="445">
        <f>F15/F22</f>
        <v>1.2333686549643893E-2</v>
      </c>
    </row>
    <row r="16" spans="1:7" x14ac:dyDescent="0.2">
      <c r="A16" s="453">
        <v>45413</v>
      </c>
      <c r="B16" s="446">
        <v>21</v>
      </c>
      <c r="C16" s="438" t="s">
        <v>330</v>
      </c>
      <c r="D16" s="452" t="s">
        <v>73</v>
      </c>
      <c r="E16" s="442" t="s">
        <v>500</v>
      </c>
      <c r="F16" s="442">
        <f>-SUMIFS('DRE 2025'!I:I,'DRE 2025'!B:B,'Resumo DRE 2 Outros'!A16,'DRE 2025'!H:H,'Resumo DRE 2 Outros'!C16,'DRE 2025'!A:A,'Resumo DRE 2 Outros'!D16)</f>
        <v>9780.2000000000007</v>
      </c>
      <c r="G16" s="445">
        <f>F16/F22</f>
        <v>2.4921887126216326E-2</v>
      </c>
    </row>
    <row r="17" spans="1:7" x14ac:dyDescent="0.2">
      <c r="A17" s="453">
        <v>45413</v>
      </c>
      <c r="B17" s="446">
        <v>22</v>
      </c>
      <c r="C17" s="438" t="s">
        <v>521</v>
      </c>
      <c r="D17" s="452" t="s">
        <v>73</v>
      </c>
      <c r="E17" s="442" t="s">
        <v>501</v>
      </c>
      <c r="F17" s="442">
        <f>-SUMIFS('DRE 2025'!I:I,'DRE 2025'!B:B,'Resumo DRE 2 Outros'!A17,'DRE 2025'!H:H,'Resumo DRE 2 Outros'!C17,'DRE 2025'!A:A,'Resumo DRE 2 Outros'!D17)</f>
        <v>0</v>
      </c>
      <c r="G17" s="445">
        <f>F17/F22</f>
        <v>0</v>
      </c>
    </row>
    <row r="18" spans="1:7" x14ac:dyDescent="0.2">
      <c r="A18" s="453">
        <v>45413</v>
      </c>
      <c r="B18" s="446">
        <v>23</v>
      </c>
      <c r="C18" s="438" t="s">
        <v>331</v>
      </c>
      <c r="D18" s="452" t="s">
        <v>73</v>
      </c>
      <c r="E18" s="442" t="s">
        <v>502</v>
      </c>
      <c r="F18" s="442">
        <f>-SUMIFS('DRE 2025'!I:I,'DRE 2025'!B:B,'Resumo DRE 2 Outros'!A18,'DRE 2025'!H:H,'Resumo DRE 2 Outros'!C18,'DRE 2025'!A:A,'Resumo DRE 2 Outros'!D18)</f>
        <v>5.62</v>
      </c>
      <c r="G18" s="445">
        <f>F18/F22</f>
        <v>1.432087336141753E-5</v>
      </c>
    </row>
    <row r="19" spans="1:7" x14ac:dyDescent="0.2">
      <c r="A19" s="453">
        <v>45413</v>
      </c>
      <c r="B19" s="446">
        <v>24</v>
      </c>
      <c r="C19" s="438" t="s">
        <v>520</v>
      </c>
      <c r="D19" s="452" t="s">
        <v>73</v>
      </c>
      <c r="E19" s="442" t="s">
        <v>503</v>
      </c>
      <c r="F19" s="442">
        <f>-SUMIFS('DRE 2025'!I:I,'DRE 2025'!B:B,'Resumo DRE 2 Outros'!A19,'DRE 2025'!H:H,'Resumo DRE 2 Outros'!C19,'DRE 2025'!A:A,'Resumo DRE 2 Outros'!D19)</f>
        <v>0</v>
      </c>
      <c r="G19" s="445">
        <f>F19/F22</f>
        <v>0</v>
      </c>
    </row>
    <row r="20" spans="1:7" x14ac:dyDescent="0.2">
      <c r="A20" s="453">
        <v>45413</v>
      </c>
      <c r="B20" s="446">
        <v>25</v>
      </c>
      <c r="C20" s="438" t="s">
        <v>479</v>
      </c>
      <c r="D20" s="452" t="s">
        <v>73</v>
      </c>
      <c r="E20" s="442" t="s">
        <v>504</v>
      </c>
      <c r="F20" s="442">
        <f>-SUMIFS('DRE 2025'!I:I,'DRE 2025'!B:B,'Resumo DRE 2 Outros'!A20,'DRE 2025'!H:H,'Resumo DRE 2 Outros'!C20,'DRE 2025'!A:A,'Resumo DRE 2 Outros'!D20)</f>
        <v>-417.34</v>
      </c>
      <c r="G20" s="445">
        <f>F20/F22</f>
        <v>-1.0634649979811373E-3</v>
      </c>
    </row>
    <row r="21" spans="1:7" x14ac:dyDescent="0.2">
      <c r="A21" s="453">
        <v>45413</v>
      </c>
      <c r="B21" s="446">
        <v>26</v>
      </c>
      <c r="C21" s="438" t="s">
        <v>480</v>
      </c>
      <c r="D21" s="452" t="s">
        <v>73</v>
      </c>
      <c r="E21" s="442" t="s">
        <v>505</v>
      </c>
      <c r="F21" s="442">
        <f>-SUMIFS('DRE 2025'!I:I,'DRE 2025'!B:B,'Resumo DRE 2 Outros'!A21,'DRE 2025'!H:H,'Resumo DRE 2 Outros'!C21,'DRE 2025'!A:A,'Resumo DRE 2 Outros'!D21)</f>
        <v>-4179.58</v>
      </c>
      <c r="G21" s="445">
        <f>F21/F22</f>
        <v>-1.065039784411272E-2</v>
      </c>
    </row>
    <row r="22" spans="1:7" x14ac:dyDescent="0.2">
      <c r="A22" s="453">
        <v>45413</v>
      </c>
      <c r="B22" s="446">
        <v>27</v>
      </c>
      <c r="C22" s="438" t="s">
        <v>484</v>
      </c>
      <c r="D22" s="452" t="s">
        <v>73</v>
      </c>
      <c r="E22" s="442" t="s">
        <v>506</v>
      </c>
      <c r="F22" s="442">
        <f>SUM(F2:F21)</f>
        <v>392434.16642039997</v>
      </c>
      <c r="G22" s="445">
        <f>SUM(G2:G21)</f>
        <v>0.99999999999999989</v>
      </c>
    </row>
    <row r="23" spans="1:7" x14ac:dyDescent="0.2">
      <c r="A23" s="453">
        <v>45444</v>
      </c>
      <c r="B23" s="446">
        <v>7</v>
      </c>
      <c r="C23" s="438" t="s">
        <v>340</v>
      </c>
      <c r="D23" s="452" t="s">
        <v>73</v>
      </c>
      <c r="E23" s="442" t="s">
        <v>486</v>
      </c>
      <c r="F23" s="442">
        <f>-SUMIFS('DRE 2025'!I:I,'DRE 2025'!B:B,'Resumo DRE 2 Outros'!A23,'DRE 2025'!H:H,'Resumo DRE 2 Outros'!C23,'DRE 2025'!A:A,'Resumo DRE 2 Outros'!D23)</f>
        <v>43713.2</v>
      </c>
      <c r="G23" s="445">
        <f>F23/F43</f>
        <v>0.11981968670914189</v>
      </c>
    </row>
    <row r="24" spans="1:7" x14ac:dyDescent="0.2">
      <c r="A24" s="453">
        <v>45444</v>
      </c>
      <c r="B24" s="446">
        <v>8</v>
      </c>
      <c r="C24" s="438" t="s">
        <v>563</v>
      </c>
      <c r="D24" s="452" t="s">
        <v>73</v>
      </c>
      <c r="E24" s="442" t="s">
        <v>487</v>
      </c>
      <c r="F24" s="442">
        <f>-SUMIFS('DRE 2025'!I:I,'DRE 2025'!B:B,'Resumo DRE 2 Outros'!A24,'DRE 2025'!H:H,'Resumo DRE 2 Outros'!C24,'DRE 2025'!A:A,'Resumo DRE 2 Outros'!D24)</f>
        <v>0</v>
      </c>
      <c r="G24" s="445">
        <f>F24/F43</f>
        <v>0</v>
      </c>
    </row>
    <row r="25" spans="1:7" x14ac:dyDescent="0.2">
      <c r="A25" s="453">
        <v>45444</v>
      </c>
      <c r="B25" s="446">
        <v>9</v>
      </c>
      <c r="C25" s="438" t="s">
        <v>355</v>
      </c>
      <c r="D25" s="452" t="s">
        <v>73</v>
      </c>
      <c r="E25" s="442" t="s">
        <v>488</v>
      </c>
      <c r="F25" s="442">
        <f>-SUMIFS('DRE 2025'!I:I,'DRE 2025'!B:B,'Resumo DRE 2 Outros'!A25,'DRE 2025'!H:H,'Resumo DRE 2 Outros'!C25,'DRE 2025'!A:A,'Resumo DRE 2 Outros'!D25)</f>
        <v>41642.620000000003</v>
      </c>
      <c r="G25" s="445">
        <f>F25/F43</f>
        <v>0.11414414140689419</v>
      </c>
    </row>
    <row r="26" spans="1:7" x14ac:dyDescent="0.2">
      <c r="A26" s="453">
        <v>45444</v>
      </c>
      <c r="B26" s="446">
        <v>10</v>
      </c>
      <c r="C26" s="449" t="s">
        <v>477</v>
      </c>
      <c r="D26" s="452" t="s">
        <v>73</v>
      </c>
      <c r="E26" s="442" t="s">
        <v>489</v>
      </c>
      <c r="F26" s="442">
        <f>-SUMIFS('DRE 2025'!I:I,'DRE 2025'!B:B,'Resumo DRE 2 Outros'!A26,'DRE 2025'!H:H,'Resumo DRE 2 Outros'!C26,'DRE 2025'!A:A,'Resumo DRE 2 Outros'!D26)</f>
        <v>40796.76</v>
      </c>
      <c r="G26" s="445">
        <f>F26/F43</f>
        <v>0.1118256042098966</v>
      </c>
    </row>
    <row r="27" spans="1:7" x14ac:dyDescent="0.2">
      <c r="A27" s="453">
        <v>45444</v>
      </c>
      <c r="B27" s="446">
        <v>11</v>
      </c>
      <c r="C27" s="438" t="s">
        <v>343</v>
      </c>
      <c r="D27" s="452" t="s">
        <v>73</v>
      </c>
      <c r="E27" s="442" t="s">
        <v>490</v>
      </c>
      <c r="F27" s="442">
        <f>-SUMIFS('DRE 2025'!I:I,'DRE 2025'!B:B,'Resumo DRE 2 Outros'!A27,'DRE 2025'!H:H,'Resumo DRE 2 Outros'!C27,'DRE 2025'!A:A,'Resumo DRE 2 Outros'!D27)</f>
        <v>35594.14</v>
      </c>
      <c r="G27" s="445">
        <f>F27/F43</f>
        <v>9.7565007903364115E-2</v>
      </c>
    </row>
    <row r="28" spans="1:7" x14ac:dyDescent="0.2">
      <c r="A28" s="453">
        <v>45444</v>
      </c>
      <c r="B28" s="446">
        <v>12</v>
      </c>
      <c r="C28" s="438" t="s">
        <v>475</v>
      </c>
      <c r="D28" s="452" t="s">
        <v>73</v>
      </c>
      <c r="E28" s="442" t="s">
        <v>491</v>
      </c>
      <c r="F28" s="442">
        <f>-SUMIFS('DRE 2025'!I:I,'DRE 2025'!B:B,'Resumo DRE 2 Outros'!A28,'DRE 2025'!H:H,'Resumo DRE 2 Outros'!C28,'DRE 2025'!A:A,'Resumo DRE 2 Outros'!D28)</f>
        <v>66297.600000000006</v>
      </c>
      <c r="G28" s="445">
        <f>F28/F43</f>
        <v>0.18172445992441658</v>
      </c>
    </row>
    <row r="29" spans="1:7" x14ac:dyDescent="0.2">
      <c r="A29" s="453">
        <v>45444</v>
      </c>
      <c r="B29" s="446">
        <v>13</v>
      </c>
      <c r="C29" s="438" t="s">
        <v>364</v>
      </c>
      <c r="D29" s="452" t="s">
        <v>73</v>
      </c>
      <c r="E29" s="442" t="s">
        <v>492</v>
      </c>
      <c r="F29" s="442">
        <f>-SUMIFS('DRE 2025'!I:I,'DRE 2025'!B:B,'Resumo DRE 2 Outros'!A29,'DRE 2025'!H:H,'Resumo DRE 2 Outros'!C29,'DRE 2025'!A:A,'Resumo DRE 2 Outros'!D29)</f>
        <v>32092.9664204</v>
      </c>
      <c r="G29" s="445">
        <f>F29/F43</f>
        <v>8.7968146510878614E-2</v>
      </c>
    </row>
    <row r="30" spans="1:7" x14ac:dyDescent="0.2">
      <c r="A30" s="453">
        <v>45444</v>
      </c>
      <c r="B30" s="446">
        <v>14</v>
      </c>
      <c r="C30" s="438" t="s">
        <v>473</v>
      </c>
      <c r="D30" s="452" t="s">
        <v>73</v>
      </c>
      <c r="E30" s="442" t="s">
        <v>493</v>
      </c>
      <c r="F30" s="442">
        <f>-SUMIFS('DRE 2025'!I:I,'DRE 2025'!B:B,'Resumo DRE 2 Outros'!A30,'DRE 2025'!H:H,'Resumo DRE 2 Outros'!C30,'DRE 2025'!A:A,'Resumo DRE 2 Outros'!D30)</f>
        <v>8354.27</v>
      </c>
      <c r="G30" s="445">
        <f>F30/F43</f>
        <v>2.2899399130779329E-2</v>
      </c>
    </row>
    <row r="31" spans="1:7" x14ac:dyDescent="0.2">
      <c r="A31" s="453">
        <v>45444</v>
      </c>
      <c r="B31" s="446">
        <v>15</v>
      </c>
      <c r="C31" s="438" t="s">
        <v>329</v>
      </c>
      <c r="D31" s="452" t="s">
        <v>73</v>
      </c>
      <c r="E31" s="442" t="s">
        <v>494</v>
      </c>
      <c r="F31" s="442">
        <f>-SUMIFS('DRE 2025'!I:I,'DRE 2025'!B:B,'Resumo DRE 2 Outros'!A31,'DRE 2025'!H:H,'Resumo DRE 2 Outros'!C31,'DRE 2025'!A:A,'Resumo DRE 2 Outros'!D31)</f>
        <v>31704.62</v>
      </c>
      <c r="G31" s="445">
        <f>F31/F43</f>
        <v>8.6903672932487089E-2</v>
      </c>
    </row>
    <row r="32" spans="1:7" x14ac:dyDescent="0.2">
      <c r="A32" s="453">
        <v>45444</v>
      </c>
      <c r="B32" s="446">
        <v>16</v>
      </c>
      <c r="C32" s="438" t="s">
        <v>481</v>
      </c>
      <c r="D32" s="452" t="s">
        <v>73</v>
      </c>
      <c r="E32" s="442" t="s">
        <v>495</v>
      </c>
      <c r="F32" s="442">
        <f>-SUMIFS('DRE 2025'!I:I,'DRE 2025'!B:B,'Resumo DRE 2 Outros'!A32,'DRE 2025'!H:H,'Resumo DRE 2 Outros'!C32,'DRE 2025'!A:A,'Resumo DRE 2 Outros'!D32)</f>
        <v>22935.85</v>
      </c>
      <c r="G32" s="445">
        <f>F32/F43</f>
        <v>6.2868112181397651E-2</v>
      </c>
    </row>
    <row r="33" spans="1:7" x14ac:dyDescent="0.2">
      <c r="A33" s="453">
        <v>45444</v>
      </c>
      <c r="B33" s="446">
        <v>17</v>
      </c>
      <c r="C33" s="438" t="s">
        <v>478</v>
      </c>
      <c r="D33" s="452" t="s">
        <v>73</v>
      </c>
      <c r="E33" s="442" t="s">
        <v>496</v>
      </c>
      <c r="F33" s="442">
        <f>-SUMIFS('DRE 2025'!I:I,'DRE 2025'!B:B,'Resumo DRE 2 Outros'!A33,'DRE 2025'!H:H,'Resumo DRE 2 Outros'!C33,'DRE 2025'!A:A,'Resumo DRE 2 Outros'!D33)</f>
        <v>18098.29</v>
      </c>
      <c r="G33" s="445">
        <f>F33/F43</f>
        <v>4.960816041312912E-2</v>
      </c>
    </row>
    <row r="34" spans="1:7" x14ac:dyDescent="0.2">
      <c r="A34" s="453">
        <v>45444</v>
      </c>
      <c r="B34" s="446">
        <v>18</v>
      </c>
      <c r="C34" s="438" t="s">
        <v>474</v>
      </c>
      <c r="D34" s="452" t="s">
        <v>73</v>
      </c>
      <c r="E34" s="442" t="s">
        <v>497</v>
      </c>
      <c r="F34" s="442">
        <f>-SUMIFS('DRE 2025'!I:I,'DRE 2025'!B:B,'Resumo DRE 2 Outros'!A34,'DRE 2025'!H:H,'Resumo DRE 2 Outros'!C34,'DRE 2025'!A:A,'Resumo DRE 2 Outros'!D34)</f>
        <v>13545.1</v>
      </c>
      <c r="G34" s="445">
        <f>F34/F43</f>
        <v>3.7127678560343283E-2</v>
      </c>
    </row>
    <row r="35" spans="1:7" x14ac:dyDescent="0.2">
      <c r="A35" s="453">
        <v>45444</v>
      </c>
      <c r="B35" s="446">
        <v>19</v>
      </c>
      <c r="C35" s="438" t="s">
        <v>476</v>
      </c>
      <c r="D35" s="452" t="s">
        <v>73</v>
      </c>
      <c r="E35" s="442" t="s">
        <v>498</v>
      </c>
      <c r="F35" s="442">
        <f>-SUMIFS('DRE 2025'!I:I,'DRE 2025'!B:B,'Resumo DRE 2 Outros'!A35,'DRE 2025'!H:H,'Resumo DRE 2 Outros'!C35,'DRE 2025'!A:A,'Resumo DRE 2 Outros'!D35)</f>
        <v>5268.5</v>
      </c>
      <c r="G35" s="445">
        <f>F35/F43</f>
        <v>1.4441176107608551E-2</v>
      </c>
    </row>
    <row r="36" spans="1:7" x14ac:dyDescent="0.2">
      <c r="A36" s="453">
        <v>45444</v>
      </c>
      <c r="B36" s="446">
        <v>20</v>
      </c>
      <c r="C36" s="438" t="s">
        <v>357</v>
      </c>
      <c r="D36" s="452" t="s">
        <v>73</v>
      </c>
      <c r="E36" s="442" t="s">
        <v>499</v>
      </c>
      <c r="F36" s="442">
        <f>-SUMIFS('DRE 2025'!I:I,'DRE 2025'!B:B,'Resumo DRE 2 Outros'!A36,'DRE 2025'!H:H,'Resumo DRE 2 Outros'!C36,'DRE 2025'!A:A,'Resumo DRE 2 Outros'!D36)</f>
        <v>4780.9400000000005</v>
      </c>
      <c r="G36" s="445">
        <f>F36/F43</f>
        <v>1.3104754009663098E-2</v>
      </c>
    </row>
    <row r="37" spans="1:7" x14ac:dyDescent="0.2">
      <c r="A37" s="453">
        <v>45444</v>
      </c>
      <c r="B37" s="446">
        <v>21</v>
      </c>
      <c r="C37" s="438" t="s">
        <v>330</v>
      </c>
      <c r="D37" s="452" t="s">
        <v>73</v>
      </c>
      <c r="E37" s="442" t="s">
        <v>500</v>
      </c>
      <c r="F37" s="442">
        <f>-SUMIFS('DRE 2025'!I:I,'DRE 2025'!B:B,'Resumo DRE 2 Outros'!A37,'DRE 2025'!H:H,'Resumo DRE 2 Outros'!C37,'DRE 2025'!A:A,'Resumo DRE 2 Outros'!D37)</f>
        <v>0</v>
      </c>
      <c r="G37" s="445">
        <f>F37/F43</f>
        <v>0</v>
      </c>
    </row>
    <row r="38" spans="1:7" x14ac:dyDescent="0.2">
      <c r="A38" s="453">
        <v>45444</v>
      </c>
      <c r="B38" s="446">
        <v>22</v>
      </c>
      <c r="C38" s="438" t="s">
        <v>521</v>
      </c>
      <c r="D38" s="452" t="s">
        <v>73</v>
      </c>
      <c r="E38" s="442" t="s">
        <v>501</v>
      </c>
      <c r="F38" s="442">
        <f>-SUMIFS('DRE 2025'!I:I,'DRE 2025'!B:B,'Resumo DRE 2 Outros'!A38,'DRE 2025'!H:H,'Resumo DRE 2 Outros'!C38,'DRE 2025'!A:A,'Resumo DRE 2 Outros'!D38)</f>
        <v>0</v>
      </c>
      <c r="G38" s="445">
        <f>F38/F43</f>
        <v>0</v>
      </c>
    </row>
    <row r="39" spans="1:7" x14ac:dyDescent="0.2">
      <c r="A39" s="453">
        <v>45444</v>
      </c>
      <c r="B39" s="446">
        <v>23</v>
      </c>
      <c r="C39" s="438" t="s">
        <v>331</v>
      </c>
      <c r="D39" s="452" t="s">
        <v>73</v>
      </c>
      <c r="E39" s="442" t="s">
        <v>502</v>
      </c>
      <c r="F39" s="442">
        <f>-SUMIFS('DRE 2025'!I:I,'DRE 2025'!B:B,'Resumo DRE 2 Outros'!A39,'DRE 2025'!H:H,'Resumo DRE 2 Outros'!C39,'DRE 2025'!A:A,'Resumo DRE 2 Outros'!D39)</f>
        <v>0</v>
      </c>
      <c r="G39" s="445">
        <f>F39/F43</f>
        <v>0</v>
      </c>
    </row>
    <row r="40" spans="1:7" x14ac:dyDescent="0.2">
      <c r="A40" s="453">
        <v>45444</v>
      </c>
      <c r="B40" s="446">
        <v>24</v>
      </c>
      <c r="C40" s="438" t="s">
        <v>520</v>
      </c>
      <c r="D40" s="452" t="s">
        <v>73</v>
      </c>
      <c r="E40" s="442" t="s">
        <v>503</v>
      </c>
      <c r="F40" s="442">
        <f>-SUMIFS('DRE 2025'!I:I,'DRE 2025'!B:B,'Resumo DRE 2 Outros'!A40,'DRE 2025'!H:H,'Resumo DRE 2 Outros'!C40,'DRE 2025'!A:A,'Resumo DRE 2 Outros'!D40)</f>
        <v>0</v>
      </c>
      <c r="G40" s="445">
        <f>F40/F43</f>
        <v>0</v>
      </c>
    </row>
    <row r="41" spans="1:7" x14ac:dyDescent="0.2">
      <c r="A41" s="453">
        <v>45444</v>
      </c>
      <c r="B41" s="446">
        <v>25</v>
      </c>
      <c r="C41" s="438" t="s">
        <v>479</v>
      </c>
      <c r="D41" s="452" t="s">
        <v>73</v>
      </c>
      <c r="E41" s="442" t="s">
        <v>504</v>
      </c>
      <c r="F41" s="442">
        <f>-SUMIFS('DRE 2025'!I:I,'DRE 2025'!B:B,'Resumo DRE 2 Outros'!A41,'DRE 2025'!H:H,'Resumo DRE 2 Outros'!C41,'DRE 2025'!A:A,'Resumo DRE 2 Outros'!D41)</f>
        <v>0</v>
      </c>
      <c r="G41" s="445">
        <f>F41/F43</f>
        <v>0</v>
      </c>
    </row>
    <row r="42" spans="1:7" x14ac:dyDescent="0.2">
      <c r="A42" s="453">
        <v>45444</v>
      </c>
      <c r="B42" s="446">
        <v>26</v>
      </c>
      <c r="C42" s="438" t="s">
        <v>480</v>
      </c>
      <c r="D42" s="452" t="s">
        <v>73</v>
      </c>
      <c r="E42" s="442" t="s">
        <v>505</v>
      </c>
      <c r="F42" s="442">
        <f>-SUMIFS('DRE 2025'!I:I,'DRE 2025'!B:B,'Resumo DRE 2 Outros'!A42,'DRE 2025'!H:H,'Resumo DRE 2 Outros'!C42,'DRE 2025'!A:A,'Resumo DRE 2 Outros'!D42)</f>
        <v>0</v>
      </c>
      <c r="G42" s="445">
        <f>F42/F43</f>
        <v>0</v>
      </c>
    </row>
    <row r="43" spans="1:7" x14ac:dyDescent="0.2">
      <c r="A43" s="453">
        <v>45444</v>
      </c>
      <c r="B43" s="446">
        <v>27</v>
      </c>
      <c r="C43" s="438" t="s">
        <v>484</v>
      </c>
      <c r="D43" s="452" t="s">
        <v>73</v>
      </c>
      <c r="E43" s="442" t="s">
        <v>506</v>
      </c>
      <c r="F43" s="442">
        <f>SUM(F23:F42)</f>
        <v>364824.85642039997</v>
      </c>
      <c r="G43" s="445">
        <f>SUM(G23:G42)</f>
        <v>1</v>
      </c>
    </row>
    <row r="44" spans="1:7" x14ac:dyDescent="0.2">
      <c r="A44" s="453">
        <v>45474</v>
      </c>
      <c r="B44" s="446">
        <v>7</v>
      </c>
      <c r="C44" s="438" t="s">
        <v>340</v>
      </c>
      <c r="D44" s="452" t="s">
        <v>73</v>
      </c>
      <c r="E44" s="442" t="s">
        <v>486</v>
      </c>
      <c r="F44" s="442">
        <f>-SUMIFS('DRE 2025'!I:I,'DRE 2025'!B:B,'Resumo DRE 2 Outros'!A44,'DRE 2025'!H:H,'Resumo DRE 2 Outros'!C44,'DRE 2025'!A:A,'Resumo DRE 2 Outros'!D44)</f>
        <v>150696.85</v>
      </c>
      <c r="G44" s="445">
        <f>F44/F64</f>
        <v>0.30985283329665714</v>
      </c>
    </row>
    <row r="45" spans="1:7" x14ac:dyDescent="0.2">
      <c r="A45" s="453">
        <v>45474</v>
      </c>
      <c r="B45" s="446">
        <v>8</v>
      </c>
      <c r="C45" s="438" t="s">
        <v>563</v>
      </c>
      <c r="D45" s="452" t="s">
        <v>73</v>
      </c>
      <c r="E45" s="442" t="s">
        <v>487</v>
      </c>
      <c r="F45" s="442">
        <f>-SUMIFS('DRE 2025'!I:I,'DRE 2025'!B:B,'Resumo DRE 2 Outros'!A45,'DRE 2025'!H:H,'Resumo DRE 2 Outros'!C45,'DRE 2025'!A:A,'Resumo DRE 2 Outros'!D45)</f>
        <v>0</v>
      </c>
      <c r="G45" s="445">
        <f>F45/F64</f>
        <v>0</v>
      </c>
    </row>
    <row r="46" spans="1:7" x14ac:dyDescent="0.2">
      <c r="A46" s="453">
        <v>45474</v>
      </c>
      <c r="B46" s="446">
        <v>9</v>
      </c>
      <c r="C46" s="438" t="s">
        <v>355</v>
      </c>
      <c r="D46" s="452" t="s">
        <v>73</v>
      </c>
      <c r="E46" s="442" t="s">
        <v>488</v>
      </c>
      <c r="F46" s="442">
        <f>-SUMIFS('DRE 2025'!I:I,'DRE 2025'!B:B,'Resumo DRE 2 Outros'!A46,'DRE 2025'!H:H,'Resumo DRE 2 Outros'!C46,'DRE 2025'!A:A,'Resumo DRE 2 Outros'!D46)</f>
        <v>48085.99</v>
      </c>
      <c r="G46" s="445">
        <f>F46/F64</f>
        <v>9.8871212260738833E-2</v>
      </c>
    </row>
    <row r="47" spans="1:7" x14ac:dyDescent="0.2">
      <c r="A47" s="453">
        <v>45474</v>
      </c>
      <c r="B47" s="446">
        <v>10</v>
      </c>
      <c r="C47" s="449" t="s">
        <v>477</v>
      </c>
      <c r="D47" s="452" t="s">
        <v>73</v>
      </c>
      <c r="E47" s="442" t="s">
        <v>489</v>
      </c>
      <c r="F47" s="442">
        <f>-SUMIFS('DRE 2025'!I:I,'DRE 2025'!B:B,'Resumo DRE 2 Outros'!A47,'DRE 2025'!H:H,'Resumo DRE 2 Outros'!C47,'DRE 2025'!A:A,'Resumo DRE 2 Outros'!D47)</f>
        <v>36780.47</v>
      </c>
      <c r="G47" s="445">
        <f>F47/F64</f>
        <v>7.5625554478960244E-2</v>
      </c>
    </row>
    <row r="48" spans="1:7" x14ac:dyDescent="0.2">
      <c r="A48" s="453">
        <v>45474</v>
      </c>
      <c r="B48" s="446">
        <v>11</v>
      </c>
      <c r="C48" s="438" t="s">
        <v>343</v>
      </c>
      <c r="D48" s="452" t="s">
        <v>73</v>
      </c>
      <c r="E48" s="442" t="s">
        <v>490</v>
      </c>
      <c r="F48" s="442">
        <f>-SUMIFS('DRE 2025'!I:I,'DRE 2025'!B:B,'Resumo DRE 2 Outros'!A48,'DRE 2025'!H:H,'Resumo DRE 2 Outros'!C48,'DRE 2025'!A:A,'Resumo DRE 2 Outros'!D48)</f>
        <v>59654.75</v>
      </c>
      <c r="G48" s="445">
        <f>F48/F64</f>
        <v>0.12265812661050153</v>
      </c>
    </row>
    <row r="49" spans="1:7" x14ac:dyDescent="0.2">
      <c r="A49" s="453">
        <v>45474</v>
      </c>
      <c r="B49" s="446">
        <v>12</v>
      </c>
      <c r="C49" s="438" t="s">
        <v>475</v>
      </c>
      <c r="D49" s="452" t="s">
        <v>73</v>
      </c>
      <c r="E49" s="442" t="s">
        <v>491</v>
      </c>
      <c r="F49" s="442">
        <f>-SUMIFS('DRE 2025'!I:I,'DRE 2025'!B:B,'Resumo DRE 2 Outros'!A49,'DRE 2025'!H:H,'Resumo DRE 2 Outros'!C49,'DRE 2025'!A:A,'Resumo DRE 2 Outros'!D49)</f>
        <v>37082.65</v>
      </c>
      <c r="G49" s="445">
        <f>F49/F64</f>
        <v>7.624687688328112E-2</v>
      </c>
    </row>
    <row r="50" spans="1:7" x14ac:dyDescent="0.2">
      <c r="A50" s="453">
        <v>45474</v>
      </c>
      <c r="B50" s="446">
        <v>13</v>
      </c>
      <c r="C50" s="438" t="s">
        <v>364</v>
      </c>
      <c r="D50" s="452" t="s">
        <v>73</v>
      </c>
      <c r="E50" s="442" t="s">
        <v>492</v>
      </c>
      <c r="F50" s="442">
        <f>-SUMIFS('DRE 2025'!I:I,'DRE 2025'!B:B,'Resumo DRE 2 Outros'!A50,'DRE 2025'!H:H,'Resumo DRE 2 Outros'!C50,'DRE 2025'!A:A,'Resumo DRE 2 Outros'!D50)</f>
        <v>32092.9664204</v>
      </c>
      <c r="G50" s="445">
        <f>F50/F64</f>
        <v>6.5987421596771373E-2</v>
      </c>
    </row>
    <row r="51" spans="1:7" x14ac:dyDescent="0.2">
      <c r="A51" s="453">
        <v>45474</v>
      </c>
      <c r="B51" s="446">
        <v>14</v>
      </c>
      <c r="C51" s="438" t="s">
        <v>473</v>
      </c>
      <c r="D51" s="452" t="s">
        <v>73</v>
      </c>
      <c r="E51" s="442" t="s">
        <v>493</v>
      </c>
      <c r="F51" s="442">
        <f>-SUMIFS('DRE 2025'!I:I,'DRE 2025'!B:B,'Resumo DRE 2 Outros'!A51,'DRE 2025'!H:H,'Resumo DRE 2 Outros'!C51,'DRE 2025'!A:A,'Resumo DRE 2 Outros'!D51)</f>
        <v>45328.1</v>
      </c>
      <c r="G51" s="445">
        <f>F51/F64</f>
        <v>9.3200622394922009E-2</v>
      </c>
    </row>
    <row r="52" spans="1:7" x14ac:dyDescent="0.2">
      <c r="A52" s="453">
        <v>45474</v>
      </c>
      <c r="B52" s="446">
        <v>15</v>
      </c>
      <c r="C52" s="438" t="s">
        <v>329</v>
      </c>
      <c r="D52" s="452" t="s">
        <v>73</v>
      </c>
      <c r="E52" s="442" t="s">
        <v>494</v>
      </c>
      <c r="F52" s="442">
        <f>-SUMIFS('DRE 2025'!I:I,'DRE 2025'!B:B,'Resumo DRE 2 Outros'!A52,'DRE 2025'!H:H,'Resumo DRE 2 Outros'!C52,'DRE 2025'!A:A,'Resumo DRE 2 Outros'!D52)</f>
        <v>32652.85</v>
      </c>
      <c r="G52" s="445">
        <f>F52/F64</f>
        <v>6.7138616949927954E-2</v>
      </c>
    </row>
    <row r="53" spans="1:7" x14ac:dyDescent="0.2">
      <c r="A53" s="453">
        <v>45474</v>
      </c>
      <c r="B53" s="446">
        <v>16</v>
      </c>
      <c r="C53" s="438" t="s">
        <v>481</v>
      </c>
      <c r="D53" s="452" t="s">
        <v>73</v>
      </c>
      <c r="E53" s="442" t="s">
        <v>495</v>
      </c>
      <c r="F53" s="442">
        <f>-SUMIFS('DRE 2025'!I:I,'DRE 2025'!B:B,'Resumo DRE 2 Outros'!A53,'DRE 2025'!H:H,'Resumo DRE 2 Outros'!C53,'DRE 2025'!A:A,'Resumo DRE 2 Outros'!D53)</f>
        <v>29030.68</v>
      </c>
      <c r="G53" s="445">
        <f>F53/F64</f>
        <v>5.9690952070521705E-2</v>
      </c>
    </row>
    <row r="54" spans="1:7" x14ac:dyDescent="0.2">
      <c r="A54" s="453">
        <v>45474</v>
      </c>
      <c r="B54" s="446">
        <v>17</v>
      </c>
      <c r="C54" s="438" t="s">
        <v>478</v>
      </c>
      <c r="D54" s="452" t="s">
        <v>73</v>
      </c>
      <c r="E54" s="442" t="s">
        <v>496</v>
      </c>
      <c r="F54" s="442">
        <f>-SUMIFS('DRE 2025'!I:I,'DRE 2025'!B:B,'Resumo DRE 2 Outros'!A54,'DRE 2025'!H:H,'Resumo DRE 2 Outros'!C54,'DRE 2025'!A:A,'Resumo DRE 2 Outros'!D54)</f>
        <v>18926.8</v>
      </c>
      <c r="G54" s="445">
        <f>F54/F64</f>
        <v>3.8916026481238125E-2</v>
      </c>
    </row>
    <row r="55" spans="1:7" x14ac:dyDescent="0.2">
      <c r="A55" s="453">
        <v>45474</v>
      </c>
      <c r="B55" s="446">
        <v>18</v>
      </c>
      <c r="C55" s="438" t="s">
        <v>474</v>
      </c>
      <c r="D55" s="452" t="s">
        <v>73</v>
      </c>
      <c r="E55" s="442" t="s">
        <v>497</v>
      </c>
      <c r="F55" s="442">
        <f>-SUMIFS('DRE 2025'!I:I,'DRE 2025'!B:B,'Resumo DRE 2 Outros'!A55,'DRE 2025'!H:H,'Resumo DRE 2 Outros'!C55,'DRE 2025'!A:A,'Resumo DRE 2 Outros'!D55)</f>
        <v>-5548.51</v>
      </c>
      <c r="G55" s="445">
        <f>F55/F64</f>
        <v>-1.1408476979278831E-2</v>
      </c>
    </row>
    <row r="56" spans="1:7" x14ac:dyDescent="0.2">
      <c r="A56" s="453">
        <v>45474</v>
      </c>
      <c r="B56" s="446">
        <v>19</v>
      </c>
      <c r="C56" s="438" t="s">
        <v>476</v>
      </c>
      <c r="D56" s="452" t="s">
        <v>73</v>
      </c>
      <c r="E56" s="442" t="s">
        <v>498</v>
      </c>
      <c r="F56" s="442">
        <f>-SUMIFS('DRE 2025'!I:I,'DRE 2025'!B:B,'Resumo DRE 2 Outros'!A56,'DRE 2025'!H:H,'Resumo DRE 2 Outros'!C56,'DRE 2025'!A:A,'Resumo DRE 2 Outros'!D56)</f>
        <v>4922.4799999999996</v>
      </c>
      <c r="G56" s="445">
        <f>F56/F64</f>
        <v>1.0121275758890306E-2</v>
      </c>
    </row>
    <row r="57" spans="1:7" x14ac:dyDescent="0.2">
      <c r="A57" s="453">
        <v>45474</v>
      </c>
      <c r="B57" s="446">
        <v>20</v>
      </c>
      <c r="C57" s="438" t="s">
        <v>357</v>
      </c>
      <c r="D57" s="452" t="s">
        <v>73</v>
      </c>
      <c r="E57" s="442" t="s">
        <v>499</v>
      </c>
      <c r="F57" s="442">
        <f>-SUMIFS('DRE 2025'!I:I,'DRE 2025'!B:B,'Resumo DRE 2 Outros'!A57,'DRE 2025'!H:H,'Resumo DRE 2 Outros'!C57,'DRE 2025'!A:A,'Resumo DRE 2 Outros'!D57)</f>
        <v>5080.03</v>
      </c>
      <c r="G57" s="445">
        <f>F57/F64</f>
        <v>1.0445219583103542E-2</v>
      </c>
    </row>
    <row r="58" spans="1:7" x14ac:dyDescent="0.2">
      <c r="A58" s="453">
        <v>45474</v>
      </c>
      <c r="B58" s="446">
        <v>21</v>
      </c>
      <c r="C58" s="438" t="s">
        <v>330</v>
      </c>
      <c r="D58" s="452" t="s">
        <v>73</v>
      </c>
      <c r="E58" s="442" t="s">
        <v>500</v>
      </c>
      <c r="F58" s="442">
        <f>-SUMIFS('DRE 2025'!I:I,'DRE 2025'!B:B,'Resumo DRE 2 Outros'!A58,'DRE 2025'!H:H,'Resumo DRE 2 Outros'!C58,'DRE 2025'!A:A,'Resumo DRE 2 Outros'!D58)</f>
        <v>4959.67</v>
      </c>
      <c r="G58" s="445">
        <f>F58/F64</f>
        <v>1.0197743361698878E-2</v>
      </c>
    </row>
    <row r="59" spans="1:7" x14ac:dyDescent="0.2">
      <c r="A59" s="453">
        <v>45474</v>
      </c>
      <c r="B59" s="446">
        <v>22</v>
      </c>
      <c r="C59" s="438" t="s">
        <v>521</v>
      </c>
      <c r="D59" s="452" t="s">
        <v>73</v>
      </c>
      <c r="E59" s="442" t="s">
        <v>501</v>
      </c>
      <c r="F59" s="442">
        <f>-SUMIFS('DRE 2025'!I:I,'DRE 2025'!B:B,'Resumo DRE 2 Outros'!A59,'DRE 2025'!H:H,'Resumo DRE 2 Outros'!C59,'DRE 2025'!A:A,'Resumo DRE 2 Outros'!D59)</f>
        <v>0</v>
      </c>
      <c r="G59" s="445">
        <f>F59/F64</f>
        <v>0</v>
      </c>
    </row>
    <row r="60" spans="1:7" x14ac:dyDescent="0.2">
      <c r="A60" s="453">
        <v>45474</v>
      </c>
      <c r="B60" s="446">
        <v>23</v>
      </c>
      <c r="C60" s="438" t="s">
        <v>331</v>
      </c>
      <c r="D60" s="452" t="s">
        <v>73</v>
      </c>
      <c r="E60" s="442" t="s">
        <v>502</v>
      </c>
      <c r="F60" s="442">
        <f>-SUMIFS('DRE 2025'!I:I,'DRE 2025'!B:B,'Resumo DRE 2 Outros'!A60,'DRE 2025'!H:H,'Resumo DRE 2 Outros'!C60,'DRE 2025'!A:A,'Resumo DRE 2 Outros'!D60)</f>
        <v>14.45</v>
      </c>
      <c r="G60" s="445">
        <f>F60/F64</f>
        <v>2.971112827598384E-5</v>
      </c>
    </row>
    <row r="61" spans="1:7" x14ac:dyDescent="0.2">
      <c r="A61" s="453">
        <v>45474</v>
      </c>
      <c r="B61" s="446">
        <v>24</v>
      </c>
      <c r="C61" s="438" t="s">
        <v>520</v>
      </c>
      <c r="D61" s="452" t="s">
        <v>73</v>
      </c>
      <c r="E61" s="442" t="s">
        <v>503</v>
      </c>
      <c r="F61" s="442">
        <f>-SUMIFS('DRE 2025'!I:I,'DRE 2025'!B:B,'Resumo DRE 2 Outros'!A61,'DRE 2025'!H:H,'Resumo DRE 2 Outros'!C61,'DRE 2025'!A:A,'Resumo DRE 2 Outros'!D61)</f>
        <v>0</v>
      </c>
      <c r="G61" s="445">
        <f>F61/F64</f>
        <v>0</v>
      </c>
    </row>
    <row r="62" spans="1:7" x14ac:dyDescent="0.2">
      <c r="A62" s="453">
        <v>45474</v>
      </c>
      <c r="B62" s="446">
        <v>25</v>
      </c>
      <c r="C62" s="438" t="s">
        <v>479</v>
      </c>
      <c r="D62" s="452" t="s">
        <v>73</v>
      </c>
      <c r="E62" s="442" t="s">
        <v>504</v>
      </c>
      <c r="F62" s="442">
        <f>-SUMIFS('DRE 2025'!I:I,'DRE 2025'!B:B,'Resumo DRE 2 Outros'!A62,'DRE 2025'!H:H,'Resumo DRE 2 Outros'!C62,'DRE 2025'!A:A,'Resumo DRE 2 Outros'!D62)</f>
        <v>0</v>
      </c>
      <c r="G62" s="445">
        <f>F62/F64</f>
        <v>0</v>
      </c>
    </row>
    <row r="63" spans="1:7" x14ac:dyDescent="0.2">
      <c r="A63" s="453">
        <v>45474</v>
      </c>
      <c r="B63" s="446">
        <v>26</v>
      </c>
      <c r="C63" s="438" t="s">
        <v>480</v>
      </c>
      <c r="D63" s="452" t="s">
        <v>73</v>
      </c>
      <c r="E63" s="442" t="s">
        <v>505</v>
      </c>
      <c r="F63" s="442">
        <f>-SUMIFS('DRE 2025'!I:I,'DRE 2025'!B:B,'Resumo DRE 2 Outros'!A63,'DRE 2025'!H:H,'Resumo DRE 2 Outros'!C63,'DRE 2025'!A:A,'Resumo DRE 2 Outros'!D63)</f>
        <v>-13410.47</v>
      </c>
      <c r="G63" s="445">
        <f>F63/F64</f>
        <v>-2.7573715876209895E-2</v>
      </c>
    </row>
    <row r="64" spans="1:7" x14ac:dyDescent="0.2">
      <c r="A64" s="453">
        <v>45474</v>
      </c>
      <c r="B64" s="446">
        <v>27</v>
      </c>
      <c r="C64" s="438" t="s">
        <v>484</v>
      </c>
      <c r="D64" s="452" t="s">
        <v>73</v>
      </c>
      <c r="E64" s="442" t="s">
        <v>506</v>
      </c>
      <c r="F64" s="442">
        <f>SUM(F44:F63)</f>
        <v>486349.75642039999</v>
      </c>
      <c r="G64" s="445">
        <f>SUM(G44:G63)</f>
        <v>0.99999999999999978</v>
      </c>
    </row>
    <row r="65" spans="1:7" x14ac:dyDescent="0.2">
      <c r="A65" s="453">
        <v>45505</v>
      </c>
      <c r="B65" s="446">
        <v>7</v>
      </c>
      <c r="C65" s="438" t="s">
        <v>340</v>
      </c>
      <c r="D65" s="452" t="s">
        <v>73</v>
      </c>
      <c r="E65" s="442" t="s">
        <v>486</v>
      </c>
      <c r="F65" s="442">
        <f>-SUMIFS('DRE 2025'!I:I,'DRE 2025'!B:B,'Resumo DRE 2 Outros'!A65,'DRE 2025'!H:H,'Resumo DRE 2 Outros'!C65,'DRE 2025'!A:A,'Resumo DRE 2 Outros'!D65)</f>
        <v>78157.039999999994</v>
      </c>
      <c r="G65" s="445">
        <f>F65/F85</f>
        <v>0.19889700288065912</v>
      </c>
    </row>
    <row r="66" spans="1:7" x14ac:dyDescent="0.2">
      <c r="A66" s="453">
        <v>45505</v>
      </c>
      <c r="B66" s="446">
        <v>8</v>
      </c>
      <c r="C66" s="438" t="s">
        <v>563</v>
      </c>
      <c r="D66" s="452" t="s">
        <v>73</v>
      </c>
      <c r="E66" s="442" t="s">
        <v>487</v>
      </c>
      <c r="F66" s="442">
        <f>-SUMIFS('DRE 2025'!I:I,'DRE 2025'!B:B,'Resumo DRE 2 Outros'!A66,'DRE 2025'!H:H,'Resumo DRE 2 Outros'!C66,'DRE 2025'!A:A,'Resumo DRE 2 Outros'!D66)</f>
        <v>0</v>
      </c>
      <c r="G66" s="445">
        <f>F66/F85</f>
        <v>0</v>
      </c>
    </row>
    <row r="67" spans="1:7" x14ac:dyDescent="0.2">
      <c r="A67" s="453">
        <v>45505</v>
      </c>
      <c r="B67" s="446">
        <v>9</v>
      </c>
      <c r="C67" s="438" t="s">
        <v>355</v>
      </c>
      <c r="D67" s="452" t="s">
        <v>73</v>
      </c>
      <c r="E67" s="442" t="s">
        <v>488</v>
      </c>
      <c r="F67" s="442">
        <f>-SUMIFS('DRE 2025'!I:I,'DRE 2025'!B:B,'Resumo DRE 2 Outros'!A67,'DRE 2025'!H:H,'Resumo DRE 2 Outros'!C67,'DRE 2025'!A:A,'Resumo DRE 2 Outros'!D67)</f>
        <v>53139.99</v>
      </c>
      <c r="G67" s="445">
        <f>F67/F85</f>
        <v>0.13523266418621019</v>
      </c>
    </row>
    <row r="68" spans="1:7" x14ac:dyDescent="0.2">
      <c r="A68" s="453">
        <v>45505</v>
      </c>
      <c r="B68" s="446">
        <v>10</v>
      </c>
      <c r="C68" s="449" t="s">
        <v>477</v>
      </c>
      <c r="D68" s="452" t="s">
        <v>73</v>
      </c>
      <c r="E68" s="442" t="s">
        <v>489</v>
      </c>
      <c r="F68" s="442">
        <f>-SUMIFS('DRE 2025'!I:I,'DRE 2025'!B:B,'Resumo DRE 2 Outros'!A68,'DRE 2025'!H:H,'Resumo DRE 2 Outros'!C68,'DRE 2025'!A:A,'Resumo DRE 2 Outros'!D68)</f>
        <v>34695.78</v>
      </c>
      <c r="G68" s="445">
        <f>F68/F85</f>
        <v>8.829513828321435E-2</v>
      </c>
    </row>
    <row r="69" spans="1:7" x14ac:dyDescent="0.2">
      <c r="A69" s="453">
        <v>45505</v>
      </c>
      <c r="B69" s="446">
        <v>11</v>
      </c>
      <c r="C69" s="438" t="s">
        <v>343</v>
      </c>
      <c r="D69" s="452" t="s">
        <v>73</v>
      </c>
      <c r="E69" s="442" t="s">
        <v>490</v>
      </c>
      <c r="F69" s="442">
        <f>-SUMIFS('DRE 2025'!I:I,'DRE 2025'!B:B,'Resumo DRE 2 Outros'!A69,'DRE 2025'!H:H,'Resumo DRE 2 Outros'!C69,'DRE 2025'!A:A,'Resumo DRE 2 Outros'!D69)</f>
        <v>50998.1</v>
      </c>
      <c r="G69" s="445">
        <f>F69/F85</f>
        <v>0.12978190119032326</v>
      </c>
    </row>
    <row r="70" spans="1:7" x14ac:dyDescent="0.2">
      <c r="A70" s="453">
        <v>45505</v>
      </c>
      <c r="B70" s="446">
        <v>12</v>
      </c>
      <c r="C70" s="438" t="s">
        <v>475</v>
      </c>
      <c r="D70" s="452" t="s">
        <v>73</v>
      </c>
      <c r="E70" s="442" t="s">
        <v>491</v>
      </c>
      <c r="F70" s="442">
        <f>-SUMIFS('DRE 2025'!I:I,'DRE 2025'!B:B,'Resumo DRE 2 Outros'!A70,'DRE 2025'!H:H,'Resumo DRE 2 Outros'!C70,'DRE 2025'!A:A,'Resumo DRE 2 Outros'!D70)</f>
        <v>37925.609999999993</v>
      </c>
      <c r="G70" s="445">
        <f>F70/F85</f>
        <v>9.6514532298315719E-2</v>
      </c>
    </row>
    <row r="71" spans="1:7" x14ac:dyDescent="0.2">
      <c r="A71" s="453">
        <v>45505</v>
      </c>
      <c r="B71" s="446">
        <v>13</v>
      </c>
      <c r="C71" s="438" t="s">
        <v>364</v>
      </c>
      <c r="D71" s="452" t="s">
        <v>73</v>
      </c>
      <c r="E71" s="442" t="s">
        <v>492</v>
      </c>
      <c r="F71" s="442">
        <f>-SUMIFS('DRE 2025'!I:I,'DRE 2025'!B:B,'Resumo DRE 2 Outros'!A71,'DRE 2025'!H:H,'Resumo DRE 2 Outros'!C71,'DRE 2025'!A:A,'Resumo DRE 2 Outros'!D71)</f>
        <v>32092.9664204</v>
      </c>
      <c r="G71" s="445">
        <f>F71/F85</f>
        <v>8.1671399461484162E-2</v>
      </c>
    </row>
    <row r="72" spans="1:7" x14ac:dyDescent="0.2">
      <c r="A72" s="453">
        <v>45505</v>
      </c>
      <c r="B72" s="446">
        <v>14</v>
      </c>
      <c r="C72" s="438" t="s">
        <v>473</v>
      </c>
      <c r="D72" s="452" t="s">
        <v>73</v>
      </c>
      <c r="E72" s="442" t="s">
        <v>493</v>
      </c>
      <c r="F72" s="442">
        <f>-SUMIFS('DRE 2025'!I:I,'DRE 2025'!B:B,'Resumo DRE 2 Outros'!A72,'DRE 2025'!H:H,'Resumo DRE 2 Outros'!C72,'DRE 2025'!A:A,'Resumo DRE 2 Outros'!D72)</f>
        <v>28179.51</v>
      </c>
      <c r="G72" s="445">
        <f>F72/F85</f>
        <v>7.1712286975627051E-2</v>
      </c>
    </row>
    <row r="73" spans="1:7" x14ac:dyDescent="0.2">
      <c r="A73" s="453">
        <v>45505</v>
      </c>
      <c r="B73" s="446">
        <v>15</v>
      </c>
      <c r="C73" s="438" t="s">
        <v>329</v>
      </c>
      <c r="D73" s="452" t="s">
        <v>73</v>
      </c>
      <c r="E73" s="442" t="s">
        <v>494</v>
      </c>
      <c r="F73" s="442">
        <f>-SUMIFS('DRE 2025'!I:I,'DRE 2025'!B:B,'Resumo DRE 2 Outros'!A73,'DRE 2025'!H:H,'Resumo DRE 2 Outros'!C73,'DRE 2025'!A:A,'Resumo DRE 2 Outros'!D73)</f>
        <v>32498.45</v>
      </c>
      <c r="G73" s="445">
        <f>F73/F85</f>
        <v>8.2703289470365787E-2</v>
      </c>
    </row>
    <row r="74" spans="1:7" x14ac:dyDescent="0.2">
      <c r="A74" s="453">
        <v>45505</v>
      </c>
      <c r="B74" s="446">
        <v>16</v>
      </c>
      <c r="C74" s="438" t="s">
        <v>481</v>
      </c>
      <c r="D74" s="452" t="s">
        <v>73</v>
      </c>
      <c r="E74" s="442" t="s">
        <v>495</v>
      </c>
      <c r="F74" s="442">
        <f>-SUMIFS('DRE 2025'!I:I,'DRE 2025'!B:B,'Resumo DRE 2 Outros'!A74,'DRE 2025'!H:H,'Resumo DRE 2 Outros'!C74,'DRE 2025'!A:A,'Resumo DRE 2 Outros'!D74)</f>
        <v>29462.43</v>
      </c>
      <c r="G74" s="445">
        <f>F74/F85</f>
        <v>7.497711050189744E-2</v>
      </c>
    </row>
    <row r="75" spans="1:7" x14ac:dyDescent="0.2">
      <c r="A75" s="453">
        <v>45505</v>
      </c>
      <c r="B75" s="446">
        <v>17</v>
      </c>
      <c r="C75" s="438" t="s">
        <v>478</v>
      </c>
      <c r="D75" s="452" t="s">
        <v>73</v>
      </c>
      <c r="E75" s="442" t="s">
        <v>496</v>
      </c>
      <c r="F75" s="442">
        <f>-SUMIFS('DRE 2025'!I:I,'DRE 2025'!B:B,'Resumo DRE 2 Outros'!A75,'DRE 2025'!H:H,'Resumo DRE 2 Outros'!C75,'DRE 2025'!A:A,'Resumo DRE 2 Outros'!D75)</f>
        <v>18344.009999999998</v>
      </c>
      <c r="G75" s="445">
        <f>F75/F85</f>
        <v>4.6682533138573824E-2</v>
      </c>
    </row>
    <row r="76" spans="1:7" x14ac:dyDescent="0.2">
      <c r="A76" s="453">
        <v>45505</v>
      </c>
      <c r="B76" s="446">
        <v>18</v>
      </c>
      <c r="C76" s="438" t="s">
        <v>474</v>
      </c>
      <c r="D76" s="452" t="s">
        <v>73</v>
      </c>
      <c r="E76" s="442" t="s">
        <v>497</v>
      </c>
      <c r="F76" s="442">
        <f>-SUMIFS('DRE 2025'!I:I,'DRE 2025'!B:B,'Resumo DRE 2 Outros'!A76,'DRE 2025'!H:H,'Resumo DRE 2 Outros'!C76,'DRE 2025'!A:A,'Resumo DRE 2 Outros'!D76)</f>
        <v>10241.26</v>
      </c>
      <c r="G76" s="445">
        <f>F76/F85</f>
        <v>2.6062347291063982E-2</v>
      </c>
    </row>
    <row r="77" spans="1:7" x14ac:dyDescent="0.2">
      <c r="A77" s="453">
        <v>45505</v>
      </c>
      <c r="B77" s="446">
        <v>19</v>
      </c>
      <c r="C77" s="438" t="s">
        <v>476</v>
      </c>
      <c r="D77" s="452" t="s">
        <v>73</v>
      </c>
      <c r="E77" s="442" t="s">
        <v>498</v>
      </c>
      <c r="F77" s="442">
        <f>-SUMIFS('DRE 2025'!I:I,'DRE 2025'!B:B,'Resumo DRE 2 Outros'!A77,'DRE 2025'!H:H,'Resumo DRE 2 Outros'!C77,'DRE 2025'!A:A,'Resumo DRE 2 Outros'!D77)</f>
        <v>4773.74</v>
      </c>
      <c r="G77" s="445">
        <f>F77/F85</f>
        <v>1.2148394802714096E-2</v>
      </c>
    </row>
    <row r="78" spans="1:7" x14ac:dyDescent="0.2">
      <c r="A78" s="453">
        <v>45505</v>
      </c>
      <c r="B78" s="446">
        <v>20</v>
      </c>
      <c r="C78" s="438" t="s">
        <v>357</v>
      </c>
      <c r="D78" s="452" t="s">
        <v>73</v>
      </c>
      <c r="E78" s="442" t="s">
        <v>499</v>
      </c>
      <c r="F78" s="442">
        <f>-SUMIFS('DRE 2025'!I:I,'DRE 2025'!B:B,'Resumo DRE 2 Outros'!A78,'DRE 2025'!H:H,'Resumo DRE 2 Outros'!C78,'DRE 2025'!A:A,'Resumo DRE 2 Outros'!D78)</f>
        <v>5280.54</v>
      </c>
      <c r="G78" s="445">
        <f>F78/F85</f>
        <v>1.343811868504022E-2</v>
      </c>
    </row>
    <row r="79" spans="1:7" x14ac:dyDescent="0.2">
      <c r="A79" s="453">
        <v>45505</v>
      </c>
      <c r="B79" s="446">
        <v>21</v>
      </c>
      <c r="C79" s="438" t="s">
        <v>330</v>
      </c>
      <c r="D79" s="452" t="s">
        <v>73</v>
      </c>
      <c r="E79" s="442" t="s">
        <v>500</v>
      </c>
      <c r="F79" s="442">
        <f>-SUMIFS('DRE 2025'!I:I,'DRE 2025'!B:B,'Resumo DRE 2 Outros'!A79,'DRE 2025'!H:H,'Resumo DRE 2 Outros'!C79,'DRE 2025'!A:A,'Resumo DRE 2 Outros'!D79)</f>
        <v>0</v>
      </c>
      <c r="G79" s="445">
        <f>F79/F85</f>
        <v>0</v>
      </c>
    </row>
    <row r="80" spans="1:7" x14ac:dyDescent="0.2">
      <c r="A80" s="453">
        <v>45505</v>
      </c>
      <c r="B80" s="446">
        <v>22</v>
      </c>
      <c r="C80" s="438" t="s">
        <v>521</v>
      </c>
      <c r="D80" s="452" t="s">
        <v>73</v>
      </c>
      <c r="E80" s="442" t="s">
        <v>501</v>
      </c>
      <c r="F80" s="442">
        <f>-SUMIFS('DRE 2025'!I:I,'DRE 2025'!B:B,'Resumo DRE 2 Outros'!A80,'DRE 2025'!H:H,'Resumo DRE 2 Outros'!C80,'DRE 2025'!A:A,'Resumo DRE 2 Outros'!D80)</f>
        <v>0</v>
      </c>
      <c r="G80" s="445">
        <f>F80/F85</f>
        <v>0</v>
      </c>
    </row>
    <row r="81" spans="1:7" x14ac:dyDescent="0.2">
      <c r="A81" s="453">
        <v>45505</v>
      </c>
      <c r="B81" s="446">
        <v>23</v>
      </c>
      <c r="C81" s="438" t="s">
        <v>331</v>
      </c>
      <c r="D81" s="452" t="s">
        <v>73</v>
      </c>
      <c r="E81" s="442" t="s">
        <v>502</v>
      </c>
      <c r="F81" s="442">
        <f>-SUMIFS('DRE 2025'!I:I,'DRE 2025'!B:B,'Resumo DRE 2 Outros'!A81,'DRE 2025'!H:H,'Resumo DRE 2 Outros'!C81,'DRE 2025'!A:A,'Resumo DRE 2 Outros'!D81)</f>
        <v>-7.0000000000000007E-2</v>
      </c>
      <c r="G81" s="445">
        <f>F81/F85</f>
        <v>-1.781386577798512E-7</v>
      </c>
    </row>
    <row r="82" spans="1:7" x14ac:dyDescent="0.2">
      <c r="A82" s="453">
        <v>45505</v>
      </c>
      <c r="B82" s="446">
        <v>24</v>
      </c>
      <c r="C82" s="438" t="s">
        <v>520</v>
      </c>
      <c r="D82" s="452" t="s">
        <v>73</v>
      </c>
      <c r="E82" s="442" t="s">
        <v>503</v>
      </c>
      <c r="F82" s="442">
        <f>-SUMIFS('DRE 2025'!I:I,'DRE 2025'!B:B,'Resumo DRE 2 Outros'!A82,'DRE 2025'!H:H,'Resumo DRE 2 Outros'!C82,'DRE 2025'!A:A,'Resumo DRE 2 Outros'!D82)</f>
        <v>0</v>
      </c>
      <c r="G82" s="445">
        <f>F82/F85</f>
        <v>0</v>
      </c>
    </row>
    <row r="83" spans="1:7" x14ac:dyDescent="0.2">
      <c r="A83" s="453">
        <v>45505</v>
      </c>
      <c r="B83" s="446">
        <v>25</v>
      </c>
      <c r="C83" s="438" t="s">
        <v>479</v>
      </c>
      <c r="D83" s="452" t="s">
        <v>73</v>
      </c>
      <c r="E83" s="442" t="s">
        <v>504</v>
      </c>
      <c r="F83" s="442">
        <f>-SUMIFS('DRE 2025'!I:I,'DRE 2025'!B:B,'Resumo DRE 2 Outros'!A83,'DRE 2025'!H:H,'Resumo DRE 2 Outros'!C83,'DRE 2025'!A:A,'Resumo DRE 2 Outros'!D83)</f>
        <v>0</v>
      </c>
      <c r="G83" s="445">
        <f>F83/F85</f>
        <v>0</v>
      </c>
    </row>
    <row r="84" spans="1:7" x14ac:dyDescent="0.2">
      <c r="A84" s="453">
        <v>45505</v>
      </c>
      <c r="B84" s="446">
        <v>26</v>
      </c>
      <c r="C84" s="438" t="s">
        <v>480</v>
      </c>
      <c r="D84" s="452" t="s">
        <v>73</v>
      </c>
      <c r="E84" s="442" t="s">
        <v>505</v>
      </c>
      <c r="F84" s="442">
        <f>-SUMIFS('DRE 2025'!I:I,'DRE 2025'!B:B,'Resumo DRE 2 Outros'!A84,'DRE 2025'!H:H,'Resumo DRE 2 Outros'!C84,'DRE 2025'!A:A,'Resumo DRE 2 Outros'!D84)</f>
        <v>-22837.03</v>
      </c>
      <c r="G84" s="445">
        <f>F84/F85</f>
        <v>-5.811654102683135E-2</v>
      </c>
    </row>
    <row r="85" spans="1:7" x14ac:dyDescent="0.2">
      <c r="A85" s="453">
        <v>45505</v>
      </c>
      <c r="B85" s="446">
        <v>27</v>
      </c>
      <c r="C85" s="438" t="s">
        <v>484</v>
      </c>
      <c r="D85" s="452" t="s">
        <v>73</v>
      </c>
      <c r="E85" s="442" t="s">
        <v>506</v>
      </c>
      <c r="F85" s="442">
        <f>SUM(F65:F84)</f>
        <v>392952.32642039994</v>
      </c>
      <c r="G85" s="445">
        <f>SUM(G65:G84)</f>
        <v>1</v>
      </c>
    </row>
    <row r="86" spans="1:7" x14ac:dyDescent="0.2">
      <c r="A86" s="453">
        <v>45536</v>
      </c>
      <c r="B86" s="446">
        <v>7</v>
      </c>
      <c r="C86" s="438" t="s">
        <v>340</v>
      </c>
      <c r="D86" s="452" t="s">
        <v>73</v>
      </c>
      <c r="E86" s="442" t="s">
        <v>486</v>
      </c>
      <c r="F86" s="442">
        <f>-SUMIFS('DRE 2025'!I:I,'DRE 2025'!B:B,'Resumo DRE 2 Outros'!A86,'DRE 2025'!H:H,'Resumo DRE 2 Outros'!C86,'DRE 2025'!A:A,'Resumo DRE 2 Outros'!D86)</f>
        <v>45044.93</v>
      </c>
      <c r="G86" s="445">
        <f>F86/F106</f>
        <v>0.11892232689070785</v>
      </c>
    </row>
    <row r="87" spans="1:7" x14ac:dyDescent="0.2">
      <c r="A87" s="453">
        <v>45536</v>
      </c>
      <c r="B87" s="446">
        <v>8</v>
      </c>
      <c r="C87" s="438" t="s">
        <v>563</v>
      </c>
      <c r="D87" s="452" t="s">
        <v>73</v>
      </c>
      <c r="E87" s="442" t="s">
        <v>487</v>
      </c>
      <c r="F87" s="442">
        <f>-SUMIFS('DRE 2025'!I:I,'DRE 2025'!B:B,'Resumo DRE 2 Outros'!A87,'DRE 2025'!H:H,'Resumo DRE 2 Outros'!C87,'DRE 2025'!A:A,'Resumo DRE 2 Outros'!D87)</f>
        <v>0</v>
      </c>
      <c r="G87" s="445">
        <f>F87/F106</f>
        <v>0</v>
      </c>
    </row>
    <row r="88" spans="1:7" x14ac:dyDescent="0.2">
      <c r="A88" s="453">
        <v>45536</v>
      </c>
      <c r="B88" s="446">
        <v>9</v>
      </c>
      <c r="C88" s="438" t="s">
        <v>355</v>
      </c>
      <c r="D88" s="452" t="s">
        <v>73</v>
      </c>
      <c r="E88" s="442" t="s">
        <v>488</v>
      </c>
      <c r="F88" s="442">
        <f>-SUMIFS('DRE 2025'!I:I,'DRE 2025'!B:B,'Resumo DRE 2 Outros'!A88,'DRE 2025'!H:H,'Resumo DRE 2 Outros'!C88,'DRE 2025'!A:A,'Resumo DRE 2 Outros'!D88)</f>
        <v>57899.24</v>
      </c>
      <c r="G88" s="445">
        <f>F88/F106</f>
        <v>0.15285876448256325</v>
      </c>
    </row>
    <row r="89" spans="1:7" x14ac:dyDescent="0.2">
      <c r="A89" s="453">
        <v>45536</v>
      </c>
      <c r="B89" s="446">
        <v>10</v>
      </c>
      <c r="C89" s="449" t="s">
        <v>477</v>
      </c>
      <c r="D89" s="452" t="s">
        <v>73</v>
      </c>
      <c r="E89" s="442" t="s">
        <v>489</v>
      </c>
      <c r="F89" s="442">
        <f>-SUMIFS('DRE 2025'!I:I,'DRE 2025'!B:B,'Resumo DRE 2 Outros'!A89,'DRE 2025'!H:H,'Resumo DRE 2 Outros'!C89,'DRE 2025'!A:A,'Resumo DRE 2 Outros'!D89)</f>
        <v>37222.89</v>
      </c>
      <c r="G89" s="445">
        <f>F89/F106</f>
        <v>9.8271496756613008E-2</v>
      </c>
    </row>
    <row r="90" spans="1:7" x14ac:dyDescent="0.2">
      <c r="A90" s="453">
        <v>45536</v>
      </c>
      <c r="B90" s="446">
        <v>11</v>
      </c>
      <c r="C90" s="438" t="s">
        <v>343</v>
      </c>
      <c r="D90" s="452" t="s">
        <v>73</v>
      </c>
      <c r="E90" s="442" t="s">
        <v>490</v>
      </c>
      <c r="F90" s="442">
        <f>-SUMIFS('DRE 2025'!I:I,'DRE 2025'!B:B,'Resumo DRE 2 Outros'!A90,'DRE 2025'!H:H,'Resumo DRE 2 Outros'!C90,'DRE 2025'!A:A,'Resumo DRE 2 Outros'!D90)</f>
        <v>68365.11</v>
      </c>
      <c r="G90" s="445">
        <f>F90/F106</f>
        <v>0.1804895236675737</v>
      </c>
    </row>
    <row r="91" spans="1:7" x14ac:dyDescent="0.2">
      <c r="A91" s="453">
        <v>45536</v>
      </c>
      <c r="B91" s="446">
        <v>12</v>
      </c>
      <c r="C91" s="438" t="s">
        <v>475</v>
      </c>
      <c r="D91" s="452" t="s">
        <v>73</v>
      </c>
      <c r="E91" s="442" t="s">
        <v>491</v>
      </c>
      <c r="F91" s="442">
        <f>-SUMIFS('DRE 2025'!I:I,'DRE 2025'!B:B,'Resumo DRE 2 Outros'!A91,'DRE 2025'!H:H,'Resumo DRE 2 Outros'!C91,'DRE 2025'!A:A,'Resumo DRE 2 Outros'!D91)</f>
        <v>39556.859999999993</v>
      </c>
      <c r="G91" s="445">
        <f>F91/F106</f>
        <v>0.10443336987514389</v>
      </c>
    </row>
    <row r="92" spans="1:7" x14ac:dyDescent="0.2">
      <c r="A92" s="453">
        <v>45536</v>
      </c>
      <c r="B92" s="446">
        <v>13</v>
      </c>
      <c r="C92" s="438" t="s">
        <v>364</v>
      </c>
      <c r="D92" s="452" t="s">
        <v>73</v>
      </c>
      <c r="E92" s="442" t="s">
        <v>492</v>
      </c>
      <c r="F92" s="442">
        <f>-SUMIFS('DRE 2025'!I:I,'DRE 2025'!B:B,'Resumo DRE 2 Outros'!A92,'DRE 2025'!H:H,'Resumo DRE 2 Outros'!C92,'DRE 2025'!A:A,'Resumo DRE 2 Outros'!D92)</f>
        <v>32092.9664204</v>
      </c>
      <c r="G92" s="445">
        <f>F92/F106</f>
        <v>8.4728075802078487E-2</v>
      </c>
    </row>
    <row r="93" spans="1:7" x14ac:dyDescent="0.2">
      <c r="A93" s="453">
        <v>45536</v>
      </c>
      <c r="B93" s="446">
        <v>14</v>
      </c>
      <c r="C93" s="438" t="s">
        <v>473</v>
      </c>
      <c r="D93" s="452" t="s">
        <v>73</v>
      </c>
      <c r="E93" s="442" t="s">
        <v>493</v>
      </c>
      <c r="F93" s="442">
        <f>-SUMIFS('DRE 2025'!I:I,'DRE 2025'!B:B,'Resumo DRE 2 Outros'!A93,'DRE 2025'!H:H,'Resumo DRE 2 Outros'!C93,'DRE 2025'!A:A,'Resumo DRE 2 Outros'!D93)</f>
        <v>28715.68</v>
      </c>
      <c r="G93" s="445">
        <f>F93/F106</f>
        <v>7.5811761364685468E-2</v>
      </c>
    </row>
    <row r="94" spans="1:7" x14ac:dyDescent="0.2">
      <c r="A94" s="453">
        <v>45536</v>
      </c>
      <c r="B94" s="446">
        <v>15</v>
      </c>
      <c r="C94" s="438" t="s">
        <v>329</v>
      </c>
      <c r="D94" s="452" t="s">
        <v>73</v>
      </c>
      <c r="E94" s="442" t="s">
        <v>494</v>
      </c>
      <c r="F94" s="442">
        <f>-SUMIFS('DRE 2025'!I:I,'DRE 2025'!B:B,'Resumo DRE 2 Outros'!A94,'DRE 2025'!H:H,'Resumo DRE 2 Outros'!C94,'DRE 2025'!A:A,'Resumo DRE 2 Outros'!D94)</f>
        <v>31418.74</v>
      </c>
      <c r="G94" s="445">
        <f>F94/F106</f>
        <v>8.2948062496137939E-2</v>
      </c>
    </row>
    <row r="95" spans="1:7" x14ac:dyDescent="0.2">
      <c r="A95" s="453">
        <v>45536</v>
      </c>
      <c r="B95" s="446">
        <v>16</v>
      </c>
      <c r="C95" s="438" t="s">
        <v>481</v>
      </c>
      <c r="D95" s="452" t="s">
        <v>73</v>
      </c>
      <c r="E95" s="442" t="s">
        <v>495</v>
      </c>
      <c r="F95" s="442">
        <f>-SUMIFS('DRE 2025'!I:I,'DRE 2025'!B:B,'Resumo DRE 2 Outros'!A95,'DRE 2025'!H:H,'Resumo DRE 2 Outros'!C95,'DRE 2025'!A:A,'Resumo DRE 2 Outros'!D95)</f>
        <v>30201.67</v>
      </c>
      <c r="G95" s="445">
        <f>F95/F106</f>
        <v>7.9734897409881295E-2</v>
      </c>
    </row>
    <row r="96" spans="1:7" x14ac:dyDescent="0.2">
      <c r="A96" s="453">
        <v>45536</v>
      </c>
      <c r="B96" s="446">
        <v>17</v>
      </c>
      <c r="C96" s="438" t="s">
        <v>478</v>
      </c>
      <c r="D96" s="452" t="s">
        <v>73</v>
      </c>
      <c r="E96" s="442" t="s">
        <v>496</v>
      </c>
      <c r="F96" s="442">
        <f>-SUMIFS('DRE 2025'!I:I,'DRE 2025'!B:B,'Resumo DRE 2 Outros'!A96,'DRE 2025'!H:H,'Resumo DRE 2 Outros'!C96,'DRE 2025'!A:A,'Resumo DRE 2 Outros'!D96)</f>
        <v>18505.25</v>
      </c>
      <c r="G96" s="445">
        <f>F96/F106</f>
        <v>4.8855384827865674E-2</v>
      </c>
    </row>
    <row r="97" spans="1:7" x14ac:dyDescent="0.2">
      <c r="A97" s="453">
        <v>45536</v>
      </c>
      <c r="B97" s="446">
        <v>18</v>
      </c>
      <c r="C97" s="438" t="s">
        <v>474</v>
      </c>
      <c r="D97" s="452" t="s">
        <v>73</v>
      </c>
      <c r="E97" s="442" t="s">
        <v>497</v>
      </c>
      <c r="F97" s="442">
        <f>-SUMIFS('DRE 2025'!I:I,'DRE 2025'!B:B,'Resumo DRE 2 Outros'!A97,'DRE 2025'!H:H,'Resumo DRE 2 Outros'!C97,'DRE 2025'!A:A,'Resumo DRE 2 Outros'!D97)</f>
        <v>5992.55</v>
      </c>
      <c r="G97" s="445">
        <f>F97/F106</f>
        <v>1.5820825784586885E-2</v>
      </c>
    </row>
    <row r="98" spans="1:7" x14ac:dyDescent="0.2">
      <c r="A98" s="453">
        <v>45536</v>
      </c>
      <c r="B98" s="446">
        <v>19</v>
      </c>
      <c r="C98" s="438" t="s">
        <v>476</v>
      </c>
      <c r="D98" s="452" t="s">
        <v>73</v>
      </c>
      <c r="E98" s="442" t="s">
        <v>498</v>
      </c>
      <c r="F98" s="442">
        <f>-SUMIFS('DRE 2025'!I:I,'DRE 2025'!B:B,'Resumo DRE 2 Outros'!A98,'DRE 2025'!H:H,'Resumo DRE 2 Outros'!C98,'DRE 2025'!A:A,'Resumo DRE 2 Outros'!D98)</f>
        <v>4733.74</v>
      </c>
      <c r="G98" s="445">
        <f>F98/F106</f>
        <v>1.2497463658964935E-2</v>
      </c>
    </row>
    <row r="99" spans="1:7" x14ac:dyDescent="0.2">
      <c r="A99" s="453">
        <v>45536</v>
      </c>
      <c r="B99" s="446">
        <v>20</v>
      </c>
      <c r="C99" s="438" t="s">
        <v>357</v>
      </c>
      <c r="D99" s="452" t="s">
        <v>73</v>
      </c>
      <c r="E99" s="442" t="s">
        <v>499</v>
      </c>
      <c r="F99" s="442">
        <f>-SUMIFS('DRE 2025'!I:I,'DRE 2025'!B:B,'Resumo DRE 2 Outros'!A99,'DRE 2025'!H:H,'Resumo DRE 2 Outros'!C99,'DRE 2025'!A:A,'Resumo DRE 2 Outros'!D99)</f>
        <v>5535.14</v>
      </c>
      <c r="G99" s="445">
        <f>F99/F106</f>
        <v>1.4613225694119908E-2</v>
      </c>
    </row>
    <row r="100" spans="1:7" x14ac:dyDescent="0.2">
      <c r="A100" s="453">
        <v>45536</v>
      </c>
      <c r="B100" s="446">
        <v>21</v>
      </c>
      <c r="C100" s="438" t="s">
        <v>330</v>
      </c>
      <c r="D100" s="452" t="s">
        <v>73</v>
      </c>
      <c r="E100" s="442" t="s">
        <v>500</v>
      </c>
      <c r="F100" s="442">
        <f>-SUMIFS('DRE 2025'!I:I,'DRE 2025'!B:B,'Resumo DRE 2 Outros'!A100,'DRE 2025'!H:H,'Resumo DRE 2 Outros'!C100,'DRE 2025'!A:A,'Resumo DRE 2 Outros'!D100)</f>
        <v>0</v>
      </c>
      <c r="G100" s="445">
        <f>F100/F106</f>
        <v>0</v>
      </c>
    </row>
    <row r="101" spans="1:7" x14ac:dyDescent="0.2">
      <c r="A101" s="453">
        <v>45536</v>
      </c>
      <c r="B101" s="446">
        <v>22</v>
      </c>
      <c r="C101" s="438" t="s">
        <v>521</v>
      </c>
      <c r="D101" s="452" t="s">
        <v>73</v>
      </c>
      <c r="E101" s="442" t="s">
        <v>501</v>
      </c>
      <c r="F101" s="442">
        <f>-SUMIFS('DRE 2025'!I:I,'DRE 2025'!B:B,'Resumo DRE 2 Outros'!A101,'DRE 2025'!H:H,'Resumo DRE 2 Outros'!C101,'DRE 2025'!A:A,'Resumo DRE 2 Outros'!D101)</f>
        <v>0</v>
      </c>
      <c r="G101" s="445">
        <f>F101/F106</f>
        <v>0</v>
      </c>
    </row>
    <row r="102" spans="1:7" x14ac:dyDescent="0.2">
      <c r="A102" s="453">
        <v>45536</v>
      </c>
      <c r="B102" s="446">
        <v>23</v>
      </c>
      <c r="C102" s="438" t="s">
        <v>331</v>
      </c>
      <c r="D102" s="452" t="s">
        <v>73</v>
      </c>
      <c r="E102" s="442" t="s">
        <v>502</v>
      </c>
      <c r="F102" s="442">
        <f>-SUMIFS('DRE 2025'!I:I,'DRE 2025'!B:B,'Resumo DRE 2 Outros'!A102,'DRE 2025'!H:H,'Resumo DRE 2 Outros'!C102,'DRE 2025'!A:A,'Resumo DRE 2 Outros'!D102)</f>
        <v>14.93</v>
      </c>
      <c r="G102" s="445">
        <f>F102/F106</f>
        <v>3.9416430228180355E-5</v>
      </c>
    </row>
    <row r="103" spans="1:7" x14ac:dyDescent="0.2">
      <c r="A103" s="453">
        <v>45536</v>
      </c>
      <c r="B103" s="446">
        <v>24</v>
      </c>
      <c r="C103" s="438" t="s">
        <v>520</v>
      </c>
      <c r="D103" s="452" t="s">
        <v>73</v>
      </c>
      <c r="E103" s="442" t="s">
        <v>503</v>
      </c>
      <c r="F103" s="442">
        <f>-SUMIFS('DRE 2025'!I:I,'DRE 2025'!B:B,'Resumo DRE 2 Outros'!A103,'DRE 2025'!H:H,'Resumo DRE 2 Outros'!C103,'DRE 2025'!A:A,'Resumo DRE 2 Outros'!D103)</f>
        <v>0</v>
      </c>
      <c r="G103" s="445">
        <f>F103/F106</f>
        <v>0</v>
      </c>
    </row>
    <row r="104" spans="1:7" x14ac:dyDescent="0.2">
      <c r="A104" s="453">
        <v>45536</v>
      </c>
      <c r="B104" s="446">
        <v>25</v>
      </c>
      <c r="C104" s="438" t="s">
        <v>479</v>
      </c>
      <c r="D104" s="452" t="s">
        <v>73</v>
      </c>
      <c r="E104" s="442" t="s">
        <v>504</v>
      </c>
      <c r="F104" s="442">
        <f>-SUMIFS('DRE 2025'!I:I,'DRE 2025'!B:B,'Resumo DRE 2 Outros'!A104,'DRE 2025'!H:H,'Resumo DRE 2 Outros'!C104,'DRE 2025'!A:A,'Resumo DRE 2 Outros'!D104)</f>
        <v>0</v>
      </c>
      <c r="G104" s="445">
        <f>F104/F106</f>
        <v>0</v>
      </c>
    </row>
    <row r="105" spans="1:7" x14ac:dyDescent="0.2">
      <c r="A105" s="453">
        <v>45536</v>
      </c>
      <c r="B105" s="446">
        <v>26</v>
      </c>
      <c r="C105" s="438" t="s">
        <v>480</v>
      </c>
      <c r="D105" s="452" t="s">
        <v>73</v>
      </c>
      <c r="E105" s="442" t="s">
        <v>505</v>
      </c>
      <c r="F105" s="442">
        <f>-SUMIFS('DRE 2025'!I:I,'DRE 2025'!B:B,'Resumo DRE 2 Outros'!A105,'DRE 2025'!H:H,'Resumo DRE 2 Outros'!C105,'DRE 2025'!A:A,'Resumo DRE 2 Outros'!D105)</f>
        <v>-26523.64</v>
      </c>
      <c r="G105" s="445">
        <f>F105/F106</f>
        <v>-7.0024595141150281E-2</v>
      </c>
    </row>
    <row r="106" spans="1:7" x14ac:dyDescent="0.2">
      <c r="A106" s="453">
        <v>45536</v>
      </c>
      <c r="B106" s="446">
        <v>27</v>
      </c>
      <c r="C106" s="438" t="s">
        <v>484</v>
      </c>
      <c r="D106" s="452" t="s">
        <v>73</v>
      </c>
      <c r="E106" s="442" t="s">
        <v>506</v>
      </c>
      <c r="F106" s="442">
        <f>SUM(F86:F105)</f>
        <v>378776.05642039992</v>
      </c>
      <c r="G106" s="445">
        <f>SUM(G86:G105)</f>
        <v>1.0000000000000002</v>
      </c>
    </row>
    <row r="107" spans="1:7" x14ac:dyDescent="0.2">
      <c r="A107" s="453">
        <v>45566</v>
      </c>
      <c r="B107" s="446">
        <v>7</v>
      </c>
      <c r="C107" s="438" t="s">
        <v>340</v>
      </c>
      <c r="D107" s="452" t="s">
        <v>73</v>
      </c>
      <c r="E107" s="442" t="s">
        <v>486</v>
      </c>
      <c r="F107" s="442">
        <f>-SUMIFS('DRE 2025'!I:I,'DRE 2025'!B:B,'Resumo DRE 2 Outros'!A107,'DRE 2025'!H:H,'Resumo DRE 2 Outros'!C107,'DRE 2025'!A:A,'Resumo DRE 2 Outros'!D107)</f>
        <v>101101.62999999999</v>
      </c>
      <c r="G107" s="445">
        <f>F107/F127</f>
        <v>0.18803148617927171</v>
      </c>
    </row>
    <row r="108" spans="1:7" x14ac:dyDescent="0.2">
      <c r="A108" s="453">
        <v>45566</v>
      </c>
      <c r="B108" s="446">
        <v>8</v>
      </c>
      <c r="C108" s="438" t="s">
        <v>563</v>
      </c>
      <c r="D108" s="452" t="s">
        <v>73</v>
      </c>
      <c r="E108" s="442" t="s">
        <v>487</v>
      </c>
      <c r="F108" s="442">
        <f>-SUMIFS('DRE 2025'!I:I,'DRE 2025'!B:B,'Resumo DRE 2 Outros'!A108,'DRE 2025'!H:H,'Resumo DRE 2 Outros'!C108,'DRE 2025'!A:A,'Resumo DRE 2 Outros'!D108)</f>
        <v>0</v>
      </c>
      <c r="G108" s="445">
        <f>F108/F127</f>
        <v>0</v>
      </c>
    </row>
    <row r="109" spans="1:7" x14ac:dyDescent="0.2">
      <c r="A109" s="453">
        <v>45566</v>
      </c>
      <c r="B109" s="446">
        <v>9</v>
      </c>
      <c r="C109" s="438" t="s">
        <v>355</v>
      </c>
      <c r="D109" s="452" t="s">
        <v>73</v>
      </c>
      <c r="E109" s="442" t="s">
        <v>488</v>
      </c>
      <c r="F109" s="442">
        <f>-SUMIFS('DRE 2025'!I:I,'DRE 2025'!B:B,'Resumo DRE 2 Outros'!A109,'DRE 2025'!H:H,'Resumo DRE 2 Outros'!C109,'DRE 2025'!A:A,'Resumo DRE 2 Outros'!D109)</f>
        <v>60817.24</v>
      </c>
      <c r="G109" s="445">
        <f>F109/F127</f>
        <v>0.11310951190916953</v>
      </c>
    </row>
    <row r="110" spans="1:7" x14ac:dyDescent="0.2">
      <c r="A110" s="453">
        <v>45566</v>
      </c>
      <c r="B110" s="446">
        <v>10</v>
      </c>
      <c r="C110" s="449" t="s">
        <v>477</v>
      </c>
      <c r="D110" s="452" t="s">
        <v>73</v>
      </c>
      <c r="E110" s="442" t="s">
        <v>489</v>
      </c>
      <c r="F110" s="442">
        <f>-SUMIFS('DRE 2025'!I:I,'DRE 2025'!B:B,'Resumo DRE 2 Outros'!A110,'DRE 2025'!H:H,'Resumo DRE 2 Outros'!C110,'DRE 2025'!A:A,'Resumo DRE 2 Outros'!D110)</f>
        <v>137704.1</v>
      </c>
      <c r="G110" s="445">
        <f>F110/F127</f>
        <v>0.25610572822593514</v>
      </c>
    </row>
    <row r="111" spans="1:7" x14ac:dyDescent="0.2">
      <c r="A111" s="453">
        <v>45566</v>
      </c>
      <c r="B111" s="446">
        <v>11</v>
      </c>
      <c r="C111" s="438" t="s">
        <v>343</v>
      </c>
      <c r="D111" s="452" t="s">
        <v>73</v>
      </c>
      <c r="E111" s="442" t="s">
        <v>490</v>
      </c>
      <c r="F111" s="442">
        <f>-SUMIFS('DRE 2025'!I:I,'DRE 2025'!B:B,'Resumo DRE 2 Outros'!A111,'DRE 2025'!H:H,'Resumo DRE 2 Outros'!C111,'DRE 2025'!A:A,'Resumo DRE 2 Outros'!D111)</f>
        <v>56740.55</v>
      </c>
      <c r="G111" s="445">
        <f>F111/F127</f>
        <v>0.10552757599584968</v>
      </c>
    </row>
    <row r="112" spans="1:7" x14ac:dyDescent="0.2">
      <c r="A112" s="453">
        <v>45566</v>
      </c>
      <c r="B112" s="446">
        <v>12</v>
      </c>
      <c r="C112" s="438" t="s">
        <v>475</v>
      </c>
      <c r="D112" s="452" t="s">
        <v>73</v>
      </c>
      <c r="E112" s="442" t="s">
        <v>491</v>
      </c>
      <c r="F112" s="442">
        <f>-SUMIFS('DRE 2025'!I:I,'DRE 2025'!B:B,'Resumo DRE 2 Outros'!A112,'DRE 2025'!H:H,'Resumo DRE 2 Outros'!C112,'DRE 2025'!A:A,'Resumo DRE 2 Outros'!D112)</f>
        <v>71752.91</v>
      </c>
      <c r="G112" s="445">
        <f>F112/F127</f>
        <v>0.13344796028498776</v>
      </c>
    </row>
    <row r="113" spans="1:7" x14ac:dyDescent="0.2">
      <c r="A113" s="453">
        <v>45566</v>
      </c>
      <c r="B113" s="446">
        <v>13</v>
      </c>
      <c r="C113" s="438" t="s">
        <v>364</v>
      </c>
      <c r="D113" s="452" t="s">
        <v>73</v>
      </c>
      <c r="E113" s="442" t="s">
        <v>492</v>
      </c>
      <c r="F113" s="442">
        <f>-SUMIFS('DRE 2025'!I:I,'DRE 2025'!B:B,'Resumo DRE 2 Outros'!A113,'DRE 2025'!H:H,'Resumo DRE 2 Outros'!C113,'DRE 2025'!A:A,'Resumo DRE 2 Outros'!D113)</f>
        <v>32092.9664204</v>
      </c>
      <c r="G113" s="445">
        <f>F113/F127</f>
        <v>5.968734798765632E-2</v>
      </c>
    </row>
    <row r="114" spans="1:7" x14ac:dyDescent="0.2">
      <c r="A114" s="453">
        <v>45566</v>
      </c>
      <c r="B114" s="446">
        <v>14</v>
      </c>
      <c r="C114" s="438" t="s">
        <v>473</v>
      </c>
      <c r="D114" s="452" t="s">
        <v>73</v>
      </c>
      <c r="E114" s="442" t="s">
        <v>493</v>
      </c>
      <c r="F114" s="442">
        <f>-SUMIFS('DRE 2025'!I:I,'DRE 2025'!B:B,'Resumo DRE 2 Outros'!A114,'DRE 2025'!H:H,'Resumo DRE 2 Outros'!C114,'DRE 2025'!A:A,'Resumo DRE 2 Outros'!D114)</f>
        <v>28290.78</v>
      </c>
      <c r="G114" s="445">
        <f>F114/F127</f>
        <v>5.261594109383614E-2</v>
      </c>
    </row>
    <row r="115" spans="1:7" x14ac:dyDescent="0.2">
      <c r="A115" s="453">
        <v>45566</v>
      </c>
      <c r="B115" s="446">
        <v>15</v>
      </c>
      <c r="C115" s="438" t="s">
        <v>329</v>
      </c>
      <c r="D115" s="452" t="s">
        <v>73</v>
      </c>
      <c r="E115" s="442" t="s">
        <v>494</v>
      </c>
      <c r="F115" s="442">
        <f>-SUMIFS('DRE 2025'!I:I,'DRE 2025'!B:B,'Resumo DRE 2 Outros'!A115,'DRE 2025'!H:H,'Resumo DRE 2 Outros'!C115,'DRE 2025'!A:A,'Resumo DRE 2 Outros'!D115)</f>
        <v>31346.799999999999</v>
      </c>
      <c r="G115" s="445">
        <f>F115/F127</f>
        <v>5.8299607938708746E-2</v>
      </c>
    </row>
    <row r="116" spans="1:7" x14ac:dyDescent="0.2">
      <c r="A116" s="453">
        <v>45566</v>
      </c>
      <c r="B116" s="446">
        <v>16</v>
      </c>
      <c r="C116" s="438" t="s">
        <v>481</v>
      </c>
      <c r="D116" s="452" t="s">
        <v>73</v>
      </c>
      <c r="E116" s="442" t="s">
        <v>495</v>
      </c>
      <c r="F116" s="442">
        <f>-SUMIFS('DRE 2025'!I:I,'DRE 2025'!B:B,'Resumo DRE 2 Outros'!A116,'DRE 2025'!H:H,'Resumo DRE 2 Outros'!C116,'DRE 2025'!A:A,'Resumo DRE 2 Outros'!D116)</f>
        <v>12062.55</v>
      </c>
      <c r="G116" s="445">
        <f>F116/F127</f>
        <v>2.2434249612115788E-2</v>
      </c>
    </row>
    <row r="117" spans="1:7" x14ac:dyDescent="0.2">
      <c r="A117" s="453">
        <v>45566</v>
      </c>
      <c r="B117" s="446">
        <v>17</v>
      </c>
      <c r="C117" s="438" t="s">
        <v>478</v>
      </c>
      <c r="D117" s="452" t="s">
        <v>73</v>
      </c>
      <c r="E117" s="442" t="s">
        <v>496</v>
      </c>
      <c r="F117" s="442">
        <f>-SUMIFS('DRE 2025'!I:I,'DRE 2025'!B:B,'Resumo DRE 2 Outros'!A117,'DRE 2025'!H:H,'Resumo DRE 2 Outros'!C117,'DRE 2025'!A:A,'Resumo DRE 2 Outros'!D117)</f>
        <v>16751.009999999998</v>
      </c>
      <c r="G117" s="445">
        <f>F117/F127</f>
        <v>3.1153971556184032E-2</v>
      </c>
    </row>
    <row r="118" spans="1:7" x14ac:dyDescent="0.2">
      <c r="A118" s="453">
        <v>45566</v>
      </c>
      <c r="B118" s="446">
        <v>18</v>
      </c>
      <c r="C118" s="438" t="s">
        <v>474</v>
      </c>
      <c r="D118" s="452" t="s">
        <v>73</v>
      </c>
      <c r="E118" s="442" t="s">
        <v>497</v>
      </c>
      <c r="F118" s="442">
        <f>-SUMIFS('DRE 2025'!I:I,'DRE 2025'!B:B,'Resumo DRE 2 Outros'!A118,'DRE 2025'!H:H,'Resumo DRE 2 Outros'!C118,'DRE 2025'!A:A,'Resumo DRE 2 Outros'!D118)</f>
        <v>13795.05</v>
      </c>
      <c r="G118" s="445">
        <f>F118/F127</f>
        <v>2.5656398946459737E-2</v>
      </c>
    </row>
    <row r="119" spans="1:7" x14ac:dyDescent="0.2">
      <c r="A119" s="453">
        <v>45566</v>
      </c>
      <c r="B119" s="446">
        <v>19</v>
      </c>
      <c r="C119" s="438" t="s">
        <v>476</v>
      </c>
      <c r="D119" s="452" t="s">
        <v>73</v>
      </c>
      <c r="E119" s="442" t="s">
        <v>498</v>
      </c>
      <c r="F119" s="442">
        <f>-SUMIFS('DRE 2025'!I:I,'DRE 2025'!B:B,'Resumo DRE 2 Outros'!A119,'DRE 2025'!H:H,'Resumo DRE 2 Outros'!C119,'DRE 2025'!A:A,'Resumo DRE 2 Outros'!D119)</f>
        <v>5213.74</v>
      </c>
      <c r="G119" s="445">
        <f>F119/F127</f>
        <v>9.6966515846709511E-3</v>
      </c>
    </row>
    <row r="120" spans="1:7" x14ac:dyDescent="0.2">
      <c r="A120" s="453">
        <v>45566</v>
      </c>
      <c r="B120" s="446">
        <v>20</v>
      </c>
      <c r="C120" s="438" t="s">
        <v>357</v>
      </c>
      <c r="D120" s="452" t="s">
        <v>73</v>
      </c>
      <c r="E120" s="442" t="s">
        <v>499</v>
      </c>
      <c r="F120" s="442">
        <f>-SUMIFS('DRE 2025'!I:I,'DRE 2025'!B:B,'Resumo DRE 2 Outros'!A120,'DRE 2025'!H:H,'Resumo DRE 2 Outros'!C120,'DRE 2025'!A:A,'Resumo DRE 2 Outros'!D120)</f>
        <v>5597.23</v>
      </c>
      <c r="G120" s="445">
        <f>F120/F127</f>
        <v>1.0409876432132746E-2</v>
      </c>
    </row>
    <row r="121" spans="1:7" x14ac:dyDescent="0.2">
      <c r="A121" s="453">
        <v>45566</v>
      </c>
      <c r="B121" s="446">
        <v>21</v>
      </c>
      <c r="C121" s="438" t="s">
        <v>330</v>
      </c>
      <c r="D121" s="452" t="s">
        <v>73</v>
      </c>
      <c r="E121" s="442" t="s">
        <v>500</v>
      </c>
      <c r="F121" s="442">
        <f>-SUMIFS('DRE 2025'!I:I,'DRE 2025'!B:B,'Resumo DRE 2 Outros'!A121,'DRE 2025'!H:H,'Resumo DRE 2 Outros'!C121,'DRE 2025'!A:A,'Resumo DRE 2 Outros'!D121)</f>
        <v>0</v>
      </c>
      <c r="G121" s="445">
        <f>F121/F127</f>
        <v>0</v>
      </c>
    </row>
    <row r="122" spans="1:7" x14ac:dyDescent="0.2">
      <c r="A122" s="453">
        <v>45566</v>
      </c>
      <c r="B122" s="446">
        <v>22</v>
      </c>
      <c r="C122" s="438" t="s">
        <v>521</v>
      </c>
      <c r="D122" s="452" t="s">
        <v>73</v>
      </c>
      <c r="E122" s="442" t="s">
        <v>501</v>
      </c>
      <c r="F122" s="442">
        <f>-SUMIFS('DRE 2025'!I:I,'DRE 2025'!B:B,'Resumo DRE 2 Outros'!A122,'DRE 2025'!H:H,'Resumo DRE 2 Outros'!C122,'DRE 2025'!A:A,'Resumo DRE 2 Outros'!D122)</f>
        <v>379.93</v>
      </c>
      <c r="G122" s="445">
        <f>F122/F127</f>
        <v>7.0660386527982488E-4</v>
      </c>
    </row>
    <row r="123" spans="1:7" x14ac:dyDescent="0.2">
      <c r="A123" s="453">
        <v>45566</v>
      </c>
      <c r="B123" s="446">
        <v>23</v>
      </c>
      <c r="C123" s="438" t="s">
        <v>331</v>
      </c>
      <c r="D123" s="452" t="s">
        <v>73</v>
      </c>
      <c r="E123" s="442" t="s">
        <v>502</v>
      </c>
      <c r="F123" s="442">
        <f>-SUMIFS('DRE 2025'!I:I,'DRE 2025'!B:B,'Resumo DRE 2 Outros'!A123,'DRE 2025'!H:H,'Resumo DRE 2 Outros'!C123,'DRE 2025'!A:A,'Resumo DRE 2 Outros'!D123)</f>
        <v>7.0000000000000007E-2</v>
      </c>
      <c r="G123" s="445">
        <f>F123/F127</f>
        <v>1.3018785189268484E-7</v>
      </c>
    </row>
    <row r="124" spans="1:7" x14ac:dyDescent="0.2">
      <c r="A124" s="453">
        <v>45566</v>
      </c>
      <c r="B124" s="446">
        <v>24</v>
      </c>
      <c r="C124" s="438" t="s">
        <v>520</v>
      </c>
      <c r="D124" s="452" t="s">
        <v>73</v>
      </c>
      <c r="E124" s="442" t="s">
        <v>503</v>
      </c>
      <c r="F124" s="442">
        <f>-SUMIFS('DRE 2025'!I:I,'DRE 2025'!B:B,'Resumo DRE 2 Outros'!A124,'DRE 2025'!H:H,'Resumo DRE 2 Outros'!C124,'DRE 2025'!A:A,'Resumo DRE 2 Outros'!D124)</f>
        <v>0</v>
      </c>
      <c r="G124" s="445">
        <f>F124/F127</f>
        <v>0</v>
      </c>
    </row>
    <row r="125" spans="1:7" x14ac:dyDescent="0.2">
      <c r="A125" s="453">
        <v>45566</v>
      </c>
      <c r="B125" s="446">
        <v>25</v>
      </c>
      <c r="C125" s="438" t="s">
        <v>479</v>
      </c>
      <c r="D125" s="452" t="s">
        <v>73</v>
      </c>
      <c r="E125" s="442" t="s">
        <v>504</v>
      </c>
      <c r="F125" s="442">
        <f>-SUMIFS('DRE 2025'!I:I,'DRE 2025'!B:B,'Resumo DRE 2 Outros'!A125,'DRE 2025'!H:H,'Resumo DRE 2 Outros'!C125,'DRE 2025'!A:A,'Resumo DRE 2 Outros'!D125)</f>
        <v>0</v>
      </c>
      <c r="G125" s="445">
        <f>F125/F127</f>
        <v>0</v>
      </c>
    </row>
    <row r="126" spans="1:7" x14ac:dyDescent="0.2">
      <c r="A126" s="453">
        <v>45566</v>
      </c>
      <c r="B126" s="446">
        <v>26</v>
      </c>
      <c r="C126" s="438" t="s">
        <v>480</v>
      </c>
      <c r="D126" s="452" t="s">
        <v>73</v>
      </c>
      <c r="E126" s="442" t="s">
        <v>505</v>
      </c>
      <c r="F126" s="442">
        <f>-SUMIFS('DRE 2025'!I:I,'DRE 2025'!B:B,'Resumo DRE 2 Outros'!A126,'DRE 2025'!H:H,'Resumo DRE 2 Outros'!C126,'DRE 2025'!A:A,'Resumo DRE 2 Outros'!D126)</f>
        <v>-35961.980000000003</v>
      </c>
      <c r="G126" s="445">
        <f>F126/F127</f>
        <v>-6.6883041800109913E-2</v>
      </c>
    </row>
    <row r="127" spans="1:7" x14ac:dyDescent="0.2">
      <c r="A127" s="453">
        <v>45566</v>
      </c>
      <c r="B127" s="446">
        <v>27</v>
      </c>
      <c r="C127" s="438" t="s">
        <v>484</v>
      </c>
      <c r="D127" s="452" t="s">
        <v>73</v>
      </c>
      <c r="E127" s="442" t="s">
        <v>506</v>
      </c>
      <c r="F127" s="442">
        <f>SUM(F107:F126)</f>
        <v>537684.57642039994</v>
      </c>
      <c r="G127" s="445">
        <f>SUM(G107:G126)</f>
        <v>1.0000000000000002</v>
      </c>
    </row>
    <row r="128" spans="1:7" x14ac:dyDescent="0.2">
      <c r="A128" s="453">
        <v>45597</v>
      </c>
      <c r="B128" s="446">
        <v>7</v>
      </c>
      <c r="C128" s="438" t="s">
        <v>340</v>
      </c>
      <c r="D128" s="452" t="s">
        <v>73</v>
      </c>
      <c r="E128" s="442" t="s">
        <v>486</v>
      </c>
      <c r="F128" s="442">
        <f>-SUMIFS('DRE 2025'!I:I,'DRE 2025'!B:B,'Resumo DRE 2 Outros'!A128,'DRE 2025'!H:H,'Resumo DRE 2 Outros'!C128,'DRE 2025'!A:A,'Resumo DRE 2 Outros'!D128)</f>
        <v>36733.81</v>
      </c>
      <c r="G128" s="445">
        <f>F128/F148</f>
        <v>4.9798152242657524E-2</v>
      </c>
    </row>
    <row r="129" spans="1:7" x14ac:dyDescent="0.2">
      <c r="A129" s="397">
        <v>45597</v>
      </c>
      <c r="B129" s="446">
        <v>8</v>
      </c>
      <c r="C129" s="438" t="s">
        <v>563</v>
      </c>
      <c r="D129" s="452" t="s">
        <v>73</v>
      </c>
      <c r="E129" s="442" t="s">
        <v>487</v>
      </c>
      <c r="F129" s="442">
        <f>-SUMIFS('DRE 2025'!I:I,'DRE 2025'!B:B,'Resumo DRE 2 Outros'!A129,'DRE 2025'!H:H,'Resumo DRE 2 Outros'!C129,'DRE 2025'!A:A,'Resumo DRE 2 Outros'!D129)</f>
        <v>400000</v>
      </c>
      <c r="G129" s="445">
        <f>F129/F148</f>
        <v>0.54225959401061341</v>
      </c>
    </row>
    <row r="130" spans="1:7" x14ac:dyDescent="0.2">
      <c r="A130" s="453">
        <v>45597</v>
      </c>
      <c r="B130" s="446">
        <v>9</v>
      </c>
      <c r="C130" s="438" t="s">
        <v>355</v>
      </c>
      <c r="D130" s="452" t="s">
        <v>73</v>
      </c>
      <c r="E130" s="442" t="s">
        <v>488</v>
      </c>
      <c r="F130" s="442">
        <f>-SUMIFS('DRE 2025'!I:I,'DRE 2025'!B:B,'Resumo DRE 2 Outros'!A130,'DRE 2025'!H:H,'Resumo DRE 2 Outros'!C130,'DRE 2025'!A:A,'Resumo DRE 2 Outros'!D130)</f>
        <v>81642.240000000005</v>
      </c>
      <c r="G130" s="445">
        <f>F130/F148</f>
        <v>0.11067821979129266</v>
      </c>
    </row>
    <row r="131" spans="1:7" x14ac:dyDescent="0.2">
      <c r="A131" s="453">
        <v>45597</v>
      </c>
      <c r="B131" s="446">
        <v>10</v>
      </c>
      <c r="C131" s="449" t="s">
        <v>477</v>
      </c>
      <c r="D131" s="452" t="s">
        <v>73</v>
      </c>
      <c r="E131" s="442" t="s">
        <v>489</v>
      </c>
      <c r="F131" s="442">
        <f>-SUMIFS('DRE 2025'!I:I,'DRE 2025'!B:B,'Resumo DRE 2 Outros'!A131,'DRE 2025'!H:H,'Resumo DRE 2 Outros'!C131,'DRE 2025'!A:A,'Resumo DRE 2 Outros'!D131)</f>
        <v>43561.63</v>
      </c>
      <c r="G131" s="445">
        <f>F131/F148</f>
        <v>5.9054279495601388E-2</v>
      </c>
    </row>
    <row r="132" spans="1:7" x14ac:dyDescent="0.2">
      <c r="A132" s="453">
        <v>45597</v>
      </c>
      <c r="B132" s="446">
        <v>11</v>
      </c>
      <c r="C132" s="438" t="s">
        <v>343</v>
      </c>
      <c r="D132" s="452" t="s">
        <v>73</v>
      </c>
      <c r="E132" s="442" t="s">
        <v>490</v>
      </c>
      <c r="F132" s="442">
        <f>-SUMIFS('DRE 2025'!I:I,'DRE 2025'!B:B,'Resumo DRE 2 Outros'!A132,'DRE 2025'!H:H,'Resumo DRE 2 Outros'!C132,'DRE 2025'!A:A,'Resumo DRE 2 Outros'!D132)</f>
        <v>61669.21</v>
      </c>
      <c r="G132" s="445">
        <f>F132/F148</f>
        <v>8.3601801943888152E-2</v>
      </c>
    </row>
    <row r="133" spans="1:7" x14ac:dyDescent="0.2">
      <c r="A133" s="453">
        <v>45597</v>
      </c>
      <c r="B133" s="446">
        <v>12</v>
      </c>
      <c r="C133" s="438" t="s">
        <v>475</v>
      </c>
      <c r="D133" s="452" t="s">
        <v>73</v>
      </c>
      <c r="E133" s="442" t="s">
        <v>491</v>
      </c>
      <c r="F133" s="442">
        <f>-SUMIFS('DRE 2025'!I:I,'DRE 2025'!B:B,'Resumo DRE 2 Outros'!A133,'DRE 2025'!H:H,'Resumo DRE 2 Outros'!C133,'DRE 2025'!A:A,'Resumo DRE 2 Outros'!D133)</f>
        <v>35357.480000000003</v>
      </c>
      <c r="G133" s="445">
        <f>F133/F148</f>
        <v>4.7932331875095963E-2</v>
      </c>
    </row>
    <row r="134" spans="1:7" x14ac:dyDescent="0.2">
      <c r="A134" s="453">
        <v>45597</v>
      </c>
      <c r="B134" s="446">
        <v>13</v>
      </c>
      <c r="C134" s="438" t="s">
        <v>364</v>
      </c>
      <c r="D134" s="452" t="s">
        <v>73</v>
      </c>
      <c r="E134" s="442" t="s">
        <v>492</v>
      </c>
      <c r="F134" s="442">
        <f>-SUMIFS('DRE 2025'!I:I,'DRE 2025'!B:B,'Resumo DRE 2 Outros'!A134,'DRE 2025'!H:H,'Resumo DRE 2 Outros'!C134,'DRE 2025'!A:A,'Resumo DRE 2 Outros'!D134)</f>
        <v>32092.9664204</v>
      </c>
      <c r="G134" s="445">
        <f>F134/F148</f>
        <v>4.3506797354305883E-2</v>
      </c>
    </row>
    <row r="135" spans="1:7" x14ac:dyDescent="0.2">
      <c r="A135" s="453">
        <v>45597</v>
      </c>
      <c r="B135" s="446">
        <v>14</v>
      </c>
      <c r="C135" s="438" t="s">
        <v>473</v>
      </c>
      <c r="D135" s="452" t="s">
        <v>73</v>
      </c>
      <c r="E135" s="442" t="s">
        <v>493</v>
      </c>
      <c r="F135" s="442">
        <f>-SUMIFS('DRE 2025'!I:I,'DRE 2025'!B:B,'Resumo DRE 2 Outros'!A135,'DRE 2025'!H:H,'Resumo DRE 2 Outros'!C135,'DRE 2025'!A:A,'Resumo DRE 2 Outros'!D135)</f>
        <v>27886.19</v>
      </c>
      <c r="G135" s="445">
        <f>F135/F148</f>
        <v>3.7803885169757065E-2</v>
      </c>
    </row>
    <row r="136" spans="1:7" x14ac:dyDescent="0.2">
      <c r="A136" s="453">
        <v>45597</v>
      </c>
      <c r="B136" s="446">
        <v>15</v>
      </c>
      <c r="C136" s="438" t="s">
        <v>329</v>
      </c>
      <c r="D136" s="452" t="s">
        <v>73</v>
      </c>
      <c r="E136" s="442" t="s">
        <v>494</v>
      </c>
      <c r="F136" s="442">
        <f>-SUMIFS('DRE 2025'!I:I,'DRE 2025'!B:B,'Resumo DRE 2 Outros'!A136,'DRE 2025'!H:H,'Resumo DRE 2 Outros'!C136,'DRE 2025'!A:A,'Resumo DRE 2 Outros'!D136)</f>
        <v>0</v>
      </c>
      <c r="G136" s="445">
        <f>F136/F148</f>
        <v>0</v>
      </c>
    </row>
    <row r="137" spans="1:7" x14ac:dyDescent="0.2">
      <c r="A137" s="453">
        <v>45597</v>
      </c>
      <c r="B137" s="446">
        <v>16</v>
      </c>
      <c r="C137" s="438" t="s">
        <v>481</v>
      </c>
      <c r="D137" s="452" t="s">
        <v>73</v>
      </c>
      <c r="E137" s="442" t="s">
        <v>495</v>
      </c>
      <c r="F137" s="442">
        <f>-SUMIFS('DRE 2025'!I:I,'DRE 2025'!B:B,'Resumo DRE 2 Outros'!A137,'DRE 2025'!H:H,'Resumo DRE 2 Outros'!C137,'DRE 2025'!A:A,'Resumo DRE 2 Outros'!D137)</f>
        <v>12859.4</v>
      </c>
      <c r="G137" s="445">
        <f>F137/F148</f>
        <v>1.7432832558050206E-2</v>
      </c>
    </row>
    <row r="138" spans="1:7" x14ac:dyDescent="0.2">
      <c r="A138" s="453">
        <v>45597</v>
      </c>
      <c r="B138" s="446">
        <v>17</v>
      </c>
      <c r="C138" s="438" t="s">
        <v>478</v>
      </c>
      <c r="D138" s="452" t="s">
        <v>73</v>
      </c>
      <c r="E138" s="442" t="s">
        <v>496</v>
      </c>
      <c r="F138" s="442">
        <f>-SUMIFS('DRE 2025'!I:I,'DRE 2025'!B:B,'Resumo DRE 2 Outros'!A138,'DRE 2025'!H:H,'Resumo DRE 2 Outros'!C138,'DRE 2025'!A:A,'Resumo DRE 2 Outros'!D138)</f>
        <v>34162.67</v>
      </c>
      <c r="G138" s="445">
        <f>F138/F148</f>
        <v>4.6312588911296401E-2</v>
      </c>
    </row>
    <row r="139" spans="1:7" x14ac:dyDescent="0.2">
      <c r="A139" s="453">
        <v>45597</v>
      </c>
      <c r="B139" s="446">
        <v>18</v>
      </c>
      <c r="C139" s="438" t="s">
        <v>474</v>
      </c>
      <c r="D139" s="452" t="s">
        <v>73</v>
      </c>
      <c r="E139" s="442" t="s">
        <v>497</v>
      </c>
      <c r="F139" s="442">
        <f>-SUMIFS('DRE 2025'!I:I,'DRE 2025'!B:B,'Resumo DRE 2 Outros'!A139,'DRE 2025'!H:H,'Resumo DRE 2 Outros'!C139,'DRE 2025'!A:A,'Resumo DRE 2 Outros'!D139)</f>
        <v>1860.3</v>
      </c>
      <c r="G139" s="445">
        <f>F139/F148</f>
        <v>2.5219138068448602E-3</v>
      </c>
    </row>
    <row r="140" spans="1:7" x14ac:dyDescent="0.2">
      <c r="A140" s="453">
        <v>45597</v>
      </c>
      <c r="B140" s="446">
        <v>19</v>
      </c>
      <c r="C140" s="438" t="s">
        <v>476</v>
      </c>
      <c r="D140" s="452" t="s">
        <v>73</v>
      </c>
      <c r="E140" s="442" t="s">
        <v>498</v>
      </c>
      <c r="F140" s="442">
        <f>-SUMIFS('DRE 2025'!I:I,'DRE 2025'!B:B,'Resumo DRE 2 Outros'!A140,'DRE 2025'!H:H,'Resumo DRE 2 Outros'!C140,'DRE 2025'!A:A,'Resumo DRE 2 Outros'!D140)</f>
        <v>5887.36</v>
      </c>
      <c r="G140" s="445">
        <f>F140/F148</f>
        <v>7.9811936084858114E-3</v>
      </c>
    </row>
    <row r="141" spans="1:7" x14ac:dyDescent="0.2">
      <c r="A141" s="453">
        <v>45597</v>
      </c>
      <c r="B141" s="446">
        <v>20</v>
      </c>
      <c r="C141" s="438" t="s">
        <v>357</v>
      </c>
      <c r="D141" s="452" t="s">
        <v>73</v>
      </c>
      <c r="E141" s="442" t="s">
        <v>499</v>
      </c>
      <c r="F141" s="442">
        <f>-SUMIFS('DRE 2025'!I:I,'DRE 2025'!B:B,'Resumo DRE 2 Outros'!A141,'DRE 2025'!H:H,'Resumo DRE 2 Outros'!C141,'DRE 2025'!A:A,'Resumo DRE 2 Outros'!D141)</f>
        <v>6602.67</v>
      </c>
      <c r="G141" s="445">
        <f>F141/F148</f>
        <v>8.9509028839651426E-3</v>
      </c>
    </row>
    <row r="142" spans="1:7" x14ac:dyDescent="0.2">
      <c r="A142" s="453">
        <v>45597</v>
      </c>
      <c r="B142" s="446">
        <v>21</v>
      </c>
      <c r="C142" s="438" t="s">
        <v>330</v>
      </c>
      <c r="D142" s="452" t="s">
        <v>73</v>
      </c>
      <c r="E142" s="442" t="s">
        <v>500</v>
      </c>
      <c r="F142" s="442">
        <f>-SUMIFS('DRE 2025'!I:I,'DRE 2025'!B:B,'Resumo DRE 2 Outros'!A142,'DRE 2025'!H:H,'Resumo DRE 2 Outros'!C142,'DRE 2025'!A:A,'Resumo DRE 2 Outros'!D142)</f>
        <v>0</v>
      </c>
      <c r="G142" s="445">
        <f>F142/F148</f>
        <v>0</v>
      </c>
    </row>
    <row r="143" spans="1:7" x14ac:dyDescent="0.2">
      <c r="A143" s="453">
        <v>45597</v>
      </c>
      <c r="B143" s="446">
        <v>22</v>
      </c>
      <c r="C143" s="438" t="s">
        <v>521</v>
      </c>
      <c r="D143" s="452" t="s">
        <v>73</v>
      </c>
      <c r="E143" s="442" t="s">
        <v>501</v>
      </c>
      <c r="F143" s="442">
        <f>-SUMIFS('DRE 2025'!I:I,'DRE 2025'!B:B,'Resumo DRE 2 Outros'!A143,'DRE 2025'!H:H,'Resumo DRE 2 Outros'!C143,'DRE 2025'!A:A,'Resumo DRE 2 Outros'!D143)</f>
        <v>4189.25</v>
      </c>
      <c r="G143" s="445">
        <f>F143/F148</f>
        <v>5.6791525105224054E-3</v>
      </c>
    </row>
    <row r="144" spans="1:7" x14ac:dyDescent="0.2">
      <c r="A144" s="453">
        <v>45597</v>
      </c>
      <c r="B144" s="446">
        <v>23</v>
      </c>
      <c r="C144" s="438" t="s">
        <v>331</v>
      </c>
      <c r="D144" s="452" t="s">
        <v>73</v>
      </c>
      <c r="E144" s="442" t="s">
        <v>502</v>
      </c>
      <c r="F144" s="442">
        <f>-SUMIFS('DRE 2025'!I:I,'DRE 2025'!B:B,'Resumo DRE 2 Outros'!A144,'DRE 2025'!H:H,'Resumo DRE 2 Outros'!C144,'DRE 2025'!A:A,'Resumo DRE 2 Outros'!D144)</f>
        <v>894.94</v>
      </c>
      <c r="G144" s="445">
        <f>F144/F148</f>
        <v>1.2132245026596461E-3</v>
      </c>
    </row>
    <row r="145" spans="1:7" x14ac:dyDescent="0.2">
      <c r="A145" s="453">
        <v>45597</v>
      </c>
      <c r="B145" s="446">
        <v>24</v>
      </c>
      <c r="C145" s="438" t="s">
        <v>520</v>
      </c>
      <c r="D145" s="452" t="s">
        <v>73</v>
      </c>
      <c r="E145" s="442" t="s">
        <v>503</v>
      </c>
      <c r="F145" s="442">
        <f>-SUMIFS('DRE 2025'!I:I,'DRE 2025'!B:B,'Resumo DRE 2 Outros'!A145,'DRE 2025'!H:H,'Resumo DRE 2 Outros'!C145,'DRE 2025'!A:A,'Resumo DRE 2 Outros'!D145)</f>
        <v>0</v>
      </c>
      <c r="G145" s="445">
        <f>F145/F148</f>
        <v>0</v>
      </c>
    </row>
    <row r="146" spans="1:7" x14ac:dyDescent="0.2">
      <c r="A146" s="453">
        <v>45597</v>
      </c>
      <c r="B146" s="446">
        <v>25</v>
      </c>
      <c r="C146" s="438" t="s">
        <v>479</v>
      </c>
      <c r="D146" s="452" t="s">
        <v>73</v>
      </c>
      <c r="E146" s="442" t="s">
        <v>504</v>
      </c>
      <c r="F146" s="442">
        <f>-SUMIFS('DRE 2025'!I:I,'DRE 2025'!B:B,'Resumo DRE 2 Outros'!A146,'DRE 2025'!H:H,'Resumo DRE 2 Outros'!C146,'DRE 2025'!A:A,'Resumo DRE 2 Outros'!D146)</f>
        <v>0</v>
      </c>
      <c r="G146" s="445">
        <f>F146/F148</f>
        <v>0</v>
      </c>
    </row>
    <row r="147" spans="1:7" x14ac:dyDescent="0.2">
      <c r="A147" s="453">
        <v>45597</v>
      </c>
      <c r="B147" s="446">
        <v>26</v>
      </c>
      <c r="C147" s="438" t="s">
        <v>480</v>
      </c>
      <c r="D147" s="452" t="s">
        <v>73</v>
      </c>
      <c r="E147" s="442" t="s">
        <v>505</v>
      </c>
      <c r="F147" s="442">
        <f>-SUMIFS('DRE 2025'!I:I,'DRE 2025'!B:B,'Resumo DRE 2 Outros'!A147,'DRE 2025'!H:H,'Resumo DRE 2 Outros'!C147,'DRE 2025'!A:A,'Resumo DRE 2 Outros'!D147)</f>
        <v>-47746.04</v>
      </c>
      <c r="G147" s="445">
        <f>F147/F148</f>
        <v>-6.4726870665036268E-2</v>
      </c>
    </row>
    <row r="148" spans="1:7" x14ac:dyDescent="0.2">
      <c r="A148" s="453">
        <v>45597</v>
      </c>
      <c r="B148" s="446">
        <v>27</v>
      </c>
      <c r="C148" s="438" t="s">
        <v>484</v>
      </c>
      <c r="D148" s="452" t="s">
        <v>73</v>
      </c>
      <c r="E148" s="442" t="s">
        <v>506</v>
      </c>
      <c r="F148" s="442">
        <f>SUM(F128:F147)</f>
        <v>737654.07642039983</v>
      </c>
      <c r="G148" s="445">
        <f>SUM(G128:G147)</f>
        <v>1</v>
      </c>
    </row>
    <row r="149" spans="1:7" x14ac:dyDescent="0.2">
      <c r="A149" s="453">
        <v>45627</v>
      </c>
      <c r="B149" s="446">
        <v>7</v>
      </c>
      <c r="C149" s="438" t="s">
        <v>340</v>
      </c>
      <c r="D149" s="452" t="s">
        <v>73</v>
      </c>
      <c r="E149" s="442" t="s">
        <v>486</v>
      </c>
      <c r="F149" s="442">
        <f>-SUMIFS('DRE 2025'!I:I,'DRE 2025'!B:B,'Resumo DRE 2 Outros'!A149,'DRE 2025'!H:H,'Resumo DRE 2 Outros'!C149,'DRE 2025'!A:A,'Resumo DRE 2 Outros'!D149)</f>
        <v>39949.51</v>
      </c>
      <c r="G149" s="445">
        <f>F149/F169</f>
        <v>4.3558512366562739E-2</v>
      </c>
    </row>
    <row r="150" spans="1:7" x14ac:dyDescent="0.2">
      <c r="A150" s="453">
        <v>45627</v>
      </c>
      <c r="B150" s="446">
        <v>8</v>
      </c>
      <c r="C150" s="438" t="s">
        <v>563</v>
      </c>
      <c r="D150" s="452" t="s">
        <v>73</v>
      </c>
      <c r="E150" s="442" t="s">
        <v>487</v>
      </c>
      <c r="F150" s="442">
        <f>-SUMIFS('DRE 2025'!I:I,'DRE 2025'!B:B,'Resumo DRE 2 Outros'!A150,'DRE 2025'!H:H,'Resumo DRE 2 Outros'!C150,'DRE 2025'!A:A,'Resumo DRE 2 Outros'!D150)</f>
        <v>500000</v>
      </c>
      <c r="G150" s="445">
        <f>F150/F169</f>
        <v>0.54516954484000846</v>
      </c>
    </row>
    <row r="151" spans="1:7" x14ac:dyDescent="0.2">
      <c r="A151" s="453">
        <v>45627</v>
      </c>
      <c r="B151" s="446">
        <v>9</v>
      </c>
      <c r="C151" s="438" t="s">
        <v>355</v>
      </c>
      <c r="D151" s="452" t="s">
        <v>73</v>
      </c>
      <c r="E151" s="442" t="s">
        <v>488</v>
      </c>
      <c r="F151" s="442">
        <f>-SUMIFS('DRE 2025'!I:I,'DRE 2025'!B:B,'Resumo DRE 2 Outros'!A151,'DRE 2025'!H:H,'Resumo DRE 2 Outros'!C151,'DRE 2025'!A:A,'Resumo DRE 2 Outros'!D151)</f>
        <v>82098.929999999993</v>
      </c>
      <c r="G151" s="445">
        <f>F151/F169</f>
        <v>8.9515672599903423E-2</v>
      </c>
    </row>
    <row r="152" spans="1:7" x14ac:dyDescent="0.2">
      <c r="A152" s="453">
        <v>45627</v>
      </c>
      <c r="B152" s="446">
        <v>10</v>
      </c>
      <c r="C152" s="449" t="s">
        <v>477</v>
      </c>
      <c r="D152" s="452" t="s">
        <v>73</v>
      </c>
      <c r="E152" s="442" t="s">
        <v>489</v>
      </c>
      <c r="F152" s="442">
        <f>-SUMIFS('DRE 2025'!I:I,'DRE 2025'!B:B,'Resumo DRE 2 Outros'!A152,'DRE 2025'!H:H,'Resumo DRE 2 Outros'!C152,'DRE 2025'!A:A,'Resumo DRE 2 Outros'!D152)</f>
        <v>42967.49</v>
      </c>
      <c r="G152" s="445">
        <f>F152/F169</f>
        <v>4.6849133932435227E-2</v>
      </c>
    </row>
    <row r="153" spans="1:7" x14ac:dyDescent="0.2">
      <c r="A153" s="453">
        <v>45627</v>
      </c>
      <c r="B153" s="446">
        <v>11</v>
      </c>
      <c r="C153" s="438" t="s">
        <v>343</v>
      </c>
      <c r="D153" s="452" t="s">
        <v>73</v>
      </c>
      <c r="E153" s="442" t="s">
        <v>490</v>
      </c>
      <c r="F153" s="442">
        <f>-SUMIFS('DRE 2025'!I:I,'DRE 2025'!B:B,'Resumo DRE 2 Outros'!A153,'DRE 2025'!H:H,'Resumo DRE 2 Outros'!C153,'DRE 2025'!A:A,'Resumo DRE 2 Outros'!D153)</f>
        <v>74138.52</v>
      </c>
      <c r="G153" s="445">
        <f>F153/F169</f>
        <v>8.0836126407023728E-2</v>
      </c>
    </row>
    <row r="154" spans="1:7" x14ac:dyDescent="0.2">
      <c r="A154" s="453">
        <v>45627</v>
      </c>
      <c r="B154" s="446">
        <v>12</v>
      </c>
      <c r="C154" s="438" t="s">
        <v>475</v>
      </c>
      <c r="D154" s="452" t="s">
        <v>73</v>
      </c>
      <c r="E154" s="442" t="s">
        <v>491</v>
      </c>
      <c r="F154" s="442">
        <f>-SUMIFS('DRE 2025'!I:I,'DRE 2025'!B:B,'Resumo DRE 2 Outros'!A154,'DRE 2025'!H:H,'Resumo DRE 2 Outros'!C154,'DRE 2025'!A:A,'Resumo DRE 2 Outros'!D154)</f>
        <v>82781.58</v>
      </c>
      <c r="G154" s="445">
        <f>F154/F169</f>
        <v>9.0259992579473494E-2</v>
      </c>
    </row>
    <row r="155" spans="1:7" x14ac:dyDescent="0.2">
      <c r="A155" s="453">
        <v>45627</v>
      </c>
      <c r="B155" s="446">
        <v>13</v>
      </c>
      <c r="C155" s="438" t="s">
        <v>364</v>
      </c>
      <c r="D155" s="452" t="s">
        <v>73</v>
      </c>
      <c r="E155" s="442" t="s">
        <v>492</v>
      </c>
      <c r="F155" s="442">
        <f>-SUMIFS('DRE 2025'!I:I,'DRE 2025'!B:B,'Resumo DRE 2 Outros'!A155,'DRE 2025'!H:H,'Resumo DRE 2 Outros'!C155,'DRE 2025'!A:A,'Resumo DRE 2 Outros'!D155)</f>
        <v>32092.9664204</v>
      </c>
      <c r="G155" s="445">
        <f>F155/F169</f>
        <v>3.499221579195029E-2</v>
      </c>
    </row>
    <row r="156" spans="1:7" x14ac:dyDescent="0.2">
      <c r="A156" s="453">
        <v>45627</v>
      </c>
      <c r="B156" s="446">
        <v>14</v>
      </c>
      <c r="C156" s="438" t="s">
        <v>473</v>
      </c>
      <c r="D156" s="452" t="s">
        <v>73</v>
      </c>
      <c r="E156" s="442" t="s">
        <v>493</v>
      </c>
      <c r="F156" s="442">
        <f>-SUMIFS('DRE 2025'!I:I,'DRE 2025'!B:B,'Resumo DRE 2 Outros'!A156,'DRE 2025'!H:H,'Resumo DRE 2 Outros'!C156,'DRE 2025'!A:A,'Resumo DRE 2 Outros'!D156)</f>
        <v>25292.07</v>
      </c>
      <c r="G156" s="445">
        <f>F156/F169</f>
        <v>2.7576932579923268E-2</v>
      </c>
    </row>
    <row r="157" spans="1:7" x14ac:dyDescent="0.2">
      <c r="A157" s="453">
        <v>45627</v>
      </c>
      <c r="B157" s="446">
        <v>15</v>
      </c>
      <c r="C157" s="438" t="s">
        <v>329</v>
      </c>
      <c r="D157" s="452" t="s">
        <v>73</v>
      </c>
      <c r="E157" s="442" t="s">
        <v>494</v>
      </c>
      <c r="F157" s="442">
        <f>-SUMIFS('DRE 2025'!I:I,'DRE 2025'!B:B,'Resumo DRE 2 Outros'!A157,'DRE 2025'!H:H,'Resumo DRE 2 Outros'!C157,'DRE 2025'!A:A,'Resumo DRE 2 Outros'!D157)</f>
        <v>0</v>
      </c>
      <c r="G157" s="445">
        <f>F157/F169</f>
        <v>0</v>
      </c>
    </row>
    <row r="158" spans="1:7" x14ac:dyDescent="0.2">
      <c r="A158" s="453">
        <v>45627</v>
      </c>
      <c r="B158" s="446">
        <v>16</v>
      </c>
      <c r="C158" s="438" t="s">
        <v>481</v>
      </c>
      <c r="D158" s="452" t="s">
        <v>73</v>
      </c>
      <c r="E158" s="442" t="s">
        <v>495</v>
      </c>
      <c r="F158" s="442">
        <f>-SUMIFS('DRE 2025'!I:I,'DRE 2025'!B:B,'Resumo DRE 2 Outros'!A158,'DRE 2025'!H:H,'Resumo DRE 2 Outros'!C158,'DRE 2025'!A:A,'Resumo DRE 2 Outros'!D158)</f>
        <v>51616.7</v>
      </c>
      <c r="G158" s="445">
        <f>F158/F169</f>
        <v>5.6279705690286529E-2</v>
      </c>
    </row>
    <row r="159" spans="1:7" x14ac:dyDescent="0.2">
      <c r="A159" s="453">
        <v>45627</v>
      </c>
      <c r="B159" s="446">
        <v>17</v>
      </c>
      <c r="C159" s="438" t="s">
        <v>478</v>
      </c>
      <c r="D159" s="452" t="s">
        <v>73</v>
      </c>
      <c r="E159" s="442" t="s">
        <v>496</v>
      </c>
      <c r="F159" s="442">
        <f>-SUMIFS('DRE 2025'!I:I,'DRE 2025'!B:B,'Resumo DRE 2 Outros'!A159,'DRE 2025'!H:H,'Resumo DRE 2 Outros'!C159,'DRE 2025'!A:A,'Resumo DRE 2 Outros'!D159)</f>
        <v>19319</v>
      </c>
      <c r="G159" s="445">
        <f>F159/F169</f>
        <v>2.1064260873528248E-2</v>
      </c>
    </row>
    <row r="160" spans="1:7" x14ac:dyDescent="0.2">
      <c r="A160" s="453">
        <v>45627</v>
      </c>
      <c r="B160" s="446">
        <v>18</v>
      </c>
      <c r="C160" s="438" t="s">
        <v>474</v>
      </c>
      <c r="D160" s="452" t="s">
        <v>73</v>
      </c>
      <c r="E160" s="442" t="s">
        <v>497</v>
      </c>
      <c r="F160" s="442">
        <f>-SUMIFS('DRE 2025'!I:I,'DRE 2025'!B:B,'Resumo DRE 2 Outros'!A160,'DRE 2025'!H:H,'Resumo DRE 2 Outros'!C160,'DRE 2025'!A:A,'Resumo DRE 2 Outros'!D160)</f>
        <v>7664.7900000000009</v>
      </c>
      <c r="G160" s="445">
        <f>F160/F169</f>
        <v>8.3572201511884978E-3</v>
      </c>
    </row>
    <row r="161" spans="1:7" x14ac:dyDescent="0.2">
      <c r="A161" s="453">
        <v>45627</v>
      </c>
      <c r="B161" s="446">
        <v>19</v>
      </c>
      <c r="C161" s="438" t="s">
        <v>476</v>
      </c>
      <c r="D161" s="452" t="s">
        <v>73</v>
      </c>
      <c r="E161" s="442" t="s">
        <v>498</v>
      </c>
      <c r="F161" s="442">
        <f>-SUMIFS('DRE 2025'!I:I,'DRE 2025'!B:B,'Resumo DRE 2 Outros'!A161,'DRE 2025'!H:H,'Resumo DRE 2 Outros'!C161,'DRE 2025'!A:A,'Resumo DRE 2 Outros'!D161)</f>
        <v>5727.88</v>
      </c>
      <c r="G161" s="445">
        <f>F161/F169</f>
        <v>6.2453314649963754E-3</v>
      </c>
    </row>
    <row r="162" spans="1:7" x14ac:dyDescent="0.2">
      <c r="A162" s="453">
        <v>45627</v>
      </c>
      <c r="B162" s="446">
        <v>20</v>
      </c>
      <c r="C162" s="438" t="s">
        <v>357</v>
      </c>
      <c r="D162" s="452" t="s">
        <v>73</v>
      </c>
      <c r="E162" s="442" t="s">
        <v>499</v>
      </c>
      <c r="F162" s="442">
        <f>-SUMIFS('DRE 2025'!I:I,'DRE 2025'!B:B,'Resumo DRE 2 Outros'!A162,'DRE 2025'!H:H,'Resumo DRE 2 Outros'!C162,'DRE 2025'!A:A,'Resumo DRE 2 Outros'!D162)</f>
        <v>6910.08</v>
      </c>
      <c r="G162" s="445">
        <f>F162/F169</f>
        <v>7.5343303368160912E-3</v>
      </c>
    </row>
    <row r="163" spans="1:7" x14ac:dyDescent="0.2">
      <c r="A163" s="453">
        <v>45627</v>
      </c>
      <c r="B163" s="446">
        <v>21</v>
      </c>
      <c r="C163" s="438" t="s">
        <v>330</v>
      </c>
      <c r="D163" s="452" t="s">
        <v>73</v>
      </c>
      <c r="E163" s="442" t="s">
        <v>500</v>
      </c>
      <c r="F163" s="442">
        <f>-SUMIFS('DRE 2025'!I:I,'DRE 2025'!B:B,'Resumo DRE 2 Outros'!A163,'DRE 2025'!H:H,'Resumo DRE 2 Outros'!C163,'DRE 2025'!A:A,'Resumo DRE 2 Outros'!D163)</f>
        <v>0</v>
      </c>
      <c r="G163" s="445">
        <f>F163/F169</f>
        <v>0</v>
      </c>
    </row>
    <row r="164" spans="1:7" x14ac:dyDescent="0.2">
      <c r="A164" s="453">
        <v>45627</v>
      </c>
      <c r="B164" s="446">
        <v>22</v>
      </c>
      <c r="C164" s="438" t="s">
        <v>521</v>
      </c>
      <c r="D164" s="452" t="s">
        <v>73</v>
      </c>
      <c r="E164" s="442" t="s">
        <v>501</v>
      </c>
      <c r="F164" s="442">
        <f>-SUMIFS('DRE 2025'!I:I,'DRE 2025'!B:B,'Resumo DRE 2 Outros'!A164,'DRE 2025'!H:H,'Resumo DRE 2 Outros'!C164,'DRE 2025'!A:A,'Resumo DRE 2 Outros'!D164)</f>
        <v>11743.11</v>
      </c>
      <c r="G164" s="445">
        <f>F164/F169</f>
        <v>1.2803971867412304E-2</v>
      </c>
    </row>
    <row r="165" spans="1:7" x14ac:dyDescent="0.2">
      <c r="A165" s="453">
        <v>45627</v>
      </c>
      <c r="B165" s="446">
        <v>23</v>
      </c>
      <c r="C165" s="438" t="s">
        <v>331</v>
      </c>
      <c r="D165" s="452" t="s">
        <v>73</v>
      </c>
      <c r="E165" s="442" t="s">
        <v>502</v>
      </c>
      <c r="F165" s="442">
        <f>-SUMIFS('DRE 2025'!I:I,'DRE 2025'!B:B,'Resumo DRE 2 Outros'!A165,'DRE 2025'!H:H,'Resumo DRE 2 Outros'!C165,'DRE 2025'!A:A,'Resumo DRE 2 Outros'!D165)</f>
        <v>374.46</v>
      </c>
      <c r="G165" s="445">
        <f>F165/F169</f>
        <v>4.0828837552157914E-4</v>
      </c>
    </row>
    <row r="166" spans="1:7" x14ac:dyDescent="0.2">
      <c r="A166" s="453">
        <v>45627</v>
      </c>
      <c r="B166" s="446">
        <v>24</v>
      </c>
      <c r="C166" s="438" t="s">
        <v>520</v>
      </c>
      <c r="D166" s="452" t="s">
        <v>73</v>
      </c>
      <c r="E166" s="442" t="s">
        <v>503</v>
      </c>
      <c r="F166" s="442">
        <f>-SUMIFS('DRE 2025'!I:I,'DRE 2025'!B:B,'Resumo DRE 2 Outros'!A166,'DRE 2025'!H:H,'Resumo DRE 2 Outros'!C166,'DRE 2025'!A:A,'Resumo DRE 2 Outros'!D166)</f>
        <v>0</v>
      </c>
      <c r="G166" s="445">
        <f>F166/F169</f>
        <v>0</v>
      </c>
    </row>
    <row r="167" spans="1:7" x14ac:dyDescent="0.2">
      <c r="A167" s="453">
        <v>45627</v>
      </c>
      <c r="B167" s="446">
        <v>25</v>
      </c>
      <c r="C167" s="438" t="s">
        <v>479</v>
      </c>
      <c r="D167" s="452" t="s">
        <v>73</v>
      </c>
      <c r="E167" s="442" t="s">
        <v>504</v>
      </c>
      <c r="F167" s="442">
        <f>-SUMIFS('DRE 2025'!I:I,'DRE 2025'!B:B,'Resumo DRE 2 Outros'!A167,'DRE 2025'!H:H,'Resumo DRE 2 Outros'!C167,'DRE 2025'!A:A,'Resumo DRE 2 Outros'!D167)</f>
        <v>0</v>
      </c>
      <c r="G167" s="445">
        <f>F167/F169</f>
        <v>0</v>
      </c>
    </row>
    <row r="168" spans="1:7" x14ac:dyDescent="0.2">
      <c r="A168" s="453">
        <v>45627</v>
      </c>
      <c r="B168" s="446">
        <v>26</v>
      </c>
      <c r="C168" s="438" t="s">
        <v>480</v>
      </c>
      <c r="D168" s="452" t="s">
        <v>73</v>
      </c>
      <c r="E168" s="442" t="s">
        <v>505</v>
      </c>
      <c r="F168" s="442">
        <f>-SUMIFS('DRE 2025'!I:I,'DRE 2025'!B:B,'Resumo DRE 2 Outros'!A168,'DRE 2025'!H:H,'Resumo DRE 2 Outros'!C168,'DRE 2025'!A:A,'Resumo DRE 2 Outros'!D168)</f>
        <v>-65531.21</v>
      </c>
      <c r="G168" s="445">
        <f>F168/F169</f>
        <v>-7.145123985703003E-2</v>
      </c>
    </row>
    <row r="169" spans="1:7" x14ac:dyDescent="0.2">
      <c r="A169" s="453">
        <v>45627</v>
      </c>
      <c r="B169" s="446">
        <v>27</v>
      </c>
      <c r="C169" s="438" t="s">
        <v>484</v>
      </c>
      <c r="D169" s="452" t="s">
        <v>73</v>
      </c>
      <c r="E169" s="442" t="s">
        <v>506</v>
      </c>
      <c r="F169" s="442">
        <f>SUM(F149:F168)</f>
        <v>917145.87642039976</v>
      </c>
      <c r="G169" s="445">
        <f>SUM(G149:G168)</f>
        <v>1.0000000000000004</v>
      </c>
    </row>
    <row r="170" spans="1:7" x14ac:dyDescent="0.2">
      <c r="A170" s="453">
        <v>45658</v>
      </c>
      <c r="B170" s="446">
        <v>7</v>
      </c>
      <c r="C170" s="438" t="s">
        <v>340</v>
      </c>
      <c r="D170" s="452" t="s">
        <v>73</v>
      </c>
      <c r="E170" s="442" t="s">
        <v>486</v>
      </c>
      <c r="F170" s="442">
        <f>-SUMIFS('DRE 2025'!I:I,'DRE 2025'!B:B,'Resumo DRE 2 Outros'!A170,'DRE 2025'!H:H,'Resumo DRE 2 Outros'!C170,'DRE 2025'!A:A,'Resumo DRE 2 Outros'!D170)</f>
        <v>18249.39</v>
      </c>
      <c r="G170" s="445">
        <f>F170/F190</f>
        <v>7.0588202142268922E-2</v>
      </c>
    </row>
    <row r="171" spans="1:7" x14ac:dyDescent="0.2">
      <c r="A171" s="453">
        <v>45658</v>
      </c>
      <c r="B171" s="446">
        <v>8</v>
      </c>
      <c r="C171" s="438" t="s">
        <v>563</v>
      </c>
      <c r="D171" s="452" t="s">
        <v>73</v>
      </c>
      <c r="E171" s="442" t="s">
        <v>487</v>
      </c>
      <c r="F171" s="442">
        <f>-SUMIFS('DRE 2025'!I:I,'DRE 2025'!B:B,'Resumo DRE 2 Outros'!A171,'DRE 2025'!H:H,'Resumo DRE 2 Outros'!C171,'DRE 2025'!A:A,'Resumo DRE 2 Outros'!D171)</f>
        <v>0</v>
      </c>
      <c r="G171" s="445">
        <f>F171/F190</f>
        <v>0</v>
      </c>
    </row>
    <row r="172" spans="1:7" x14ac:dyDescent="0.2">
      <c r="A172" s="453">
        <v>45658</v>
      </c>
      <c r="B172" s="446">
        <v>9</v>
      </c>
      <c r="C172" s="438" t="s">
        <v>355</v>
      </c>
      <c r="D172" s="452" t="s">
        <v>73</v>
      </c>
      <c r="E172" s="442" t="s">
        <v>488</v>
      </c>
      <c r="F172" s="442">
        <f>-SUMIFS('DRE 2025'!I:I,'DRE 2025'!B:B,'Resumo DRE 2 Outros'!A172,'DRE 2025'!H:H,'Resumo DRE 2 Outros'!C172,'DRE 2025'!A:A,'Resumo DRE 2 Outros'!D172)</f>
        <v>47101.599999999999</v>
      </c>
      <c r="G172" s="445">
        <f>F172/F190</f>
        <v>0.18218785734889187</v>
      </c>
    </row>
    <row r="173" spans="1:7" x14ac:dyDescent="0.2">
      <c r="A173" s="453">
        <v>45658</v>
      </c>
      <c r="B173" s="446">
        <v>10</v>
      </c>
      <c r="C173" s="449" t="s">
        <v>477</v>
      </c>
      <c r="D173" s="452" t="s">
        <v>73</v>
      </c>
      <c r="E173" s="442" t="s">
        <v>489</v>
      </c>
      <c r="F173" s="442">
        <f>-SUMIFS('DRE 2025'!I:I,'DRE 2025'!B:B,'Resumo DRE 2 Outros'!A173,'DRE 2025'!H:H,'Resumo DRE 2 Outros'!C173,'DRE 2025'!A:A,'Resumo DRE 2 Outros'!D173)</f>
        <v>50914.1</v>
      </c>
      <c r="G173" s="445">
        <f>F173/F190</f>
        <v>0.1969345157669212</v>
      </c>
    </row>
    <row r="174" spans="1:7" x14ac:dyDescent="0.2">
      <c r="A174" s="453">
        <v>45658</v>
      </c>
      <c r="B174" s="446">
        <v>11</v>
      </c>
      <c r="C174" s="438" t="s">
        <v>343</v>
      </c>
      <c r="D174" s="452" t="s">
        <v>73</v>
      </c>
      <c r="E174" s="442" t="s">
        <v>490</v>
      </c>
      <c r="F174" s="442">
        <f>-SUMIFS('DRE 2025'!I:I,'DRE 2025'!B:B,'Resumo DRE 2 Outros'!A174,'DRE 2025'!H:H,'Resumo DRE 2 Outros'!C174,'DRE 2025'!A:A,'Resumo DRE 2 Outros'!D174)</f>
        <v>43544.49</v>
      </c>
      <c r="G174" s="445">
        <f>F174/F190</f>
        <v>0.16842904131601152</v>
      </c>
    </row>
    <row r="175" spans="1:7" x14ac:dyDescent="0.2">
      <c r="A175" s="453">
        <v>45658</v>
      </c>
      <c r="B175" s="446">
        <v>12</v>
      </c>
      <c r="C175" s="438" t="s">
        <v>475</v>
      </c>
      <c r="D175" s="452" t="s">
        <v>73</v>
      </c>
      <c r="E175" s="442" t="s">
        <v>491</v>
      </c>
      <c r="F175" s="442">
        <f>-SUMIFS('DRE 2025'!I:I,'DRE 2025'!B:B,'Resumo DRE 2 Outros'!A175,'DRE 2025'!H:H,'Resumo DRE 2 Outros'!C175,'DRE 2025'!A:A,'Resumo DRE 2 Outros'!D175)</f>
        <v>48394.3</v>
      </c>
      <c r="G175" s="445">
        <f>F175/F190</f>
        <v>0.18718798989629817</v>
      </c>
    </row>
    <row r="176" spans="1:7" x14ac:dyDescent="0.2">
      <c r="A176" s="453">
        <v>45658</v>
      </c>
      <c r="B176" s="446">
        <v>13</v>
      </c>
      <c r="C176" s="438" t="s">
        <v>364</v>
      </c>
      <c r="D176" s="452" t="s">
        <v>73</v>
      </c>
      <c r="E176" s="442" t="s">
        <v>492</v>
      </c>
      <c r="F176" s="442">
        <f>-SUMIFS('DRE 2025'!I:I,'DRE 2025'!B:B,'Resumo DRE 2 Outros'!A176,'DRE 2025'!H:H,'Resumo DRE 2 Outros'!C176,'DRE 2025'!A:A,'Resumo DRE 2 Outros'!D176)</f>
        <v>32092.9664204</v>
      </c>
      <c r="G176" s="445">
        <f>F176/F190</f>
        <v>0.12413482319289816</v>
      </c>
    </row>
    <row r="177" spans="1:7" x14ac:dyDescent="0.2">
      <c r="A177" s="453">
        <v>45658</v>
      </c>
      <c r="B177" s="446">
        <v>14</v>
      </c>
      <c r="C177" s="438" t="s">
        <v>473</v>
      </c>
      <c r="D177" s="452" t="s">
        <v>73</v>
      </c>
      <c r="E177" s="442" t="s">
        <v>493</v>
      </c>
      <c r="F177" s="442">
        <f>-SUMIFS('DRE 2025'!I:I,'DRE 2025'!B:B,'Resumo DRE 2 Outros'!A177,'DRE 2025'!H:H,'Resumo DRE 2 Outros'!C177,'DRE 2025'!A:A,'Resumo DRE 2 Outros'!D177)</f>
        <v>31228.29</v>
      </c>
      <c r="G177" s="445">
        <f>F177/F190</f>
        <v>0.12079027556961604</v>
      </c>
    </row>
    <row r="178" spans="1:7" x14ac:dyDescent="0.2">
      <c r="A178" s="453">
        <v>45658</v>
      </c>
      <c r="B178" s="446">
        <v>15</v>
      </c>
      <c r="C178" s="438" t="s">
        <v>329</v>
      </c>
      <c r="D178" s="452" t="s">
        <v>73</v>
      </c>
      <c r="E178" s="442" t="s">
        <v>494</v>
      </c>
      <c r="F178" s="442">
        <f>-SUMIFS('DRE 2025'!I:I,'DRE 2025'!B:B,'Resumo DRE 2 Outros'!A178,'DRE 2025'!H:H,'Resumo DRE 2 Outros'!C178,'DRE 2025'!A:A,'Resumo DRE 2 Outros'!D178)</f>
        <v>0</v>
      </c>
      <c r="G178" s="445">
        <f>F178/F190</f>
        <v>0</v>
      </c>
    </row>
    <row r="179" spans="1:7" x14ac:dyDescent="0.2">
      <c r="A179" s="453">
        <v>45658</v>
      </c>
      <c r="B179" s="446">
        <v>16</v>
      </c>
      <c r="C179" s="438" t="s">
        <v>481</v>
      </c>
      <c r="D179" s="452" t="s">
        <v>73</v>
      </c>
      <c r="E179" s="442" t="s">
        <v>495</v>
      </c>
      <c r="F179" s="442">
        <f>-SUMIFS('DRE 2025'!I:I,'DRE 2025'!B:B,'Resumo DRE 2 Outros'!A179,'DRE 2025'!H:H,'Resumo DRE 2 Outros'!C179,'DRE 2025'!A:A,'Resumo DRE 2 Outros'!D179)</f>
        <v>13926.67</v>
      </c>
      <c r="G179" s="445">
        <f>F179/F190</f>
        <v>5.3868025020489575E-2</v>
      </c>
    </row>
    <row r="180" spans="1:7" x14ac:dyDescent="0.2">
      <c r="A180" s="453">
        <v>45658</v>
      </c>
      <c r="B180" s="446">
        <v>17</v>
      </c>
      <c r="C180" s="438" t="s">
        <v>478</v>
      </c>
      <c r="D180" s="452" t="s">
        <v>73</v>
      </c>
      <c r="E180" s="442" t="s">
        <v>496</v>
      </c>
      <c r="F180" s="442">
        <f>-SUMIFS('DRE 2025'!I:I,'DRE 2025'!B:B,'Resumo DRE 2 Outros'!A180,'DRE 2025'!H:H,'Resumo DRE 2 Outros'!C180,'DRE 2025'!A:A,'Resumo DRE 2 Outros'!D180)</f>
        <v>27717.360000000001</v>
      </c>
      <c r="G180" s="445">
        <f>F180/F190</f>
        <v>0.1072100826674228</v>
      </c>
    </row>
    <row r="181" spans="1:7" x14ac:dyDescent="0.2">
      <c r="A181" s="453">
        <v>45658</v>
      </c>
      <c r="B181" s="446">
        <v>18</v>
      </c>
      <c r="C181" s="438" t="s">
        <v>474</v>
      </c>
      <c r="D181" s="452" t="s">
        <v>73</v>
      </c>
      <c r="E181" s="442" t="s">
        <v>497</v>
      </c>
      <c r="F181" s="442">
        <f>-SUMIFS('DRE 2025'!I:I,'DRE 2025'!B:B,'Resumo DRE 2 Outros'!A181,'DRE 2025'!H:H,'Resumo DRE 2 Outros'!C181,'DRE 2025'!A:A,'Resumo DRE 2 Outros'!D181)</f>
        <v>1521.59</v>
      </c>
      <c r="G181" s="445">
        <f>F181/F190</f>
        <v>5.8854735691250479E-3</v>
      </c>
    </row>
    <row r="182" spans="1:7" x14ac:dyDescent="0.2">
      <c r="A182" s="453">
        <v>45658</v>
      </c>
      <c r="B182" s="446">
        <v>19</v>
      </c>
      <c r="C182" s="438" t="s">
        <v>476</v>
      </c>
      <c r="D182" s="452" t="s">
        <v>73</v>
      </c>
      <c r="E182" s="442" t="s">
        <v>498</v>
      </c>
      <c r="F182" s="442">
        <f>-SUMIFS('DRE 2025'!I:I,'DRE 2025'!B:B,'Resumo DRE 2 Outros'!A182,'DRE 2025'!H:H,'Resumo DRE 2 Outros'!C182,'DRE 2025'!A:A,'Resumo DRE 2 Outros'!D182)</f>
        <v>8625.2900000000009</v>
      </c>
      <c r="G182" s="445">
        <f>F182/F190</f>
        <v>3.3362414527591921E-2</v>
      </c>
    </row>
    <row r="183" spans="1:7" x14ac:dyDescent="0.2">
      <c r="A183" s="453">
        <v>45658</v>
      </c>
      <c r="B183" s="446">
        <v>20</v>
      </c>
      <c r="C183" s="438" t="s">
        <v>357</v>
      </c>
      <c r="D183" s="452" t="s">
        <v>73</v>
      </c>
      <c r="E183" s="442" t="s">
        <v>499</v>
      </c>
      <c r="F183" s="442">
        <f>-SUMIFS('DRE 2025'!I:I,'DRE 2025'!B:B,'Resumo DRE 2 Outros'!A183,'DRE 2025'!H:H,'Resumo DRE 2 Outros'!C183,'DRE 2025'!A:A,'Resumo DRE 2 Outros'!D183)</f>
        <v>6479.54</v>
      </c>
      <c r="G183" s="445">
        <f>F183/F190</f>
        <v>2.5062705071726626E-2</v>
      </c>
    </row>
    <row r="184" spans="1:7" x14ac:dyDescent="0.2">
      <c r="A184" s="453">
        <v>45658</v>
      </c>
      <c r="B184" s="446">
        <v>21</v>
      </c>
      <c r="C184" s="438" t="s">
        <v>330</v>
      </c>
      <c r="D184" s="452" t="s">
        <v>73</v>
      </c>
      <c r="E184" s="442" t="s">
        <v>500</v>
      </c>
      <c r="F184" s="442">
        <f>-SUMIFS('DRE 2025'!I:I,'DRE 2025'!B:B,'Resumo DRE 2 Outros'!A184,'DRE 2025'!H:H,'Resumo DRE 2 Outros'!C184,'DRE 2025'!A:A,'Resumo DRE 2 Outros'!D184)</f>
        <v>0</v>
      </c>
      <c r="G184" s="445">
        <f>F184/F190</f>
        <v>0</v>
      </c>
    </row>
    <row r="185" spans="1:7" x14ac:dyDescent="0.2">
      <c r="A185" s="453">
        <v>45658</v>
      </c>
      <c r="B185" s="446">
        <v>22</v>
      </c>
      <c r="C185" s="438" t="s">
        <v>521</v>
      </c>
      <c r="D185" s="452" t="s">
        <v>73</v>
      </c>
      <c r="E185" s="442" t="s">
        <v>501</v>
      </c>
      <c r="F185" s="442">
        <f>-SUMIFS('DRE 2025'!I:I,'DRE 2025'!B:B,'Resumo DRE 2 Outros'!A185,'DRE 2025'!H:H,'Resumo DRE 2 Outros'!C185,'DRE 2025'!A:A,'Resumo DRE 2 Outros'!D185)</f>
        <v>10130.86</v>
      </c>
      <c r="G185" s="445">
        <f>F185/F190</f>
        <v>3.9185923121541406E-2</v>
      </c>
    </row>
    <row r="186" spans="1:7" x14ac:dyDescent="0.2">
      <c r="A186" s="453">
        <v>45658</v>
      </c>
      <c r="B186" s="446">
        <v>23</v>
      </c>
      <c r="C186" s="438" t="s">
        <v>331</v>
      </c>
      <c r="D186" s="452" t="s">
        <v>73</v>
      </c>
      <c r="E186" s="442" t="s">
        <v>502</v>
      </c>
      <c r="F186" s="442">
        <f>-SUMIFS('DRE 2025'!I:I,'DRE 2025'!B:B,'Resumo DRE 2 Outros'!A186,'DRE 2025'!H:H,'Resumo DRE 2 Outros'!C186,'DRE 2025'!A:A,'Resumo DRE 2 Outros'!D186)</f>
        <v>666.56</v>
      </c>
      <c r="G186" s="445">
        <f>F186/F190</f>
        <v>2.5782380682286238E-3</v>
      </c>
    </row>
    <row r="187" spans="1:7" x14ac:dyDescent="0.2">
      <c r="A187" s="453">
        <v>45658</v>
      </c>
      <c r="B187" s="446">
        <v>24</v>
      </c>
      <c r="C187" s="438" t="s">
        <v>520</v>
      </c>
      <c r="D187" s="452" t="s">
        <v>73</v>
      </c>
      <c r="E187" s="442" t="s">
        <v>503</v>
      </c>
      <c r="F187" s="442">
        <f>-SUMIFS('DRE 2025'!I:I,'DRE 2025'!B:B,'Resumo DRE 2 Outros'!A187,'DRE 2025'!H:H,'Resumo DRE 2 Outros'!C187,'DRE 2025'!A:A,'Resumo DRE 2 Outros'!D187)</f>
        <v>0</v>
      </c>
      <c r="G187" s="445">
        <f>F187/F190</f>
        <v>0</v>
      </c>
    </row>
    <row r="188" spans="1:7" x14ac:dyDescent="0.2">
      <c r="A188" s="453">
        <v>45658</v>
      </c>
      <c r="B188" s="446">
        <v>25</v>
      </c>
      <c r="C188" s="438" t="s">
        <v>479</v>
      </c>
      <c r="D188" s="452" t="s">
        <v>73</v>
      </c>
      <c r="E188" s="442" t="s">
        <v>504</v>
      </c>
      <c r="F188" s="442">
        <f>-SUMIFS('DRE 2025'!I:I,'DRE 2025'!B:B,'Resumo DRE 2 Outros'!A188,'DRE 2025'!H:H,'Resumo DRE 2 Outros'!C188,'DRE 2025'!A:A,'Resumo DRE 2 Outros'!D188)</f>
        <v>0</v>
      </c>
      <c r="G188" s="445">
        <f>F188/F190</f>
        <v>0</v>
      </c>
    </row>
    <row r="189" spans="1:7" x14ac:dyDescent="0.2">
      <c r="A189" s="453">
        <v>45658</v>
      </c>
      <c r="B189" s="446">
        <v>26</v>
      </c>
      <c r="C189" s="438" t="s">
        <v>480</v>
      </c>
      <c r="D189" s="452" t="s">
        <v>73</v>
      </c>
      <c r="E189" s="442" t="s">
        <v>505</v>
      </c>
      <c r="F189" s="442">
        <f>-SUMIFS('DRE 2025'!I:I,'DRE 2025'!B:B,'Resumo DRE 2 Outros'!A189,'DRE 2025'!H:H,'Resumo DRE 2 Outros'!C189,'DRE 2025'!A:A,'Resumo DRE 2 Outros'!D189)</f>
        <v>-82059.86</v>
      </c>
      <c r="G189" s="445">
        <f>F189/F190</f>
        <v>-0.31740556727903169</v>
      </c>
    </row>
    <row r="190" spans="1:7" x14ac:dyDescent="0.2">
      <c r="A190" s="453">
        <v>45658</v>
      </c>
      <c r="B190" s="446">
        <v>27</v>
      </c>
      <c r="C190" s="438" t="s">
        <v>484</v>
      </c>
      <c r="D190" s="452" t="s">
        <v>73</v>
      </c>
      <c r="E190" s="442" t="s">
        <v>506</v>
      </c>
      <c r="F190" s="442">
        <f>SUM(F170:F189)</f>
        <v>258533.14642039995</v>
      </c>
      <c r="G190" s="445">
        <f>SUM(G170:G189)</f>
        <v>1</v>
      </c>
    </row>
    <row r="191" spans="1:7" x14ac:dyDescent="0.2">
      <c r="A191" s="453">
        <v>45689</v>
      </c>
      <c r="B191" s="446">
        <v>7</v>
      </c>
      <c r="C191" s="438" t="s">
        <v>340</v>
      </c>
      <c r="D191" s="452" t="s">
        <v>73</v>
      </c>
      <c r="E191" s="442" t="s">
        <v>486</v>
      </c>
      <c r="F191" s="442">
        <f>-SUMIFS('DRE 2025'!I:I,'DRE 2025'!B:B,'Resumo DRE 2 Outros'!A191,'DRE 2025'!H:H,'Resumo DRE 2 Outros'!C191,'DRE 2025'!A:A,'Resumo DRE 2 Outros'!D191)</f>
        <v>43101.16</v>
      </c>
      <c r="G191" s="445">
        <f>F191/F211</f>
        <v>8.6904389902608722E-2</v>
      </c>
    </row>
    <row r="192" spans="1:7" x14ac:dyDescent="0.2">
      <c r="A192" s="453">
        <v>45689</v>
      </c>
      <c r="B192" s="446">
        <v>8</v>
      </c>
      <c r="C192" s="438" t="s">
        <v>563</v>
      </c>
      <c r="D192" s="452" t="s">
        <v>73</v>
      </c>
      <c r="E192" s="442" t="s">
        <v>487</v>
      </c>
      <c r="F192" s="442">
        <f>-SUMIFS('DRE 2025'!I:I,'DRE 2025'!B:B,'Resumo DRE 2 Outros'!A192,'DRE 2025'!H:H,'Resumo DRE 2 Outros'!C192,'DRE 2025'!A:A,'Resumo DRE 2 Outros'!D192)</f>
        <v>0</v>
      </c>
      <c r="G192" s="445">
        <f>F192/F211</f>
        <v>0</v>
      </c>
    </row>
    <row r="193" spans="1:7" x14ac:dyDescent="0.2">
      <c r="A193" s="453">
        <v>45689</v>
      </c>
      <c r="B193" s="446">
        <v>9</v>
      </c>
      <c r="C193" s="438" t="s">
        <v>355</v>
      </c>
      <c r="D193" s="452" t="s">
        <v>73</v>
      </c>
      <c r="E193" s="442" t="s">
        <v>488</v>
      </c>
      <c r="F193" s="442">
        <f>-SUMIFS('DRE 2025'!I:I,'DRE 2025'!B:B,'Resumo DRE 2 Outros'!A193,'DRE 2025'!H:H,'Resumo DRE 2 Outros'!C193,'DRE 2025'!A:A,'Resumo DRE 2 Outros'!D193)</f>
        <v>78225.320000000007</v>
      </c>
      <c r="G193" s="445">
        <f>F193/F211</f>
        <v>0.15772484335772716</v>
      </c>
    </row>
    <row r="194" spans="1:7" x14ac:dyDescent="0.2">
      <c r="A194" s="453">
        <v>45689</v>
      </c>
      <c r="B194" s="446">
        <v>10</v>
      </c>
      <c r="C194" s="449" t="s">
        <v>477</v>
      </c>
      <c r="D194" s="452" t="s">
        <v>73</v>
      </c>
      <c r="E194" s="442" t="s">
        <v>489</v>
      </c>
      <c r="F194" s="442">
        <f>-SUMIFS('DRE 2025'!I:I,'DRE 2025'!B:B,'Resumo DRE 2 Outros'!A194,'DRE 2025'!H:H,'Resumo DRE 2 Outros'!C194,'DRE 2025'!A:A,'Resumo DRE 2 Outros'!D194)</f>
        <v>65071.91</v>
      </c>
      <c r="G194" s="445">
        <f>F194/F211</f>
        <v>0.13120376895534744</v>
      </c>
    </row>
    <row r="195" spans="1:7" x14ac:dyDescent="0.2">
      <c r="A195" s="453">
        <v>45689</v>
      </c>
      <c r="B195" s="446">
        <v>11</v>
      </c>
      <c r="C195" s="438" t="s">
        <v>343</v>
      </c>
      <c r="D195" s="452" t="s">
        <v>73</v>
      </c>
      <c r="E195" s="442" t="s">
        <v>490</v>
      </c>
      <c r="F195" s="442">
        <f>-SUMIFS('DRE 2025'!I:I,'DRE 2025'!B:B,'Resumo DRE 2 Outros'!A195,'DRE 2025'!H:H,'Resumo DRE 2 Outros'!C195,'DRE 2025'!A:A,'Resumo DRE 2 Outros'!D195)</f>
        <v>55514.86</v>
      </c>
      <c r="G195" s="445">
        <f>F195/F211</f>
        <v>0.11193399525276666</v>
      </c>
    </row>
    <row r="196" spans="1:7" x14ac:dyDescent="0.2">
      <c r="A196" s="453">
        <v>45689</v>
      </c>
      <c r="B196" s="446">
        <v>12</v>
      </c>
      <c r="C196" s="438" t="s">
        <v>475</v>
      </c>
      <c r="D196" s="452" t="s">
        <v>73</v>
      </c>
      <c r="E196" s="442" t="s">
        <v>491</v>
      </c>
      <c r="F196" s="442">
        <f>-SUMIFS('DRE 2025'!I:I,'DRE 2025'!B:B,'Resumo DRE 2 Outros'!A196,'DRE 2025'!H:H,'Resumo DRE 2 Outros'!C196,'DRE 2025'!A:A,'Resumo DRE 2 Outros'!D196)</f>
        <v>133784.15</v>
      </c>
      <c r="G196" s="445">
        <f>F196/F211</f>
        <v>0.26974749483283256</v>
      </c>
    </row>
    <row r="197" spans="1:7" x14ac:dyDescent="0.2">
      <c r="A197" s="453">
        <v>45689</v>
      </c>
      <c r="B197" s="446">
        <v>13</v>
      </c>
      <c r="C197" s="438" t="s">
        <v>364</v>
      </c>
      <c r="D197" s="452" t="s">
        <v>73</v>
      </c>
      <c r="E197" s="442" t="s">
        <v>492</v>
      </c>
      <c r="F197" s="442">
        <f>-SUMIFS('DRE 2025'!I:I,'DRE 2025'!B:B,'Resumo DRE 2 Outros'!A197,'DRE 2025'!H:H,'Resumo DRE 2 Outros'!C197,'DRE 2025'!A:A,'Resumo DRE 2 Outros'!D197)</f>
        <v>32092.9664204</v>
      </c>
      <c r="G197" s="445">
        <f>F197/F211</f>
        <v>6.4708691527786494E-2</v>
      </c>
    </row>
    <row r="198" spans="1:7" x14ac:dyDescent="0.2">
      <c r="A198" s="453">
        <v>45689</v>
      </c>
      <c r="B198" s="446">
        <v>14</v>
      </c>
      <c r="C198" s="438" t="s">
        <v>473</v>
      </c>
      <c r="D198" s="452" t="s">
        <v>73</v>
      </c>
      <c r="E198" s="442" t="s">
        <v>493</v>
      </c>
      <c r="F198" s="442">
        <f>-SUMIFS('DRE 2025'!I:I,'DRE 2025'!B:B,'Resumo DRE 2 Outros'!A198,'DRE 2025'!H:H,'Resumo DRE 2 Outros'!C198,'DRE 2025'!A:A,'Resumo DRE 2 Outros'!D198)</f>
        <v>30476.55</v>
      </c>
      <c r="G198" s="445">
        <f>F198/F211</f>
        <v>6.1449529063402224E-2</v>
      </c>
    </row>
    <row r="199" spans="1:7" x14ac:dyDescent="0.2">
      <c r="A199" s="453">
        <v>45689</v>
      </c>
      <c r="B199" s="446">
        <v>15</v>
      </c>
      <c r="C199" s="438" t="s">
        <v>329</v>
      </c>
      <c r="D199" s="452" t="s">
        <v>73</v>
      </c>
      <c r="E199" s="442" t="s">
        <v>494</v>
      </c>
      <c r="F199" s="442">
        <f>-SUMIFS('DRE 2025'!I:I,'DRE 2025'!B:B,'Resumo DRE 2 Outros'!A199,'DRE 2025'!H:H,'Resumo DRE 2 Outros'!C199,'DRE 2025'!A:A,'Resumo DRE 2 Outros'!D199)</f>
        <v>0</v>
      </c>
      <c r="G199" s="445">
        <f>F199/F211</f>
        <v>0</v>
      </c>
    </row>
    <row r="200" spans="1:7" x14ac:dyDescent="0.2">
      <c r="A200" s="453">
        <v>45689</v>
      </c>
      <c r="B200" s="446">
        <v>16</v>
      </c>
      <c r="C200" s="438" t="s">
        <v>481</v>
      </c>
      <c r="D200" s="452" t="s">
        <v>73</v>
      </c>
      <c r="E200" s="442" t="s">
        <v>495</v>
      </c>
      <c r="F200" s="442">
        <f>-SUMIFS('DRE 2025'!I:I,'DRE 2025'!B:B,'Resumo DRE 2 Outros'!A200,'DRE 2025'!H:H,'Resumo DRE 2 Outros'!C200,'DRE 2025'!A:A,'Resumo DRE 2 Outros'!D200)</f>
        <v>27090.600000000002</v>
      </c>
      <c r="G200" s="445">
        <f>F200/F211</f>
        <v>5.4622475708208593E-2</v>
      </c>
    </row>
    <row r="201" spans="1:7" x14ac:dyDescent="0.2">
      <c r="A201" s="453">
        <v>45689</v>
      </c>
      <c r="B201" s="446">
        <v>17</v>
      </c>
      <c r="C201" s="438" t="s">
        <v>478</v>
      </c>
      <c r="D201" s="452" t="s">
        <v>73</v>
      </c>
      <c r="E201" s="442" t="s">
        <v>496</v>
      </c>
      <c r="F201" s="442">
        <f>-SUMIFS('DRE 2025'!I:I,'DRE 2025'!B:B,'Resumo DRE 2 Outros'!A201,'DRE 2025'!H:H,'Resumo DRE 2 Outros'!C201,'DRE 2025'!A:A,'Resumo DRE 2 Outros'!D201)</f>
        <v>19043.96</v>
      </c>
      <c r="G201" s="445">
        <f>F201/F211</f>
        <v>3.8398124902663505E-2</v>
      </c>
    </row>
    <row r="202" spans="1:7" x14ac:dyDescent="0.2">
      <c r="A202" s="453">
        <v>45689</v>
      </c>
      <c r="B202" s="446">
        <v>18</v>
      </c>
      <c r="C202" s="438" t="s">
        <v>474</v>
      </c>
      <c r="D202" s="452" t="s">
        <v>73</v>
      </c>
      <c r="E202" s="442" t="s">
        <v>497</v>
      </c>
      <c r="F202" s="442">
        <f>-SUMIFS('DRE 2025'!I:I,'DRE 2025'!B:B,'Resumo DRE 2 Outros'!A202,'DRE 2025'!H:H,'Resumo DRE 2 Outros'!C202,'DRE 2025'!A:A,'Resumo DRE 2 Outros'!D202)</f>
        <v>9308.48</v>
      </c>
      <c r="G202" s="445">
        <f>F202/F211</f>
        <v>1.8768584774067221E-2</v>
      </c>
    </row>
    <row r="203" spans="1:7" x14ac:dyDescent="0.2">
      <c r="A203" s="453">
        <v>45689</v>
      </c>
      <c r="B203" s="446">
        <v>19</v>
      </c>
      <c r="C203" s="438" t="s">
        <v>476</v>
      </c>
      <c r="D203" s="452" t="s">
        <v>73</v>
      </c>
      <c r="E203" s="442" t="s">
        <v>498</v>
      </c>
      <c r="F203" s="442">
        <f>-SUMIFS('DRE 2025'!I:I,'DRE 2025'!B:B,'Resumo DRE 2 Outros'!A203,'DRE 2025'!H:H,'Resumo DRE 2 Outros'!C203,'DRE 2025'!A:A,'Resumo DRE 2 Outros'!D203)</f>
        <v>8967.49</v>
      </c>
      <c r="G203" s="445">
        <f>F203/F211</f>
        <v>1.8081050426664726E-2</v>
      </c>
    </row>
    <row r="204" spans="1:7" x14ac:dyDescent="0.2">
      <c r="A204" s="453">
        <v>45689</v>
      </c>
      <c r="B204" s="446">
        <v>20</v>
      </c>
      <c r="C204" s="438" t="s">
        <v>357</v>
      </c>
      <c r="D204" s="452" t="s">
        <v>73</v>
      </c>
      <c r="E204" s="442" t="s">
        <v>499</v>
      </c>
      <c r="F204" s="442">
        <f>-SUMIFS('DRE 2025'!I:I,'DRE 2025'!B:B,'Resumo DRE 2 Outros'!A204,'DRE 2025'!H:H,'Resumo DRE 2 Outros'!C204,'DRE 2025'!A:A,'Resumo DRE 2 Outros'!D204)</f>
        <v>3622.44</v>
      </c>
      <c r="G204" s="445">
        <f>F204/F211</f>
        <v>7.3038855139584621E-3</v>
      </c>
    </row>
    <row r="205" spans="1:7" x14ac:dyDescent="0.2">
      <c r="A205" s="453">
        <v>45689</v>
      </c>
      <c r="B205" s="446">
        <v>21</v>
      </c>
      <c r="C205" s="438" t="s">
        <v>330</v>
      </c>
      <c r="D205" s="452" t="s">
        <v>73</v>
      </c>
      <c r="E205" s="442" t="s">
        <v>500</v>
      </c>
      <c r="F205" s="442">
        <f>-SUMIFS('DRE 2025'!I:I,'DRE 2025'!B:B,'Resumo DRE 2 Outros'!A205,'DRE 2025'!H:H,'Resumo DRE 2 Outros'!C205,'DRE 2025'!A:A,'Resumo DRE 2 Outros'!D205)</f>
        <v>4442.21</v>
      </c>
      <c r="G205" s="445">
        <f>F205/F211</f>
        <v>8.9567786544322119E-3</v>
      </c>
    </row>
    <row r="206" spans="1:7" x14ac:dyDescent="0.2">
      <c r="A206" s="453">
        <v>45689</v>
      </c>
      <c r="B206" s="446">
        <v>22</v>
      </c>
      <c r="C206" s="438" t="s">
        <v>521</v>
      </c>
      <c r="D206" s="452" t="s">
        <v>73</v>
      </c>
      <c r="E206" s="442" t="s">
        <v>501</v>
      </c>
      <c r="F206" s="442">
        <f>-SUMIFS('DRE 2025'!I:I,'DRE 2025'!B:B,'Resumo DRE 2 Outros'!A206,'DRE 2025'!H:H,'Resumo DRE 2 Outros'!C206,'DRE 2025'!A:A,'Resumo DRE 2 Outros'!D206)</f>
        <v>3222.51</v>
      </c>
      <c r="G206" s="445">
        <f>F206/F211</f>
        <v>6.4975110995865457E-3</v>
      </c>
    </row>
    <row r="207" spans="1:7" x14ac:dyDescent="0.2">
      <c r="A207" s="453">
        <v>45689</v>
      </c>
      <c r="B207" s="446">
        <v>23</v>
      </c>
      <c r="C207" s="438" t="s">
        <v>331</v>
      </c>
      <c r="D207" s="452" t="s">
        <v>73</v>
      </c>
      <c r="E207" s="442" t="s">
        <v>502</v>
      </c>
      <c r="F207" s="442">
        <f>-SUMIFS('DRE 2025'!I:I,'DRE 2025'!B:B,'Resumo DRE 2 Outros'!A207,'DRE 2025'!H:H,'Resumo DRE 2 Outros'!C207,'DRE 2025'!A:A,'Resumo DRE 2 Outros'!D207)</f>
        <v>11.39</v>
      </c>
      <c r="G207" s="445">
        <f>F207/F211</f>
        <v>2.296553041706333E-5</v>
      </c>
    </row>
    <row r="208" spans="1:7" x14ac:dyDescent="0.2">
      <c r="A208" s="453">
        <v>45689</v>
      </c>
      <c r="B208" s="446">
        <v>24</v>
      </c>
      <c r="C208" s="438" t="s">
        <v>520</v>
      </c>
      <c r="D208" s="452" t="s">
        <v>73</v>
      </c>
      <c r="E208" s="442" t="s">
        <v>503</v>
      </c>
      <c r="F208" s="442">
        <f>-SUMIFS('DRE 2025'!I:I,'DRE 2025'!B:B,'Resumo DRE 2 Outros'!A208,'DRE 2025'!H:H,'Resumo DRE 2 Outros'!C208,'DRE 2025'!A:A,'Resumo DRE 2 Outros'!D208)</f>
        <v>0</v>
      </c>
      <c r="G208" s="445">
        <f>F208/F211</f>
        <v>0</v>
      </c>
    </row>
    <row r="209" spans="1:7" x14ac:dyDescent="0.2">
      <c r="A209" s="453">
        <v>45689</v>
      </c>
      <c r="B209" s="446">
        <v>25</v>
      </c>
      <c r="C209" s="438" t="s">
        <v>479</v>
      </c>
      <c r="D209" s="452" t="s">
        <v>73</v>
      </c>
      <c r="E209" s="442" t="s">
        <v>504</v>
      </c>
      <c r="F209" s="442">
        <f>-SUMIFS('DRE 2025'!I:I,'DRE 2025'!B:B,'Resumo DRE 2 Outros'!A209,'DRE 2025'!H:H,'Resumo DRE 2 Outros'!C209,'DRE 2025'!A:A,'Resumo DRE 2 Outros'!D209)</f>
        <v>0</v>
      </c>
      <c r="G209" s="445">
        <f>F209/F211</f>
        <v>0</v>
      </c>
    </row>
    <row r="210" spans="1:7" x14ac:dyDescent="0.2">
      <c r="A210" s="453">
        <v>45689</v>
      </c>
      <c r="B210" s="446">
        <v>26</v>
      </c>
      <c r="C210" s="438" t="s">
        <v>480</v>
      </c>
      <c r="D210" s="452" t="s">
        <v>73</v>
      </c>
      <c r="E210" s="442" t="s">
        <v>505</v>
      </c>
      <c r="F210" s="442">
        <f>-SUMIFS('DRE 2025'!I:I,'DRE 2025'!B:B,'Resumo DRE 2 Outros'!A210,'DRE 2025'!H:H,'Resumo DRE 2 Outros'!C210,'DRE 2025'!A:A,'Resumo DRE 2 Outros'!D210)</f>
        <v>-18015.32</v>
      </c>
      <c r="G210" s="445">
        <f>F210/F211</f>
        <v>-3.6324089502469653E-2</v>
      </c>
    </row>
    <row r="211" spans="1:7" x14ac:dyDescent="0.2">
      <c r="A211" s="453">
        <v>45689</v>
      </c>
      <c r="B211" s="446">
        <v>27</v>
      </c>
      <c r="C211" s="438" t="s">
        <v>484</v>
      </c>
      <c r="D211" s="452" t="s">
        <v>73</v>
      </c>
      <c r="E211" s="442" t="s">
        <v>506</v>
      </c>
      <c r="F211" s="442">
        <f>SUM(F191:F210)</f>
        <v>495960.67642040004</v>
      </c>
      <c r="G211" s="445">
        <f>SUM(G191:G210)</f>
        <v>0.99999999999999978</v>
      </c>
    </row>
    <row r="212" spans="1:7" x14ac:dyDescent="0.2">
      <c r="A212" s="453">
        <v>45717</v>
      </c>
      <c r="B212" s="446">
        <v>7</v>
      </c>
      <c r="C212" s="438" t="s">
        <v>340</v>
      </c>
      <c r="D212" s="452" t="s">
        <v>73</v>
      </c>
      <c r="E212" s="442" t="s">
        <v>486</v>
      </c>
      <c r="F212" s="442">
        <f>-SUMIFS('DRE 2025'!I:I,'DRE 2025'!B:B,'Resumo DRE 2 Outros'!A212,'DRE 2025'!H:H,'Resumo DRE 2 Outros'!C212,'DRE 2025'!A:A,'Resumo DRE 2 Outros'!D212)</f>
        <v>24888.149000000001</v>
      </c>
      <c r="G212" s="445">
        <f>F212/F232</f>
        <v>5.3894396258976046E-2</v>
      </c>
    </row>
    <row r="213" spans="1:7" x14ac:dyDescent="0.2">
      <c r="A213" s="453">
        <v>45717</v>
      </c>
      <c r="B213" s="446">
        <v>8</v>
      </c>
      <c r="C213" s="438" t="s">
        <v>563</v>
      </c>
      <c r="D213" s="452" t="s">
        <v>73</v>
      </c>
      <c r="E213" s="442" t="s">
        <v>487</v>
      </c>
      <c r="F213" s="442">
        <f>-SUMIFS('DRE 2025'!I:I,'DRE 2025'!B:B,'Resumo DRE 2 Outros'!A213,'DRE 2025'!H:H,'Resumo DRE 2 Outros'!C213,'DRE 2025'!A:A,'Resumo DRE 2 Outros'!D213)</f>
        <v>0</v>
      </c>
      <c r="G213" s="445">
        <f>F213/F232</f>
        <v>0</v>
      </c>
    </row>
    <row r="214" spans="1:7" x14ac:dyDescent="0.2">
      <c r="A214" s="453">
        <v>45717</v>
      </c>
      <c r="B214" s="446">
        <v>9</v>
      </c>
      <c r="C214" s="438" t="s">
        <v>355</v>
      </c>
      <c r="D214" s="452" t="s">
        <v>73</v>
      </c>
      <c r="E214" s="442" t="s">
        <v>488</v>
      </c>
      <c r="F214" s="442">
        <f>-SUMIFS('DRE 2025'!I:I,'DRE 2025'!B:B,'Resumo DRE 2 Outros'!A214,'DRE 2025'!H:H,'Resumo DRE 2 Outros'!C214,'DRE 2025'!A:A,'Resumo DRE 2 Outros'!D214)</f>
        <v>60110.36</v>
      </c>
      <c r="G214" s="445">
        <f>F214/F232</f>
        <v>0.13016683406667581</v>
      </c>
    </row>
    <row r="215" spans="1:7" x14ac:dyDescent="0.2">
      <c r="A215" s="453">
        <v>45717</v>
      </c>
      <c r="B215" s="446">
        <v>10</v>
      </c>
      <c r="C215" s="449" t="s">
        <v>477</v>
      </c>
      <c r="D215" s="452" t="s">
        <v>73</v>
      </c>
      <c r="E215" s="442" t="s">
        <v>489</v>
      </c>
      <c r="F215" s="442">
        <f>-SUMIFS('DRE 2025'!I:I,'DRE 2025'!B:B,'Resumo DRE 2 Outros'!A215,'DRE 2025'!H:H,'Resumo DRE 2 Outros'!C215,'DRE 2025'!A:A,'Resumo DRE 2 Outros'!D215)</f>
        <v>62148.17</v>
      </c>
      <c r="G215" s="445">
        <f>F215/F232</f>
        <v>0.13457963871681286</v>
      </c>
    </row>
    <row r="216" spans="1:7" x14ac:dyDescent="0.2">
      <c r="A216" s="453">
        <v>45717</v>
      </c>
      <c r="B216" s="446">
        <v>11</v>
      </c>
      <c r="C216" s="438" t="s">
        <v>343</v>
      </c>
      <c r="D216" s="452" t="s">
        <v>73</v>
      </c>
      <c r="E216" s="442" t="s">
        <v>490</v>
      </c>
      <c r="F216" s="442">
        <f>-SUMIFS('DRE 2025'!I:I,'DRE 2025'!B:B,'Resumo DRE 2 Outros'!A216,'DRE 2025'!H:H,'Resumo DRE 2 Outros'!C216,'DRE 2025'!A:A,'Resumo DRE 2 Outros'!D216)</f>
        <v>51427.57</v>
      </c>
      <c r="G216" s="445">
        <f>F216/F232</f>
        <v>0.11136456295790532</v>
      </c>
    </row>
    <row r="217" spans="1:7" x14ac:dyDescent="0.2">
      <c r="A217" s="453">
        <v>45717</v>
      </c>
      <c r="B217" s="446">
        <v>12</v>
      </c>
      <c r="C217" s="438" t="s">
        <v>475</v>
      </c>
      <c r="D217" s="452" t="s">
        <v>73</v>
      </c>
      <c r="E217" s="442" t="s">
        <v>491</v>
      </c>
      <c r="F217" s="442">
        <f>-SUMIFS('DRE 2025'!I:I,'DRE 2025'!B:B,'Resumo DRE 2 Outros'!A217,'DRE 2025'!H:H,'Resumo DRE 2 Outros'!C217,'DRE 2025'!A:A,'Resumo DRE 2 Outros'!D217)</f>
        <v>106129.56999999998</v>
      </c>
      <c r="G217" s="445">
        <f>F217/F232</f>
        <v>0.22981978693452595</v>
      </c>
    </row>
    <row r="218" spans="1:7" x14ac:dyDescent="0.2">
      <c r="A218" s="453">
        <v>45717</v>
      </c>
      <c r="B218" s="446">
        <v>13</v>
      </c>
      <c r="C218" s="438" t="s">
        <v>364</v>
      </c>
      <c r="D218" s="452" t="s">
        <v>73</v>
      </c>
      <c r="E218" s="442" t="s">
        <v>492</v>
      </c>
      <c r="F218" s="442">
        <f>-SUMIFS('DRE 2025'!I:I,'DRE 2025'!B:B,'Resumo DRE 2 Outros'!A218,'DRE 2025'!H:H,'Resumo DRE 2 Outros'!C218,'DRE 2025'!A:A,'Resumo DRE 2 Outros'!D218)</f>
        <v>32092.9664204</v>
      </c>
      <c r="G218" s="445">
        <f>F218/F232</f>
        <v>6.9496170622694739E-2</v>
      </c>
    </row>
    <row r="219" spans="1:7" x14ac:dyDescent="0.2">
      <c r="A219" s="453">
        <v>45717</v>
      </c>
      <c r="B219" s="446">
        <v>14</v>
      </c>
      <c r="C219" s="438" t="s">
        <v>473</v>
      </c>
      <c r="D219" s="452" t="s">
        <v>73</v>
      </c>
      <c r="E219" s="442" t="s">
        <v>493</v>
      </c>
      <c r="F219" s="442">
        <f>-SUMIFS('DRE 2025'!I:I,'DRE 2025'!B:B,'Resumo DRE 2 Outros'!A219,'DRE 2025'!H:H,'Resumo DRE 2 Outros'!C219,'DRE 2025'!A:A,'Resumo DRE 2 Outros'!D219)</f>
        <v>29928.35</v>
      </c>
      <c r="G219" s="445">
        <f>F219/F232</f>
        <v>6.480877120581871E-2</v>
      </c>
    </row>
    <row r="220" spans="1:7" x14ac:dyDescent="0.2">
      <c r="A220" s="453">
        <v>45717</v>
      </c>
      <c r="B220" s="446">
        <v>15</v>
      </c>
      <c r="C220" s="438" t="s">
        <v>329</v>
      </c>
      <c r="D220" s="452" t="s">
        <v>73</v>
      </c>
      <c r="E220" s="442" t="s">
        <v>494</v>
      </c>
      <c r="F220" s="442">
        <f>-SUMIFS('DRE 2025'!I:I,'DRE 2025'!B:B,'Resumo DRE 2 Outros'!A220,'DRE 2025'!H:H,'Resumo DRE 2 Outros'!C220,'DRE 2025'!A:A,'Resumo DRE 2 Outros'!D220)</f>
        <v>0</v>
      </c>
      <c r="G220" s="445">
        <f>F220/F232</f>
        <v>0</v>
      </c>
    </row>
    <row r="221" spans="1:7" x14ac:dyDescent="0.2">
      <c r="A221" s="453">
        <v>45717</v>
      </c>
      <c r="B221" s="446">
        <v>16</v>
      </c>
      <c r="C221" s="438" t="s">
        <v>481</v>
      </c>
      <c r="D221" s="452" t="s">
        <v>73</v>
      </c>
      <c r="E221" s="442" t="s">
        <v>495</v>
      </c>
      <c r="F221" s="442">
        <f>-SUMIFS('DRE 2025'!I:I,'DRE 2025'!B:B,'Resumo DRE 2 Outros'!A221,'DRE 2025'!H:H,'Resumo DRE 2 Outros'!C221,'DRE 2025'!A:A,'Resumo DRE 2 Outros'!D221)</f>
        <v>49585.25</v>
      </c>
      <c r="G221" s="445">
        <f>F221/F232</f>
        <v>0.10737508490890149</v>
      </c>
    </row>
    <row r="222" spans="1:7" x14ac:dyDescent="0.2">
      <c r="A222" s="453">
        <v>45717</v>
      </c>
      <c r="B222" s="446">
        <v>17</v>
      </c>
      <c r="C222" s="438" t="s">
        <v>478</v>
      </c>
      <c r="D222" s="452" t="s">
        <v>73</v>
      </c>
      <c r="E222" s="442" t="s">
        <v>496</v>
      </c>
      <c r="F222" s="442">
        <f>-SUMIFS('DRE 2025'!I:I,'DRE 2025'!B:B,'Resumo DRE 2 Outros'!A222,'DRE 2025'!H:H,'Resumo DRE 2 Outros'!C222,'DRE 2025'!A:A,'Resumo DRE 2 Outros'!D222)</f>
        <v>32720.92</v>
      </c>
      <c r="G222" s="445">
        <f>F222/F232</f>
        <v>7.0855981633598158E-2</v>
      </c>
    </row>
    <row r="223" spans="1:7" x14ac:dyDescent="0.2">
      <c r="A223" s="453">
        <v>45717</v>
      </c>
      <c r="B223" s="446">
        <v>18</v>
      </c>
      <c r="C223" s="438" t="s">
        <v>474</v>
      </c>
      <c r="D223" s="452" t="s">
        <v>73</v>
      </c>
      <c r="E223" s="442" t="s">
        <v>497</v>
      </c>
      <c r="F223" s="442">
        <f>-SUMIFS('DRE 2025'!I:I,'DRE 2025'!B:B,'Resumo DRE 2 Outros'!A223,'DRE 2025'!H:H,'Resumo DRE 2 Outros'!C223,'DRE 2025'!A:A,'Resumo DRE 2 Outros'!D223)</f>
        <v>6626.51</v>
      </c>
      <c r="G223" s="445">
        <f>F223/F232</f>
        <v>1.4349470334417693E-2</v>
      </c>
    </row>
    <row r="224" spans="1:7" x14ac:dyDescent="0.2">
      <c r="A224" s="453">
        <v>45717</v>
      </c>
      <c r="B224" s="446">
        <v>19</v>
      </c>
      <c r="C224" s="438" t="s">
        <v>476</v>
      </c>
      <c r="D224" s="452" t="s">
        <v>73</v>
      </c>
      <c r="E224" s="442" t="s">
        <v>498</v>
      </c>
      <c r="F224" s="442">
        <f>-SUMIFS('DRE 2025'!I:I,'DRE 2025'!B:B,'Resumo DRE 2 Outros'!A224,'DRE 2025'!H:H,'Resumo DRE 2 Outros'!C224,'DRE 2025'!A:A,'Resumo DRE 2 Outros'!D224)</f>
        <v>15225.14</v>
      </c>
      <c r="G224" s="445">
        <f>F224/F232</f>
        <v>3.2969495974103438E-2</v>
      </c>
    </row>
    <row r="225" spans="1:7" x14ac:dyDescent="0.2">
      <c r="A225" s="453">
        <v>45717</v>
      </c>
      <c r="B225" s="446">
        <v>20</v>
      </c>
      <c r="C225" s="438" t="s">
        <v>357</v>
      </c>
      <c r="D225" s="452" t="s">
        <v>73</v>
      </c>
      <c r="E225" s="442" t="s">
        <v>499</v>
      </c>
      <c r="F225" s="442">
        <f>-SUMIFS('DRE 2025'!I:I,'DRE 2025'!B:B,'Resumo DRE 2 Outros'!A225,'DRE 2025'!H:H,'Resumo DRE 2 Outros'!C225,'DRE 2025'!A:A,'Resumo DRE 2 Outros'!D225)</f>
        <v>7498.74</v>
      </c>
      <c r="G225" s="445">
        <f>F225/F232</f>
        <v>1.6238253194443428E-2</v>
      </c>
    </row>
    <row r="226" spans="1:7" x14ac:dyDescent="0.2">
      <c r="A226" s="453">
        <v>45717</v>
      </c>
      <c r="B226" s="446">
        <v>21</v>
      </c>
      <c r="C226" s="438" t="s">
        <v>330</v>
      </c>
      <c r="D226" s="452" t="s">
        <v>73</v>
      </c>
      <c r="E226" s="442" t="s">
        <v>500</v>
      </c>
      <c r="F226" s="442">
        <f>-SUMIFS('DRE 2025'!I:I,'DRE 2025'!B:B,'Resumo DRE 2 Outros'!A226,'DRE 2025'!H:H,'Resumo DRE 2 Outros'!C226,'DRE 2025'!A:A,'Resumo DRE 2 Outros'!D226)</f>
        <v>0</v>
      </c>
      <c r="G226" s="445">
        <f>F226/F232</f>
        <v>0</v>
      </c>
    </row>
    <row r="227" spans="1:7" x14ac:dyDescent="0.2">
      <c r="A227" s="453">
        <v>45717</v>
      </c>
      <c r="B227" s="446">
        <v>22</v>
      </c>
      <c r="C227" s="438" t="s">
        <v>521</v>
      </c>
      <c r="D227" s="452" t="s">
        <v>73</v>
      </c>
      <c r="E227" s="442" t="s">
        <v>501</v>
      </c>
      <c r="F227" s="442">
        <f>-SUMIFS('DRE 2025'!I:I,'DRE 2025'!B:B,'Resumo DRE 2 Outros'!A227,'DRE 2025'!H:H,'Resumo DRE 2 Outros'!C227,'DRE 2025'!A:A,'Resumo DRE 2 Outros'!D227)</f>
        <v>5578.97</v>
      </c>
      <c r="G227" s="445">
        <f>F227/F232</f>
        <v>1.2081059941297346E-2</v>
      </c>
    </row>
    <row r="228" spans="1:7" x14ac:dyDescent="0.2">
      <c r="A228" s="453">
        <v>45717</v>
      </c>
      <c r="B228" s="446">
        <v>23</v>
      </c>
      <c r="C228" s="438" t="s">
        <v>331</v>
      </c>
      <c r="D228" s="452" t="s">
        <v>73</v>
      </c>
      <c r="E228" s="442" t="s">
        <v>502</v>
      </c>
      <c r="F228" s="442">
        <f>-SUMIFS('DRE 2025'!I:I,'DRE 2025'!B:B,'Resumo DRE 2 Outros'!A228,'DRE 2025'!H:H,'Resumo DRE 2 Outros'!C228,'DRE 2025'!A:A,'Resumo DRE 2 Outros'!D228)</f>
        <v>7.0000000000000007E-2</v>
      </c>
      <c r="G228" s="445">
        <f>F228/F232</f>
        <v>1.515824956740786E-7</v>
      </c>
    </row>
    <row r="229" spans="1:7" x14ac:dyDescent="0.2">
      <c r="A229" s="453">
        <v>45717</v>
      </c>
      <c r="B229" s="446">
        <v>24</v>
      </c>
      <c r="C229" s="438" t="s">
        <v>520</v>
      </c>
      <c r="D229" s="452" t="s">
        <v>73</v>
      </c>
      <c r="E229" s="442" t="s">
        <v>503</v>
      </c>
      <c r="F229" s="442">
        <f>-SUMIFS('DRE 2025'!I:I,'DRE 2025'!B:B,'Resumo DRE 2 Outros'!A229,'DRE 2025'!H:H,'Resumo DRE 2 Outros'!C229,'DRE 2025'!A:A,'Resumo DRE 2 Outros'!D229)</f>
        <v>0</v>
      </c>
      <c r="G229" s="445">
        <f>F229/F232</f>
        <v>0</v>
      </c>
    </row>
    <row r="230" spans="1:7" x14ac:dyDescent="0.2">
      <c r="A230" s="453">
        <v>45717</v>
      </c>
      <c r="B230" s="446">
        <v>25</v>
      </c>
      <c r="C230" s="438" t="s">
        <v>479</v>
      </c>
      <c r="D230" s="452" t="s">
        <v>73</v>
      </c>
      <c r="E230" s="442" t="s">
        <v>504</v>
      </c>
      <c r="F230" s="442">
        <f>-SUMIFS('DRE 2025'!I:I,'DRE 2025'!B:B,'Resumo DRE 2 Outros'!A230,'DRE 2025'!H:H,'Resumo DRE 2 Outros'!C230,'DRE 2025'!A:A,'Resumo DRE 2 Outros'!D230)</f>
        <v>0</v>
      </c>
      <c r="G230" s="445">
        <f>F230/F232</f>
        <v>0</v>
      </c>
    </row>
    <row r="231" spans="1:7" x14ac:dyDescent="0.2">
      <c r="A231" s="453">
        <v>45717</v>
      </c>
      <c r="B231" s="446">
        <v>26</v>
      </c>
      <c r="C231" s="438" t="s">
        <v>480</v>
      </c>
      <c r="D231" s="452" t="s">
        <v>73</v>
      </c>
      <c r="E231" s="442" t="s">
        <v>505</v>
      </c>
      <c r="F231" s="442">
        <f>-SUMIFS('DRE 2025'!I:I,'DRE 2025'!B:B,'Resumo DRE 2 Outros'!A231,'DRE 2025'!H:H,'Resumo DRE 2 Outros'!C231,'DRE 2025'!A:A,'Resumo DRE 2 Outros'!D231)</f>
        <v>-22165.99</v>
      </c>
      <c r="G231" s="445">
        <f>F231/F232</f>
        <v>-4.79996583326667E-2</v>
      </c>
    </row>
    <row r="232" spans="1:7" x14ac:dyDescent="0.2">
      <c r="A232" s="453">
        <v>45717</v>
      </c>
      <c r="B232" s="446">
        <v>27</v>
      </c>
      <c r="C232" s="438" t="s">
        <v>484</v>
      </c>
      <c r="D232" s="452" t="s">
        <v>73</v>
      </c>
      <c r="E232" s="442" t="s">
        <v>506</v>
      </c>
      <c r="F232" s="442">
        <f>SUM(F212:F231)</f>
        <v>461794.7454204</v>
      </c>
      <c r="G232" s="445">
        <f>SUM(G212:G231)</f>
        <v>0.99999999999999978</v>
      </c>
    </row>
    <row r="233" spans="1:7" x14ac:dyDescent="0.2">
      <c r="A233" s="453">
        <v>45748</v>
      </c>
      <c r="B233" s="446">
        <v>7</v>
      </c>
      <c r="C233" s="438" t="s">
        <v>340</v>
      </c>
      <c r="D233" s="452" t="s">
        <v>73</v>
      </c>
      <c r="E233" s="442" t="s">
        <v>486</v>
      </c>
      <c r="F233" s="442">
        <f>-SUMIFS('DRE 2025'!I:I,'DRE 2025'!B:B,'Resumo DRE 2 Outros'!A233,'DRE 2025'!H:H,'Resumo DRE 2 Outros'!C233,'DRE 2025'!A:A,'Resumo DRE 2 Outros'!D233)</f>
        <v>29440.554</v>
      </c>
      <c r="G233" s="445">
        <f>F233/F253</f>
        <v>7.4222095399164315E-2</v>
      </c>
    </row>
    <row r="234" spans="1:7" x14ac:dyDescent="0.2">
      <c r="A234" s="453">
        <v>45748</v>
      </c>
      <c r="B234" s="446">
        <v>8</v>
      </c>
      <c r="C234" s="438" t="s">
        <v>563</v>
      </c>
      <c r="D234" s="452" t="s">
        <v>73</v>
      </c>
      <c r="E234" s="442" t="s">
        <v>487</v>
      </c>
      <c r="F234" s="442">
        <f>-SUMIFS('DRE 2025'!I:I,'DRE 2025'!B:B,'Resumo DRE 2 Outros'!A234,'DRE 2025'!H:H,'Resumo DRE 2 Outros'!C234,'DRE 2025'!A:A,'Resumo DRE 2 Outros'!D234)</f>
        <v>0</v>
      </c>
      <c r="G234" s="445">
        <f>F234/F253</f>
        <v>0</v>
      </c>
    </row>
    <row r="235" spans="1:7" x14ac:dyDescent="0.2">
      <c r="A235" s="453">
        <v>45748</v>
      </c>
      <c r="B235" s="446">
        <v>9</v>
      </c>
      <c r="C235" s="438" t="s">
        <v>355</v>
      </c>
      <c r="D235" s="452" t="s">
        <v>73</v>
      </c>
      <c r="E235" s="442" t="s">
        <v>488</v>
      </c>
      <c r="F235" s="442">
        <f>-SUMIFS('DRE 2025'!I:I,'DRE 2025'!B:B,'Resumo DRE 2 Outros'!A235,'DRE 2025'!H:H,'Resumo DRE 2 Outros'!C235,'DRE 2025'!A:A,'Resumo DRE 2 Outros'!D235)</f>
        <v>50886.614000000001</v>
      </c>
      <c r="G235" s="445">
        <f>F235/F253</f>
        <v>0.12828940375403433</v>
      </c>
    </row>
    <row r="236" spans="1:7" x14ac:dyDescent="0.2">
      <c r="A236" s="453">
        <v>45748</v>
      </c>
      <c r="B236" s="446">
        <v>10</v>
      </c>
      <c r="C236" s="449" t="s">
        <v>477</v>
      </c>
      <c r="D236" s="452" t="s">
        <v>73</v>
      </c>
      <c r="E236" s="442" t="s">
        <v>489</v>
      </c>
      <c r="F236" s="442">
        <f>-SUMIFS('DRE 2025'!I:I,'DRE 2025'!B:B,'Resumo DRE 2 Outros'!A236,'DRE 2025'!H:H,'Resumo DRE 2 Outros'!C236,'DRE 2025'!A:A,'Resumo DRE 2 Outros'!D236)</f>
        <v>69780.524000000005</v>
      </c>
      <c r="G236" s="445">
        <f>F236/F253</f>
        <v>0.17592252881286391</v>
      </c>
    </row>
    <row r="237" spans="1:7" x14ac:dyDescent="0.2">
      <c r="A237" s="453">
        <v>45748</v>
      </c>
      <c r="B237" s="446">
        <v>11</v>
      </c>
      <c r="C237" s="438" t="s">
        <v>343</v>
      </c>
      <c r="D237" s="452" t="s">
        <v>73</v>
      </c>
      <c r="E237" s="442" t="s">
        <v>490</v>
      </c>
      <c r="F237" s="442">
        <f>-SUMIFS('DRE 2025'!I:I,'DRE 2025'!B:B,'Resumo DRE 2 Outros'!A237,'DRE 2025'!H:H,'Resumo DRE 2 Outros'!C237,'DRE 2025'!A:A,'Resumo DRE 2 Outros'!D237)</f>
        <v>43198.91</v>
      </c>
      <c r="G237" s="445">
        <f>F237/F253</f>
        <v>0.10890805992169555</v>
      </c>
    </row>
    <row r="238" spans="1:7" x14ac:dyDescent="0.2">
      <c r="A238" s="453">
        <v>45748</v>
      </c>
      <c r="B238" s="446">
        <v>12</v>
      </c>
      <c r="C238" s="438" t="s">
        <v>475</v>
      </c>
      <c r="D238" s="452" t="s">
        <v>73</v>
      </c>
      <c r="E238" s="442" t="s">
        <v>491</v>
      </c>
      <c r="F238" s="442">
        <f>-SUMIFS('DRE 2025'!I:I,'DRE 2025'!B:B,'Resumo DRE 2 Outros'!A238,'DRE 2025'!H:H,'Resumo DRE 2 Outros'!C238,'DRE 2025'!A:A,'Resumo DRE 2 Outros'!D238)</f>
        <v>87698.49</v>
      </c>
      <c r="G238" s="445">
        <f>F238/F253</f>
        <v>0.22109521754049391</v>
      </c>
    </row>
    <row r="239" spans="1:7" x14ac:dyDescent="0.2">
      <c r="A239" s="453">
        <v>45748</v>
      </c>
      <c r="B239" s="446">
        <v>13</v>
      </c>
      <c r="C239" s="438" t="s">
        <v>364</v>
      </c>
      <c r="D239" s="452" t="s">
        <v>73</v>
      </c>
      <c r="E239" s="442" t="s">
        <v>492</v>
      </c>
      <c r="F239" s="442">
        <f>-SUMIFS('DRE 2025'!I:I,'DRE 2025'!B:B,'Resumo DRE 2 Outros'!A239,'DRE 2025'!H:H,'Resumo DRE 2 Outros'!C239,'DRE 2025'!A:A,'Resumo DRE 2 Outros'!D239)</f>
        <v>32092.9664204</v>
      </c>
      <c r="G239" s="445">
        <f>F239/F253</f>
        <v>8.0909048630576241E-2</v>
      </c>
    </row>
    <row r="240" spans="1:7" x14ac:dyDescent="0.2">
      <c r="A240" s="453">
        <v>45748</v>
      </c>
      <c r="B240" s="446">
        <v>14</v>
      </c>
      <c r="C240" s="438" t="s">
        <v>473</v>
      </c>
      <c r="D240" s="452" t="s">
        <v>73</v>
      </c>
      <c r="E240" s="442" t="s">
        <v>493</v>
      </c>
      <c r="F240" s="442">
        <f>-SUMIFS('DRE 2025'!I:I,'DRE 2025'!B:B,'Resumo DRE 2 Outros'!A240,'DRE 2025'!H:H,'Resumo DRE 2 Outros'!C240,'DRE 2025'!A:A,'Resumo DRE 2 Outros'!D240)</f>
        <v>30332.78</v>
      </c>
      <c r="G240" s="445">
        <f>F240/F253</f>
        <v>7.6471471660549031E-2</v>
      </c>
    </row>
    <row r="241" spans="1:7" x14ac:dyDescent="0.2">
      <c r="A241" s="453">
        <v>45748</v>
      </c>
      <c r="B241" s="446">
        <v>15</v>
      </c>
      <c r="C241" s="438" t="s">
        <v>329</v>
      </c>
      <c r="D241" s="452" t="s">
        <v>73</v>
      </c>
      <c r="E241" s="442" t="s">
        <v>494</v>
      </c>
      <c r="F241" s="442">
        <f>-SUMIFS('DRE 2025'!I:I,'DRE 2025'!B:B,'Resumo DRE 2 Outros'!A241,'DRE 2025'!H:H,'Resumo DRE 2 Outros'!C241,'DRE 2025'!A:A,'Resumo DRE 2 Outros'!D241)</f>
        <v>566.15</v>
      </c>
      <c r="G241" s="445">
        <f>F241/F253</f>
        <v>1.4273114327344818E-3</v>
      </c>
    </row>
    <row r="242" spans="1:7" x14ac:dyDescent="0.2">
      <c r="A242" s="453">
        <v>45748</v>
      </c>
      <c r="B242" s="446">
        <v>16</v>
      </c>
      <c r="C242" s="438" t="s">
        <v>481</v>
      </c>
      <c r="D242" s="452" t="s">
        <v>73</v>
      </c>
      <c r="E242" s="442" t="s">
        <v>495</v>
      </c>
      <c r="F242" s="442">
        <f>-SUMIFS('DRE 2025'!I:I,'DRE 2025'!B:B,'Resumo DRE 2 Outros'!A242,'DRE 2025'!H:H,'Resumo DRE 2 Outros'!C242,'DRE 2025'!A:A,'Resumo DRE 2 Outros'!D242)</f>
        <v>-6513.99</v>
      </c>
      <c r="G242" s="445">
        <f>F242/F253</f>
        <v>-1.6422312814127153E-2</v>
      </c>
    </row>
    <row r="243" spans="1:7" x14ac:dyDescent="0.2">
      <c r="A243" s="453">
        <v>45748</v>
      </c>
      <c r="B243" s="446">
        <v>17</v>
      </c>
      <c r="C243" s="438" t="s">
        <v>478</v>
      </c>
      <c r="D243" s="452" t="s">
        <v>73</v>
      </c>
      <c r="E243" s="442" t="s">
        <v>496</v>
      </c>
      <c r="F243" s="442">
        <f>-SUMIFS('DRE 2025'!I:I,'DRE 2025'!B:B,'Resumo DRE 2 Outros'!A243,'DRE 2025'!H:H,'Resumo DRE 2 Outros'!C243,'DRE 2025'!A:A,'Resumo DRE 2 Outros'!D243)</f>
        <v>32819.553999999996</v>
      </c>
      <c r="G243" s="445">
        <f>F243/F253</f>
        <v>8.274083660063003E-2</v>
      </c>
    </row>
    <row r="244" spans="1:7" x14ac:dyDescent="0.2">
      <c r="A244" s="453">
        <v>45748</v>
      </c>
      <c r="B244" s="446">
        <v>18</v>
      </c>
      <c r="C244" s="438" t="s">
        <v>474</v>
      </c>
      <c r="D244" s="452" t="s">
        <v>73</v>
      </c>
      <c r="E244" s="442" t="s">
        <v>497</v>
      </c>
      <c r="F244" s="442">
        <f>-SUMIFS('DRE 2025'!I:I,'DRE 2025'!B:B,'Resumo DRE 2 Outros'!A244,'DRE 2025'!H:H,'Resumo DRE 2 Outros'!C244,'DRE 2025'!A:A,'Resumo DRE 2 Outros'!D244)</f>
        <v>13965.56</v>
      </c>
      <c r="G244" s="445">
        <f>F244/F253</f>
        <v>3.5208343111435787E-2</v>
      </c>
    </row>
    <row r="245" spans="1:7" x14ac:dyDescent="0.2">
      <c r="A245" s="453">
        <v>45748</v>
      </c>
      <c r="B245" s="446">
        <v>19</v>
      </c>
      <c r="C245" s="438" t="s">
        <v>476</v>
      </c>
      <c r="D245" s="452" t="s">
        <v>73</v>
      </c>
      <c r="E245" s="442" t="s">
        <v>498</v>
      </c>
      <c r="F245" s="442">
        <f>-SUMIFS('DRE 2025'!I:I,'DRE 2025'!B:B,'Resumo DRE 2 Outros'!A245,'DRE 2025'!H:H,'Resumo DRE 2 Outros'!C245,'DRE 2025'!A:A,'Resumo DRE 2 Outros'!D245)</f>
        <v>10504.51</v>
      </c>
      <c r="G245" s="445">
        <f>F245/F253</f>
        <v>2.6482747007460377E-2</v>
      </c>
    </row>
    <row r="246" spans="1:7" x14ac:dyDescent="0.2">
      <c r="A246" s="453">
        <v>45748</v>
      </c>
      <c r="B246" s="446">
        <v>20</v>
      </c>
      <c r="C246" s="438" t="s">
        <v>357</v>
      </c>
      <c r="D246" s="452" t="s">
        <v>73</v>
      </c>
      <c r="E246" s="442" t="s">
        <v>499</v>
      </c>
      <c r="F246" s="442">
        <f>-SUMIFS('DRE 2025'!I:I,'DRE 2025'!B:B,'Resumo DRE 2 Outros'!A246,'DRE 2025'!H:H,'Resumo DRE 2 Outros'!C246,'DRE 2025'!A:A,'Resumo DRE 2 Outros'!D246)</f>
        <v>6220.04</v>
      </c>
      <c r="G246" s="445">
        <f>F246/F253</f>
        <v>1.5681240314520509E-2</v>
      </c>
    </row>
    <row r="247" spans="1:7" x14ac:dyDescent="0.2">
      <c r="A247" s="453">
        <v>45748</v>
      </c>
      <c r="B247" s="446">
        <v>21</v>
      </c>
      <c r="C247" s="438" t="s">
        <v>330</v>
      </c>
      <c r="D247" s="452" t="s">
        <v>73</v>
      </c>
      <c r="E247" s="442" t="s">
        <v>500</v>
      </c>
      <c r="F247" s="442">
        <f>-SUMIFS('DRE 2025'!I:I,'DRE 2025'!B:B,'Resumo DRE 2 Outros'!A247,'DRE 2025'!H:H,'Resumo DRE 2 Outros'!C247,'DRE 2025'!A:A,'Resumo DRE 2 Outros'!D247)</f>
        <v>0</v>
      </c>
      <c r="G247" s="445">
        <f>F247/F253</f>
        <v>0</v>
      </c>
    </row>
    <row r="248" spans="1:7" x14ac:dyDescent="0.2">
      <c r="A248" s="453">
        <v>45748</v>
      </c>
      <c r="B248" s="446">
        <v>22</v>
      </c>
      <c r="C248" s="438" t="s">
        <v>521</v>
      </c>
      <c r="D248" s="452" t="s">
        <v>73</v>
      </c>
      <c r="E248" s="442" t="s">
        <v>501</v>
      </c>
      <c r="F248" s="442">
        <f>-SUMIFS('DRE 2025'!I:I,'DRE 2025'!B:B,'Resumo DRE 2 Outros'!A248,'DRE 2025'!H:H,'Resumo DRE 2 Outros'!C248,'DRE 2025'!A:A,'Resumo DRE 2 Outros'!D248)</f>
        <v>18374.259999999998</v>
      </c>
      <c r="G248" s="445">
        <f>F248/F253</f>
        <v>4.632304400960148E-2</v>
      </c>
    </row>
    <row r="249" spans="1:7" x14ac:dyDescent="0.2">
      <c r="A249" s="453">
        <v>45748</v>
      </c>
      <c r="B249" s="446">
        <v>23</v>
      </c>
      <c r="C249" s="438" t="s">
        <v>331</v>
      </c>
      <c r="D249" s="452" t="s">
        <v>73</v>
      </c>
      <c r="E249" s="442" t="s">
        <v>502</v>
      </c>
      <c r="F249" s="442">
        <f>-SUMIFS('DRE 2025'!I:I,'DRE 2025'!B:B,'Resumo DRE 2 Outros'!A249,'DRE 2025'!H:H,'Resumo DRE 2 Outros'!C249,'DRE 2025'!A:A,'Resumo DRE 2 Outros'!D249)</f>
        <v>13.21</v>
      </c>
      <c r="G249" s="445">
        <f>F249/F253</f>
        <v>3.3303513249885202E-5</v>
      </c>
    </row>
    <row r="250" spans="1:7" x14ac:dyDescent="0.2">
      <c r="A250" s="453">
        <v>45748</v>
      </c>
      <c r="B250" s="446">
        <v>24</v>
      </c>
      <c r="C250" s="438" t="s">
        <v>520</v>
      </c>
      <c r="D250" s="452" t="s">
        <v>73</v>
      </c>
      <c r="E250" s="442" t="s">
        <v>503</v>
      </c>
      <c r="F250" s="442">
        <f>-SUMIFS('DRE 2025'!I:I,'DRE 2025'!B:B,'Resumo DRE 2 Outros'!A250,'DRE 2025'!H:H,'Resumo DRE 2 Outros'!C250,'DRE 2025'!A:A,'Resumo DRE 2 Outros'!D250)</f>
        <v>0</v>
      </c>
      <c r="G250" s="445">
        <f>F250/F253</f>
        <v>0</v>
      </c>
    </row>
    <row r="251" spans="1:7" x14ac:dyDescent="0.2">
      <c r="A251" s="453">
        <v>45748</v>
      </c>
      <c r="B251" s="446">
        <v>25</v>
      </c>
      <c r="C251" s="438" t="s">
        <v>479</v>
      </c>
      <c r="D251" s="452" t="s">
        <v>73</v>
      </c>
      <c r="E251" s="442" t="s">
        <v>504</v>
      </c>
      <c r="F251" s="442">
        <f>-SUMIFS('DRE 2025'!I:I,'DRE 2025'!B:B,'Resumo DRE 2 Outros'!A251,'DRE 2025'!H:H,'Resumo DRE 2 Outros'!C251,'DRE 2025'!A:A,'Resumo DRE 2 Outros'!D251)</f>
        <v>0</v>
      </c>
      <c r="G251" s="445">
        <f>F251/F253</f>
        <v>0</v>
      </c>
    </row>
    <row r="252" spans="1:7" x14ac:dyDescent="0.2">
      <c r="A252" s="453">
        <v>45748</v>
      </c>
      <c r="B252" s="446">
        <v>26</v>
      </c>
      <c r="C252" s="438" t="s">
        <v>480</v>
      </c>
      <c r="D252" s="452" t="s">
        <v>73</v>
      </c>
      <c r="E252" s="442" t="s">
        <v>505</v>
      </c>
      <c r="F252" s="442">
        <f>-SUMIFS('DRE 2025'!I:I,'DRE 2025'!B:B,'Resumo DRE 2 Outros'!A252,'DRE 2025'!H:H,'Resumo DRE 2 Outros'!C252,'DRE 2025'!A:A,'Resumo DRE 2 Outros'!D252)</f>
        <v>-22725.284</v>
      </c>
      <c r="G252" s="445">
        <f>F252/F253</f>
        <v>-5.7292338894882971E-2</v>
      </c>
    </row>
    <row r="253" spans="1:7" x14ac:dyDescent="0.2">
      <c r="A253" s="453">
        <v>45748</v>
      </c>
      <c r="B253" s="446">
        <v>27</v>
      </c>
      <c r="C253" s="438" t="s">
        <v>484</v>
      </c>
      <c r="D253" s="452" t="s">
        <v>73</v>
      </c>
      <c r="E253" s="442" t="s">
        <v>506</v>
      </c>
      <c r="F253" s="442">
        <f>SUM(F233:F252)</f>
        <v>396654.84842040011</v>
      </c>
      <c r="G253" s="445">
        <f>SUM(G233:G252)</f>
        <v>0.99999999999999956</v>
      </c>
    </row>
    <row r="254" spans="1:7" x14ac:dyDescent="0.2">
      <c r="A254" s="453">
        <v>45778</v>
      </c>
      <c r="B254" s="446">
        <v>7</v>
      </c>
      <c r="C254" s="438" t="s">
        <v>340</v>
      </c>
      <c r="D254" s="452" t="s">
        <v>73</v>
      </c>
      <c r="E254" s="442" t="s">
        <v>486</v>
      </c>
      <c r="F254" s="442">
        <f>-SUMIFS('DRE 2025'!I:I,'DRE 2025'!B:B,'Resumo DRE 2 Outros'!A254,'DRE 2025'!H:H,'Resumo DRE 2 Outros'!C254,'DRE 2025'!A:A,'Resumo DRE 2 Outros'!D254)</f>
        <v>-30743.61</v>
      </c>
      <c r="G254" s="445">
        <f>F254/F274</f>
        <v>-8.1609628285330416E-2</v>
      </c>
    </row>
    <row r="255" spans="1:7" x14ac:dyDescent="0.2">
      <c r="A255" s="453">
        <v>45778</v>
      </c>
      <c r="B255" s="446">
        <v>8</v>
      </c>
      <c r="C255" s="438" t="s">
        <v>563</v>
      </c>
      <c r="D255" s="452" t="s">
        <v>73</v>
      </c>
      <c r="E255" s="442" t="s">
        <v>487</v>
      </c>
      <c r="F255" s="442">
        <f>-SUMIFS('DRE 2025'!I:I,'DRE 2025'!B:B,'Resumo DRE 2 Outros'!A255,'DRE 2025'!H:H,'Resumo DRE 2 Outros'!C255,'DRE 2025'!A:A,'Resumo DRE 2 Outros'!D255)</f>
        <v>0</v>
      </c>
      <c r="G255" s="445">
        <f>F255/F274</f>
        <v>0</v>
      </c>
    </row>
    <row r="256" spans="1:7" x14ac:dyDescent="0.2">
      <c r="A256" s="453">
        <v>45778</v>
      </c>
      <c r="B256" s="446">
        <v>9</v>
      </c>
      <c r="C256" s="438" t="s">
        <v>355</v>
      </c>
      <c r="D256" s="452" t="s">
        <v>73</v>
      </c>
      <c r="E256" s="442" t="s">
        <v>488</v>
      </c>
      <c r="F256" s="442">
        <f>-SUMIFS('DRE 2025'!I:I,'DRE 2025'!B:B,'Resumo DRE 2 Outros'!A256,'DRE 2025'!H:H,'Resumo DRE 2 Outros'!C256,'DRE 2025'!A:A,'Resumo DRE 2 Outros'!D256)</f>
        <v>77283.78</v>
      </c>
      <c r="G256" s="445">
        <f>F256/F274</f>
        <v>0.20515159274676112</v>
      </c>
    </row>
    <row r="257" spans="1:7" x14ac:dyDescent="0.2">
      <c r="A257" s="453">
        <v>45778</v>
      </c>
      <c r="B257" s="446">
        <v>10</v>
      </c>
      <c r="C257" s="449" t="s">
        <v>477</v>
      </c>
      <c r="D257" s="452" t="s">
        <v>73</v>
      </c>
      <c r="E257" s="442" t="s">
        <v>489</v>
      </c>
      <c r="F257" s="442">
        <f>-SUMIFS('DRE 2025'!I:I,'DRE 2025'!B:B,'Resumo DRE 2 Outros'!A257,'DRE 2025'!H:H,'Resumo DRE 2 Outros'!C257,'DRE 2025'!A:A,'Resumo DRE 2 Outros'!D257)</f>
        <v>64244.51</v>
      </c>
      <c r="G257" s="445">
        <f>F257/F274</f>
        <v>0.17053854705004365</v>
      </c>
    </row>
    <row r="258" spans="1:7" x14ac:dyDescent="0.2">
      <c r="A258" s="453">
        <v>45778</v>
      </c>
      <c r="B258" s="446">
        <v>11</v>
      </c>
      <c r="C258" s="438" t="s">
        <v>343</v>
      </c>
      <c r="D258" s="452" t="s">
        <v>73</v>
      </c>
      <c r="E258" s="442" t="s">
        <v>490</v>
      </c>
      <c r="F258" s="442">
        <f>-SUMIFS('DRE 2025'!I:I,'DRE 2025'!B:B,'Resumo DRE 2 Outros'!A258,'DRE 2025'!H:H,'Resumo DRE 2 Outros'!C258,'DRE 2025'!A:A,'Resumo DRE 2 Outros'!D258)</f>
        <v>70340.05</v>
      </c>
      <c r="G258" s="445">
        <f>F258/F274</f>
        <v>0.18671929985032842</v>
      </c>
    </row>
    <row r="259" spans="1:7" x14ac:dyDescent="0.2">
      <c r="A259" s="453">
        <v>45778</v>
      </c>
      <c r="B259" s="446">
        <v>12</v>
      </c>
      <c r="C259" s="438" t="s">
        <v>475</v>
      </c>
      <c r="D259" s="452" t="s">
        <v>73</v>
      </c>
      <c r="E259" s="442" t="s">
        <v>491</v>
      </c>
      <c r="F259" s="442">
        <f>-SUMIFS('DRE 2025'!I:I,'DRE 2025'!B:B,'Resumo DRE 2 Outros'!A259,'DRE 2025'!H:H,'Resumo DRE 2 Outros'!C259,'DRE 2025'!A:A,'Resumo DRE 2 Outros'!D259)</f>
        <v>73021.13</v>
      </c>
      <c r="G259" s="445">
        <f>F259/F274</f>
        <v>0.19383628911096615</v>
      </c>
    </row>
    <row r="260" spans="1:7" x14ac:dyDescent="0.2">
      <c r="A260" s="453">
        <v>45778</v>
      </c>
      <c r="B260" s="446">
        <v>13</v>
      </c>
      <c r="C260" s="438" t="s">
        <v>364</v>
      </c>
      <c r="D260" s="452" t="s">
        <v>73</v>
      </c>
      <c r="E260" s="442" t="s">
        <v>492</v>
      </c>
      <c r="F260" s="442">
        <f>-SUMIFS('DRE 2025'!I:I,'DRE 2025'!B:B,'Resumo DRE 2 Outros'!A260,'DRE 2025'!H:H,'Resumo DRE 2 Outros'!C260,'DRE 2025'!A:A,'Resumo DRE 2 Outros'!D260)</f>
        <v>32092.9664204</v>
      </c>
      <c r="G260" s="445">
        <f>F260/F274</f>
        <v>8.519152630879831E-2</v>
      </c>
    </row>
    <row r="261" spans="1:7" x14ac:dyDescent="0.2">
      <c r="A261" s="453">
        <v>45778</v>
      </c>
      <c r="B261" s="446">
        <v>14</v>
      </c>
      <c r="C261" s="438" t="s">
        <v>473</v>
      </c>
      <c r="D261" s="452" t="s">
        <v>73</v>
      </c>
      <c r="E261" s="442" t="s">
        <v>493</v>
      </c>
      <c r="F261" s="442">
        <f>-SUMIFS('DRE 2025'!I:I,'DRE 2025'!B:B,'Resumo DRE 2 Outros'!A261,'DRE 2025'!H:H,'Resumo DRE 2 Outros'!C261,'DRE 2025'!A:A,'Resumo DRE 2 Outros'!D261)</f>
        <v>32032.74</v>
      </c>
      <c r="G261" s="445">
        <f>F261/F274</f>
        <v>8.5031653874110269E-2</v>
      </c>
    </row>
    <row r="262" spans="1:7" x14ac:dyDescent="0.2">
      <c r="A262" s="453">
        <v>45778</v>
      </c>
      <c r="B262" s="446">
        <v>15</v>
      </c>
      <c r="C262" s="438" t="s">
        <v>329</v>
      </c>
      <c r="D262" s="452" t="s">
        <v>73</v>
      </c>
      <c r="E262" s="442" t="s">
        <v>494</v>
      </c>
      <c r="F262" s="442">
        <f>-SUMIFS('DRE 2025'!I:I,'DRE 2025'!B:B,'Resumo DRE 2 Outros'!A262,'DRE 2025'!H:H,'Resumo DRE 2 Outros'!C262,'DRE 2025'!A:A,'Resumo DRE 2 Outros'!D262)</f>
        <v>379.74</v>
      </c>
      <c r="G262" s="445">
        <f>F262/F274</f>
        <v>1.0080286682361431E-3</v>
      </c>
    </row>
    <row r="263" spans="1:7" x14ac:dyDescent="0.2">
      <c r="A263" s="453">
        <v>45778</v>
      </c>
      <c r="B263" s="446">
        <v>16</v>
      </c>
      <c r="C263" s="438" t="s">
        <v>481</v>
      </c>
      <c r="D263" s="452" t="s">
        <v>73</v>
      </c>
      <c r="E263" s="442" t="s">
        <v>495</v>
      </c>
      <c r="F263" s="442">
        <f>-SUMIFS('DRE 2025'!I:I,'DRE 2025'!B:B,'Resumo DRE 2 Outros'!A263,'DRE 2025'!H:H,'Resumo DRE 2 Outros'!C263,'DRE 2025'!A:A,'Resumo DRE 2 Outros'!D263)</f>
        <v>17791.53</v>
      </c>
      <c r="G263" s="445">
        <f>F263/F274</f>
        <v>4.7228030472911429E-2</v>
      </c>
    </row>
    <row r="264" spans="1:7" x14ac:dyDescent="0.2">
      <c r="A264" s="453">
        <v>45778</v>
      </c>
      <c r="B264" s="446">
        <v>17</v>
      </c>
      <c r="C264" s="438" t="s">
        <v>478</v>
      </c>
      <c r="D264" s="452" t="s">
        <v>73</v>
      </c>
      <c r="E264" s="442" t="s">
        <v>496</v>
      </c>
      <c r="F264" s="442">
        <f>-SUMIFS('DRE 2025'!I:I,'DRE 2025'!B:B,'Resumo DRE 2 Outros'!A264,'DRE 2025'!H:H,'Resumo DRE 2 Outros'!C264,'DRE 2025'!A:A,'Resumo DRE 2 Outros'!D264)</f>
        <v>35004.78</v>
      </c>
      <c r="G264" s="445">
        <f>F264/F274</f>
        <v>9.2921003226679247E-2</v>
      </c>
    </row>
    <row r="265" spans="1:7" x14ac:dyDescent="0.2">
      <c r="A265" s="453">
        <v>45778</v>
      </c>
      <c r="B265" s="446">
        <v>18</v>
      </c>
      <c r="C265" s="438" t="s">
        <v>474</v>
      </c>
      <c r="D265" s="452" t="s">
        <v>73</v>
      </c>
      <c r="E265" s="442" t="s">
        <v>497</v>
      </c>
      <c r="F265" s="442">
        <f>-SUMIFS('DRE 2025'!I:I,'DRE 2025'!B:B,'Resumo DRE 2 Outros'!A265,'DRE 2025'!H:H,'Resumo DRE 2 Outros'!C265,'DRE 2025'!A:A,'Resumo DRE 2 Outros'!D265)</f>
        <v>10636.71</v>
      </c>
      <c r="G265" s="445">
        <f>F265/F274</f>
        <v>2.8235394258477022E-2</v>
      </c>
    </row>
    <row r="266" spans="1:7" x14ac:dyDescent="0.2">
      <c r="A266" s="453">
        <v>45778</v>
      </c>
      <c r="B266" s="446">
        <v>19</v>
      </c>
      <c r="C266" s="438" t="s">
        <v>476</v>
      </c>
      <c r="D266" s="452" t="s">
        <v>73</v>
      </c>
      <c r="E266" s="442" t="s">
        <v>498</v>
      </c>
      <c r="F266" s="442">
        <f>-SUMIFS('DRE 2025'!I:I,'DRE 2025'!B:B,'Resumo DRE 2 Outros'!A266,'DRE 2025'!H:H,'Resumo DRE 2 Outros'!C266,'DRE 2025'!A:A,'Resumo DRE 2 Outros'!D266)</f>
        <v>7660.46</v>
      </c>
      <c r="G266" s="445">
        <f>F266/F274</f>
        <v>2.0334869362922645E-2</v>
      </c>
    </row>
    <row r="267" spans="1:7" x14ac:dyDescent="0.2">
      <c r="A267" s="453">
        <v>45778</v>
      </c>
      <c r="B267" s="446">
        <v>20</v>
      </c>
      <c r="C267" s="438" t="s">
        <v>357</v>
      </c>
      <c r="D267" s="452" t="s">
        <v>73</v>
      </c>
      <c r="E267" s="442" t="s">
        <v>499</v>
      </c>
      <c r="F267" s="442">
        <f>-SUMIFS('DRE 2025'!I:I,'DRE 2025'!B:B,'Resumo DRE 2 Outros'!A267,'DRE 2025'!H:H,'Resumo DRE 2 Outros'!C267,'DRE 2025'!A:A,'Resumo DRE 2 Outros'!D267)</f>
        <v>0</v>
      </c>
      <c r="G267" s="445">
        <f>F267/F274</f>
        <v>0</v>
      </c>
    </row>
    <row r="268" spans="1:7" x14ac:dyDescent="0.2">
      <c r="A268" s="453">
        <v>45778</v>
      </c>
      <c r="B268" s="446">
        <v>21</v>
      </c>
      <c r="C268" s="438" t="s">
        <v>330</v>
      </c>
      <c r="D268" s="452" t="s">
        <v>73</v>
      </c>
      <c r="E268" s="442" t="s">
        <v>500</v>
      </c>
      <c r="F268" s="442">
        <f>-SUMIFS('DRE 2025'!I:I,'DRE 2025'!B:B,'Resumo DRE 2 Outros'!A268,'DRE 2025'!H:H,'Resumo DRE 2 Outros'!C268,'DRE 2025'!A:A,'Resumo DRE 2 Outros'!D268)</f>
        <v>0</v>
      </c>
      <c r="G268" s="445">
        <f>F268/F274</f>
        <v>0</v>
      </c>
    </row>
    <row r="269" spans="1:7" x14ac:dyDescent="0.2">
      <c r="A269" s="453">
        <v>45778</v>
      </c>
      <c r="B269" s="446">
        <v>22</v>
      </c>
      <c r="C269" s="438" t="s">
        <v>521</v>
      </c>
      <c r="D269" s="452" t="s">
        <v>73</v>
      </c>
      <c r="E269" s="442" t="s">
        <v>501</v>
      </c>
      <c r="F269" s="442">
        <f>-SUMIFS('DRE 2025'!I:I,'DRE 2025'!B:B,'Resumo DRE 2 Outros'!A269,'DRE 2025'!H:H,'Resumo DRE 2 Outros'!C269,'DRE 2025'!A:A,'Resumo DRE 2 Outros'!D269)</f>
        <v>5121.7299999999996</v>
      </c>
      <c r="G269" s="445">
        <f>F269/F274</f>
        <v>1.3595751490401592E-2</v>
      </c>
    </row>
    <row r="270" spans="1:7" x14ac:dyDescent="0.2">
      <c r="A270" s="453">
        <v>45778</v>
      </c>
      <c r="B270" s="446">
        <v>23</v>
      </c>
      <c r="C270" s="438" t="s">
        <v>331</v>
      </c>
      <c r="D270" s="452" t="s">
        <v>73</v>
      </c>
      <c r="E270" s="442" t="s">
        <v>502</v>
      </c>
      <c r="F270" s="442">
        <f>-SUMIFS('DRE 2025'!I:I,'DRE 2025'!B:B,'Resumo DRE 2 Outros'!A270,'DRE 2025'!H:H,'Resumo DRE 2 Outros'!C270,'DRE 2025'!A:A,'Resumo DRE 2 Outros'!D270)</f>
        <v>8.9700000000000006</v>
      </c>
      <c r="G270" s="445">
        <f>F270/F274</f>
        <v>2.3811073771733828E-5</v>
      </c>
    </row>
    <row r="271" spans="1:7" x14ac:dyDescent="0.2">
      <c r="A271" s="453">
        <v>45778</v>
      </c>
      <c r="B271" s="446">
        <v>24</v>
      </c>
      <c r="C271" s="438" t="s">
        <v>520</v>
      </c>
      <c r="D271" s="452" t="s">
        <v>73</v>
      </c>
      <c r="E271" s="442" t="s">
        <v>503</v>
      </c>
      <c r="F271" s="442">
        <f>-SUMIFS('DRE 2025'!I:I,'DRE 2025'!B:B,'Resumo DRE 2 Outros'!A271,'DRE 2025'!H:H,'Resumo DRE 2 Outros'!C271,'DRE 2025'!A:A,'Resumo DRE 2 Outros'!D271)</f>
        <v>0</v>
      </c>
      <c r="G271" s="445">
        <f>F271/F274</f>
        <v>0</v>
      </c>
    </row>
    <row r="272" spans="1:7" x14ac:dyDescent="0.2">
      <c r="A272" s="453">
        <v>45778</v>
      </c>
      <c r="B272" s="446">
        <v>25</v>
      </c>
      <c r="C272" s="438" t="s">
        <v>479</v>
      </c>
      <c r="D272" s="452" t="s">
        <v>73</v>
      </c>
      <c r="E272" s="442" t="s">
        <v>504</v>
      </c>
      <c r="F272" s="442">
        <f>-SUMIFS('DRE 2025'!I:I,'DRE 2025'!B:B,'Resumo DRE 2 Outros'!A272,'DRE 2025'!H:H,'Resumo DRE 2 Outros'!C272,'DRE 2025'!A:A,'Resumo DRE 2 Outros'!D272)</f>
        <v>-17562.849999999999</v>
      </c>
      <c r="G272" s="445">
        <f>F272/F274</f>
        <v>-4.6620994090512312E-2</v>
      </c>
    </row>
    <row r="273" spans="1:7" x14ac:dyDescent="0.2">
      <c r="A273" s="453">
        <v>45778</v>
      </c>
      <c r="B273" s="446">
        <v>26</v>
      </c>
      <c r="C273" s="438" t="s">
        <v>480</v>
      </c>
      <c r="D273" s="452" t="s">
        <v>73</v>
      </c>
      <c r="E273" s="442" t="s">
        <v>505</v>
      </c>
      <c r="F273" s="442">
        <f>-SUMIFS('DRE 2025'!I:I,'DRE 2025'!B:B,'Resumo DRE 2 Outros'!A273,'DRE 2025'!H:H,'Resumo DRE 2 Outros'!C273,'DRE 2025'!A:A,'Resumo DRE 2 Outros'!D273)</f>
        <v>-597.16</v>
      </c>
      <c r="G273" s="445">
        <f>F273/F274</f>
        <v>-1.585175118565058E-3</v>
      </c>
    </row>
    <row r="274" spans="1:7" x14ac:dyDescent="0.2">
      <c r="A274" s="453">
        <v>45778</v>
      </c>
      <c r="B274" s="446">
        <v>27</v>
      </c>
      <c r="C274" s="438" t="s">
        <v>484</v>
      </c>
      <c r="D274" s="452" t="s">
        <v>73</v>
      </c>
      <c r="E274" s="442" t="s">
        <v>506</v>
      </c>
      <c r="F274" s="442">
        <f>SUM(F254:F273)</f>
        <v>376715.47642040002</v>
      </c>
      <c r="G274" s="445">
        <f>SUM(G254:G273)</f>
        <v>1</v>
      </c>
    </row>
    <row r="275" spans="1:7" x14ac:dyDescent="0.2">
      <c r="A275" s="453">
        <v>45809</v>
      </c>
      <c r="B275" s="446">
        <v>7</v>
      </c>
      <c r="C275" s="438" t="s">
        <v>340</v>
      </c>
      <c r="D275" s="452" t="s">
        <v>73</v>
      </c>
      <c r="E275" s="442" t="s">
        <v>486</v>
      </c>
      <c r="F275" s="442">
        <f>-SUMIFS('DRE 2025'!I:I,'DRE 2025'!B:B,'Resumo DRE 2 Outros'!A275,'DRE 2025'!H:H,'Resumo DRE 2 Outros'!C275,'DRE 2025'!A:A,'Resumo DRE 2 Outros'!D275)</f>
        <v>131593.70000000001</v>
      </c>
      <c r="G275" s="445">
        <f>F275/F295</f>
        <v>0.24326337254815494</v>
      </c>
    </row>
    <row r="276" spans="1:7" x14ac:dyDescent="0.2">
      <c r="A276" s="453">
        <v>45809</v>
      </c>
      <c r="B276" s="446">
        <v>8</v>
      </c>
      <c r="C276" s="438" t="s">
        <v>563</v>
      </c>
      <c r="D276" s="452" t="s">
        <v>73</v>
      </c>
      <c r="E276" s="442" t="s">
        <v>487</v>
      </c>
      <c r="F276" s="442">
        <f>-SUMIFS('DRE 2025'!I:I,'DRE 2025'!B:B,'Resumo DRE 2 Outros'!A276,'DRE 2025'!H:H,'Resumo DRE 2 Outros'!C276,'DRE 2025'!A:A,'Resumo DRE 2 Outros'!D276)</f>
        <v>0</v>
      </c>
      <c r="G276" s="445">
        <f>F276/F295</f>
        <v>0</v>
      </c>
    </row>
    <row r="277" spans="1:7" x14ac:dyDescent="0.2">
      <c r="A277" s="453">
        <v>45809</v>
      </c>
      <c r="B277" s="446">
        <v>9</v>
      </c>
      <c r="C277" s="438" t="s">
        <v>355</v>
      </c>
      <c r="D277" s="452" t="s">
        <v>73</v>
      </c>
      <c r="E277" s="442" t="s">
        <v>488</v>
      </c>
      <c r="F277" s="442">
        <f>-SUMIFS('DRE 2025'!I:I,'DRE 2025'!B:B,'Resumo DRE 2 Outros'!A277,'DRE 2025'!H:H,'Resumo DRE 2 Outros'!C277,'DRE 2025'!A:A,'Resumo DRE 2 Outros'!D277)</f>
        <v>73052.55</v>
      </c>
      <c r="G277" s="445">
        <f>F277/F295</f>
        <v>0.13504453242246944</v>
      </c>
    </row>
    <row r="278" spans="1:7" x14ac:dyDescent="0.2">
      <c r="A278" s="453">
        <v>45809</v>
      </c>
      <c r="B278" s="446">
        <v>10</v>
      </c>
      <c r="C278" s="449" t="s">
        <v>477</v>
      </c>
      <c r="D278" s="452" t="s">
        <v>73</v>
      </c>
      <c r="E278" s="442" t="s">
        <v>489</v>
      </c>
      <c r="F278" s="442">
        <f>-SUMIFS('DRE 2025'!I:I,'DRE 2025'!B:B,'Resumo DRE 2 Outros'!A278,'DRE 2025'!H:H,'Resumo DRE 2 Outros'!C278,'DRE 2025'!A:A,'Resumo DRE 2 Outros'!D278)</f>
        <v>65298.07</v>
      </c>
      <c r="G278" s="445">
        <f>F278/F295</f>
        <v>0.12070964437572239</v>
      </c>
    </row>
    <row r="279" spans="1:7" x14ac:dyDescent="0.2">
      <c r="A279" s="453">
        <v>45809</v>
      </c>
      <c r="B279" s="446">
        <v>11</v>
      </c>
      <c r="C279" s="438" t="s">
        <v>343</v>
      </c>
      <c r="D279" s="452" t="s">
        <v>73</v>
      </c>
      <c r="E279" s="442" t="s">
        <v>490</v>
      </c>
      <c r="F279" s="442">
        <f>-SUMIFS('DRE 2025'!I:I,'DRE 2025'!B:B,'Resumo DRE 2 Outros'!A279,'DRE 2025'!H:H,'Resumo DRE 2 Outros'!C279,'DRE 2025'!A:A,'Resumo DRE 2 Outros'!D279)</f>
        <v>73564.28</v>
      </c>
      <c r="G279" s="445">
        <f>F279/F295</f>
        <v>0.1359905136178767</v>
      </c>
    </row>
    <row r="280" spans="1:7" x14ac:dyDescent="0.2">
      <c r="A280" s="453">
        <v>45809</v>
      </c>
      <c r="B280" s="446">
        <v>12</v>
      </c>
      <c r="C280" s="438" t="s">
        <v>475</v>
      </c>
      <c r="D280" s="452" t="s">
        <v>73</v>
      </c>
      <c r="E280" s="442" t="s">
        <v>491</v>
      </c>
      <c r="F280" s="442">
        <f>-SUMIFS('DRE 2025'!I:I,'DRE 2025'!B:B,'Resumo DRE 2 Outros'!A280,'DRE 2025'!H:H,'Resumo DRE 2 Outros'!C280,'DRE 2025'!A:A,'Resumo DRE 2 Outros'!D280)</f>
        <v>35093.229999999996</v>
      </c>
      <c r="G280" s="445">
        <f>F280/F295</f>
        <v>6.4873147296626563E-2</v>
      </c>
    </row>
    <row r="281" spans="1:7" x14ac:dyDescent="0.2">
      <c r="A281" s="453">
        <v>45809</v>
      </c>
      <c r="B281" s="446">
        <v>13</v>
      </c>
      <c r="C281" s="438" t="s">
        <v>364</v>
      </c>
      <c r="D281" s="452" t="s">
        <v>73</v>
      </c>
      <c r="E281" s="442" t="s">
        <v>492</v>
      </c>
      <c r="F281" s="442">
        <f>-SUMIFS('DRE 2025'!I:I,'DRE 2025'!B:B,'Resumo DRE 2 Outros'!A281,'DRE 2025'!H:H,'Resumo DRE 2 Outros'!C281,'DRE 2025'!A:A,'Resumo DRE 2 Outros'!D281)</f>
        <v>32092.9664204</v>
      </c>
      <c r="G281" s="445">
        <f>F281/F295</f>
        <v>5.93268769439661E-2</v>
      </c>
    </row>
    <row r="282" spans="1:7" x14ac:dyDescent="0.2">
      <c r="A282" s="453">
        <v>45809</v>
      </c>
      <c r="B282" s="446">
        <v>14</v>
      </c>
      <c r="C282" s="438" t="s">
        <v>473</v>
      </c>
      <c r="D282" s="452" t="s">
        <v>73</v>
      </c>
      <c r="E282" s="442" t="s">
        <v>493</v>
      </c>
      <c r="F282" s="442">
        <f>-SUMIFS('DRE 2025'!I:I,'DRE 2025'!B:B,'Resumo DRE 2 Outros'!A282,'DRE 2025'!H:H,'Resumo DRE 2 Outros'!C282,'DRE 2025'!A:A,'Resumo DRE 2 Outros'!D282)</f>
        <v>35458.79</v>
      </c>
      <c r="G282" s="445">
        <f>F282/F295</f>
        <v>6.5548919453414498E-2</v>
      </c>
    </row>
    <row r="283" spans="1:7" x14ac:dyDescent="0.2">
      <c r="A283" s="453">
        <v>45809</v>
      </c>
      <c r="B283" s="446">
        <v>15</v>
      </c>
      <c r="C283" s="438" t="s">
        <v>329</v>
      </c>
      <c r="D283" s="452" t="s">
        <v>73</v>
      </c>
      <c r="E283" s="442" t="s">
        <v>494</v>
      </c>
      <c r="F283" s="442">
        <f>-SUMIFS('DRE 2025'!I:I,'DRE 2025'!B:B,'Resumo DRE 2 Outros'!A283,'DRE 2025'!H:H,'Resumo DRE 2 Outros'!C283,'DRE 2025'!A:A,'Resumo DRE 2 Outros'!D283)</f>
        <v>31.5</v>
      </c>
      <c r="G283" s="445">
        <f>F283/F295</f>
        <v>5.8230722559414933E-5</v>
      </c>
    </row>
    <row r="284" spans="1:7" x14ac:dyDescent="0.2">
      <c r="A284" s="453">
        <v>45809</v>
      </c>
      <c r="B284" s="446">
        <v>16</v>
      </c>
      <c r="C284" s="438" t="s">
        <v>481</v>
      </c>
      <c r="D284" s="452" t="s">
        <v>73</v>
      </c>
      <c r="E284" s="442" t="s">
        <v>495</v>
      </c>
      <c r="F284" s="442">
        <f>-SUMIFS('DRE 2025'!I:I,'DRE 2025'!B:B,'Resumo DRE 2 Outros'!A284,'DRE 2025'!H:H,'Resumo DRE 2 Outros'!C284,'DRE 2025'!A:A,'Resumo DRE 2 Outros'!D284)</f>
        <v>60796.63</v>
      </c>
      <c r="G284" s="445">
        <f>F284/F295</f>
        <v>0.11238830774848896</v>
      </c>
    </row>
    <row r="285" spans="1:7" x14ac:dyDescent="0.2">
      <c r="A285" s="453">
        <v>45809</v>
      </c>
      <c r="B285" s="446">
        <v>17</v>
      </c>
      <c r="C285" s="438" t="s">
        <v>478</v>
      </c>
      <c r="D285" s="452" t="s">
        <v>73</v>
      </c>
      <c r="E285" s="442" t="s">
        <v>496</v>
      </c>
      <c r="F285" s="442">
        <f>-SUMIFS('DRE 2025'!I:I,'DRE 2025'!B:B,'Resumo DRE 2 Outros'!A285,'DRE 2025'!H:H,'Resumo DRE 2 Outros'!C285,'DRE 2025'!A:A,'Resumo DRE 2 Outros'!D285)</f>
        <v>33537.25</v>
      </c>
      <c r="G285" s="445">
        <f>F285/F295</f>
        <v>6.19967714335155E-2</v>
      </c>
    </row>
    <row r="286" spans="1:7" x14ac:dyDescent="0.2">
      <c r="A286" s="453">
        <v>45809</v>
      </c>
      <c r="B286" s="446">
        <v>18</v>
      </c>
      <c r="C286" s="438" t="s">
        <v>474</v>
      </c>
      <c r="D286" s="452" t="s">
        <v>73</v>
      </c>
      <c r="E286" s="442" t="s">
        <v>497</v>
      </c>
      <c r="F286" s="442">
        <f>-SUMIFS('DRE 2025'!I:I,'DRE 2025'!B:B,'Resumo DRE 2 Outros'!A286,'DRE 2025'!H:H,'Resumo DRE 2 Outros'!C286,'DRE 2025'!A:A,'Resumo DRE 2 Outros'!D286)</f>
        <v>8552.3700000000008</v>
      </c>
      <c r="G286" s="445">
        <f>F286/F295</f>
        <v>1.580986300620519E-2</v>
      </c>
    </row>
    <row r="287" spans="1:7" x14ac:dyDescent="0.2">
      <c r="A287" s="453">
        <v>45809</v>
      </c>
      <c r="B287" s="446">
        <v>19</v>
      </c>
      <c r="C287" s="438" t="s">
        <v>476</v>
      </c>
      <c r="D287" s="452" t="s">
        <v>73</v>
      </c>
      <c r="E287" s="442" t="s">
        <v>498</v>
      </c>
      <c r="F287" s="442">
        <f>-SUMIFS('DRE 2025'!I:I,'DRE 2025'!B:B,'Resumo DRE 2 Outros'!A287,'DRE 2025'!H:H,'Resumo DRE 2 Outros'!C287,'DRE 2025'!A:A,'Resumo DRE 2 Outros'!D287)</f>
        <v>6240.99</v>
      </c>
      <c r="G287" s="445">
        <f>F287/F295</f>
        <v>1.1537058958288349E-2</v>
      </c>
    </row>
    <row r="288" spans="1:7" x14ac:dyDescent="0.2">
      <c r="A288" s="453">
        <v>45809</v>
      </c>
      <c r="B288" s="446">
        <v>20</v>
      </c>
      <c r="C288" s="438" t="s">
        <v>357</v>
      </c>
      <c r="D288" s="452" t="s">
        <v>73</v>
      </c>
      <c r="E288" s="442" t="s">
        <v>499</v>
      </c>
      <c r="F288" s="442">
        <f>-SUMIFS('DRE 2025'!I:I,'DRE 2025'!B:B,'Resumo DRE 2 Outros'!A288,'DRE 2025'!H:H,'Resumo DRE 2 Outros'!C288,'DRE 2025'!A:A,'Resumo DRE 2 Outros'!D288)</f>
        <v>0</v>
      </c>
      <c r="G288" s="445">
        <f>F288/F295</f>
        <v>0</v>
      </c>
    </row>
    <row r="289" spans="1:7" x14ac:dyDescent="0.2">
      <c r="A289" s="453">
        <v>45809</v>
      </c>
      <c r="B289" s="446">
        <v>21</v>
      </c>
      <c r="C289" s="438" t="s">
        <v>330</v>
      </c>
      <c r="D289" s="452" t="s">
        <v>73</v>
      </c>
      <c r="E289" s="442" t="s">
        <v>500</v>
      </c>
      <c r="F289" s="442">
        <f>-SUMIFS('DRE 2025'!I:I,'DRE 2025'!B:B,'Resumo DRE 2 Outros'!A289,'DRE 2025'!H:H,'Resumo DRE 2 Outros'!C289,'DRE 2025'!A:A,'Resumo DRE 2 Outros'!D289)</f>
        <v>0</v>
      </c>
      <c r="G289" s="445">
        <f>F289/F295</f>
        <v>0</v>
      </c>
    </row>
    <row r="290" spans="1:7" x14ac:dyDescent="0.2">
      <c r="A290" s="453">
        <v>45809</v>
      </c>
      <c r="B290" s="446">
        <v>22</v>
      </c>
      <c r="C290" s="438" t="s">
        <v>521</v>
      </c>
      <c r="D290" s="452" t="s">
        <v>73</v>
      </c>
      <c r="E290" s="442" t="s">
        <v>501</v>
      </c>
      <c r="F290" s="442">
        <f>-SUMIFS('DRE 2025'!I:I,'DRE 2025'!B:B,'Resumo DRE 2 Outros'!A290,'DRE 2025'!H:H,'Resumo DRE 2 Outros'!C290,'DRE 2025'!A:A,'Resumo DRE 2 Outros'!D290)</f>
        <v>9252.07</v>
      </c>
      <c r="G290" s="445">
        <f>F290/F295</f>
        <v>1.7103324484770987E-2</v>
      </c>
    </row>
    <row r="291" spans="1:7" x14ac:dyDescent="0.2">
      <c r="A291" s="453">
        <v>45809</v>
      </c>
      <c r="B291" s="446">
        <v>23</v>
      </c>
      <c r="C291" s="438" t="s">
        <v>331</v>
      </c>
      <c r="D291" s="452" t="s">
        <v>73</v>
      </c>
      <c r="E291" s="442" t="s">
        <v>502</v>
      </c>
      <c r="F291" s="442">
        <f>-SUMIFS('DRE 2025'!I:I,'DRE 2025'!B:B,'Resumo DRE 2 Outros'!A291,'DRE 2025'!H:H,'Resumo DRE 2 Outros'!C291,'DRE 2025'!A:A,'Resumo DRE 2 Outros'!D291)</f>
        <v>0.41</v>
      </c>
      <c r="G291" s="445">
        <f>F291/F295</f>
        <v>7.5792369045587678E-7</v>
      </c>
    </row>
    <row r="292" spans="1:7" x14ac:dyDescent="0.2">
      <c r="A292" s="453">
        <v>45809</v>
      </c>
      <c r="B292" s="446">
        <v>24</v>
      </c>
      <c r="C292" s="438" t="s">
        <v>520</v>
      </c>
      <c r="D292" s="452" t="s">
        <v>73</v>
      </c>
      <c r="E292" s="442" t="s">
        <v>503</v>
      </c>
      <c r="F292" s="442">
        <f>-SUMIFS('DRE 2025'!I:I,'DRE 2025'!B:B,'Resumo DRE 2 Outros'!A292,'DRE 2025'!H:H,'Resumo DRE 2 Outros'!C292,'DRE 2025'!A:A,'Resumo DRE 2 Outros'!D292)</f>
        <v>0</v>
      </c>
      <c r="G292" s="445">
        <f>F292/F295</f>
        <v>0</v>
      </c>
    </row>
    <row r="293" spans="1:7" x14ac:dyDescent="0.2">
      <c r="A293" s="453">
        <v>45809</v>
      </c>
      <c r="B293" s="446">
        <v>25</v>
      </c>
      <c r="C293" s="438" t="s">
        <v>479</v>
      </c>
      <c r="D293" s="452" t="s">
        <v>73</v>
      </c>
      <c r="E293" s="442" t="s">
        <v>504</v>
      </c>
      <c r="F293" s="442">
        <f>-SUMIFS('DRE 2025'!I:I,'DRE 2025'!B:B,'Resumo DRE 2 Outros'!A293,'DRE 2025'!H:H,'Resumo DRE 2 Outros'!C293,'DRE 2025'!A:A,'Resumo DRE 2 Outros'!D293)</f>
        <v>0</v>
      </c>
      <c r="G293" s="445">
        <f>F293/F295</f>
        <v>0</v>
      </c>
    </row>
    <row r="294" spans="1:7" x14ac:dyDescent="0.2">
      <c r="A294" s="453">
        <v>45809</v>
      </c>
      <c r="B294" s="446">
        <v>26</v>
      </c>
      <c r="C294" s="438" t="s">
        <v>480</v>
      </c>
      <c r="D294" s="452" t="s">
        <v>73</v>
      </c>
      <c r="E294" s="442" t="s">
        <v>505</v>
      </c>
      <c r="F294" s="442">
        <f>-SUMIFS('DRE 2025'!I:I,'DRE 2025'!B:B,'Resumo DRE 2 Outros'!A294,'DRE 2025'!H:H,'Resumo DRE 2 Outros'!C294,'DRE 2025'!A:A,'Resumo DRE 2 Outros'!D294)</f>
        <v>-23613.25</v>
      </c>
      <c r="G294" s="445">
        <f>F294/F295</f>
        <v>-4.3651320935749353E-2</v>
      </c>
    </row>
    <row r="295" spans="1:7" x14ac:dyDescent="0.2">
      <c r="A295" s="453">
        <v>45809</v>
      </c>
      <c r="B295" s="446">
        <v>27</v>
      </c>
      <c r="C295" s="438" t="s">
        <v>484</v>
      </c>
      <c r="D295" s="452" t="s">
        <v>73</v>
      </c>
      <c r="E295" s="442" t="s">
        <v>506</v>
      </c>
      <c r="F295" s="442">
        <f>SUM(F275:F294)</f>
        <v>540951.55642039992</v>
      </c>
      <c r="G295" s="445">
        <f>SUM(G275:G294)</f>
        <v>1</v>
      </c>
    </row>
    <row r="296" spans="1:7" x14ac:dyDescent="0.2">
      <c r="A296" s="453">
        <v>45839</v>
      </c>
      <c r="B296" s="446">
        <v>7</v>
      </c>
      <c r="C296" s="438" t="s">
        <v>340</v>
      </c>
      <c r="D296" s="452" t="s">
        <v>73</v>
      </c>
      <c r="E296" s="442" t="s">
        <v>486</v>
      </c>
      <c r="F296" s="442">
        <f>-SUMIFS('DRE 2025'!I:I,'DRE 2025'!B:B,'Resumo DRE 2 Outros'!A296,'DRE 2025'!H:H,'Resumo DRE 2 Outros'!C296,'DRE 2025'!A:A,'Resumo DRE 2 Outros'!D296)</f>
        <v>30931.199999999997</v>
      </c>
      <c r="G296" s="445">
        <f>F296/F316</f>
        <v>7.1396210685411812E-2</v>
      </c>
    </row>
    <row r="297" spans="1:7" x14ac:dyDescent="0.2">
      <c r="A297" s="453">
        <v>45839</v>
      </c>
      <c r="B297" s="446">
        <v>8</v>
      </c>
      <c r="C297" s="438" t="s">
        <v>563</v>
      </c>
      <c r="D297" s="452" t="s">
        <v>73</v>
      </c>
      <c r="E297" s="442" t="s">
        <v>487</v>
      </c>
      <c r="F297" s="442">
        <f>-SUMIFS('DRE 2025'!I:I,'DRE 2025'!B:B,'Resumo DRE 2 Outros'!A297,'DRE 2025'!H:H,'Resumo DRE 2 Outros'!C297,'DRE 2025'!A:A,'Resumo DRE 2 Outros'!D297)</f>
        <v>0</v>
      </c>
      <c r="G297" s="445">
        <f>F297/F316</f>
        <v>0</v>
      </c>
    </row>
    <row r="298" spans="1:7" x14ac:dyDescent="0.2">
      <c r="A298" s="453">
        <v>45839</v>
      </c>
      <c r="B298" s="446">
        <v>9</v>
      </c>
      <c r="C298" s="438" t="s">
        <v>355</v>
      </c>
      <c r="D298" s="452" t="s">
        <v>73</v>
      </c>
      <c r="E298" s="442" t="s">
        <v>488</v>
      </c>
      <c r="F298" s="442">
        <f>-SUMIFS('DRE 2025'!I:I,'DRE 2025'!B:B,'Resumo DRE 2 Outros'!A298,'DRE 2025'!H:H,'Resumo DRE 2 Outros'!C298,'DRE 2025'!A:A,'Resumo DRE 2 Outros'!D298)</f>
        <v>79528.5</v>
      </c>
      <c r="G298" s="445">
        <f>F298/F316</f>
        <v>0.1835697787830661</v>
      </c>
    </row>
    <row r="299" spans="1:7" x14ac:dyDescent="0.2">
      <c r="A299" s="453">
        <v>45839</v>
      </c>
      <c r="B299" s="446">
        <v>10</v>
      </c>
      <c r="C299" s="449" t="s">
        <v>477</v>
      </c>
      <c r="D299" s="452" t="s">
        <v>73</v>
      </c>
      <c r="E299" s="442" t="s">
        <v>489</v>
      </c>
      <c r="F299" s="442">
        <f>-SUMIFS('DRE 2025'!I:I,'DRE 2025'!B:B,'Resumo DRE 2 Outros'!A299,'DRE 2025'!H:H,'Resumo DRE 2 Outros'!C299,'DRE 2025'!A:A,'Resumo DRE 2 Outros'!D299)</f>
        <v>64024.160000000003</v>
      </c>
      <c r="G299" s="445">
        <f>F299/F316</f>
        <v>0.14778225275180132</v>
      </c>
    </row>
    <row r="300" spans="1:7" x14ac:dyDescent="0.2">
      <c r="A300" s="453">
        <v>45839</v>
      </c>
      <c r="B300" s="446">
        <v>11</v>
      </c>
      <c r="C300" s="438" t="s">
        <v>343</v>
      </c>
      <c r="D300" s="452" t="s">
        <v>73</v>
      </c>
      <c r="E300" s="442" t="s">
        <v>490</v>
      </c>
      <c r="F300" s="442">
        <f>-SUMIFS('DRE 2025'!I:I,'DRE 2025'!B:B,'Resumo DRE 2 Outros'!A300,'DRE 2025'!H:H,'Resumo DRE 2 Outros'!C300,'DRE 2025'!A:A,'Resumo DRE 2 Outros'!D300)</f>
        <v>68126.460000000006</v>
      </c>
      <c r="G300" s="445">
        <f>F300/F316</f>
        <v>0.15725128968198071</v>
      </c>
    </row>
    <row r="301" spans="1:7" x14ac:dyDescent="0.2">
      <c r="A301" s="453">
        <v>45839</v>
      </c>
      <c r="B301" s="446">
        <v>12</v>
      </c>
      <c r="C301" s="438" t="s">
        <v>475</v>
      </c>
      <c r="D301" s="452" t="s">
        <v>73</v>
      </c>
      <c r="E301" s="442" t="s">
        <v>491</v>
      </c>
      <c r="F301" s="442">
        <f>-SUMIFS('DRE 2025'!I:I,'DRE 2025'!B:B,'Resumo DRE 2 Outros'!A301,'DRE 2025'!H:H,'Resumo DRE 2 Outros'!C301,'DRE 2025'!A:A,'Resumo DRE 2 Outros'!D301)</f>
        <v>63291.359999999993</v>
      </c>
      <c r="G301" s="445">
        <f>F301/F316</f>
        <v>0.14609078448706309</v>
      </c>
    </row>
    <row r="302" spans="1:7" x14ac:dyDescent="0.2">
      <c r="A302" s="453">
        <v>45839</v>
      </c>
      <c r="B302" s="446">
        <v>13</v>
      </c>
      <c r="C302" s="438" t="s">
        <v>364</v>
      </c>
      <c r="D302" s="452" t="s">
        <v>73</v>
      </c>
      <c r="E302" s="442" t="s">
        <v>492</v>
      </c>
      <c r="F302" s="442">
        <f>-SUMIFS('DRE 2025'!I:I,'DRE 2025'!B:B,'Resumo DRE 2 Outros'!A302,'DRE 2025'!H:H,'Resumo DRE 2 Outros'!C302,'DRE 2025'!A:A,'Resumo DRE 2 Outros'!D302)</f>
        <v>32092.9664204</v>
      </c>
      <c r="G302" s="445">
        <f>F302/F316</f>
        <v>7.407783054232378E-2</v>
      </c>
    </row>
    <row r="303" spans="1:7" x14ac:dyDescent="0.2">
      <c r="A303" s="453">
        <v>45839</v>
      </c>
      <c r="B303" s="446">
        <v>14</v>
      </c>
      <c r="C303" s="438" t="s">
        <v>473</v>
      </c>
      <c r="D303" s="452" t="s">
        <v>73</v>
      </c>
      <c r="E303" s="442" t="s">
        <v>493</v>
      </c>
      <c r="F303" s="442">
        <f>-SUMIFS('DRE 2025'!I:I,'DRE 2025'!B:B,'Resumo DRE 2 Outros'!A303,'DRE 2025'!H:H,'Resumo DRE 2 Outros'!C303,'DRE 2025'!A:A,'Resumo DRE 2 Outros'!D303)</f>
        <v>34319.300000000003</v>
      </c>
      <c r="G303" s="445">
        <f>F303/F316</f>
        <v>7.9216712360847763E-2</v>
      </c>
    </row>
    <row r="304" spans="1:7" x14ac:dyDescent="0.2">
      <c r="A304" s="453">
        <v>45839</v>
      </c>
      <c r="B304" s="446">
        <v>15</v>
      </c>
      <c r="C304" s="438" t="s">
        <v>329</v>
      </c>
      <c r="D304" s="452" t="s">
        <v>73</v>
      </c>
      <c r="E304" s="442" t="s">
        <v>494</v>
      </c>
      <c r="F304" s="442">
        <f>-SUMIFS('DRE 2025'!I:I,'DRE 2025'!B:B,'Resumo DRE 2 Outros'!A304,'DRE 2025'!H:H,'Resumo DRE 2 Outros'!C304,'DRE 2025'!A:A,'Resumo DRE 2 Outros'!D304)</f>
        <v>0</v>
      </c>
      <c r="G304" s="445">
        <f>F304/F316</f>
        <v>0</v>
      </c>
    </row>
    <row r="305" spans="1:7" x14ac:dyDescent="0.2">
      <c r="A305" s="453">
        <v>45839</v>
      </c>
      <c r="B305" s="446">
        <v>16</v>
      </c>
      <c r="C305" s="438" t="s">
        <v>481</v>
      </c>
      <c r="D305" s="452" t="s">
        <v>73</v>
      </c>
      <c r="E305" s="442" t="s">
        <v>495</v>
      </c>
      <c r="F305" s="442">
        <f>-SUMIFS('DRE 2025'!I:I,'DRE 2025'!B:B,'Resumo DRE 2 Outros'!A305,'DRE 2025'!H:H,'Resumo DRE 2 Outros'!C305,'DRE 2025'!A:A,'Resumo DRE 2 Outros'!D305)</f>
        <v>29196.04</v>
      </c>
      <c r="G305" s="445">
        <f>F305/F316</f>
        <v>6.7391068662700157E-2</v>
      </c>
    </row>
    <row r="306" spans="1:7" x14ac:dyDescent="0.2">
      <c r="A306" s="453">
        <v>45839</v>
      </c>
      <c r="B306" s="446">
        <v>17</v>
      </c>
      <c r="C306" s="438" t="s">
        <v>478</v>
      </c>
      <c r="D306" s="452" t="s">
        <v>73</v>
      </c>
      <c r="E306" s="442" t="s">
        <v>496</v>
      </c>
      <c r="F306" s="442">
        <f>-SUMIFS('DRE 2025'!I:I,'DRE 2025'!B:B,'Resumo DRE 2 Outros'!A306,'DRE 2025'!H:H,'Resumo DRE 2 Outros'!C306,'DRE 2025'!A:A,'Resumo DRE 2 Outros'!D306)</f>
        <v>32443.43</v>
      </c>
      <c r="G306" s="445">
        <f>F306/F316</f>
        <v>7.4886779809299683E-2</v>
      </c>
    </row>
    <row r="307" spans="1:7" x14ac:dyDescent="0.2">
      <c r="A307" s="453">
        <v>45839</v>
      </c>
      <c r="B307" s="446">
        <v>18</v>
      </c>
      <c r="C307" s="438" t="s">
        <v>474</v>
      </c>
      <c r="D307" s="452" t="s">
        <v>73</v>
      </c>
      <c r="E307" s="442" t="s">
        <v>497</v>
      </c>
      <c r="F307" s="442">
        <f>-SUMIFS('DRE 2025'!I:I,'DRE 2025'!B:B,'Resumo DRE 2 Outros'!A307,'DRE 2025'!H:H,'Resumo DRE 2 Outros'!C307,'DRE 2025'!A:A,'Resumo DRE 2 Outros'!D307)</f>
        <v>10680.49</v>
      </c>
      <c r="G307" s="445">
        <f>F307/F316</f>
        <v>2.4652988382714996E-2</v>
      </c>
    </row>
    <row r="308" spans="1:7" x14ac:dyDescent="0.2">
      <c r="A308" s="453">
        <v>45839</v>
      </c>
      <c r="B308" s="446">
        <v>19</v>
      </c>
      <c r="C308" s="438" t="s">
        <v>476</v>
      </c>
      <c r="D308" s="452" t="s">
        <v>73</v>
      </c>
      <c r="E308" s="442" t="s">
        <v>498</v>
      </c>
      <c r="F308" s="442">
        <f>-SUMIFS('DRE 2025'!I:I,'DRE 2025'!B:B,'Resumo DRE 2 Outros'!A308,'DRE 2025'!H:H,'Resumo DRE 2 Outros'!C308,'DRE 2025'!A:A,'Resumo DRE 2 Outros'!D308)</f>
        <v>7958.13</v>
      </c>
      <c r="G308" s="445">
        <f>F308/F316</f>
        <v>1.8369165313401884E-2</v>
      </c>
    </row>
    <row r="309" spans="1:7" x14ac:dyDescent="0.2">
      <c r="A309" s="453">
        <v>45839</v>
      </c>
      <c r="B309" s="446">
        <v>20</v>
      </c>
      <c r="C309" s="438" t="s">
        <v>357</v>
      </c>
      <c r="D309" s="452" t="s">
        <v>73</v>
      </c>
      <c r="E309" s="442" t="s">
        <v>499</v>
      </c>
      <c r="F309" s="442">
        <f>-SUMIFS('DRE 2025'!I:I,'DRE 2025'!B:B,'Resumo DRE 2 Outros'!A309,'DRE 2025'!H:H,'Resumo DRE 2 Outros'!C309,'DRE 2025'!A:A,'Resumo DRE 2 Outros'!D309)</f>
        <v>0</v>
      </c>
      <c r="G309" s="445">
        <f>F309/F316</f>
        <v>0</v>
      </c>
    </row>
    <row r="310" spans="1:7" x14ac:dyDescent="0.2">
      <c r="A310" s="453">
        <v>45839</v>
      </c>
      <c r="B310" s="446">
        <v>21</v>
      </c>
      <c r="C310" s="438" t="s">
        <v>330</v>
      </c>
      <c r="D310" s="452" t="s">
        <v>73</v>
      </c>
      <c r="E310" s="442" t="s">
        <v>500</v>
      </c>
      <c r="F310" s="442">
        <f>-SUMIFS('DRE 2025'!I:I,'DRE 2025'!B:B,'Resumo DRE 2 Outros'!A310,'DRE 2025'!H:H,'Resumo DRE 2 Outros'!C310,'DRE 2025'!A:A,'Resumo DRE 2 Outros'!D310)</f>
        <v>0</v>
      </c>
      <c r="G310" s="445">
        <f>F310/F316</f>
        <v>0</v>
      </c>
    </row>
    <row r="311" spans="1:7" x14ac:dyDescent="0.2">
      <c r="A311" s="453">
        <v>45839</v>
      </c>
      <c r="B311" s="446">
        <v>22</v>
      </c>
      <c r="C311" s="438" t="s">
        <v>521</v>
      </c>
      <c r="D311" s="452" t="s">
        <v>73</v>
      </c>
      <c r="E311" s="442" t="s">
        <v>501</v>
      </c>
      <c r="F311" s="442">
        <f>-SUMIFS('DRE 2025'!I:I,'DRE 2025'!B:B,'Resumo DRE 2 Outros'!A311,'DRE 2025'!H:H,'Resumo DRE 2 Outros'!C311,'DRE 2025'!A:A,'Resumo DRE 2 Outros'!D311)</f>
        <v>5240.53</v>
      </c>
      <c r="G311" s="445">
        <f>F311/F316</f>
        <v>1.2096329401485272E-2</v>
      </c>
    </row>
    <row r="312" spans="1:7" x14ac:dyDescent="0.2">
      <c r="A312" s="453">
        <v>45839</v>
      </c>
      <c r="B312" s="446">
        <v>23</v>
      </c>
      <c r="C312" s="438" t="s">
        <v>331</v>
      </c>
      <c r="D312" s="452" t="s">
        <v>73</v>
      </c>
      <c r="E312" s="442" t="s">
        <v>502</v>
      </c>
      <c r="F312" s="442">
        <f>-SUMIFS('DRE 2025'!I:I,'DRE 2025'!B:B,'Resumo DRE 2 Outros'!A312,'DRE 2025'!H:H,'Resumo DRE 2 Outros'!C312,'DRE 2025'!A:A,'Resumo DRE 2 Outros'!D312)</f>
        <v>0.06</v>
      </c>
      <c r="G312" s="445">
        <f>F312/F316</f>
        <v>1.3849358062812661E-7</v>
      </c>
    </row>
    <row r="313" spans="1:7" x14ac:dyDescent="0.2">
      <c r="A313" s="453">
        <v>45839</v>
      </c>
      <c r="B313" s="446">
        <v>24</v>
      </c>
      <c r="C313" s="438" t="s">
        <v>520</v>
      </c>
      <c r="D313" s="452" t="s">
        <v>73</v>
      </c>
      <c r="E313" s="442" t="s">
        <v>503</v>
      </c>
      <c r="F313" s="442">
        <f>-SUMIFS('DRE 2025'!I:I,'DRE 2025'!B:B,'Resumo DRE 2 Outros'!A313,'DRE 2025'!H:H,'Resumo DRE 2 Outros'!C313,'DRE 2025'!A:A,'Resumo DRE 2 Outros'!D313)</f>
        <v>0</v>
      </c>
      <c r="G313" s="445">
        <f>F313/F316</f>
        <v>0</v>
      </c>
    </row>
    <row r="314" spans="1:7" x14ac:dyDescent="0.2">
      <c r="A314" s="453">
        <v>45839</v>
      </c>
      <c r="B314" s="446">
        <v>25</v>
      </c>
      <c r="C314" s="438" t="s">
        <v>479</v>
      </c>
      <c r="D314" s="452" t="s">
        <v>73</v>
      </c>
      <c r="E314" s="442" t="s">
        <v>504</v>
      </c>
      <c r="F314" s="442">
        <f>-SUMIFS('DRE 2025'!I:I,'DRE 2025'!B:B,'Resumo DRE 2 Outros'!A314,'DRE 2025'!H:H,'Resumo DRE 2 Outros'!C314,'DRE 2025'!A:A,'Resumo DRE 2 Outros'!D314)</f>
        <v>0</v>
      </c>
      <c r="G314" s="445">
        <f>F314/F316</f>
        <v>0</v>
      </c>
    </row>
    <row r="315" spans="1:7" x14ac:dyDescent="0.2">
      <c r="A315" s="453">
        <v>45839</v>
      </c>
      <c r="B315" s="446">
        <v>26</v>
      </c>
      <c r="C315" s="438" t="s">
        <v>480</v>
      </c>
      <c r="D315" s="452" t="s">
        <v>73</v>
      </c>
      <c r="E315" s="442" t="s">
        <v>505</v>
      </c>
      <c r="F315" s="442">
        <f>-SUMIFS('DRE 2025'!I:I,'DRE 2025'!B:B,'Resumo DRE 2 Outros'!A315,'DRE 2025'!H:H,'Resumo DRE 2 Outros'!C315,'DRE 2025'!A:A,'Resumo DRE 2 Outros'!D315)</f>
        <v>-24599.55</v>
      </c>
      <c r="G315" s="445">
        <f>F315/F316</f>
        <v>-5.6781329355677194E-2</v>
      </c>
    </row>
    <row r="316" spans="1:7" x14ac:dyDescent="0.2">
      <c r="A316" s="453">
        <v>45839</v>
      </c>
      <c r="B316" s="446">
        <v>27</v>
      </c>
      <c r="C316" s="438" t="s">
        <v>484</v>
      </c>
      <c r="D316" s="452" t="s">
        <v>73</v>
      </c>
      <c r="E316" s="442" t="s">
        <v>506</v>
      </c>
      <c r="F316" s="442">
        <f>SUM(F296:F315)</f>
        <v>433233.0764204</v>
      </c>
      <c r="G316" s="445">
        <f>SUM(G296:G315)</f>
        <v>1</v>
      </c>
    </row>
    <row r="317" spans="1:7" x14ac:dyDescent="0.2">
      <c r="A317" s="453">
        <v>45870</v>
      </c>
      <c r="B317" s="446">
        <v>7</v>
      </c>
      <c r="C317" s="438" t="s">
        <v>340</v>
      </c>
      <c r="D317" s="452" t="s">
        <v>73</v>
      </c>
      <c r="E317" s="442" t="s">
        <v>486</v>
      </c>
      <c r="F317" s="442">
        <f>-SUMIFS('DRE 2025'!I:I,'DRE 2025'!B:B,'Resumo DRE 2 Outros'!A317,'DRE 2025'!H:H,'Resumo DRE 2 Outros'!C317,'DRE 2025'!A:A,'Resumo DRE 2 Outros'!D317)</f>
        <v>20964.84</v>
      </c>
      <c r="G317" s="445">
        <f>F317/F337</f>
        <v>5.4056432286177798E-2</v>
      </c>
    </row>
    <row r="318" spans="1:7" x14ac:dyDescent="0.2">
      <c r="A318" s="453">
        <v>45870</v>
      </c>
      <c r="B318" s="446">
        <v>8</v>
      </c>
      <c r="C318" s="438" t="s">
        <v>563</v>
      </c>
      <c r="D318" s="452" t="s">
        <v>73</v>
      </c>
      <c r="E318" s="442" t="s">
        <v>487</v>
      </c>
      <c r="F318" s="442">
        <f>-SUMIFS('DRE 2025'!I:I,'DRE 2025'!B:B,'Resumo DRE 2 Outros'!A318,'DRE 2025'!H:H,'Resumo DRE 2 Outros'!C318,'DRE 2025'!A:A,'Resumo DRE 2 Outros'!D318)</f>
        <v>0</v>
      </c>
      <c r="G318" s="445">
        <f>F318/F337</f>
        <v>0</v>
      </c>
    </row>
    <row r="319" spans="1:7" x14ac:dyDescent="0.2">
      <c r="A319" s="453">
        <v>45870</v>
      </c>
      <c r="B319" s="446">
        <v>9</v>
      </c>
      <c r="C319" s="438" t="s">
        <v>355</v>
      </c>
      <c r="D319" s="452" t="s">
        <v>73</v>
      </c>
      <c r="E319" s="442" t="s">
        <v>488</v>
      </c>
      <c r="F319" s="442">
        <f>-SUMIFS('DRE 2025'!I:I,'DRE 2025'!B:B,'Resumo DRE 2 Outros'!A319,'DRE 2025'!H:H,'Resumo DRE 2 Outros'!C319,'DRE 2025'!A:A,'Resumo DRE 2 Outros'!D319)</f>
        <v>58336.51</v>
      </c>
      <c r="G319" s="445">
        <f>F319/F337</f>
        <v>0.15041677411451429</v>
      </c>
    </row>
    <row r="320" spans="1:7" x14ac:dyDescent="0.2">
      <c r="A320" s="453">
        <v>45870</v>
      </c>
      <c r="B320" s="446">
        <v>10</v>
      </c>
      <c r="C320" s="449" t="s">
        <v>477</v>
      </c>
      <c r="D320" s="452" t="s">
        <v>73</v>
      </c>
      <c r="E320" s="442" t="s">
        <v>489</v>
      </c>
      <c r="F320" s="442">
        <f>-SUMIFS('DRE 2025'!I:I,'DRE 2025'!B:B,'Resumo DRE 2 Outros'!A320,'DRE 2025'!H:H,'Resumo DRE 2 Outros'!C320,'DRE 2025'!A:A,'Resumo DRE 2 Outros'!D320)</f>
        <v>64368.57</v>
      </c>
      <c r="G320" s="445">
        <f>F320/F337</f>
        <v>0.16597003581058073</v>
      </c>
    </row>
    <row r="321" spans="1:7" x14ac:dyDescent="0.2">
      <c r="A321" s="453">
        <v>45870</v>
      </c>
      <c r="B321" s="446">
        <v>11</v>
      </c>
      <c r="C321" s="438" t="s">
        <v>343</v>
      </c>
      <c r="D321" s="452" t="s">
        <v>73</v>
      </c>
      <c r="E321" s="442" t="s">
        <v>490</v>
      </c>
      <c r="F321" s="442">
        <f>-SUMIFS('DRE 2025'!I:I,'DRE 2025'!B:B,'Resumo DRE 2 Outros'!A321,'DRE 2025'!H:H,'Resumo DRE 2 Outros'!C321,'DRE 2025'!A:A,'Resumo DRE 2 Outros'!D321)</f>
        <v>94822.42</v>
      </c>
      <c r="G321" s="445">
        <f>F321/F337</f>
        <v>0.24449324325592328</v>
      </c>
    </row>
    <row r="322" spans="1:7" x14ac:dyDescent="0.2">
      <c r="A322" s="453">
        <v>45870</v>
      </c>
      <c r="B322" s="446">
        <v>12</v>
      </c>
      <c r="C322" s="438" t="s">
        <v>475</v>
      </c>
      <c r="D322" s="452" t="s">
        <v>73</v>
      </c>
      <c r="E322" s="442" t="s">
        <v>491</v>
      </c>
      <c r="F322" s="442">
        <f>-SUMIFS('DRE 2025'!I:I,'DRE 2025'!B:B,'Resumo DRE 2 Outros'!A322,'DRE 2025'!H:H,'Resumo DRE 2 Outros'!C322,'DRE 2025'!A:A,'Resumo DRE 2 Outros'!D322)</f>
        <v>43428.369999999995</v>
      </c>
      <c r="G322" s="445">
        <f>F322/F337</f>
        <v>0.1119771361099858</v>
      </c>
    </row>
    <row r="323" spans="1:7" x14ac:dyDescent="0.2">
      <c r="A323" s="453">
        <v>45870</v>
      </c>
      <c r="B323" s="446">
        <v>13</v>
      </c>
      <c r="C323" s="438" t="s">
        <v>364</v>
      </c>
      <c r="D323" s="452" t="s">
        <v>73</v>
      </c>
      <c r="E323" s="442" t="s">
        <v>492</v>
      </c>
      <c r="F323" s="442">
        <f>-SUMIFS('DRE 2025'!I:I,'DRE 2025'!B:B,'Resumo DRE 2 Outros'!A323,'DRE 2025'!H:H,'Resumo DRE 2 Outros'!C323,'DRE 2025'!A:A,'Resumo DRE 2 Outros'!D323)</f>
        <v>32092.9664204</v>
      </c>
      <c r="G323" s="445">
        <f>F323/F337</f>
        <v>8.2749559079245555E-2</v>
      </c>
    </row>
    <row r="324" spans="1:7" x14ac:dyDescent="0.2">
      <c r="A324" s="453">
        <v>45870</v>
      </c>
      <c r="B324" s="446">
        <v>14</v>
      </c>
      <c r="C324" s="438" t="s">
        <v>473</v>
      </c>
      <c r="D324" s="452" t="s">
        <v>73</v>
      </c>
      <c r="E324" s="442" t="s">
        <v>493</v>
      </c>
      <c r="F324" s="442">
        <f>-SUMIFS('DRE 2025'!I:I,'DRE 2025'!B:B,'Resumo DRE 2 Outros'!A324,'DRE 2025'!H:H,'Resumo DRE 2 Outros'!C324,'DRE 2025'!A:A,'Resumo DRE 2 Outros'!D324)</f>
        <v>14345.43</v>
      </c>
      <c r="G324" s="445">
        <f>F324/F337</f>
        <v>3.698872805187655E-2</v>
      </c>
    </row>
    <row r="325" spans="1:7" x14ac:dyDescent="0.2">
      <c r="A325" s="453">
        <v>45870</v>
      </c>
      <c r="B325" s="446">
        <v>15</v>
      </c>
      <c r="C325" s="438" t="s">
        <v>329</v>
      </c>
      <c r="D325" s="452" t="s">
        <v>73</v>
      </c>
      <c r="E325" s="442" t="s">
        <v>494</v>
      </c>
      <c r="F325" s="442">
        <f>-SUMIFS('DRE 2025'!I:I,'DRE 2025'!B:B,'Resumo DRE 2 Outros'!A325,'DRE 2025'!H:H,'Resumo DRE 2 Outros'!C325,'DRE 2025'!A:A,'Resumo DRE 2 Outros'!D325)</f>
        <v>0</v>
      </c>
      <c r="G325" s="445">
        <f>F325/F337</f>
        <v>0</v>
      </c>
    </row>
    <row r="326" spans="1:7" x14ac:dyDescent="0.2">
      <c r="A326" s="453">
        <v>45870</v>
      </c>
      <c r="B326" s="446">
        <v>16</v>
      </c>
      <c r="C326" s="438" t="s">
        <v>481</v>
      </c>
      <c r="D326" s="452" t="s">
        <v>73</v>
      </c>
      <c r="E326" s="442" t="s">
        <v>495</v>
      </c>
      <c r="F326" s="442">
        <f>-SUMIFS('DRE 2025'!I:I,'DRE 2025'!B:B,'Resumo DRE 2 Outros'!A326,'DRE 2025'!H:H,'Resumo DRE 2 Outros'!C326,'DRE 2025'!A:A,'Resumo DRE 2 Outros'!D326)</f>
        <v>29558.58</v>
      </c>
      <c r="G326" s="445">
        <f>F326/F337</f>
        <v>7.6214813861950267E-2</v>
      </c>
    </row>
    <row r="327" spans="1:7" x14ac:dyDescent="0.2">
      <c r="A327" s="453">
        <v>45870</v>
      </c>
      <c r="B327" s="446">
        <v>17</v>
      </c>
      <c r="C327" s="438" t="s">
        <v>478</v>
      </c>
      <c r="D327" s="452" t="s">
        <v>73</v>
      </c>
      <c r="E327" s="442" t="s">
        <v>496</v>
      </c>
      <c r="F327" s="442">
        <f>-SUMIFS('DRE 2025'!I:I,'DRE 2025'!B:B,'Resumo DRE 2 Outros'!A327,'DRE 2025'!H:H,'Resumo DRE 2 Outros'!C327,'DRE 2025'!A:A,'Resumo DRE 2 Outros'!D327)</f>
        <v>32446.79</v>
      </c>
      <c r="G327" s="445">
        <f>F327/F337</f>
        <v>8.3661869422272286E-2</v>
      </c>
    </row>
    <row r="328" spans="1:7" x14ac:dyDescent="0.2">
      <c r="A328" s="453">
        <v>45870</v>
      </c>
      <c r="B328" s="446">
        <v>18</v>
      </c>
      <c r="C328" s="438" t="s">
        <v>474</v>
      </c>
      <c r="D328" s="452" t="s">
        <v>73</v>
      </c>
      <c r="E328" s="442" t="s">
        <v>497</v>
      </c>
      <c r="F328" s="442">
        <f>-SUMIFS('DRE 2025'!I:I,'DRE 2025'!B:B,'Resumo DRE 2 Outros'!A328,'DRE 2025'!H:H,'Resumo DRE 2 Outros'!C328,'DRE 2025'!A:A,'Resumo DRE 2 Outros'!D328)</f>
        <v>13945.19</v>
      </c>
      <c r="G328" s="445">
        <f>F328/F337</f>
        <v>3.595673608541175E-2</v>
      </c>
    </row>
    <row r="329" spans="1:7" x14ac:dyDescent="0.2">
      <c r="A329" s="453">
        <v>45870</v>
      </c>
      <c r="B329" s="446">
        <v>19</v>
      </c>
      <c r="C329" s="438" t="s">
        <v>476</v>
      </c>
      <c r="D329" s="452" t="s">
        <v>73</v>
      </c>
      <c r="E329" s="442" t="s">
        <v>498</v>
      </c>
      <c r="F329" s="442">
        <f>-SUMIFS('DRE 2025'!I:I,'DRE 2025'!B:B,'Resumo DRE 2 Outros'!A329,'DRE 2025'!H:H,'Resumo DRE 2 Outros'!C329,'DRE 2025'!A:A,'Resumo DRE 2 Outros'!D329)</f>
        <v>5897.39</v>
      </c>
      <c r="G329" s="445">
        <f>F329/F337</f>
        <v>1.5206024143288576E-2</v>
      </c>
    </row>
    <row r="330" spans="1:7" x14ac:dyDescent="0.2">
      <c r="A330" s="453">
        <v>45870</v>
      </c>
      <c r="B330" s="446">
        <v>20</v>
      </c>
      <c r="C330" s="438" t="s">
        <v>357</v>
      </c>
      <c r="D330" s="452" t="s">
        <v>73</v>
      </c>
      <c r="E330" s="442" t="s">
        <v>499</v>
      </c>
      <c r="F330" s="442">
        <f>-SUMIFS('DRE 2025'!I:I,'DRE 2025'!B:B,'Resumo DRE 2 Outros'!A330,'DRE 2025'!H:H,'Resumo DRE 2 Outros'!C330,'DRE 2025'!A:A,'Resumo DRE 2 Outros'!D330)</f>
        <v>0</v>
      </c>
      <c r="G330" s="445">
        <f>F330/F337</f>
        <v>0</v>
      </c>
    </row>
    <row r="331" spans="1:7" x14ac:dyDescent="0.2">
      <c r="A331" s="453">
        <v>45870</v>
      </c>
      <c r="B331" s="446">
        <v>21</v>
      </c>
      <c r="C331" s="438" t="s">
        <v>330</v>
      </c>
      <c r="D331" s="452" t="s">
        <v>73</v>
      </c>
      <c r="E331" s="442" t="s">
        <v>500</v>
      </c>
      <c r="F331" s="442">
        <f>-SUMIFS('DRE 2025'!I:I,'DRE 2025'!B:B,'Resumo DRE 2 Outros'!A331,'DRE 2025'!H:H,'Resumo DRE 2 Outros'!C331,'DRE 2025'!A:A,'Resumo DRE 2 Outros'!D331)</f>
        <v>0</v>
      </c>
      <c r="G331" s="445">
        <f>F331/F337</f>
        <v>0</v>
      </c>
    </row>
    <row r="332" spans="1:7" x14ac:dyDescent="0.2">
      <c r="A332" s="453">
        <v>45870</v>
      </c>
      <c r="B332" s="446">
        <v>22</v>
      </c>
      <c r="C332" s="438" t="s">
        <v>521</v>
      </c>
      <c r="D332" s="452" t="s">
        <v>73</v>
      </c>
      <c r="E332" s="442" t="s">
        <v>501</v>
      </c>
      <c r="F332" s="442">
        <f>-SUMIFS('DRE 2025'!I:I,'DRE 2025'!B:B,'Resumo DRE 2 Outros'!A332,'DRE 2025'!H:H,'Resumo DRE 2 Outros'!C332,'DRE 2025'!A:A,'Resumo DRE 2 Outros'!D332)</f>
        <v>756.69</v>
      </c>
      <c r="G332" s="445">
        <f>F332/F337</f>
        <v>1.9510743581457276E-3</v>
      </c>
    </row>
    <row r="333" spans="1:7" x14ac:dyDescent="0.2">
      <c r="A333" s="453">
        <v>45870</v>
      </c>
      <c r="B333" s="446">
        <v>23</v>
      </c>
      <c r="C333" s="438" t="s">
        <v>331</v>
      </c>
      <c r="D333" s="452" t="s">
        <v>73</v>
      </c>
      <c r="E333" s="442" t="s">
        <v>502</v>
      </c>
      <c r="F333" s="442">
        <f>-SUMIFS('DRE 2025'!I:I,'DRE 2025'!B:B,'Resumo DRE 2 Outros'!A333,'DRE 2025'!H:H,'Resumo DRE 2 Outros'!C333,'DRE 2025'!A:A,'Resumo DRE 2 Outros'!D333)</f>
        <v>3.56</v>
      </c>
      <c r="G333" s="445">
        <f>F333/F337</f>
        <v>9.1792209689553049E-6</v>
      </c>
    </row>
    <row r="334" spans="1:7" x14ac:dyDescent="0.2">
      <c r="A334" s="453">
        <v>45870</v>
      </c>
      <c r="B334" s="446">
        <v>24</v>
      </c>
      <c r="C334" s="438" t="s">
        <v>520</v>
      </c>
      <c r="D334" s="452" t="s">
        <v>73</v>
      </c>
      <c r="E334" s="442" t="s">
        <v>503</v>
      </c>
      <c r="F334" s="442">
        <f>-SUMIFS('DRE 2025'!I:I,'DRE 2025'!B:B,'Resumo DRE 2 Outros'!A334,'DRE 2025'!H:H,'Resumo DRE 2 Outros'!C334,'DRE 2025'!A:A,'Resumo DRE 2 Outros'!D334)</f>
        <v>0</v>
      </c>
      <c r="G334" s="445">
        <f>F334/F337</f>
        <v>0</v>
      </c>
    </row>
    <row r="335" spans="1:7" x14ac:dyDescent="0.2">
      <c r="A335" s="453">
        <v>45870</v>
      </c>
      <c r="B335" s="446">
        <v>25</v>
      </c>
      <c r="C335" s="438" t="s">
        <v>479</v>
      </c>
      <c r="D335" s="452" t="s">
        <v>73</v>
      </c>
      <c r="E335" s="442" t="s">
        <v>504</v>
      </c>
      <c r="F335" s="442">
        <f>-SUMIFS('DRE 2025'!I:I,'DRE 2025'!B:B,'Resumo DRE 2 Outros'!A335,'DRE 2025'!H:H,'Resumo DRE 2 Outros'!C335,'DRE 2025'!A:A,'Resumo DRE 2 Outros'!D335)</f>
        <v>0</v>
      </c>
      <c r="G335" s="445">
        <f>F335/F337</f>
        <v>0</v>
      </c>
    </row>
    <row r="336" spans="1:7" x14ac:dyDescent="0.2">
      <c r="A336" s="453">
        <v>45870</v>
      </c>
      <c r="B336" s="446">
        <v>26</v>
      </c>
      <c r="C336" s="438" t="s">
        <v>480</v>
      </c>
      <c r="D336" s="452" t="s">
        <v>73</v>
      </c>
      <c r="E336" s="442" t="s">
        <v>505</v>
      </c>
      <c r="F336" s="442">
        <f>-SUMIFS('DRE 2025'!I:I,'DRE 2025'!B:B,'Resumo DRE 2 Outros'!A336,'DRE 2025'!H:H,'Resumo DRE 2 Outros'!C336,'DRE 2025'!A:A,'Resumo DRE 2 Outros'!D336)</f>
        <v>-23134.83</v>
      </c>
      <c r="G336" s="445">
        <f>F336/F337</f>
        <v>-5.965160580034165E-2</v>
      </c>
    </row>
    <row r="337" spans="1:7" x14ac:dyDescent="0.2">
      <c r="A337" s="453">
        <v>45870</v>
      </c>
      <c r="B337" s="446">
        <v>27</v>
      </c>
      <c r="C337" s="438" t="s">
        <v>484</v>
      </c>
      <c r="D337" s="452" t="s">
        <v>73</v>
      </c>
      <c r="E337" s="442" t="s">
        <v>506</v>
      </c>
      <c r="F337" s="442">
        <f>SUM(F317:F336)</f>
        <v>387832.47642040002</v>
      </c>
      <c r="G337" s="445">
        <f>SUM(G317:G336)</f>
        <v>0.99999999999999989</v>
      </c>
    </row>
    <row r="338" spans="1:7" x14ac:dyDescent="0.2">
      <c r="A338" s="453">
        <v>45901</v>
      </c>
      <c r="B338" s="446">
        <v>7</v>
      </c>
      <c r="C338" s="438" t="s">
        <v>340</v>
      </c>
      <c r="D338" s="452" t="s">
        <v>73</v>
      </c>
      <c r="E338" s="442" t="s">
        <v>486</v>
      </c>
      <c r="F338" s="442">
        <f>-SUMIFS('DRE 2025'!I:I,'DRE 2025'!B:B,'Resumo DRE 2 Outros'!A338,'DRE 2025'!H:H,'Resumo DRE 2 Outros'!C338,'DRE 2025'!A:A,'Resumo DRE 2 Outros'!D338)</f>
        <v>247883.56</v>
      </c>
      <c r="G338" s="445">
        <f>F338/F358</f>
        <v>0.37237132400580758</v>
      </c>
    </row>
    <row r="339" spans="1:7" x14ac:dyDescent="0.2">
      <c r="A339" s="453">
        <v>45901</v>
      </c>
      <c r="B339" s="446">
        <v>8</v>
      </c>
      <c r="C339" s="438" t="s">
        <v>563</v>
      </c>
      <c r="D339" s="452" t="s">
        <v>73</v>
      </c>
      <c r="E339" s="442" t="s">
        <v>487</v>
      </c>
      <c r="F339" s="442">
        <f>-SUMIFS('DRE 2025'!I:I,'DRE 2025'!B:B,'Resumo DRE 2 Outros'!A339,'DRE 2025'!H:H,'Resumo DRE 2 Outros'!C339,'DRE 2025'!A:A,'Resumo DRE 2 Outros'!D339)</f>
        <v>0</v>
      </c>
      <c r="G339" s="445">
        <f>F339/F358</f>
        <v>0</v>
      </c>
    </row>
    <row r="340" spans="1:7" x14ac:dyDescent="0.2">
      <c r="A340" s="453">
        <v>45901</v>
      </c>
      <c r="B340" s="446">
        <v>9</v>
      </c>
      <c r="C340" s="438" t="s">
        <v>355</v>
      </c>
      <c r="D340" s="452" t="s">
        <v>73</v>
      </c>
      <c r="E340" s="442" t="s">
        <v>488</v>
      </c>
      <c r="F340" s="442">
        <f>-SUMIFS('DRE 2025'!I:I,'DRE 2025'!B:B,'Resumo DRE 2 Outros'!A340,'DRE 2025'!H:H,'Resumo DRE 2 Outros'!C340,'DRE 2025'!A:A,'Resumo DRE 2 Outros'!D340)</f>
        <v>82813.67</v>
      </c>
      <c r="G340" s="445">
        <f>F340/F358</f>
        <v>0.12440290894515162</v>
      </c>
    </row>
    <row r="341" spans="1:7" x14ac:dyDescent="0.2">
      <c r="A341" s="453">
        <v>45901</v>
      </c>
      <c r="B341" s="446">
        <v>10</v>
      </c>
      <c r="C341" s="449" t="s">
        <v>477</v>
      </c>
      <c r="D341" s="452" t="s">
        <v>73</v>
      </c>
      <c r="E341" s="442" t="s">
        <v>489</v>
      </c>
      <c r="F341" s="442">
        <f>-SUMIFS('DRE 2025'!I:I,'DRE 2025'!B:B,'Resumo DRE 2 Outros'!A341,'DRE 2025'!H:H,'Resumo DRE 2 Outros'!C341,'DRE 2025'!A:A,'Resumo DRE 2 Outros'!D341)</f>
        <v>65033.29</v>
      </c>
      <c r="G341" s="445">
        <f>F341/F358</f>
        <v>9.7693176190279216E-2</v>
      </c>
    </row>
    <row r="342" spans="1:7" x14ac:dyDescent="0.2">
      <c r="A342" s="453">
        <v>45901</v>
      </c>
      <c r="B342" s="446">
        <v>11</v>
      </c>
      <c r="C342" s="438" t="s">
        <v>343</v>
      </c>
      <c r="D342" s="452" t="s">
        <v>73</v>
      </c>
      <c r="E342" s="442" t="s">
        <v>490</v>
      </c>
      <c r="F342" s="442">
        <f>-SUMIFS('DRE 2025'!I:I,'DRE 2025'!B:B,'Resumo DRE 2 Outros'!A342,'DRE 2025'!H:H,'Resumo DRE 2 Outros'!C342,'DRE 2025'!A:A,'Resumo DRE 2 Outros'!D342)</f>
        <v>68126.460000000006</v>
      </c>
      <c r="G342" s="445">
        <f>F342/F358</f>
        <v>0.10233974415257185</v>
      </c>
    </row>
    <row r="343" spans="1:7" x14ac:dyDescent="0.2">
      <c r="A343" s="453">
        <v>45901</v>
      </c>
      <c r="B343" s="446">
        <v>12</v>
      </c>
      <c r="C343" s="438" t="s">
        <v>475</v>
      </c>
      <c r="D343" s="452" t="s">
        <v>73</v>
      </c>
      <c r="E343" s="442" t="s">
        <v>491</v>
      </c>
      <c r="F343" s="442">
        <f>-SUMIFS('DRE 2025'!I:I,'DRE 2025'!B:B,'Resumo DRE 2 Outros'!A343,'DRE 2025'!H:H,'Resumo DRE 2 Outros'!C343,'DRE 2025'!A:A,'Resumo DRE 2 Outros'!D343)</f>
        <v>31737.889999999989</v>
      </c>
      <c r="G343" s="445">
        <f>F343/F358</f>
        <v>4.7676740322959203E-2</v>
      </c>
    </row>
    <row r="344" spans="1:7" x14ac:dyDescent="0.2">
      <c r="A344" s="453">
        <v>45901</v>
      </c>
      <c r="B344" s="446">
        <v>13</v>
      </c>
      <c r="C344" s="438" t="s">
        <v>364</v>
      </c>
      <c r="D344" s="452" t="s">
        <v>73</v>
      </c>
      <c r="E344" s="442" t="s">
        <v>492</v>
      </c>
      <c r="F344" s="442">
        <f>-SUMIFS('DRE 2025'!I:I,'DRE 2025'!B:B,'Resumo DRE 2 Outros'!A344,'DRE 2025'!H:H,'Resumo DRE 2 Outros'!C344,'DRE 2025'!A:A,'Resumo DRE 2 Outros'!D344)</f>
        <v>32092.9664204</v>
      </c>
      <c r="G344" s="445">
        <f>F344/F358</f>
        <v>4.8210137038689746E-2</v>
      </c>
    </row>
    <row r="345" spans="1:7" x14ac:dyDescent="0.2">
      <c r="A345" s="453">
        <v>45901</v>
      </c>
      <c r="B345" s="446">
        <v>14</v>
      </c>
      <c r="C345" s="438" t="s">
        <v>473</v>
      </c>
      <c r="D345" s="452" t="s">
        <v>73</v>
      </c>
      <c r="E345" s="442" t="s">
        <v>493</v>
      </c>
      <c r="F345" s="442">
        <f>-SUMIFS('DRE 2025'!I:I,'DRE 2025'!B:B,'Resumo DRE 2 Outros'!A345,'DRE 2025'!H:H,'Resumo DRE 2 Outros'!C345,'DRE 2025'!A:A,'Resumo DRE 2 Outros'!D345)</f>
        <v>54951.46</v>
      </c>
      <c r="G345" s="445">
        <f>F345/F358</f>
        <v>8.2548225127362929E-2</v>
      </c>
    </row>
    <row r="346" spans="1:7" x14ac:dyDescent="0.2">
      <c r="A346" s="453">
        <v>45901</v>
      </c>
      <c r="B346" s="446">
        <v>15</v>
      </c>
      <c r="C346" s="438" t="s">
        <v>329</v>
      </c>
      <c r="D346" s="452" t="s">
        <v>73</v>
      </c>
      <c r="E346" s="442" t="s">
        <v>494</v>
      </c>
      <c r="F346" s="442">
        <f>-SUMIFS('DRE 2025'!I:I,'DRE 2025'!B:B,'Resumo DRE 2 Outros'!A346,'DRE 2025'!H:H,'Resumo DRE 2 Outros'!C346,'DRE 2025'!A:A,'Resumo DRE 2 Outros'!D346)</f>
        <v>0</v>
      </c>
      <c r="G346" s="445">
        <f>F346/F358</f>
        <v>0</v>
      </c>
    </row>
    <row r="347" spans="1:7" x14ac:dyDescent="0.2">
      <c r="A347" s="453">
        <v>45901</v>
      </c>
      <c r="B347" s="446">
        <v>16</v>
      </c>
      <c r="C347" s="438" t="s">
        <v>481</v>
      </c>
      <c r="D347" s="452" t="s">
        <v>73</v>
      </c>
      <c r="E347" s="442" t="s">
        <v>495</v>
      </c>
      <c r="F347" s="442">
        <f>-SUMIFS('DRE 2025'!I:I,'DRE 2025'!B:B,'Resumo DRE 2 Outros'!A347,'DRE 2025'!H:H,'Resumo DRE 2 Outros'!C347,'DRE 2025'!A:A,'Resumo DRE 2 Outros'!D347)</f>
        <v>59250.58</v>
      </c>
      <c r="G347" s="445">
        <f>F347/F358</f>
        <v>8.9006374294092055E-2</v>
      </c>
    </row>
    <row r="348" spans="1:7" x14ac:dyDescent="0.2">
      <c r="A348" s="453">
        <v>45901</v>
      </c>
      <c r="B348" s="446">
        <v>17</v>
      </c>
      <c r="C348" s="438" t="s">
        <v>478</v>
      </c>
      <c r="D348" s="452" t="s">
        <v>73</v>
      </c>
      <c r="E348" s="442" t="s">
        <v>496</v>
      </c>
      <c r="F348" s="442">
        <f>-SUMIFS('DRE 2025'!I:I,'DRE 2025'!B:B,'Resumo DRE 2 Outros'!A348,'DRE 2025'!H:H,'Resumo DRE 2 Outros'!C348,'DRE 2025'!A:A,'Resumo DRE 2 Outros'!D348)</f>
        <v>26724.33</v>
      </c>
      <c r="G348" s="445">
        <f>F348/F358</f>
        <v>4.0145357543146971E-2</v>
      </c>
    </row>
    <row r="349" spans="1:7" x14ac:dyDescent="0.2">
      <c r="A349" s="453">
        <v>45901</v>
      </c>
      <c r="B349" s="446">
        <v>18</v>
      </c>
      <c r="C349" s="438" t="s">
        <v>474</v>
      </c>
      <c r="D349" s="452" t="s">
        <v>73</v>
      </c>
      <c r="E349" s="442" t="s">
        <v>497</v>
      </c>
      <c r="F349" s="442">
        <f>-SUMIFS('DRE 2025'!I:I,'DRE 2025'!B:B,'Resumo DRE 2 Outros'!A349,'DRE 2025'!H:H,'Resumo DRE 2 Outros'!C349,'DRE 2025'!A:A,'Resumo DRE 2 Outros'!D349)</f>
        <v>20066.419999999998</v>
      </c>
      <c r="G349" s="445">
        <f>F349/F358</f>
        <v>3.0143827946704563E-2</v>
      </c>
    </row>
    <row r="350" spans="1:7" x14ac:dyDescent="0.2">
      <c r="A350" s="453">
        <v>45901</v>
      </c>
      <c r="B350" s="446">
        <v>19</v>
      </c>
      <c r="C350" s="438" t="s">
        <v>476</v>
      </c>
      <c r="D350" s="452" t="s">
        <v>73</v>
      </c>
      <c r="E350" s="442" t="s">
        <v>498</v>
      </c>
      <c r="F350" s="442">
        <f>-SUMIFS('DRE 2025'!I:I,'DRE 2025'!B:B,'Resumo DRE 2 Outros'!A350,'DRE 2025'!H:H,'Resumo DRE 2 Outros'!C350,'DRE 2025'!A:A,'Resumo DRE 2 Outros'!D350)</f>
        <v>6085.92</v>
      </c>
      <c r="G350" s="445">
        <f>F350/F358</f>
        <v>9.142284741244738E-3</v>
      </c>
    </row>
    <row r="351" spans="1:7" x14ac:dyDescent="0.2">
      <c r="A351" s="453">
        <v>45901</v>
      </c>
      <c r="B351" s="446">
        <v>20</v>
      </c>
      <c r="C351" s="438" t="s">
        <v>357</v>
      </c>
      <c r="D351" s="452" t="s">
        <v>73</v>
      </c>
      <c r="E351" s="442" t="s">
        <v>499</v>
      </c>
      <c r="F351" s="442">
        <f>-SUMIFS('DRE 2025'!I:I,'DRE 2025'!B:B,'Resumo DRE 2 Outros'!A351,'DRE 2025'!H:H,'Resumo DRE 2 Outros'!C351,'DRE 2025'!A:A,'Resumo DRE 2 Outros'!D351)</f>
        <v>0</v>
      </c>
      <c r="G351" s="445">
        <f>F351/F358</f>
        <v>0</v>
      </c>
    </row>
    <row r="352" spans="1:7" x14ac:dyDescent="0.2">
      <c r="A352" s="453">
        <v>45901</v>
      </c>
      <c r="B352" s="446">
        <v>21</v>
      </c>
      <c r="C352" s="438" t="s">
        <v>330</v>
      </c>
      <c r="D352" s="452" t="s">
        <v>73</v>
      </c>
      <c r="E352" s="442" t="s">
        <v>500</v>
      </c>
      <c r="F352" s="442">
        <f>-SUMIFS('DRE 2025'!I:I,'DRE 2025'!B:B,'Resumo DRE 2 Outros'!A352,'DRE 2025'!H:H,'Resumo DRE 2 Outros'!C352,'DRE 2025'!A:A,'Resumo DRE 2 Outros'!D352)</f>
        <v>0</v>
      </c>
      <c r="G352" s="445">
        <f>F352/F358</f>
        <v>0</v>
      </c>
    </row>
    <row r="353" spans="1:7" x14ac:dyDescent="0.2">
      <c r="A353" s="453">
        <v>45901</v>
      </c>
      <c r="B353" s="446">
        <v>22</v>
      </c>
      <c r="C353" s="438" t="s">
        <v>521</v>
      </c>
      <c r="D353" s="452" t="s">
        <v>73</v>
      </c>
      <c r="E353" s="442" t="s">
        <v>501</v>
      </c>
      <c r="F353" s="442">
        <f>-SUMIFS('DRE 2025'!I:I,'DRE 2025'!B:B,'Resumo DRE 2 Outros'!A353,'DRE 2025'!H:H,'Resumo DRE 2 Outros'!C353,'DRE 2025'!A:A,'Resumo DRE 2 Outros'!D353)</f>
        <v>4409.5600000000004</v>
      </c>
      <c r="G353" s="445">
        <f>F353/F358</f>
        <v>6.6240524199468864E-3</v>
      </c>
    </row>
    <row r="354" spans="1:7" x14ac:dyDescent="0.2">
      <c r="A354" s="453">
        <v>45901</v>
      </c>
      <c r="B354" s="446">
        <v>23</v>
      </c>
      <c r="C354" s="438" t="s">
        <v>331</v>
      </c>
      <c r="D354" s="452" t="s">
        <v>73</v>
      </c>
      <c r="E354" s="442" t="s">
        <v>502</v>
      </c>
      <c r="F354" s="442">
        <f>-SUMIFS('DRE 2025'!I:I,'DRE 2025'!B:B,'Resumo DRE 2 Outros'!A354,'DRE 2025'!H:H,'Resumo DRE 2 Outros'!C354,'DRE 2025'!A:A,'Resumo DRE 2 Outros'!D354)</f>
        <v>0.02</v>
      </c>
      <c r="G354" s="445">
        <f>F354/F358</f>
        <v>3.0044051651171025E-8</v>
      </c>
    </row>
    <row r="355" spans="1:7" x14ac:dyDescent="0.2">
      <c r="A355" s="453">
        <v>45901</v>
      </c>
      <c r="B355" s="446">
        <v>24</v>
      </c>
      <c r="C355" s="438" t="s">
        <v>520</v>
      </c>
      <c r="D355" s="452" t="s">
        <v>73</v>
      </c>
      <c r="E355" s="442" t="s">
        <v>503</v>
      </c>
      <c r="F355" s="442">
        <f>-SUMIFS('DRE 2025'!I:I,'DRE 2025'!B:B,'Resumo DRE 2 Outros'!A355,'DRE 2025'!H:H,'Resumo DRE 2 Outros'!C355,'DRE 2025'!A:A,'Resumo DRE 2 Outros'!D355)</f>
        <v>0</v>
      </c>
      <c r="G355" s="445">
        <f>F355/F358</f>
        <v>0</v>
      </c>
    </row>
    <row r="356" spans="1:7" x14ac:dyDescent="0.2">
      <c r="A356" s="453">
        <v>45901</v>
      </c>
      <c r="B356" s="446">
        <v>25</v>
      </c>
      <c r="C356" s="438" t="s">
        <v>479</v>
      </c>
      <c r="D356" s="452" t="s">
        <v>73</v>
      </c>
      <c r="E356" s="442" t="s">
        <v>504</v>
      </c>
      <c r="F356" s="442">
        <f>-SUMIFS('DRE 2025'!I:I,'DRE 2025'!B:B,'Resumo DRE 2 Outros'!A356,'DRE 2025'!H:H,'Resumo DRE 2 Outros'!C356,'DRE 2025'!A:A,'Resumo DRE 2 Outros'!D356)</f>
        <v>0</v>
      </c>
      <c r="G356" s="445">
        <f>F356/F358</f>
        <v>0</v>
      </c>
    </row>
    <row r="357" spans="1:7" x14ac:dyDescent="0.2">
      <c r="A357" s="453">
        <v>45901</v>
      </c>
      <c r="B357" s="446">
        <v>26</v>
      </c>
      <c r="C357" s="438" t="s">
        <v>480</v>
      </c>
      <c r="D357" s="452" t="s">
        <v>73</v>
      </c>
      <c r="E357" s="442" t="s">
        <v>505</v>
      </c>
      <c r="F357" s="442">
        <f>-SUMIFS('DRE 2025'!I:I,'DRE 2025'!B:B,'Resumo DRE 2 Outros'!A357,'DRE 2025'!H:H,'Resumo DRE 2 Outros'!C357,'DRE 2025'!A:A,'Resumo DRE 2 Outros'!D357)</f>
        <v>-33486.949999999997</v>
      </c>
      <c r="G357" s="445">
        <f>F357/F358</f>
        <v>-5.0304182772009078E-2</v>
      </c>
    </row>
    <row r="358" spans="1:7" x14ac:dyDescent="0.2">
      <c r="A358" s="453">
        <v>45901</v>
      </c>
      <c r="B358" s="446">
        <v>27</v>
      </c>
      <c r="C358" s="438" t="s">
        <v>484</v>
      </c>
      <c r="D358" s="452" t="s">
        <v>73</v>
      </c>
      <c r="E358" s="442" t="s">
        <v>506</v>
      </c>
      <c r="F358" s="442">
        <f>SUM(F338:F357)</f>
        <v>665689.17642040004</v>
      </c>
      <c r="G358" s="445">
        <f>SUM(G338:G357)</f>
        <v>0.99999999999999989</v>
      </c>
    </row>
    <row r="359" spans="1:7" x14ac:dyDescent="0.2">
      <c r="A359" s="453">
        <v>45931</v>
      </c>
      <c r="B359" s="446">
        <v>7</v>
      </c>
      <c r="C359" s="438" t="s">
        <v>340</v>
      </c>
      <c r="D359" s="452" t="s">
        <v>73</v>
      </c>
      <c r="E359" s="442" t="s">
        <v>486</v>
      </c>
      <c r="F359" s="442">
        <f>-SUMIFS('DRE 2025'!I:I,'DRE 2025'!B:B,'Resumo DRE 2 Outros'!A359,'DRE 2025'!H:H,'Resumo DRE 2 Outros'!C359,'DRE 2025'!A:A,'Resumo DRE 2 Outros'!D359)</f>
        <v>22536.2</v>
      </c>
      <c r="G359" s="445">
        <f>F359/F379</f>
        <v>5.037010766359503E-2</v>
      </c>
    </row>
    <row r="360" spans="1:7" x14ac:dyDescent="0.2">
      <c r="A360" s="453">
        <v>45931</v>
      </c>
      <c r="B360" s="446">
        <v>8</v>
      </c>
      <c r="C360" s="438" t="s">
        <v>563</v>
      </c>
      <c r="D360" s="452" t="s">
        <v>73</v>
      </c>
      <c r="E360" s="442" t="s">
        <v>487</v>
      </c>
      <c r="F360" s="442">
        <f>-SUMIFS('DRE 2025'!I:I,'DRE 2025'!B:B,'Resumo DRE 2 Outros'!A360,'DRE 2025'!H:H,'Resumo DRE 2 Outros'!C360,'DRE 2025'!A:A,'Resumo DRE 2 Outros'!D360)</f>
        <v>0</v>
      </c>
      <c r="G360" s="445">
        <f>F360/F379</f>
        <v>0</v>
      </c>
    </row>
    <row r="361" spans="1:7" x14ac:dyDescent="0.2">
      <c r="A361" s="453">
        <v>45931</v>
      </c>
      <c r="B361" s="446">
        <v>9</v>
      </c>
      <c r="C361" s="438" t="s">
        <v>355</v>
      </c>
      <c r="D361" s="452" t="s">
        <v>73</v>
      </c>
      <c r="E361" s="442" t="s">
        <v>488</v>
      </c>
      <c r="F361" s="442">
        <f>-SUMIFS('DRE 2025'!I:I,'DRE 2025'!B:B,'Resumo DRE 2 Outros'!A361,'DRE 2025'!H:H,'Resumo DRE 2 Outros'!C361,'DRE 2025'!A:A,'Resumo DRE 2 Outros'!D361)</f>
        <v>85090.01</v>
      </c>
      <c r="G361" s="445">
        <f>F361/F379</f>
        <v>0.19018259355154718</v>
      </c>
    </row>
    <row r="362" spans="1:7" x14ac:dyDescent="0.2">
      <c r="A362" s="453">
        <v>45931</v>
      </c>
      <c r="B362" s="446">
        <v>10</v>
      </c>
      <c r="C362" s="449" t="s">
        <v>477</v>
      </c>
      <c r="D362" s="452" t="s">
        <v>73</v>
      </c>
      <c r="E362" s="442" t="s">
        <v>489</v>
      </c>
      <c r="F362" s="442">
        <f>-SUMIFS('DRE 2025'!I:I,'DRE 2025'!B:B,'Resumo DRE 2 Outros'!A362,'DRE 2025'!H:H,'Resumo DRE 2 Outros'!C362,'DRE 2025'!A:A,'Resumo DRE 2 Outros'!D362)</f>
        <v>65030.33</v>
      </c>
      <c r="G362" s="445">
        <f>F362/F379</f>
        <v>0.14534769497515615</v>
      </c>
    </row>
    <row r="363" spans="1:7" x14ac:dyDescent="0.2">
      <c r="A363" s="453">
        <v>45931</v>
      </c>
      <c r="B363" s="446">
        <v>11</v>
      </c>
      <c r="C363" s="438" t="s">
        <v>343</v>
      </c>
      <c r="D363" s="452" t="s">
        <v>73</v>
      </c>
      <c r="E363" s="442" t="s">
        <v>490</v>
      </c>
      <c r="F363" s="442">
        <f>-SUMIFS('DRE 2025'!I:I,'DRE 2025'!B:B,'Resumo DRE 2 Outros'!A363,'DRE 2025'!H:H,'Resumo DRE 2 Outros'!C363,'DRE 2025'!A:A,'Resumo DRE 2 Outros'!D363)</f>
        <v>89156.27</v>
      </c>
      <c r="G363" s="445">
        <f>F363/F379</f>
        <v>0.19927099150631197</v>
      </c>
    </row>
    <row r="364" spans="1:7" x14ac:dyDescent="0.2">
      <c r="A364" s="453">
        <v>45931</v>
      </c>
      <c r="B364" s="446">
        <v>12</v>
      </c>
      <c r="C364" s="438" t="s">
        <v>475</v>
      </c>
      <c r="D364" s="452" t="s">
        <v>73</v>
      </c>
      <c r="E364" s="442" t="s">
        <v>491</v>
      </c>
      <c r="F364" s="442">
        <f>-SUMIFS('DRE 2025'!I:I,'DRE 2025'!B:B,'Resumo DRE 2 Outros'!A364,'DRE 2025'!H:H,'Resumo DRE 2 Outros'!C364,'DRE 2025'!A:A,'Resumo DRE 2 Outros'!D364)</f>
        <v>59990.229999999989</v>
      </c>
      <c r="G364" s="445">
        <f>F364/F379</f>
        <v>0.134082691130884</v>
      </c>
    </row>
    <row r="365" spans="1:7" x14ac:dyDescent="0.2">
      <c r="A365" s="453">
        <v>45931</v>
      </c>
      <c r="B365" s="446">
        <v>13</v>
      </c>
      <c r="C365" s="438" t="s">
        <v>364</v>
      </c>
      <c r="D365" s="452" t="s">
        <v>73</v>
      </c>
      <c r="E365" s="442" t="s">
        <v>492</v>
      </c>
      <c r="F365" s="442">
        <f>-SUMIFS('DRE 2025'!I:I,'DRE 2025'!B:B,'Resumo DRE 2 Outros'!A365,'DRE 2025'!H:H,'Resumo DRE 2 Outros'!C365,'DRE 2025'!A:A,'Resumo DRE 2 Outros'!D365)</f>
        <v>32092.9664204</v>
      </c>
      <c r="G365" s="445">
        <f>F365/F379</f>
        <v>7.1730201801532112E-2</v>
      </c>
    </row>
    <row r="366" spans="1:7" x14ac:dyDescent="0.2">
      <c r="A366" s="453">
        <v>45931</v>
      </c>
      <c r="B366" s="446">
        <v>14</v>
      </c>
      <c r="C366" s="438" t="s">
        <v>473</v>
      </c>
      <c r="D366" s="452" t="s">
        <v>73</v>
      </c>
      <c r="E366" s="442" t="s">
        <v>493</v>
      </c>
      <c r="F366" s="442">
        <f>-SUMIFS('DRE 2025'!I:I,'DRE 2025'!B:B,'Resumo DRE 2 Outros'!A366,'DRE 2025'!H:H,'Resumo DRE 2 Outros'!C366,'DRE 2025'!A:A,'Resumo DRE 2 Outros'!D366)</f>
        <v>37318.82</v>
      </c>
      <c r="G366" s="445">
        <f>F366/F379</f>
        <v>8.3410378913850752E-2</v>
      </c>
    </row>
    <row r="367" spans="1:7" x14ac:dyDescent="0.2">
      <c r="A367" s="453">
        <v>45931</v>
      </c>
      <c r="B367" s="446">
        <v>15</v>
      </c>
      <c r="C367" s="438" t="s">
        <v>329</v>
      </c>
      <c r="D367" s="452" t="s">
        <v>73</v>
      </c>
      <c r="E367" s="442" t="s">
        <v>494</v>
      </c>
      <c r="F367" s="442">
        <f>-SUMIFS('DRE 2025'!I:I,'DRE 2025'!B:B,'Resumo DRE 2 Outros'!A367,'DRE 2025'!H:H,'Resumo DRE 2 Outros'!C367,'DRE 2025'!A:A,'Resumo DRE 2 Outros'!D367)</f>
        <v>0</v>
      </c>
      <c r="G367" s="445">
        <f>F367/F379</f>
        <v>0</v>
      </c>
    </row>
    <row r="368" spans="1:7" x14ac:dyDescent="0.2">
      <c r="A368" s="453">
        <v>45931</v>
      </c>
      <c r="B368" s="446">
        <v>16</v>
      </c>
      <c r="C368" s="438" t="s">
        <v>481</v>
      </c>
      <c r="D368" s="452" t="s">
        <v>73</v>
      </c>
      <c r="E368" s="442" t="s">
        <v>495</v>
      </c>
      <c r="F368" s="442">
        <f>-SUMIFS('DRE 2025'!I:I,'DRE 2025'!B:B,'Resumo DRE 2 Outros'!A368,'DRE 2025'!H:H,'Resumo DRE 2 Outros'!C368,'DRE 2025'!A:A,'Resumo DRE 2 Outros'!D368)</f>
        <v>28571.15</v>
      </c>
      <c r="G368" s="445">
        <f>F368/F379</f>
        <v>6.3858676332865488E-2</v>
      </c>
    </row>
    <row r="369" spans="1:7" x14ac:dyDescent="0.2">
      <c r="A369" s="453">
        <v>45931</v>
      </c>
      <c r="B369" s="446">
        <v>17</v>
      </c>
      <c r="C369" s="438" t="s">
        <v>478</v>
      </c>
      <c r="D369" s="452" t="s">
        <v>73</v>
      </c>
      <c r="E369" s="442" t="s">
        <v>496</v>
      </c>
      <c r="F369" s="442">
        <f>-SUMIFS('DRE 2025'!I:I,'DRE 2025'!B:B,'Resumo DRE 2 Outros'!A369,'DRE 2025'!H:H,'Resumo DRE 2 Outros'!C369,'DRE 2025'!A:A,'Resumo DRE 2 Outros'!D369)</f>
        <v>23328.79</v>
      </c>
      <c r="G369" s="445">
        <f>F369/F379</f>
        <v>5.2141606125318339E-2</v>
      </c>
    </row>
    <row r="370" spans="1:7" x14ac:dyDescent="0.2">
      <c r="A370" s="453">
        <v>45931</v>
      </c>
      <c r="B370" s="446">
        <v>18</v>
      </c>
      <c r="C370" s="438" t="s">
        <v>474</v>
      </c>
      <c r="D370" s="452" t="s">
        <v>73</v>
      </c>
      <c r="E370" s="442" t="s">
        <v>497</v>
      </c>
      <c r="F370" s="442">
        <f>-SUMIFS('DRE 2025'!I:I,'DRE 2025'!B:B,'Resumo DRE 2 Outros'!A370,'DRE 2025'!H:H,'Resumo DRE 2 Outros'!C370,'DRE 2025'!A:A,'Resumo DRE 2 Outros'!D370)</f>
        <v>14131.07</v>
      </c>
      <c r="G370" s="445">
        <f>F370/F379</f>
        <v>3.1584007831923652E-2</v>
      </c>
    </row>
    <row r="371" spans="1:7" x14ac:dyDescent="0.2">
      <c r="A371" s="453">
        <v>45931</v>
      </c>
      <c r="B371" s="446">
        <v>19</v>
      </c>
      <c r="C371" s="438" t="s">
        <v>476</v>
      </c>
      <c r="D371" s="452" t="s">
        <v>73</v>
      </c>
      <c r="E371" s="442" t="s">
        <v>498</v>
      </c>
      <c r="F371" s="442">
        <f>-SUMIFS('DRE 2025'!I:I,'DRE 2025'!B:B,'Resumo DRE 2 Outros'!A371,'DRE 2025'!H:H,'Resumo DRE 2 Outros'!C371,'DRE 2025'!A:A,'Resumo DRE 2 Outros'!D371)</f>
        <v>7944.2</v>
      </c>
      <c r="G371" s="445">
        <f>F371/F379</f>
        <v>1.7755886498217605E-2</v>
      </c>
    </row>
    <row r="372" spans="1:7" x14ac:dyDescent="0.2">
      <c r="A372" s="453">
        <v>45931</v>
      </c>
      <c r="B372" s="446">
        <v>20</v>
      </c>
      <c r="C372" s="438" t="s">
        <v>357</v>
      </c>
      <c r="D372" s="452" t="s">
        <v>73</v>
      </c>
      <c r="E372" s="442" t="s">
        <v>499</v>
      </c>
      <c r="F372" s="442">
        <f>-SUMIFS('DRE 2025'!I:I,'DRE 2025'!B:B,'Resumo DRE 2 Outros'!A372,'DRE 2025'!H:H,'Resumo DRE 2 Outros'!C372,'DRE 2025'!A:A,'Resumo DRE 2 Outros'!D372)</f>
        <v>0</v>
      </c>
      <c r="G372" s="445">
        <f>F372/F379</f>
        <v>0</v>
      </c>
    </row>
    <row r="373" spans="1:7" x14ac:dyDescent="0.2">
      <c r="A373" s="453">
        <v>45931</v>
      </c>
      <c r="B373" s="446">
        <v>21</v>
      </c>
      <c r="C373" s="438" t="s">
        <v>330</v>
      </c>
      <c r="D373" s="452" t="s">
        <v>73</v>
      </c>
      <c r="E373" s="442" t="s">
        <v>500</v>
      </c>
      <c r="F373" s="442">
        <f>-SUMIFS('DRE 2025'!I:I,'DRE 2025'!B:B,'Resumo DRE 2 Outros'!A373,'DRE 2025'!H:H,'Resumo DRE 2 Outros'!C373,'DRE 2025'!A:A,'Resumo DRE 2 Outros'!D373)</f>
        <v>0</v>
      </c>
      <c r="G373" s="445">
        <f>F373/F379</f>
        <v>0</v>
      </c>
    </row>
    <row r="374" spans="1:7" x14ac:dyDescent="0.2">
      <c r="A374" s="453">
        <v>45931</v>
      </c>
      <c r="B374" s="446">
        <v>22</v>
      </c>
      <c r="C374" s="438" t="s">
        <v>521</v>
      </c>
      <c r="D374" s="452" t="s">
        <v>73</v>
      </c>
      <c r="E374" s="442" t="s">
        <v>501</v>
      </c>
      <c r="F374" s="442">
        <f>-SUMIFS('DRE 2025'!I:I,'DRE 2025'!B:B,'Resumo DRE 2 Outros'!A374,'DRE 2025'!H:H,'Resumo DRE 2 Outros'!C374,'DRE 2025'!A:A,'Resumo DRE 2 Outros'!D374)</f>
        <v>9073.56</v>
      </c>
      <c r="G374" s="445">
        <f>F374/F379</f>
        <v>2.028009132382963E-2</v>
      </c>
    </row>
    <row r="375" spans="1:7" x14ac:dyDescent="0.2">
      <c r="A375" s="453">
        <v>45931</v>
      </c>
      <c r="B375" s="446">
        <v>23</v>
      </c>
      <c r="C375" s="438" t="s">
        <v>331</v>
      </c>
      <c r="D375" s="452" t="s">
        <v>73</v>
      </c>
      <c r="E375" s="442" t="s">
        <v>502</v>
      </c>
      <c r="F375" s="442">
        <f>-SUMIFS('DRE 2025'!I:I,'DRE 2025'!B:B,'Resumo DRE 2 Outros'!A375,'DRE 2025'!H:H,'Resumo DRE 2 Outros'!C375,'DRE 2025'!A:A,'Resumo DRE 2 Outros'!D375)</f>
        <v>-0.04</v>
      </c>
      <c r="G375" s="445">
        <f>F375/F379</f>
        <v>-8.9403018545442495E-8</v>
      </c>
    </row>
    <row r="376" spans="1:7" x14ac:dyDescent="0.2">
      <c r="A376" s="453">
        <v>45931</v>
      </c>
      <c r="B376" s="446">
        <v>24</v>
      </c>
      <c r="C376" s="438" t="s">
        <v>520</v>
      </c>
      <c r="D376" s="452" t="s">
        <v>73</v>
      </c>
      <c r="E376" s="442" t="s">
        <v>503</v>
      </c>
      <c r="F376" s="442">
        <f>-SUMIFS('DRE 2025'!I:I,'DRE 2025'!B:B,'Resumo DRE 2 Outros'!A376,'DRE 2025'!H:H,'Resumo DRE 2 Outros'!C376,'DRE 2025'!A:A,'Resumo DRE 2 Outros'!D376)</f>
        <v>0</v>
      </c>
      <c r="G376" s="445">
        <f>F376/F379</f>
        <v>0</v>
      </c>
    </row>
    <row r="377" spans="1:7" x14ac:dyDescent="0.2">
      <c r="A377" s="453">
        <v>45931</v>
      </c>
      <c r="B377" s="446">
        <v>25</v>
      </c>
      <c r="C377" s="438" t="s">
        <v>479</v>
      </c>
      <c r="D377" s="452" t="s">
        <v>73</v>
      </c>
      <c r="E377" s="442" t="s">
        <v>504</v>
      </c>
      <c r="F377" s="442">
        <f>-SUMIFS('DRE 2025'!I:I,'DRE 2025'!B:B,'Resumo DRE 2 Outros'!A377,'DRE 2025'!H:H,'Resumo DRE 2 Outros'!C377,'DRE 2025'!A:A,'Resumo DRE 2 Outros'!D377)</f>
        <v>0</v>
      </c>
      <c r="G377" s="445">
        <f>F377/F379</f>
        <v>0</v>
      </c>
    </row>
    <row r="378" spans="1:7" x14ac:dyDescent="0.2">
      <c r="A378" s="453">
        <v>45931</v>
      </c>
      <c r="B378" s="446">
        <v>26</v>
      </c>
      <c r="C378" s="438" t="s">
        <v>480</v>
      </c>
      <c r="D378" s="452" t="s">
        <v>73</v>
      </c>
      <c r="E378" s="442" t="s">
        <v>505</v>
      </c>
      <c r="F378" s="442">
        <f>-SUMIFS('DRE 2025'!I:I,'DRE 2025'!B:B,'Resumo DRE 2 Outros'!A378,'DRE 2025'!H:H,'Resumo DRE 2 Outros'!C378,'DRE 2025'!A:A,'Resumo DRE 2 Outros'!D378)</f>
        <v>-26851.37</v>
      </c>
      <c r="G378" s="445">
        <f>F378/F379</f>
        <v>-6.0014838252013453E-2</v>
      </c>
    </row>
    <row r="379" spans="1:7" x14ac:dyDescent="0.2">
      <c r="A379" s="453">
        <v>45931</v>
      </c>
      <c r="B379" s="446">
        <v>27</v>
      </c>
      <c r="C379" s="438" t="s">
        <v>484</v>
      </c>
      <c r="D379" s="452" t="s">
        <v>73</v>
      </c>
      <c r="E379" s="442" t="s">
        <v>506</v>
      </c>
      <c r="F379" s="442">
        <f>SUM(F359:F378)</f>
        <v>447412.18642040004</v>
      </c>
      <c r="G379" s="445">
        <f>SUM(G359:G378)</f>
        <v>1.0000000000000002</v>
      </c>
    </row>
    <row r="380" spans="1:7" x14ac:dyDescent="0.2">
      <c r="A380" s="453">
        <v>45962</v>
      </c>
      <c r="B380" s="446">
        <v>7</v>
      </c>
      <c r="C380" s="438" t="s">
        <v>340</v>
      </c>
      <c r="D380" s="452" t="s">
        <v>73</v>
      </c>
      <c r="E380" s="442" t="s">
        <v>486</v>
      </c>
      <c r="F380" s="442">
        <f>-SUMIFS('DRE 2025'!I:I,'DRE 2025'!B:B,'Resumo DRE 2 Outros'!A380,'DRE 2025'!H:H,'Resumo DRE 2 Outros'!C380,'DRE 2025'!A:A,'Resumo DRE 2 Outros'!D380)</f>
        <v>38473.199999999997</v>
      </c>
      <c r="G380" s="445">
        <f>F380/F400</f>
        <v>7.3384041225097438E-2</v>
      </c>
    </row>
    <row r="381" spans="1:7" x14ac:dyDescent="0.2">
      <c r="A381" s="453">
        <v>45962</v>
      </c>
      <c r="B381" s="446">
        <v>8</v>
      </c>
      <c r="C381" s="438" t="s">
        <v>563</v>
      </c>
      <c r="D381" s="452" t="s">
        <v>73</v>
      </c>
      <c r="E381" s="442" t="s">
        <v>487</v>
      </c>
      <c r="F381" s="442">
        <f>-SUMIFS('DRE 2025'!I:I,'DRE 2025'!B:B,'Resumo DRE 2 Outros'!A381,'DRE 2025'!H:H,'Resumo DRE 2 Outros'!C381,'DRE 2025'!A:A,'Resumo DRE 2 Outros'!D381)</f>
        <v>0</v>
      </c>
      <c r="G381" s="445">
        <f>F381/F400</f>
        <v>0</v>
      </c>
    </row>
    <row r="382" spans="1:7" x14ac:dyDescent="0.2">
      <c r="A382" s="453">
        <v>45962</v>
      </c>
      <c r="B382" s="446">
        <v>9</v>
      </c>
      <c r="C382" s="438" t="s">
        <v>355</v>
      </c>
      <c r="D382" s="452" t="s">
        <v>73</v>
      </c>
      <c r="E382" s="442" t="s">
        <v>488</v>
      </c>
      <c r="F382" s="442">
        <f>-SUMIFS('DRE 2025'!I:I,'DRE 2025'!B:B,'Resumo DRE 2 Outros'!A382,'DRE 2025'!H:H,'Resumo DRE 2 Outros'!C382,'DRE 2025'!A:A,'Resumo DRE 2 Outros'!D382)</f>
        <v>84249.94</v>
      </c>
      <c r="G382" s="445">
        <f>F382/F400</f>
        <v>0.16069890391680408</v>
      </c>
    </row>
    <row r="383" spans="1:7" x14ac:dyDescent="0.2">
      <c r="A383" s="453">
        <v>45962</v>
      </c>
      <c r="B383" s="446">
        <v>10</v>
      </c>
      <c r="C383" s="449" t="s">
        <v>477</v>
      </c>
      <c r="D383" s="452" t="s">
        <v>73</v>
      </c>
      <c r="E383" s="442" t="s">
        <v>489</v>
      </c>
      <c r="F383" s="442">
        <f>-SUMIFS('DRE 2025'!I:I,'DRE 2025'!B:B,'Resumo DRE 2 Outros'!A383,'DRE 2025'!H:H,'Resumo DRE 2 Outros'!C383,'DRE 2025'!A:A,'Resumo DRE 2 Outros'!D383)</f>
        <v>67681.41</v>
      </c>
      <c r="G383" s="445">
        <f>F383/F400</f>
        <v>0.12909597802139472</v>
      </c>
    </row>
    <row r="384" spans="1:7" x14ac:dyDescent="0.2">
      <c r="A384" s="453">
        <v>45962</v>
      </c>
      <c r="B384" s="446">
        <v>11</v>
      </c>
      <c r="C384" s="438" t="s">
        <v>343</v>
      </c>
      <c r="D384" s="452" t="s">
        <v>73</v>
      </c>
      <c r="E384" s="442" t="s">
        <v>490</v>
      </c>
      <c r="F384" s="442">
        <f>-SUMIFS('DRE 2025'!I:I,'DRE 2025'!B:B,'Resumo DRE 2 Outros'!A384,'DRE 2025'!H:H,'Resumo DRE 2 Outros'!C384,'DRE 2025'!A:A,'Resumo DRE 2 Outros'!D384)</f>
        <v>130751.42</v>
      </c>
      <c r="G384" s="445">
        <f>F384/F400</f>
        <v>0.24939614057369885</v>
      </c>
    </row>
    <row r="385" spans="1:7" x14ac:dyDescent="0.2">
      <c r="A385" s="453">
        <v>45962</v>
      </c>
      <c r="B385" s="446">
        <v>12</v>
      </c>
      <c r="C385" s="438" t="s">
        <v>475</v>
      </c>
      <c r="D385" s="452" t="s">
        <v>73</v>
      </c>
      <c r="E385" s="442" t="s">
        <v>491</v>
      </c>
      <c r="F385" s="442">
        <f>-SUMIFS('DRE 2025'!I:I,'DRE 2025'!B:B,'Resumo DRE 2 Outros'!A385,'DRE 2025'!H:H,'Resumo DRE 2 Outros'!C385,'DRE 2025'!A:A,'Resumo DRE 2 Outros'!D385)</f>
        <v>67344.960000000006</v>
      </c>
      <c r="G385" s="445">
        <f>F385/F400</f>
        <v>0.12845423102166026</v>
      </c>
    </row>
    <row r="386" spans="1:7" x14ac:dyDescent="0.2">
      <c r="A386" s="453">
        <v>45962</v>
      </c>
      <c r="B386" s="446">
        <v>13</v>
      </c>
      <c r="C386" s="438" t="s">
        <v>364</v>
      </c>
      <c r="D386" s="452" t="s">
        <v>73</v>
      </c>
      <c r="E386" s="442" t="s">
        <v>492</v>
      </c>
      <c r="F386" s="442">
        <f>-SUMIFS('DRE 2025'!I:I,'DRE 2025'!B:B,'Resumo DRE 2 Outros'!A386,'DRE 2025'!H:H,'Resumo DRE 2 Outros'!C386,'DRE 2025'!A:A,'Resumo DRE 2 Outros'!D386)</f>
        <v>32092.9664204</v>
      </c>
      <c r="G386" s="445">
        <f>F386/F400</f>
        <v>6.1214340653501703E-2</v>
      </c>
    </row>
    <row r="387" spans="1:7" x14ac:dyDescent="0.2">
      <c r="A387" s="453">
        <v>45962</v>
      </c>
      <c r="B387" s="446">
        <v>14</v>
      </c>
      <c r="C387" s="438" t="s">
        <v>473</v>
      </c>
      <c r="D387" s="452" t="s">
        <v>73</v>
      </c>
      <c r="E387" s="442" t="s">
        <v>493</v>
      </c>
      <c r="F387" s="442">
        <f>-SUMIFS('DRE 2025'!I:I,'DRE 2025'!B:B,'Resumo DRE 2 Outros'!A387,'DRE 2025'!H:H,'Resumo DRE 2 Outros'!C387,'DRE 2025'!A:A,'Resumo DRE 2 Outros'!D387)</f>
        <v>32876.86</v>
      </c>
      <c r="G387" s="445">
        <f>F387/F400</f>
        <v>6.2709544555476476E-2</v>
      </c>
    </row>
    <row r="388" spans="1:7" x14ac:dyDescent="0.2">
      <c r="A388" s="453">
        <v>45962</v>
      </c>
      <c r="B388" s="446">
        <v>15</v>
      </c>
      <c r="C388" s="438" t="s">
        <v>329</v>
      </c>
      <c r="D388" s="452" t="s">
        <v>73</v>
      </c>
      <c r="E388" s="442" t="s">
        <v>494</v>
      </c>
      <c r="F388" s="442">
        <f>-SUMIFS('DRE 2025'!I:I,'DRE 2025'!B:B,'Resumo DRE 2 Outros'!A388,'DRE 2025'!H:H,'Resumo DRE 2 Outros'!C388,'DRE 2025'!A:A,'Resumo DRE 2 Outros'!D388)</f>
        <v>0</v>
      </c>
      <c r="G388" s="445">
        <f>F388/F400</f>
        <v>0</v>
      </c>
    </row>
    <row r="389" spans="1:7" x14ac:dyDescent="0.2">
      <c r="A389" s="453">
        <v>45962</v>
      </c>
      <c r="B389" s="446">
        <v>16</v>
      </c>
      <c r="C389" s="438" t="s">
        <v>481</v>
      </c>
      <c r="D389" s="452" t="s">
        <v>73</v>
      </c>
      <c r="E389" s="442" t="s">
        <v>495</v>
      </c>
      <c r="F389" s="442">
        <f>-SUMIFS('DRE 2025'!I:I,'DRE 2025'!B:B,'Resumo DRE 2 Outros'!A389,'DRE 2025'!H:H,'Resumo DRE 2 Outros'!C389,'DRE 2025'!A:A,'Resumo DRE 2 Outros'!D389)</f>
        <v>20017.18</v>
      </c>
      <c r="G389" s="445">
        <f>F389/F400</f>
        <v>3.8180904170440622E-2</v>
      </c>
    </row>
    <row r="390" spans="1:7" x14ac:dyDescent="0.2">
      <c r="A390" s="453">
        <v>45962</v>
      </c>
      <c r="B390" s="446">
        <v>17</v>
      </c>
      <c r="C390" s="438" t="s">
        <v>478</v>
      </c>
      <c r="D390" s="452" t="s">
        <v>73</v>
      </c>
      <c r="E390" s="442" t="s">
        <v>496</v>
      </c>
      <c r="F390" s="442">
        <f>-SUMIFS('DRE 2025'!I:I,'DRE 2025'!B:B,'Resumo DRE 2 Outros'!A390,'DRE 2025'!H:H,'Resumo DRE 2 Outros'!C390,'DRE 2025'!A:A,'Resumo DRE 2 Outros'!D390)</f>
        <v>36474.76</v>
      </c>
      <c r="G390" s="445">
        <f>F390/F400</f>
        <v>6.9572203287367199E-2</v>
      </c>
    </row>
    <row r="391" spans="1:7" x14ac:dyDescent="0.2">
      <c r="A391" s="453">
        <v>45962</v>
      </c>
      <c r="B391" s="446">
        <v>18</v>
      </c>
      <c r="C391" s="438" t="s">
        <v>474</v>
      </c>
      <c r="D391" s="452" t="s">
        <v>73</v>
      </c>
      <c r="E391" s="442" t="s">
        <v>497</v>
      </c>
      <c r="F391" s="442">
        <f>-SUMIFS('DRE 2025'!I:I,'DRE 2025'!B:B,'Resumo DRE 2 Outros'!A391,'DRE 2025'!H:H,'Resumo DRE 2 Outros'!C391,'DRE 2025'!A:A,'Resumo DRE 2 Outros'!D391)</f>
        <v>14821.91</v>
      </c>
      <c r="G391" s="445">
        <f>F391/F400</f>
        <v>2.8271411124488843E-2</v>
      </c>
    </row>
    <row r="392" spans="1:7" x14ac:dyDescent="0.2">
      <c r="A392" s="453">
        <v>45962</v>
      </c>
      <c r="B392" s="446">
        <v>19</v>
      </c>
      <c r="C392" s="438" t="s">
        <v>476</v>
      </c>
      <c r="D392" s="452" t="s">
        <v>73</v>
      </c>
      <c r="E392" s="442" t="s">
        <v>498</v>
      </c>
      <c r="F392" s="442">
        <f>-SUMIFS('DRE 2025'!I:I,'DRE 2025'!B:B,'Resumo DRE 2 Outros'!A392,'DRE 2025'!H:H,'Resumo DRE 2 Outros'!C392,'DRE 2025'!A:A,'Resumo DRE 2 Outros'!D392)</f>
        <v>5678.95</v>
      </c>
      <c r="G392" s="445">
        <f>F392/F400</f>
        <v>1.083206754091854E-2</v>
      </c>
    </row>
    <row r="393" spans="1:7" x14ac:dyDescent="0.2">
      <c r="A393" s="453">
        <v>45962</v>
      </c>
      <c r="B393" s="446">
        <v>20</v>
      </c>
      <c r="C393" s="438" t="s">
        <v>357</v>
      </c>
      <c r="D393" s="452" t="s">
        <v>73</v>
      </c>
      <c r="E393" s="442" t="s">
        <v>499</v>
      </c>
      <c r="F393" s="442">
        <f>-SUMIFS('DRE 2025'!I:I,'DRE 2025'!B:B,'Resumo DRE 2 Outros'!A393,'DRE 2025'!H:H,'Resumo DRE 2 Outros'!C393,'DRE 2025'!A:A,'Resumo DRE 2 Outros'!D393)</f>
        <v>0</v>
      </c>
      <c r="G393" s="445">
        <f>F393/F400</f>
        <v>0</v>
      </c>
    </row>
    <row r="394" spans="1:7" x14ac:dyDescent="0.2">
      <c r="A394" s="453">
        <v>45962</v>
      </c>
      <c r="B394" s="446">
        <v>21</v>
      </c>
      <c r="C394" s="438" t="s">
        <v>330</v>
      </c>
      <c r="D394" s="452" t="s">
        <v>73</v>
      </c>
      <c r="E394" s="442" t="s">
        <v>500</v>
      </c>
      <c r="F394" s="442">
        <f>-SUMIFS('DRE 2025'!I:I,'DRE 2025'!B:B,'Resumo DRE 2 Outros'!A394,'DRE 2025'!H:H,'Resumo DRE 2 Outros'!C394,'DRE 2025'!A:A,'Resumo DRE 2 Outros'!D394)</f>
        <v>0</v>
      </c>
      <c r="G394" s="445">
        <f>F394/F400</f>
        <v>0</v>
      </c>
    </row>
    <row r="395" spans="1:7" x14ac:dyDescent="0.2">
      <c r="A395" s="453">
        <v>45962</v>
      </c>
      <c r="B395" s="446">
        <v>22</v>
      </c>
      <c r="C395" s="438" t="s">
        <v>521</v>
      </c>
      <c r="D395" s="452" t="s">
        <v>73</v>
      </c>
      <c r="E395" s="442" t="s">
        <v>501</v>
      </c>
      <c r="F395" s="442">
        <f>-SUMIFS('DRE 2025'!I:I,'DRE 2025'!B:B,'Resumo DRE 2 Outros'!A395,'DRE 2025'!H:H,'Resumo DRE 2 Outros'!C395,'DRE 2025'!A:A,'Resumo DRE 2 Outros'!D395)</f>
        <v>25020.85</v>
      </c>
      <c r="G395" s="445">
        <f>F395/F400</f>
        <v>4.7724938083834448E-2</v>
      </c>
    </row>
    <row r="396" spans="1:7" x14ac:dyDescent="0.2">
      <c r="A396" s="453">
        <v>45962</v>
      </c>
      <c r="B396" s="446">
        <v>23</v>
      </c>
      <c r="C396" s="438" t="s">
        <v>331</v>
      </c>
      <c r="D396" s="452" t="s">
        <v>73</v>
      </c>
      <c r="E396" s="442" t="s">
        <v>502</v>
      </c>
      <c r="F396" s="442">
        <f>-SUMIFS('DRE 2025'!I:I,'DRE 2025'!B:B,'Resumo DRE 2 Outros'!A396,'DRE 2025'!H:H,'Resumo DRE 2 Outros'!C396,'DRE 2025'!A:A,'Resumo DRE 2 Outros'!D396)</f>
        <v>-0.04</v>
      </c>
      <c r="G396" s="445">
        <f>F396/F400</f>
        <v>-7.6296269845084315E-8</v>
      </c>
    </row>
    <row r="397" spans="1:7" x14ac:dyDescent="0.2">
      <c r="A397" s="453">
        <v>45962</v>
      </c>
      <c r="B397" s="446">
        <v>24</v>
      </c>
      <c r="C397" s="438" t="s">
        <v>520</v>
      </c>
      <c r="D397" s="452" t="s">
        <v>73</v>
      </c>
      <c r="E397" s="442" t="s">
        <v>503</v>
      </c>
      <c r="F397" s="442">
        <f>-SUMIFS('DRE 2025'!I:I,'DRE 2025'!B:B,'Resumo DRE 2 Outros'!A397,'DRE 2025'!H:H,'Resumo DRE 2 Outros'!C397,'DRE 2025'!A:A,'Resumo DRE 2 Outros'!D397)</f>
        <v>0</v>
      </c>
      <c r="G397" s="445">
        <f>F397/F400</f>
        <v>0</v>
      </c>
    </row>
    <row r="398" spans="1:7" x14ac:dyDescent="0.2">
      <c r="A398" s="453">
        <v>45962</v>
      </c>
      <c r="B398" s="446">
        <v>25</v>
      </c>
      <c r="C398" s="438" t="s">
        <v>479</v>
      </c>
      <c r="D398" s="452" t="s">
        <v>73</v>
      </c>
      <c r="E398" s="442" t="s">
        <v>504</v>
      </c>
      <c r="F398" s="442">
        <f>-SUMIFS('DRE 2025'!I:I,'DRE 2025'!B:B,'Resumo DRE 2 Outros'!A398,'DRE 2025'!H:H,'Resumo DRE 2 Outros'!C398,'DRE 2025'!A:A,'Resumo DRE 2 Outros'!D398)</f>
        <v>0</v>
      </c>
      <c r="G398" s="445">
        <f>F398/F400</f>
        <v>0</v>
      </c>
    </row>
    <row r="399" spans="1:7" x14ac:dyDescent="0.2">
      <c r="A399" s="453">
        <v>45962</v>
      </c>
      <c r="B399" s="446">
        <v>26</v>
      </c>
      <c r="C399" s="438" t="s">
        <v>480</v>
      </c>
      <c r="D399" s="452" t="s">
        <v>73</v>
      </c>
      <c r="E399" s="442" t="s">
        <v>505</v>
      </c>
      <c r="F399" s="442">
        <f>-SUMIFS('DRE 2025'!I:I,'DRE 2025'!B:B,'Resumo DRE 2 Outros'!A399,'DRE 2025'!H:H,'Resumo DRE 2 Outros'!C399,'DRE 2025'!A:A,'Resumo DRE 2 Outros'!D399)</f>
        <v>-31212.34</v>
      </c>
      <c r="G399" s="445">
        <f>F399/F400</f>
        <v>-5.9534627878412974E-2</v>
      </c>
    </row>
    <row r="400" spans="1:7" x14ac:dyDescent="0.2">
      <c r="A400" s="453">
        <v>45962</v>
      </c>
      <c r="B400" s="446">
        <v>27</v>
      </c>
      <c r="C400" s="438" t="s">
        <v>484</v>
      </c>
      <c r="D400" s="452" t="s">
        <v>73</v>
      </c>
      <c r="E400" s="442" t="s">
        <v>506</v>
      </c>
      <c r="F400" s="442">
        <f>SUM(F380:F399)</f>
        <v>524272.02642039984</v>
      </c>
      <c r="G400" s="445">
        <f>SUM(G380:G399)</f>
        <v>1.0000000000000007</v>
      </c>
    </row>
    <row r="401" spans="1:7" x14ac:dyDescent="0.2">
      <c r="A401" s="453">
        <v>45992</v>
      </c>
      <c r="B401" s="446">
        <v>7</v>
      </c>
      <c r="C401" s="438" t="s">
        <v>340</v>
      </c>
      <c r="D401" s="452" t="s">
        <v>73</v>
      </c>
      <c r="E401" s="442" t="s">
        <v>486</v>
      </c>
      <c r="F401" s="442">
        <f>-SUMIFS('DRE 2025'!I:I,'DRE 2025'!B:B,'Resumo DRE 2 Outros'!A401,'DRE 2025'!H:H,'Resumo DRE 2 Outros'!C401,'DRE 2025'!A:A,'Resumo DRE 2 Outros'!D401)</f>
        <v>11083.78</v>
      </c>
      <c r="G401" s="445">
        <f>F401/F421</f>
        <v>2.4720196049247592E-2</v>
      </c>
    </row>
    <row r="402" spans="1:7" x14ac:dyDescent="0.2">
      <c r="A402" s="453">
        <v>45992</v>
      </c>
      <c r="B402" s="446">
        <v>8</v>
      </c>
      <c r="C402" s="438" t="s">
        <v>563</v>
      </c>
      <c r="D402" s="452" t="s">
        <v>73</v>
      </c>
      <c r="E402" s="442" t="s">
        <v>487</v>
      </c>
      <c r="F402" s="442">
        <f>-SUMIFS('DRE 2025'!I:I,'DRE 2025'!B:B,'Resumo DRE 2 Outros'!A402,'DRE 2025'!H:H,'Resumo DRE 2 Outros'!C402,'DRE 2025'!A:A,'Resumo DRE 2 Outros'!D402)</f>
        <v>0</v>
      </c>
      <c r="G402" s="445">
        <f>F402/F421</f>
        <v>0</v>
      </c>
    </row>
    <row r="403" spans="1:7" x14ac:dyDescent="0.2">
      <c r="A403" s="453">
        <v>45992</v>
      </c>
      <c r="B403" s="446">
        <v>9</v>
      </c>
      <c r="C403" s="438" t="s">
        <v>355</v>
      </c>
      <c r="D403" s="452" t="s">
        <v>73</v>
      </c>
      <c r="E403" s="442" t="s">
        <v>488</v>
      </c>
      <c r="F403" s="442">
        <f>-SUMIFS('DRE 2025'!I:I,'DRE 2025'!B:B,'Resumo DRE 2 Outros'!A403,'DRE 2025'!H:H,'Resumo DRE 2 Outros'!C403,'DRE 2025'!A:A,'Resumo DRE 2 Outros'!D403)</f>
        <v>83355.8</v>
      </c>
      <c r="G403" s="445">
        <f>F403/F421</f>
        <v>0.18590875295629042</v>
      </c>
    </row>
    <row r="404" spans="1:7" x14ac:dyDescent="0.2">
      <c r="A404" s="453">
        <v>45992</v>
      </c>
      <c r="B404" s="446">
        <v>10</v>
      </c>
      <c r="C404" s="449" t="s">
        <v>477</v>
      </c>
      <c r="D404" s="452" t="s">
        <v>73</v>
      </c>
      <c r="E404" s="442" t="s">
        <v>489</v>
      </c>
      <c r="F404" s="442">
        <f>-SUMIFS('DRE 2025'!I:I,'DRE 2025'!B:B,'Resumo DRE 2 Outros'!A404,'DRE 2025'!H:H,'Resumo DRE 2 Outros'!C404,'DRE 2025'!A:A,'Resumo DRE 2 Outros'!D404)</f>
        <v>63040.480000000003</v>
      </c>
      <c r="G404" s="445">
        <f>F404/F421</f>
        <v>0.14059941866751882</v>
      </c>
    </row>
    <row r="405" spans="1:7" x14ac:dyDescent="0.2">
      <c r="A405" s="453">
        <v>45992</v>
      </c>
      <c r="B405" s="446">
        <v>11</v>
      </c>
      <c r="C405" s="438" t="s">
        <v>343</v>
      </c>
      <c r="D405" s="452" t="s">
        <v>73</v>
      </c>
      <c r="E405" s="442" t="s">
        <v>490</v>
      </c>
      <c r="F405" s="442">
        <f>-SUMIFS('DRE 2025'!I:I,'DRE 2025'!B:B,'Resumo DRE 2 Outros'!A405,'DRE 2025'!H:H,'Resumo DRE 2 Outros'!C405,'DRE 2025'!A:A,'Resumo DRE 2 Outros'!D405)</f>
        <v>85063.74</v>
      </c>
      <c r="G405" s="445">
        <f>F405/F421</f>
        <v>0.189717977935526</v>
      </c>
    </row>
    <row r="406" spans="1:7" x14ac:dyDescent="0.2">
      <c r="A406" s="453">
        <v>45992</v>
      </c>
      <c r="B406" s="446">
        <v>12</v>
      </c>
      <c r="C406" s="438" t="s">
        <v>475</v>
      </c>
      <c r="D406" s="452" t="s">
        <v>73</v>
      </c>
      <c r="E406" s="442" t="s">
        <v>491</v>
      </c>
      <c r="F406" s="442">
        <f>-SUMIFS('DRE 2025'!I:I,'DRE 2025'!B:B,'Resumo DRE 2 Outros'!A406,'DRE 2025'!H:H,'Resumo DRE 2 Outros'!C406,'DRE 2025'!A:A,'Resumo DRE 2 Outros'!D406)</f>
        <v>54501.75</v>
      </c>
      <c r="G406" s="445">
        <f>F406/F421</f>
        <v>0.12155545716597406</v>
      </c>
    </row>
    <row r="407" spans="1:7" x14ac:dyDescent="0.2">
      <c r="A407" s="453">
        <v>45992</v>
      </c>
      <c r="B407" s="446">
        <v>13</v>
      </c>
      <c r="C407" s="438" t="s">
        <v>364</v>
      </c>
      <c r="D407" s="452" t="s">
        <v>73</v>
      </c>
      <c r="E407" s="442" t="s">
        <v>492</v>
      </c>
      <c r="F407" s="442">
        <f>-SUMIFS('DRE 2025'!I:I,'DRE 2025'!B:B,'Resumo DRE 2 Outros'!A407,'DRE 2025'!H:H,'Resumo DRE 2 Outros'!C407,'DRE 2025'!A:A,'Resumo DRE 2 Outros'!D407)</f>
        <v>32092.9664204</v>
      </c>
      <c r="G407" s="445">
        <f>F407/F421</f>
        <v>7.1577063214373404E-2</v>
      </c>
    </row>
    <row r="408" spans="1:7" x14ac:dyDescent="0.2">
      <c r="A408" s="453">
        <v>45992</v>
      </c>
      <c r="B408" s="446">
        <v>14</v>
      </c>
      <c r="C408" s="438" t="s">
        <v>473</v>
      </c>
      <c r="D408" s="452" t="s">
        <v>73</v>
      </c>
      <c r="E408" s="442" t="s">
        <v>493</v>
      </c>
      <c r="F408" s="442">
        <f>-SUMIFS('DRE 2025'!I:I,'DRE 2025'!B:B,'Resumo DRE 2 Outros'!A408,'DRE 2025'!H:H,'Resumo DRE 2 Outros'!C408,'DRE 2025'!A:A,'Resumo DRE 2 Outros'!D408)</f>
        <v>34309.64</v>
      </c>
      <c r="G408" s="445">
        <f>F408/F421</f>
        <v>7.6520918601696089E-2</v>
      </c>
    </row>
    <row r="409" spans="1:7" x14ac:dyDescent="0.2">
      <c r="A409" s="453">
        <v>45992</v>
      </c>
      <c r="B409" s="446">
        <v>15</v>
      </c>
      <c r="C409" s="438" t="s">
        <v>329</v>
      </c>
      <c r="D409" s="452" t="s">
        <v>73</v>
      </c>
      <c r="E409" s="442" t="s">
        <v>494</v>
      </c>
      <c r="F409" s="442">
        <f>-SUMIFS('DRE 2025'!I:I,'DRE 2025'!B:B,'Resumo DRE 2 Outros'!A409,'DRE 2025'!H:H,'Resumo DRE 2 Outros'!C409,'DRE 2025'!A:A,'Resumo DRE 2 Outros'!D409)</f>
        <v>0</v>
      </c>
      <c r="G409" s="445">
        <f>F409/F421</f>
        <v>0</v>
      </c>
    </row>
    <row r="410" spans="1:7" x14ac:dyDescent="0.2">
      <c r="A410" s="453">
        <v>45992</v>
      </c>
      <c r="B410" s="446">
        <v>16</v>
      </c>
      <c r="C410" s="438" t="s">
        <v>481</v>
      </c>
      <c r="D410" s="452" t="s">
        <v>73</v>
      </c>
      <c r="E410" s="442" t="s">
        <v>495</v>
      </c>
      <c r="F410" s="442">
        <f>-SUMIFS('DRE 2025'!I:I,'DRE 2025'!B:B,'Resumo DRE 2 Outros'!A410,'DRE 2025'!H:H,'Resumo DRE 2 Outros'!C410,'DRE 2025'!A:A,'Resumo DRE 2 Outros'!D410)</f>
        <v>36805.29</v>
      </c>
      <c r="G410" s="445">
        <f>F410/F421</f>
        <v>8.2086976144366983E-2</v>
      </c>
    </row>
    <row r="411" spans="1:7" x14ac:dyDescent="0.2">
      <c r="A411" s="453">
        <v>45992</v>
      </c>
      <c r="B411" s="446">
        <v>17</v>
      </c>
      <c r="C411" s="438" t="s">
        <v>478</v>
      </c>
      <c r="D411" s="452" t="s">
        <v>73</v>
      </c>
      <c r="E411" s="442" t="s">
        <v>496</v>
      </c>
      <c r="F411" s="442">
        <f>-SUMIFS('DRE 2025'!I:I,'DRE 2025'!B:B,'Resumo DRE 2 Outros'!A411,'DRE 2025'!H:H,'Resumo DRE 2 Outros'!C411,'DRE 2025'!A:A,'Resumo DRE 2 Outros'!D411)</f>
        <v>37518.379999999997</v>
      </c>
      <c r="G411" s="445">
        <f>F411/F421</f>
        <v>8.3677383442306671E-2</v>
      </c>
    </row>
    <row r="412" spans="1:7" x14ac:dyDescent="0.2">
      <c r="A412" s="453">
        <v>45992</v>
      </c>
      <c r="B412" s="446">
        <v>18</v>
      </c>
      <c r="C412" s="438" t="s">
        <v>474</v>
      </c>
      <c r="D412" s="452" t="s">
        <v>73</v>
      </c>
      <c r="E412" s="442" t="s">
        <v>497</v>
      </c>
      <c r="F412" s="442">
        <f>-SUMIFS('DRE 2025'!I:I,'DRE 2025'!B:B,'Resumo DRE 2 Outros'!A412,'DRE 2025'!H:H,'Resumo DRE 2 Outros'!C412,'DRE 2025'!A:A,'Resumo DRE 2 Outros'!D412)</f>
        <v>20825.16</v>
      </c>
      <c r="G412" s="445">
        <f>F412/F421</f>
        <v>4.6446432350420973E-2</v>
      </c>
    </row>
    <row r="413" spans="1:7" x14ac:dyDescent="0.2">
      <c r="A413" s="453">
        <v>45992</v>
      </c>
      <c r="B413" s="446">
        <v>19</v>
      </c>
      <c r="C413" s="438" t="s">
        <v>476</v>
      </c>
      <c r="D413" s="452" t="s">
        <v>73</v>
      </c>
      <c r="E413" s="442" t="s">
        <v>498</v>
      </c>
      <c r="F413" s="442">
        <f>-SUMIFS('DRE 2025'!I:I,'DRE 2025'!B:B,'Resumo DRE 2 Outros'!A413,'DRE 2025'!H:H,'Resumo DRE 2 Outros'!C413,'DRE 2025'!A:A,'Resumo DRE 2 Outros'!D413)</f>
        <v>6292.98</v>
      </c>
      <c r="G413" s="445">
        <f>F413/F421</f>
        <v>1.403525686489574E-2</v>
      </c>
    </row>
    <row r="414" spans="1:7" x14ac:dyDescent="0.2">
      <c r="A414" s="453">
        <v>45992</v>
      </c>
      <c r="B414" s="446">
        <v>20</v>
      </c>
      <c r="C414" s="438" t="s">
        <v>357</v>
      </c>
      <c r="D414" s="452" t="s">
        <v>73</v>
      </c>
      <c r="E414" s="442" t="s">
        <v>499</v>
      </c>
      <c r="F414" s="442">
        <f>-SUMIFS('DRE 2025'!I:I,'DRE 2025'!B:B,'Resumo DRE 2 Outros'!A414,'DRE 2025'!H:H,'Resumo DRE 2 Outros'!C414,'DRE 2025'!A:A,'Resumo DRE 2 Outros'!D414)</f>
        <v>0</v>
      </c>
      <c r="G414" s="445">
        <f>F414/F421</f>
        <v>0</v>
      </c>
    </row>
    <row r="415" spans="1:7" x14ac:dyDescent="0.2">
      <c r="A415" s="453">
        <v>45992</v>
      </c>
      <c r="B415" s="446">
        <v>21</v>
      </c>
      <c r="C415" s="438" t="s">
        <v>330</v>
      </c>
      <c r="D415" s="452" t="s">
        <v>73</v>
      </c>
      <c r="E415" s="442" t="s">
        <v>500</v>
      </c>
      <c r="F415" s="442">
        <f>-SUMIFS('DRE 2025'!I:I,'DRE 2025'!B:B,'Resumo DRE 2 Outros'!A415,'DRE 2025'!H:H,'Resumo DRE 2 Outros'!C415,'DRE 2025'!A:A,'Resumo DRE 2 Outros'!D415)</f>
        <v>40746.93</v>
      </c>
      <c r="G415" s="445">
        <f>F415/F421</f>
        <v>9.0878030600117302E-2</v>
      </c>
    </row>
    <row r="416" spans="1:7" x14ac:dyDescent="0.2">
      <c r="A416" s="453">
        <v>45992</v>
      </c>
      <c r="B416" s="446">
        <v>22</v>
      </c>
      <c r="C416" s="438" t="s">
        <v>521</v>
      </c>
      <c r="D416" s="452" t="s">
        <v>73</v>
      </c>
      <c r="E416" s="442" t="s">
        <v>501</v>
      </c>
      <c r="F416" s="442">
        <f>-SUMIFS('DRE 2025'!I:I,'DRE 2025'!B:B,'Resumo DRE 2 Outros'!A416,'DRE 2025'!H:H,'Resumo DRE 2 Outros'!C416,'DRE 2025'!A:A,'Resumo DRE 2 Outros'!D416)</f>
        <v>10477.135</v>
      </c>
      <c r="G416" s="445">
        <f>F416/F421</f>
        <v>2.336719343350677E-2</v>
      </c>
    </row>
    <row r="417" spans="1:7" x14ac:dyDescent="0.2">
      <c r="A417" s="453">
        <v>45992</v>
      </c>
      <c r="B417" s="446">
        <v>23</v>
      </c>
      <c r="C417" s="438" t="s">
        <v>331</v>
      </c>
      <c r="D417" s="452" t="s">
        <v>73</v>
      </c>
      <c r="E417" s="442" t="s">
        <v>502</v>
      </c>
      <c r="F417" s="442">
        <f>-SUMIFS('DRE 2025'!I:I,'DRE 2025'!B:B,'Resumo DRE 2 Outros'!A417,'DRE 2025'!H:H,'Resumo DRE 2 Outros'!C417,'DRE 2025'!A:A,'Resumo DRE 2 Outros'!D417)</f>
        <v>0.01</v>
      </c>
      <c r="G417" s="445">
        <f>F417/F421</f>
        <v>2.2303037455856751E-8</v>
      </c>
    </row>
    <row r="418" spans="1:7" x14ac:dyDescent="0.2">
      <c r="A418" s="453">
        <v>45992</v>
      </c>
      <c r="B418" s="446">
        <v>24</v>
      </c>
      <c r="C418" s="438" t="s">
        <v>520</v>
      </c>
      <c r="D418" s="452" t="s">
        <v>73</v>
      </c>
      <c r="E418" s="442" t="s">
        <v>503</v>
      </c>
      <c r="F418" s="442">
        <f>-SUMIFS('DRE 2025'!I:I,'DRE 2025'!B:B,'Resumo DRE 2 Outros'!A418,'DRE 2025'!H:H,'Resumo DRE 2 Outros'!C418,'DRE 2025'!A:A,'Resumo DRE 2 Outros'!D418)</f>
        <v>0</v>
      </c>
      <c r="G418" s="445">
        <f>F418/F421</f>
        <v>0</v>
      </c>
    </row>
    <row r="419" spans="1:7" x14ac:dyDescent="0.2">
      <c r="A419" s="453">
        <v>45992</v>
      </c>
      <c r="B419" s="446">
        <v>25</v>
      </c>
      <c r="C419" s="438" t="s">
        <v>479</v>
      </c>
      <c r="D419" s="452" t="s">
        <v>73</v>
      </c>
      <c r="E419" s="442" t="s">
        <v>504</v>
      </c>
      <c r="F419" s="442">
        <f>-SUMIFS('DRE 2025'!I:I,'DRE 2025'!B:B,'Resumo DRE 2 Outros'!A419,'DRE 2025'!H:H,'Resumo DRE 2 Outros'!C419,'DRE 2025'!A:A,'Resumo DRE 2 Outros'!D419)</f>
        <v>-2574.7600000000002</v>
      </c>
      <c r="G419" s="445">
        <f>F419/F421</f>
        <v>-5.7424968719841729E-3</v>
      </c>
    </row>
    <row r="420" spans="1:7" x14ac:dyDescent="0.2">
      <c r="A420" s="453">
        <v>45992</v>
      </c>
      <c r="B420" s="446">
        <v>26</v>
      </c>
      <c r="C420" s="438" t="s">
        <v>480</v>
      </c>
      <c r="D420" s="452" t="s">
        <v>73</v>
      </c>
      <c r="E420" s="442" t="s">
        <v>505</v>
      </c>
      <c r="F420" s="442">
        <f>-SUMIFS('DRE 2025'!I:I,'DRE 2025'!B:B,'Resumo DRE 2 Outros'!A420,'DRE 2025'!H:H,'Resumo DRE 2 Outros'!C420,'DRE 2025'!A:A,'Resumo DRE 2 Outros'!D420)</f>
        <v>-65169.86</v>
      </c>
      <c r="G420" s="445">
        <f>F420/F421</f>
        <v>-0.14534858285729405</v>
      </c>
    </row>
    <row r="421" spans="1:7" x14ac:dyDescent="0.2">
      <c r="A421" s="453">
        <v>45992</v>
      </c>
      <c r="B421" s="446">
        <v>27</v>
      </c>
      <c r="C421" s="438" t="s">
        <v>484</v>
      </c>
      <c r="D421" s="452" t="s">
        <v>73</v>
      </c>
      <c r="E421" s="442" t="s">
        <v>506</v>
      </c>
      <c r="F421" s="442">
        <f>SUM(F401:F420)</f>
        <v>448369.42142039997</v>
      </c>
      <c r="G421" s="445">
        <f>SUM(G401:G420)</f>
        <v>1.0000000000000002</v>
      </c>
    </row>
  </sheetData>
  <autoFilter ref="A1:G252" xr:uid="{04219A2B-A7D8-4F11-9F52-C3BE4F8E7AF5}"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AD6-4506-4D39-BE41-790898E89C2F}">
  <sheetPr>
    <tabColor rgb="FFFF0000"/>
  </sheetPr>
  <dimension ref="A1:I259"/>
  <sheetViews>
    <sheetView topLeftCell="A241" zoomScaleNormal="100" workbookViewId="0">
      <selection activeCell="G7" sqref="G7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9.28515625" customWidth="1"/>
    <col min="7" max="7" width="14.7109375" bestFit="1" customWidth="1"/>
    <col min="8" max="8" width="8.28515625" bestFit="1" customWidth="1"/>
    <col min="9" max="9" width="45.42578125" style="378" bestFit="1" customWidth="1"/>
  </cols>
  <sheetData>
    <row r="1" spans="1:9" x14ac:dyDescent="0.2">
      <c r="A1" t="s">
        <v>9</v>
      </c>
      <c r="B1" t="s">
        <v>75</v>
      </c>
      <c r="C1" s="2" t="s">
        <v>483</v>
      </c>
      <c r="D1" s="2" t="s">
        <v>467</v>
      </c>
      <c r="E1" s="2" t="s">
        <v>485</v>
      </c>
      <c r="F1" t="s">
        <v>468</v>
      </c>
      <c r="G1" s="2" t="s">
        <v>574</v>
      </c>
      <c r="H1" s="375" t="s">
        <v>469</v>
      </c>
      <c r="I1" s="378" t="s">
        <v>470</v>
      </c>
    </row>
    <row r="2" spans="1:9" x14ac:dyDescent="0.2">
      <c r="A2" s="77">
        <v>45292</v>
      </c>
      <c r="B2" s="377">
        <v>1</v>
      </c>
      <c r="C2" s="377"/>
      <c r="D2" s="2" t="s">
        <v>455</v>
      </c>
      <c r="E2" s="2"/>
      <c r="F2" s="2"/>
      <c r="G2">
        <v>1292391.9923</v>
      </c>
      <c r="H2" s="352">
        <f>G2/$G$7</f>
        <v>0.45168808712452918</v>
      </c>
      <c r="I2" s="378">
        <f>H2</f>
        <v>0.45168808712452918</v>
      </c>
    </row>
    <row r="3" spans="1:9" x14ac:dyDescent="0.2">
      <c r="A3" s="77">
        <v>45292</v>
      </c>
      <c r="B3" s="377">
        <v>2</v>
      </c>
      <c r="C3" s="377"/>
      <c r="D3" s="2" t="s">
        <v>142</v>
      </c>
      <c r="E3" s="2"/>
      <c r="F3" s="2"/>
      <c r="G3">
        <v>382983.25</v>
      </c>
      <c r="H3" s="352">
        <f>G3/$G$7</f>
        <v>0.13385178229507305</v>
      </c>
      <c r="I3" s="378">
        <f>H3</f>
        <v>0.13385178229507305</v>
      </c>
    </row>
    <row r="4" spans="1:9" x14ac:dyDescent="0.2">
      <c r="A4" s="77">
        <v>45292</v>
      </c>
      <c r="B4" s="377">
        <v>3</v>
      </c>
      <c r="C4" s="377"/>
      <c r="D4" s="2" t="s">
        <v>453</v>
      </c>
      <c r="E4" s="2"/>
      <c r="F4" s="2"/>
      <c r="G4">
        <v>680191.5</v>
      </c>
      <c r="H4" s="352">
        <f>G4/$G$7</f>
        <v>0.23772539550217714</v>
      </c>
      <c r="I4" s="378">
        <f>H4</f>
        <v>0.23772539550217714</v>
      </c>
    </row>
    <row r="5" spans="1:9" x14ac:dyDescent="0.2">
      <c r="A5" s="77">
        <v>45292</v>
      </c>
      <c r="B5" s="377">
        <v>4</v>
      </c>
      <c r="C5" s="377"/>
      <c r="D5" s="2" t="s">
        <v>454</v>
      </c>
      <c r="E5" s="2"/>
      <c r="F5" s="2"/>
      <c r="G5">
        <v>141836.54999999999</v>
      </c>
      <c r="H5" s="352">
        <f>G5/$G$7</f>
        <v>4.9571554401097812E-2</v>
      </c>
      <c r="I5" s="378">
        <f>H5</f>
        <v>4.9571554401097812E-2</v>
      </c>
    </row>
    <row r="6" spans="1:9" x14ac:dyDescent="0.2">
      <c r="A6" s="77">
        <v>45292</v>
      </c>
      <c r="B6" s="377">
        <v>5</v>
      </c>
      <c r="C6" s="377"/>
      <c r="D6" s="2" t="s">
        <v>331</v>
      </c>
      <c r="E6" s="2"/>
      <c r="F6" s="2"/>
      <c r="G6">
        <v>363845.4967204</v>
      </c>
      <c r="H6" s="352">
        <f>G6/$G$7</f>
        <v>0.12716318067712282</v>
      </c>
      <c r="I6" s="378">
        <f>H6</f>
        <v>0.12716318067712282</v>
      </c>
    </row>
    <row r="7" spans="1:9" x14ac:dyDescent="0.2">
      <c r="A7" s="77">
        <v>45292</v>
      </c>
      <c r="B7" s="377">
        <v>6</v>
      </c>
      <c r="C7" s="377"/>
      <c r="D7" s="2" t="s">
        <v>452</v>
      </c>
      <c r="E7" s="2"/>
      <c r="F7" s="2"/>
      <c r="G7">
        <f>G2+G3+G4+G5+G6</f>
        <v>2861248.7890204</v>
      </c>
      <c r="H7" s="379"/>
    </row>
    <row r="8" spans="1:9" x14ac:dyDescent="0.2">
      <c r="A8" s="77">
        <v>45323</v>
      </c>
      <c r="B8" s="377">
        <v>1</v>
      </c>
      <c r="C8" s="377"/>
      <c r="D8" s="2" t="s">
        <v>455</v>
      </c>
      <c r="E8" s="2"/>
      <c r="F8" s="2"/>
      <c r="G8">
        <v>1274352.82</v>
      </c>
      <c r="H8" s="352">
        <f>G8/$G$13</f>
        <v>0.48071103986906499</v>
      </c>
      <c r="I8" s="378">
        <f>H8</f>
        <v>0.48071103986906499</v>
      </c>
    </row>
    <row r="9" spans="1:9" x14ac:dyDescent="0.2">
      <c r="A9" s="77">
        <v>45323</v>
      </c>
      <c r="B9" s="377">
        <v>2</v>
      </c>
      <c r="C9" s="377"/>
      <c r="D9" s="2" t="s">
        <v>142</v>
      </c>
      <c r="E9" s="2"/>
      <c r="F9" s="2"/>
      <c r="G9">
        <v>346542.42000000004</v>
      </c>
      <c r="H9" s="352">
        <f t="shared" ref="H9:H12" si="0">G9/$G$13</f>
        <v>0.13072264169113093</v>
      </c>
      <c r="I9" s="378">
        <f>H9</f>
        <v>0.13072264169113093</v>
      </c>
    </row>
    <row r="10" spans="1:9" x14ac:dyDescent="0.2">
      <c r="A10" s="77">
        <v>45323</v>
      </c>
      <c r="B10" s="377">
        <v>3</v>
      </c>
      <c r="C10" s="377"/>
      <c r="D10" s="2" t="s">
        <v>453</v>
      </c>
      <c r="E10" s="2"/>
      <c r="F10" s="2"/>
      <c r="G10">
        <v>630667.98999999976</v>
      </c>
      <c r="H10" s="352">
        <f t="shared" si="0"/>
        <v>0.23790041543207235</v>
      </c>
      <c r="I10" s="378">
        <f>H10</f>
        <v>0.23790041543207235</v>
      </c>
    </row>
    <row r="11" spans="1:9" x14ac:dyDescent="0.2">
      <c r="A11" s="77">
        <v>45323</v>
      </c>
      <c r="B11" s="377">
        <v>4</v>
      </c>
      <c r="C11" s="377"/>
      <c r="D11" s="2" t="s">
        <v>454</v>
      </c>
      <c r="E11" s="2"/>
      <c r="F11" s="2"/>
      <c r="G11">
        <v>85576.06</v>
      </c>
      <c r="H11" s="352">
        <f t="shared" si="0"/>
        <v>3.2280979132998266E-2</v>
      </c>
      <c r="I11" s="378">
        <f>H11</f>
        <v>3.2280979132998266E-2</v>
      </c>
    </row>
    <row r="12" spans="1:9" x14ac:dyDescent="0.2">
      <c r="A12" s="77">
        <v>45323</v>
      </c>
      <c r="B12" s="377">
        <v>5</v>
      </c>
      <c r="C12" s="377"/>
      <c r="D12" s="2" t="s">
        <v>331</v>
      </c>
      <c r="E12" s="2"/>
      <c r="F12" s="2"/>
      <c r="G12">
        <v>313835.44182040001</v>
      </c>
      <c r="H12" s="352">
        <f t="shared" si="0"/>
        <v>0.11838492387473347</v>
      </c>
      <c r="I12" s="378">
        <f>H12</f>
        <v>0.11838492387473347</v>
      </c>
    </row>
    <row r="13" spans="1:9" x14ac:dyDescent="0.2">
      <c r="A13" s="77">
        <v>45323</v>
      </c>
      <c r="B13" s="377">
        <v>6</v>
      </c>
      <c r="C13" s="377"/>
      <c r="D13" s="2" t="s">
        <v>452</v>
      </c>
      <c r="E13" s="2"/>
      <c r="F13" s="2"/>
      <c r="G13">
        <f>G8+G9+G10+G11+G12</f>
        <v>2650974.7318203999</v>
      </c>
      <c r="H13" s="379"/>
    </row>
    <row r="14" spans="1:9" x14ac:dyDescent="0.2">
      <c r="A14" s="77">
        <v>45352</v>
      </c>
      <c r="B14" s="377">
        <v>1</v>
      </c>
      <c r="C14" s="377"/>
      <c r="D14" s="2" t="s">
        <v>455</v>
      </c>
      <c r="E14" s="2"/>
      <c r="F14" s="2"/>
      <c r="G14">
        <v>1307419.74</v>
      </c>
      <c r="H14" s="352">
        <f>G14/$G$19</f>
        <v>0.48678892702302046</v>
      </c>
      <c r="I14" s="378">
        <f>H14</f>
        <v>0.48678892702302046</v>
      </c>
    </row>
    <row r="15" spans="1:9" x14ac:dyDescent="0.2">
      <c r="A15" s="77">
        <v>45352</v>
      </c>
      <c r="B15" s="377">
        <v>2</v>
      </c>
      <c r="C15" s="377"/>
      <c r="D15" s="2" t="s">
        <v>142</v>
      </c>
      <c r="E15" s="2"/>
      <c r="F15" s="2"/>
      <c r="G15">
        <v>373244.79000000004</v>
      </c>
      <c r="H15" s="352">
        <f t="shared" ref="H15:H18" si="1">G15/$G$19</f>
        <v>0.13896947191651904</v>
      </c>
      <c r="I15" s="378">
        <f>H15</f>
        <v>0.13896947191651904</v>
      </c>
    </row>
    <row r="16" spans="1:9" x14ac:dyDescent="0.2">
      <c r="A16" s="77">
        <v>45352</v>
      </c>
      <c r="B16" s="377">
        <v>3</v>
      </c>
      <c r="C16" s="377"/>
      <c r="D16" s="2" t="s">
        <v>453</v>
      </c>
      <c r="E16" s="2"/>
      <c r="F16" s="2"/>
      <c r="G16">
        <v>650151.32999999996</v>
      </c>
      <c r="H16" s="352">
        <f t="shared" si="1"/>
        <v>0.24206951956629449</v>
      </c>
      <c r="I16" s="378">
        <f>H16</f>
        <v>0.24206951956629449</v>
      </c>
    </row>
    <row r="17" spans="1:9" x14ac:dyDescent="0.2">
      <c r="A17" s="77">
        <v>45352</v>
      </c>
      <c r="B17" s="377">
        <v>4</v>
      </c>
      <c r="C17" s="377"/>
      <c r="D17" s="2" t="s">
        <v>454</v>
      </c>
      <c r="E17" s="2"/>
      <c r="F17" s="2"/>
      <c r="G17">
        <v>70716.88</v>
      </c>
      <c r="H17" s="352">
        <f t="shared" si="1"/>
        <v>2.6329871795889893E-2</v>
      </c>
      <c r="I17" s="378">
        <f>H17</f>
        <v>2.6329871795889893E-2</v>
      </c>
    </row>
    <row r="18" spans="1:9" x14ac:dyDescent="0.2">
      <c r="A18" s="77">
        <v>45352</v>
      </c>
      <c r="B18" s="377">
        <v>5</v>
      </c>
      <c r="C18" s="377"/>
      <c r="D18" s="2" t="s">
        <v>331</v>
      </c>
      <c r="E18" s="2"/>
      <c r="F18" s="2"/>
      <c r="G18">
        <v>284271.45032040053</v>
      </c>
      <c r="H18" s="352">
        <f t="shared" si="1"/>
        <v>0.10584220969827612</v>
      </c>
      <c r="I18" s="378">
        <f>H18</f>
        <v>0.10584220969827612</v>
      </c>
    </row>
    <row r="19" spans="1:9" x14ac:dyDescent="0.2">
      <c r="A19" s="77">
        <v>45352</v>
      </c>
      <c r="B19" s="377">
        <v>6</v>
      </c>
      <c r="C19" s="377"/>
      <c r="D19" s="2" t="s">
        <v>452</v>
      </c>
      <c r="E19" s="2"/>
      <c r="F19" s="2"/>
      <c r="G19">
        <f>G14+G15+G16+G17+G18</f>
        <v>2685804.1903204005</v>
      </c>
      <c r="H19" s="379"/>
    </row>
    <row r="20" spans="1:9" x14ac:dyDescent="0.2">
      <c r="A20" s="77">
        <v>45413</v>
      </c>
      <c r="B20" s="377">
        <v>1</v>
      </c>
      <c r="C20" s="377"/>
      <c r="D20" s="2" t="s">
        <v>455</v>
      </c>
      <c r="E20" s="2"/>
      <c r="F20" s="2"/>
      <c r="G20">
        <f>-DRE!$E$22</f>
        <v>1261018.94</v>
      </c>
      <c r="H20" s="352">
        <f>G20/$G$25</f>
        <v>0.44657306223650101</v>
      </c>
      <c r="I20" s="378">
        <f>H20</f>
        <v>0.44657306223650101</v>
      </c>
    </row>
    <row r="21" spans="1:9" x14ac:dyDescent="0.2">
      <c r="A21" s="77">
        <v>45413</v>
      </c>
      <c r="B21" s="377">
        <v>2</v>
      </c>
      <c r="C21" s="377"/>
      <c r="D21" s="2" t="s">
        <v>142</v>
      </c>
      <c r="E21" s="252"/>
      <c r="F21" s="257"/>
      <c r="G21">
        <f>-DRE!$E$34</f>
        <v>377876.51</v>
      </c>
      <c r="H21" s="352">
        <f t="shared" ref="H21:H24" si="2">G21/$G$25</f>
        <v>0.13381993312324222</v>
      </c>
      <c r="I21" s="378">
        <f>H21</f>
        <v>0.13381993312324222</v>
      </c>
    </row>
    <row r="22" spans="1:9" x14ac:dyDescent="0.2">
      <c r="A22" s="77">
        <v>45413</v>
      </c>
      <c r="B22" s="377">
        <v>3</v>
      </c>
      <c r="C22" s="377"/>
      <c r="D22" s="2" t="s">
        <v>453</v>
      </c>
      <c r="E22" s="380"/>
      <c r="F22" s="380"/>
      <c r="G22">
        <f>-DRE!$E$4-DRE!$E$41</f>
        <v>577744.15</v>
      </c>
      <c r="H22" s="352">
        <f t="shared" si="2"/>
        <v>0.20460039581540654</v>
      </c>
      <c r="I22" s="378">
        <f>H22</f>
        <v>0.20460039581540654</v>
      </c>
    </row>
    <row r="23" spans="1:9" x14ac:dyDescent="0.2">
      <c r="A23" s="77">
        <v>45413</v>
      </c>
      <c r="B23" s="377">
        <v>4</v>
      </c>
      <c r="C23" s="377"/>
      <c r="D23" s="2" t="s">
        <v>454</v>
      </c>
      <c r="E23" s="2"/>
      <c r="F23" s="2"/>
      <c r="G23">
        <f>-DRE!$E$21</f>
        <v>138202.63</v>
      </c>
      <c r="H23" s="352">
        <f t="shared" si="2"/>
        <v>4.8942620709755656E-2</v>
      </c>
      <c r="I23" s="378">
        <f>H23</f>
        <v>4.8942620709755656E-2</v>
      </c>
    </row>
    <row r="24" spans="1:9" x14ac:dyDescent="0.2">
      <c r="A24" s="77">
        <v>45413</v>
      </c>
      <c r="B24" s="377">
        <v>5</v>
      </c>
      <c r="C24" s="377"/>
      <c r="D24" s="2" t="s">
        <v>331</v>
      </c>
      <c r="E24" s="2"/>
      <c r="F24" s="2"/>
      <c r="G24">
        <f>G25-G20-G21-G22-G23</f>
        <v>468926.25635839999</v>
      </c>
      <c r="H24" s="352">
        <f t="shared" si="2"/>
        <v>0.1660639881150946</v>
      </c>
      <c r="I24" s="378">
        <f>H24</f>
        <v>0.1660639881150946</v>
      </c>
    </row>
    <row r="25" spans="1:9" x14ac:dyDescent="0.2">
      <c r="A25" s="77">
        <v>45413</v>
      </c>
      <c r="B25" s="377">
        <v>6</v>
      </c>
      <c r="C25" s="377"/>
      <c r="D25" s="2" t="s">
        <v>452</v>
      </c>
      <c r="E25" s="2"/>
      <c r="F25" s="2"/>
      <c r="G25">
        <f>-DRE!$E$44</f>
        <v>2823768.4863584</v>
      </c>
      <c r="H25" s="379"/>
    </row>
    <row r="26" spans="1:9" x14ac:dyDescent="0.2">
      <c r="A26" s="77">
        <v>45444</v>
      </c>
      <c r="B26" s="377">
        <v>1</v>
      </c>
      <c r="C26" s="377"/>
      <c r="D26" s="2" t="s">
        <v>455</v>
      </c>
      <c r="E26" s="2"/>
      <c r="F26" s="2"/>
      <c r="G26">
        <f>-DRE!$G$22</f>
        <v>1247698.2404</v>
      </c>
      <c r="H26" s="352">
        <f>G26/$G$31</f>
        <v>0.42746005105551266</v>
      </c>
      <c r="I26" s="378">
        <f>H26</f>
        <v>0.42746005105551266</v>
      </c>
    </row>
    <row r="27" spans="1:9" x14ac:dyDescent="0.2">
      <c r="A27" s="77">
        <v>45444</v>
      </c>
      <c r="B27" s="377">
        <v>2</v>
      </c>
      <c r="C27" s="377"/>
      <c r="D27" s="2" t="s">
        <v>142</v>
      </c>
      <c r="E27" s="2"/>
      <c r="F27" s="2"/>
      <c r="G27" t="e">
        <f>-DRE!#REF!-DRE!$G$34</f>
        <v>#REF!</v>
      </c>
      <c r="H27" s="352" t="e">
        <f t="shared" ref="H27:H29" si="3">G27/$G$31</f>
        <v>#REF!</v>
      </c>
      <c r="I27" s="378" t="e">
        <f>H27</f>
        <v>#REF!</v>
      </c>
    </row>
    <row r="28" spans="1:9" x14ac:dyDescent="0.2">
      <c r="A28" s="77">
        <v>45444</v>
      </c>
      <c r="B28" s="377">
        <v>3</v>
      </c>
      <c r="C28" s="377"/>
      <c r="D28" s="2" t="s">
        <v>453</v>
      </c>
      <c r="E28" s="2"/>
      <c r="F28" s="2"/>
      <c r="G28">
        <f>-DRE!$G$4-DRE!$G$41</f>
        <v>693384.02</v>
      </c>
      <c r="H28" s="352">
        <f t="shared" si="3"/>
        <v>0.23755260606543421</v>
      </c>
      <c r="I28" s="378">
        <f>H28</f>
        <v>0.23755260606543421</v>
      </c>
    </row>
    <row r="29" spans="1:9" x14ac:dyDescent="0.2">
      <c r="A29" s="77">
        <v>45444</v>
      </c>
      <c r="B29" s="377">
        <v>4</v>
      </c>
      <c r="C29" s="377"/>
      <c r="D29" s="2" t="s">
        <v>454</v>
      </c>
      <c r="E29" s="2"/>
      <c r="F29" s="2"/>
      <c r="G29">
        <f>-DRE!$G$21</f>
        <v>165444.51</v>
      </c>
      <c r="H29" s="352">
        <f t="shared" si="3"/>
        <v>5.6681107980710015E-2</v>
      </c>
      <c r="I29" s="378">
        <f>H29</f>
        <v>5.6681107980710015E-2</v>
      </c>
    </row>
    <row r="30" spans="1:9" x14ac:dyDescent="0.2">
      <c r="A30" s="77">
        <v>45444</v>
      </c>
      <c r="B30" s="377">
        <v>5</v>
      </c>
      <c r="C30" s="377"/>
      <c r="D30" s="2" t="s">
        <v>331</v>
      </c>
      <c r="E30" s="2"/>
      <c r="F30" s="2"/>
      <c r="G30" t="e">
        <f>G31-G26-G27-G28-G29</f>
        <v>#REF!</v>
      </c>
      <c r="H30" s="352" t="e">
        <f>G30/$G$31</f>
        <v>#REF!</v>
      </c>
      <c r="I30" s="378" t="e">
        <f>H30</f>
        <v>#REF!</v>
      </c>
    </row>
    <row r="31" spans="1:9" x14ac:dyDescent="0.2">
      <c r="A31" s="77">
        <v>45444</v>
      </c>
      <c r="B31" s="377">
        <v>6</v>
      </c>
      <c r="C31" s="377"/>
      <c r="D31" s="2" t="s">
        <v>452</v>
      </c>
      <c r="E31" s="2"/>
      <c r="F31" s="2"/>
      <c r="G31">
        <f>-DRE!$G$44</f>
        <v>2918865.1367984</v>
      </c>
      <c r="H31" s="379"/>
    </row>
    <row r="32" spans="1:9" x14ac:dyDescent="0.2">
      <c r="A32" s="77">
        <v>45474</v>
      </c>
      <c r="B32" s="377">
        <v>1</v>
      </c>
      <c r="C32" s="377"/>
      <c r="D32" s="2" t="s">
        <v>455</v>
      </c>
      <c r="E32" s="2"/>
      <c r="F32" s="2"/>
      <c r="G32">
        <f>-DRE!$I$22</f>
        <v>1257014.5288</v>
      </c>
      <c r="H32" s="352">
        <f>G32/$G$37</f>
        <v>0.39537077527868703</v>
      </c>
      <c r="I32" s="378">
        <f>H32</f>
        <v>0.39537077527868703</v>
      </c>
    </row>
    <row r="33" spans="1:9" x14ac:dyDescent="0.2">
      <c r="A33" s="77">
        <v>45474</v>
      </c>
      <c r="B33" s="377">
        <v>2</v>
      </c>
      <c r="C33" s="377"/>
      <c r="D33" s="2" t="s">
        <v>142</v>
      </c>
      <c r="E33" s="2"/>
      <c r="F33" s="2"/>
      <c r="G33" t="e">
        <f>-DRE!#REF!-DRE!$I$34</f>
        <v>#REF!</v>
      </c>
      <c r="H33" s="352" t="e">
        <f t="shared" ref="H33:H36" si="4">G33/$G$37</f>
        <v>#REF!</v>
      </c>
      <c r="I33" s="378" t="e">
        <f>H33</f>
        <v>#REF!</v>
      </c>
    </row>
    <row r="34" spans="1:9" x14ac:dyDescent="0.2">
      <c r="A34" s="77">
        <v>45474</v>
      </c>
      <c r="B34" s="377">
        <v>3</v>
      </c>
      <c r="C34" s="377"/>
      <c r="D34" s="2" t="s">
        <v>453</v>
      </c>
      <c r="E34" s="2"/>
      <c r="F34" s="2"/>
      <c r="G34">
        <f>-DRE!$I$4-DRE!$I$41</f>
        <v>771453.1</v>
      </c>
      <c r="H34" s="352">
        <f t="shared" si="4"/>
        <v>0.24264636823992963</v>
      </c>
      <c r="I34" s="378">
        <f>H34</f>
        <v>0.24264636823992963</v>
      </c>
    </row>
    <row r="35" spans="1:9" x14ac:dyDescent="0.2">
      <c r="A35" s="77">
        <v>45474</v>
      </c>
      <c r="B35" s="377">
        <v>4</v>
      </c>
      <c r="C35" s="377"/>
      <c r="D35" s="2" t="s">
        <v>454</v>
      </c>
      <c r="E35" s="2"/>
      <c r="F35" s="2"/>
      <c r="G35">
        <f>-DRE!$I$21</f>
        <v>169686.16</v>
      </c>
      <c r="H35" s="352">
        <f t="shared" si="4"/>
        <v>5.3371657284907691E-2</v>
      </c>
      <c r="I35" s="378">
        <f>H35</f>
        <v>5.3371657284907691E-2</v>
      </c>
    </row>
    <row r="36" spans="1:9" x14ac:dyDescent="0.2">
      <c r="A36" s="77">
        <v>45474</v>
      </c>
      <c r="B36" s="377">
        <v>5</v>
      </c>
      <c r="C36" s="377"/>
      <c r="D36" s="2" t="s">
        <v>331</v>
      </c>
      <c r="E36" s="2"/>
      <c r="F36" s="2"/>
      <c r="G36" t="e">
        <f>G37-G32-G33-G34-G35</f>
        <v>#REF!</v>
      </c>
      <c r="H36" s="352" t="e">
        <f t="shared" si="4"/>
        <v>#REF!</v>
      </c>
      <c r="I36" s="378" t="e">
        <f>H36</f>
        <v>#REF!</v>
      </c>
    </row>
    <row r="37" spans="1:9" x14ac:dyDescent="0.2">
      <c r="A37" s="77">
        <v>45474</v>
      </c>
      <c r="B37" s="377">
        <v>6</v>
      </c>
      <c r="C37" s="377"/>
      <c r="D37" s="2" t="s">
        <v>452</v>
      </c>
      <c r="E37" s="2"/>
      <c r="F37" s="2"/>
      <c r="G37">
        <f>-DRE!$I$44</f>
        <v>3179330.9151744</v>
      </c>
      <c r="H37" s="379"/>
    </row>
    <row r="38" spans="1:9" x14ac:dyDescent="0.2">
      <c r="A38" s="77">
        <v>45505</v>
      </c>
      <c r="B38" s="377">
        <v>1</v>
      </c>
      <c r="C38" s="377"/>
      <c r="D38" s="2" t="s">
        <v>455</v>
      </c>
      <c r="E38" s="2"/>
      <c r="F38" s="2"/>
      <c r="G38">
        <f>-DRE!$K$22</f>
        <v>1275862.1514000001</v>
      </c>
      <c r="H38" s="352">
        <f>G38/$G$43</f>
        <v>0.42071684254943109</v>
      </c>
      <c r="I38" s="378">
        <f>H38</f>
        <v>0.42071684254943109</v>
      </c>
    </row>
    <row r="39" spans="1:9" x14ac:dyDescent="0.2">
      <c r="A39" s="77">
        <v>45505</v>
      </c>
      <c r="B39" s="377">
        <v>2</v>
      </c>
      <c r="C39" s="377"/>
      <c r="D39" s="2" t="s">
        <v>142</v>
      </c>
      <c r="E39" s="2"/>
      <c r="F39" s="2"/>
      <c r="G39" t="e">
        <f>-DRE!#REF!-DRE!$K$34</f>
        <v>#REF!</v>
      </c>
      <c r="H39" s="352" t="e">
        <f t="shared" ref="H39:H42" si="5">G39/$G$43</f>
        <v>#REF!</v>
      </c>
      <c r="I39" s="378" t="e">
        <f>H39</f>
        <v>#REF!</v>
      </c>
    </row>
    <row r="40" spans="1:9" x14ac:dyDescent="0.2">
      <c r="A40" s="77">
        <v>45505</v>
      </c>
      <c r="B40" s="377">
        <v>3</v>
      </c>
      <c r="C40" s="377"/>
      <c r="D40" s="2" t="s">
        <v>453</v>
      </c>
      <c r="E40" s="2"/>
      <c r="F40" s="2"/>
      <c r="G40">
        <f>-DRE!$K$4-DRE!$K$41</f>
        <v>695502.16</v>
      </c>
      <c r="H40" s="352">
        <f t="shared" si="5"/>
        <v>0.22934254489831027</v>
      </c>
      <c r="I40" s="378">
        <f>H40</f>
        <v>0.22934254489831027</v>
      </c>
    </row>
    <row r="41" spans="1:9" x14ac:dyDescent="0.2">
      <c r="A41" s="77">
        <v>45505</v>
      </c>
      <c r="B41" s="377">
        <v>4</v>
      </c>
      <c r="C41" s="377"/>
      <c r="D41" s="2" t="s">
        <v>454</v>
      </c>
      <c r="E41" s="2"/>
      <c r="F41" s="2"/>
      <c r="G41">
        <f>-DRE!$K$21</f>
        <v>165603.79999999999</v>
      </c>
      <c r="H41" s="352">
        <f t="shared" si="5"/>
        <v>5.4608021543500009E-2</v>
      </c>
      <c r="I41" s="378">
        <f>H41</f>
        <v>5.4608021543500009E-2</v>
      </c>
    </row>
    <row r="42" spans="1:9" x14ac:dyDescent="0.2">
      <c r="A42" s="77">
        <v>45505</v>
      </c>
      <c r="B42" s="377">
        <v>5</v>
      </c>
      <c r="C42" s="377"/>
      <c r="D42" s="2" t="s">
        <v>331</v>
      </c>
      <c r="E42" s="2"/>
      <c r="F42" s="2"/>
      <c r="G42" t="e">
        <f>G43-G38-G39-G40-G41</f>
        <v>#REF!</v>
      </c>
      <c r="H42" s="352" t="e">
        <f t="shared" si="5"/>
        <v>#REF!</v>
      </c>
      <c r="I42" s="378" t="e">
        <f>H42</f>
        <v>#REF!</v>
      </c>
    </row>
    <row r="43" spans="1:9" x14ac:dyDescent="0.2">
      <c r="A43" s="77">
        <v>45505</v>
      </c>
      <c r="B43" s="377">
        <v>6</v>
      </c>
      <c r="C43" s="377"/>
      <c r="D43" s="2" t="s">
        <v>452</v>
      </c>
      <c r="E43" s="2"/>
      <c r="F43" s="2"/>
      <c r="G43">
        <f>-DRE!$K$44</f>
        <v>3032591.0977763999</v>
      </c>
      <c r="H43" s="379"/>
    </row>
    <row r="44" spans="1:9" x14ac:dyDescent="0.2">
      <c r="A44" s="77">
        <v>45536</v>
      </c>
      <c r="B44" s="377">
        <v>1</v>
      </c>
      <c r="C44" s="377"/>
      <c r="D44" s="2" t="s">
        <v>455</v>
      </c>
      <c r="E44" s="2"/>
      <c r="F44" s="2"/>
      <c r="G44">
        <f>-DRE!$M$22</f>
        <v>1300087.375</v>
      </c>
      <c r="H44" s="352">
        <f>G44/$G$49</f>
        <v>0.41893909856069561</v>
      </c>
      <c r="I44" s="378">
        <f>H44</f>
        <v>0.41893909856069561</v>
      </c>
    </row>
    <row r="45" spans="1:9" x14ac:dyDescent="0.2">
      <c r="A45" s="77">
        <v>45536</v>
      </c>
      <c r="B45" s="377">
        <v>2</v>
      </c>
      <c r="C45" s="377"/>
      <c r="D45" s="2" t="s">
        <v>142</v>
      </c>
      <c r="E45" s="2"/>
      <c r="F45" s="2"/>
      <c r="G45" t="e">
        <f>-DRE!#REF!-DRE!$M$34</f>
        <v>#REF!</v>
      </c>
      <c r="H45" s="352" t="e">
        <f t="shared" ref="H45:H48" si="6">G45/$G$49</f>
        <v>#REF!</v>
      </c>
      <c r="I45" s="378" t="e">
        <f>H45</f>
        <v>#REF!</v>
      </c>
    </row>
    <row r="46" spans="1:9" x14ac:dyDescent="0.2">
      <c r="A46" s="77">
        <v>45536</v>
      </c>
      <c r="B46" s="377">
        <v>3</v>
      </c>
      <c r="C46" s="377"/>
      <c r="D46" s="2" t="s">
        <v>453</v>
      </c>
      <c r="E46" s="2"/>
      <c r="F46" s="2"/>
      <c r="G46">
        <f>-DRE!$M$4-DRE!$M$41</f>
        <v>716854.42</v>
      </c>
      <c r="H46" s="352">
        <f t="shared" si="6"/>
        <v>0.23099858539434728</v>
      </c>
      <c r="I46" s="378">
        <f>H46</f>
        <v>0.23099858539434728</v>
      </c>
    </row>
    <row r="47" spans="1:9" x14ac:dyDescent="0.2">
      <c r="A47" s="77">
        <v>45536</v>
      </c>
      <c r="B47" s="377">
        <v>4</v>
      </c>
      <c r="C47" s="377"/>
      <c r="D47" s="2" t="s">
        <v>454</v>
      </c>
      <c r="E47" s="2"/>
      <c r="F47" s="2"/>
      <c r="G47">
        <f>-DRE!$M$21</f>
        <v>198728.85</v>
      </c>
      <c r="H47" s="352">
        <f t="shared" si="6"/>
        <v>6.4038223028666588E-2</v>
      </c>
      <c r="I47" s="378">
        <f>H47</f>
        <v>6.4038223028666588E-2</v>
      </c>
    </row>
    <row r="48" spans="1:9" x14ac:dyDescent="0.2">
      <c r="A48" s="77">
        <v>45536</v>
      </c>
      <c r="B48" s="377">
        <v>5</v>
      </c>
      <c r="C48" s="377"/>
      <c r="D48" s="2" t="s">
        <v>331</v>
      </c>
      <c r="E48" s="2"/>
      <c r="F48" s="2"/>
      <c r="G48" t="e">
        <f>G49-G44-G45-G46-G47</f>
        <v>#REF!</v>
      </c>
      <c r="H48" s="352" t="e">
        <f t="shared" si="6"/>
        <v>#REF!</v>
      </c>
      <c r="I48" s="378" t="e">
        <f>H48</f>
        <v>#REF!</v>
      </c>
    </row>
    <row r="49" spans="1:9" x14ac:dyDescent="0.2">
      <c r="A49" s="77">
        <v>45536</v>
      </c>
      <c r="B49" s="377">
        <v>6</v>
      </c>
      <c r="C49" s="377"/>
      <c r="D49" s="2" t="s">
        <v>452</v>
      </c>
      <c r="E49" s="2"/>
      <c r="F49" s="2"/>
      <c r="G49">
        <f>-DRE!$M$44</f>
        <v>3103284.8914474002</v>
      </c>
      <c r="H49" s="379"/>
    </row>
    <row r="50" spans="1:9" x14ac:dyDescent="0.2">
      <c r="A50" s="77">
        <v>45566</v>
      </c>
      <c r="B50" s="377">
        <v>1</v>
      </c>
      <c r="C50" s="377"/>
      <c r="D50" s="2" t="s">
        <v>455</v>
      </c>
      <c r="E50" s="2"/>
      <c r="F50" s="2"/>
      <c r="G50">
        <f>-DRE!$O$22</f>
        <v>1339147.3012000001</v>
      </c>
      <c r="H50" s="352">
        <f>G50/$G$55</f>
        <v>0.39352464916293939</v>
      </c>
      <c r="I50" s="378">
        <f>H50</f>
        <v>0.39352464916293939</v>
      </c>
    </row>
    <row r="51" spans="1:9" x14ac:dyDescent="0.2">
      <c r="A51" s="77">
        <v>45566</v>
      </c>
      <c r="B51" s="377">
        <v>2</v>
      </c>
      <c r="C51" s="377"/>
      <c r="D51" s="2" t="s">
        <v>142</v>
      </c>
      <c r="E51" s="2"/>
      <c r="F51" s="2"/>
      <c r="G51" t="e">
        <f>-DRE!#REF!-DRE!$O$34</f>
        <v>#REF!</v>
      </c>
      <c r="H51" s="352" t="e">
        <f t="shared" ref="H51:H54" si="7">G51/$G$55</f>
        <v>#REF!</v>
      </c>
      <c r="I51" s="378" t="e">
        <f>H51</f>
        <v>#REF!</v>
      </c>
    </row>
    <row r="52" spans="1:9" x14ac:dyDescent="0.2">
      <c r="A52" s="77">
        <v>45566</v>
      </c>
      <c r="B52" s="377">
        <v>3</v>
      </c>
      <c r="C52" s="377"/>
      <c r="D52" s="2" t="s">
        <v>453</v>
      </c>
      <c r="E52" s="2"/>
      <c r="F52" s="2"/>
      <c r="G52">
        <f>-DRE!$O$4-DRE!$O$41</f>
        <v>787923.26</v>
      </c>
      <c r="H52" s="352">
        <f t="shared" si="7"/>
        <v>0.23154079030810912</v>
      </c>
      <c r="I52" s="378">
        <f>H52</f>
        <v>0.23154079030810912</v>
      </c>
    </row>
    <row r="53" spans="1:9" x14ac:dyDescent="0.2">
      <c r="A53" s="77">
        <v>45566</v>
      </c>
      <c r="B53" s="377">
        <v>4</v>
      </c>
      <c r="C53" s="377"/>
      <c r="D53" s="2" t="s">
        <v>454</v>
      </c>
      <c r="E53" s="2"/>
      <c r="F53" s="2"/>
      <c r="G53">
        <f>-DRE!$O$21</f>
        <v>216962.07</v>
      </c>
      <c r="H53" s="352">
        <f t="shared" si="7"/>
        <v>6.3756931296435254E-2</v>
      </c>
      <c r="I53" s="378">
        <f>H53</f>
        <v>6.3756931296435254E-2</v>
      </c>
    </row>
    <row r="54" spans="1:9" x14ac:dyDescent="0.2">
      <c r="A54" s="77">
        <v>45566</v>
      </c>
      <c r="B54" s="377">
        <v>5</v>
      </c>
      <c r="C54" s="377"/>
      <c r="D54" s="2" t="s">
        <v>331</v>
      </c>
      <c r="E54" s="2"/>
      <c r="F54" s="2"/>
      <c r="G54" t="e">
        <f>G55-G50-G51-G52-G53</f>
        <v>#REF!</v>
      </c>
      <c r="H54" s="352" t="e">
        <f t="shared" si="7"/>
        <v>#REF!</v>
      </c>
      <c r="I54" s="378" t="e">
        <f>H54</f>
        <v>#REF!</v>
      </c>
    </row>
    <row r="55" spans="1:9" x14ac:dyDescent="0.2">
      <c r="A55" s="77">
        <v>45566</v>
      </c>
      <c r="B55" s="377">
        <v>6</v>
      </c>
      <c r="C55" s="377"/>
      <c r="D55" s="2" t="s">
        <v>452</v>
      </c>
      <c r="E55" s="2"/>
      <c r="F55" s="2"/>
      <c r="G55">
        <f>-DRE!$O$44</f>
        <v>3402956.5976324002</v>
      </c>
      <c r="H55" s="379"/>
    </row>
    <row r="56" spans="1:9" x14ac:dyDescent="0.2">
      <c r="A56" s="77">
        <v>45597</v>
      </c>
      <c r="B56" s="377">
        <v>1</v>
      </c>
      <c r="C56" s="377"/>
      <c r="D56" s="2" t="s">
        <v>455</v>
      </c>
      <c r="E56" s="2"/>
      <c r="F56" s="2"/>
      <c r="G56">
        <f>-DRE!$Q$22</f>
        <v>1351942.3735999998</v>
      </c>
      <c r="H56" s="352">
        <f>G56/$G$61</f>
        <v>0.35475006976987683</v>
      </c>
      <c r="I56" s="378">
        <f>H56</f>
        <v>0.35475006976987683</v>
      </c>
    </row>
    <row r="57" spans="1:9" x14ac:dyDescent="0.2">
      <c r="A57" s="77">
        <v>45597</v>
      </c>
      <c r="B57" s="377">
        <v>2</v>
      </c>
      <c r="C57" s="377"/>
      <c r="D57" s="2" t="s">
        <v>142</v>
      </c>
      <c r="E57" s="2"/>
      <c r="F57" s="2"/>
      <c r="G57" t="e">
        <f>-DRE!#REF!-DRE!$Q$34</f>
        <v>#REF!</v>
      </c>
      <c r="H57" s="352" t="e">
        <f t="shared" ref="H57:H60" si="8">G57/$G$61</f>
        <v>#REF!</v>
      </c>
      <c r="I57" s="378" t="e">
        <f>H57</f>
        <v>#REF!</v>
      </c>
    </row>
    <row r="58" spans="1:9" x14ac:dyDescent="0.2">
      <c r="A58" s="77">
        <v>45597</v>
      </c>
      <c r="B58" s="377">
        <v>3</v>
      </c>
      <c r="C58" s="377"/>
      <c r="D58" s="2" t="s">
        <v>453</v>
      </c>
      <c r="E58" s="2"/>
      <c r="F58" s="2"/>
      <c r="G58">
        <f>-DRE!$Q$4-DRE!$Q$41</f>
        <v>856258.95</v>
      </c>
      <c r="H58" s="352">
        <f t="shared" si="8"/>
        <v>0.22468259608190561</v>
      </c>
      <c r="I58" s="378">
        <f>H58</f>
        <v>0.22468259608190561</v>
      </c>
    </row>
    <row r="59" spans="1:9" x14ac:dyDescent="0.2">
      <c r="A59" s="77">
        <v>45597</v>
      </c>
      <c r="B59" s="377">
        <v>4</v>
      </c>
      <c r="C59" s="377"/>
      <c r="D59" s="2" t="s">
        <v>454</v>
      </c>
      <c r="E59" s="2"/>
      <c r="F59" s="2"/>
      <c r="G59">
        <f>-DRE!$Q$21</f>
        <v>264809.08</v>
      </c>
      <c r="H59" s="352">
        <f t="shared" si="8"/>
        <v>6.9485979166070064E-2</v>
      </c>
      <c r="I59" s="378">
        <f>H59</f>
        <v>6.9485979166070064E-2</v>
      </c>
    </row>
    <row r="60" spans="1:9" x14ac:dyDescent="0.2">
      <c r="A60" s="77">
        <v>45597</v>
      </c>
      <c r="B60" s="377">
        <v>5</v>
      </c>
      <c r="C60" s="377"/>
      <c r="D60" s="2" t="s">
        <v>331</v>
      </c>
      <c r="E60" s="2"/>
      <c r="F60" s="2"/>
      <c r="G60" t="e">
        <f>G61-G56-G57-G58-G59</f>
        <v>#REF!</v>
      </c>
      <c r="H60" s="352" t="e">
        <f t="shared" si="8"/>
        <v>#REF!</v>
      </c>
      <c r="I60" s="378" t="e">
        <f>H60</f>
        <v>#REF!</v>
      </c>
    </row>
    <row r="61" spans="1:9" x14ac:dyDescent="0.2">
      <c r="A61" s="77">
        <v>45597</v>
      </c>
      <c r="B61" s="377">
        <v>6</v>
      </c>
      <c r="C61" s="377"/>
      <c r="D61" s="2" t="s">
        <v>452</v>
      </c>
      <c r="E61" s="2"/>
      <c r="F61" s="2"/>
      <c r="G61">
        <f>-DRE!$Q$44</f>
        <v>3810971.4100323999</v>
      </c>
      <c r="H61" s="379"/>
    </row>
    <row r="62" spans="1:9" x14ac:dyDescent="0.2">
      <c r="A62" s="77">
        <v>45627</v>
      </c>
      <c r="B62" s="377">
        <v>1</v>
      </c>
      <c r="C62" s="377"/>
      <c r="D62" s="2" t="s">
        <v>455</v>
      </c>
      <c r="E62" s="2"/>
      <c r="F62" s="2"/>
      <c r="G62">
        <f>-DRE!$S$22</f>
        <v>1333428.7895000002</v>
      </c>
      <c r="H62" s="352">
        <f>G62/$G$61</f>
        <v>0.34989209994851778</v>
      </c>
      <c r="I62" s="378">
        <f>H62</f>
        <v>0.34989209994851778</v>
      </c>
    </row>
    <row r="63" spans="1:9" x14ac:dyDescent="0.2">
      <c r="A63" s="77">
        <v>45627</v>
      </c>
      <c r="B63" s="377">
        <v>2</v>
      </c>
      <c r="C63" s="377"/>
      <c r="D63" s="2" t="s">
        <v>142</v>
      </c>
      <c r="E63" s="2"/>
      <c r="F63" s="2"/>
      <c r="G63" t="e">
        <f>-DRE!#REF!-DRE!$S$34</f>
        <v>#REF!</v>
      </c>
      <c r="H63" s="352" t="e">
        <f t="shared" ref="H63:H66" si="9">G63/$G$61</f>
        <v>#REF!</v>
      </c>
      <c r="I63" s="378" t="e">
        <f>H63</f>
        <v>#REF!</v>
      </c>
    </row>
    <row r="64" spans="1:9" x14ac:dyDescent="0.2">
      <c r="A64" s="77">
        <v>45627</v>
      </c>
      <c r="B64" s="377">
        <v>3</v>
      </c>
      <c r="C64" s="377"/>
      <c r="D64" s="2" t="s">
        <v>453</v>
      </c>
      <c r="E64" s="2"/>
      <c r="F64" s="2"/>
      <c r="G64">
        <f>-DRE!$S$4-DRE!$S$41</f>
        <v>854624.71</v>
      </c>
      <c r="H64" s="352">
        <f t="shared" si="9"/>
        <v>0.22425377103333718</v>
      </c>
      <c r="I64" s="378">
        <f>H64</f>
        <v>0.22425377103333718</v>
      </c>
    </row>
    <row r="65" spans="1:9" x14ac:dyDescent="0.2">
      <c r="A65" s="77">
        <v>45627</v>
      </c>
      <c r="B65" s="377">
        <v>4</v>
      </c>
      <c r="C65" s="377"/>
      <c r="D65" s="2" t="s">
        <v>454</v>
      </c>
      <c r="E65" s="2"/>
      <c r="F65" s="2"/>
      <c r="G65">
        <f>-DRE!$S$21</f>
        <v>254639.2</v>
      </c>
      <c r="H65" s="352">
        <f t="shared" si="9"/>
        <v>6.6817399713275508E-2</v>
      </c>
      <c r="I65" s="378">
        <f>H65</f>
        <v>6.6817399713275508E-2</v>
      </c>
    </row>
    <row r="66" spans="1:9" x14ac:dyDescent="0.2">
      <c r="A66" s="77">
        <v>45627</v>
      </c>
      <c r="B66" s="377">
        <v>5</v>
      </c>
      <c r="C66" s="377"/>
      <c r="D66" s="2" t="s">
        <v>331</v>
      </c>
      <c r="E66" s="2"/>
      <c r="F66" s="2"/>
      <c r="G66" t="e">
        <f>G67-G62-G63-G64-G65</f>
        <v>#REF!</v>
      </c>
      <c r="H66" s="352" t="e">
        <f t="shared" si="9"/>
        <v>#REF!</v>
      </c>
      <c r="I66" s="378" t="e">
        <f>H66</f>
        <v>#REF!</v>
      </c>
    </row>
    <row r="67" spans="1:9" x14ac:dyDescent="0.2">
      <c r="A67" s="77">
        <v>45627</v>
      </c>
      <c r="B67" s="377">
        <v>6</v>
      </c>
      <c r="C67" s="377"/>
      <c r="D67" s="2" t="s">
        <v>452</v>
      </c>
      <c r="E67" s="2"/>
      <c r="F67" s="2"/>
      <c r="G67">
        <f>-DRE!$S$44</f>
        <v>3974938.4054539599</v>
      </c>
      <c r="H67" s="379"/>
    </row>
    <row r="68" spans="1:9" x14ac:dyDescent="0.2">
      <c r="A68" t="s">
        <v>73</v>
      </c>
      <c r="B68" s="377">
        <v>1</v>
      </c>
      <c r="C68" s="377"/>
      <c r="D68" s="2" t="s">
        <v>455</v>
      </c>
      <c r="E68" s="2"/>
      <c r="F68" s="2"/>
      <c r="G68">
        <f t="shared" ref="G68:G73" si="10">G2+G8+G14+G20+G26+G32+G38+G44+G50+G56</f>
        <v>12906935.4627</v>
      </c>
      <c r="H68" s="352">
        <f>G68/$G$73</f>
        <v>0.42359769518422696</v>
      </c>
      <c r="I68" s="378">
        <f>H68</f>
        <v>0.42359769518422696</v>
      </c>
    </row>
    <row r="69" spans="1:9" x14ac:dyDescent="0.2">
      <c r="A69" t="s">
        <v>73</v>
      </c>
      <c r="B69" s="377">
        <v>2</v>
      </c>
      <c r="C69" s="377"/>
      <c r="D69" s="2" t="s">
        <v>142</v>
      </c>
      <c r="E69" s="2"/>
      <c r="F69" s="2"/>
      <c r="G69" t="e">
        <f t="shared" si="10"/>
        <v>#REF!</v>
      </c>
      <c r="H69" s="352" t="e">
        <f t="shared" ref="H69:H72" si="11">G69/$G$73</f>
        <v>#REF!</v>
      </c>
      <c r="I69" s="378" t="e">
        <f>H69</f>
        <v>#REF!</v>
      </c>
    </row>
    <row r="70" spans="1:9" x14ac:dyDescent="0.2">
      <c r="A70" t="s">
        <v>73</v>
      </c>
      <c r="B70" s="377">
        <v>3</v>
      </c>
      <c r="C70" s="377"/>
      <c r="D70" s="2" t="s">
        <v>453</v>
      </c>
      <c r="E70" s="2"/>
      <c r="F70" s="2"/>
      <c r="G70">
        <f t="shared" si="10"/>
        <v>7060130.8799999999</v>
      </c>
      <c r="H70" s="352">
        <f t="shared" si="11"/>
        <v>0.2317091595529969</v>
      </c>
      <c r="I70" s="378">
        <f>H70</f>
        <v>0.2317091595529969</v>
      </c>
    </row>
    <row r="71" spans="1:9" x14ac:dyDescent="0.2">
      <c r="A71" t="s">
        <v>73</v>
      </c>
      <c r="B71" s="377">
        <v>4</v>
      </c>
      <c r="C71" s="377"/>
      <c r="D71" s="2" t="s">
        <v>454</v>
      </c>
      <c r="E71" s="2"/>
      <c r="F71" s="2"/>
      <c r="G71">
        <f t="shared" si="10"/>
        <v>1617566.5900000003</v>
      </c>
      <c r="H71" s="352">
        <f t="shared" si="11"/>
        <v>5.3087542066912387E-2</v>
      </c>
      <c r="I71" s="378">
        <f>H71</f>
        <v>5.3087542066912387E-2</v>
      </c>
    </row>
    <row r="72" spans="1:9" x14ac:dyDescent="0.2">
      <c r="A72" t="s">
        <v>73</v>
      </c>
      <c r="B72" s="377">
        <v>5</v>
      </c>
      <c r="C72" s="377"/>
      <c r="D72" s="2" t="s">
        <v>331</v>
      </c>
      <c r="E72" s="2"/>
      <c r="F72" s="2"/>
      <c r="G72" t="e">
        <f t="shared" si="10"/>
        <v>#REF!</v>
      </c>
      <c r="H72" s="352" t="e">
        <f t="shared" si="11"/>
        <v>#REF!</v>
      </c>
      <c r="I72" s="378" t="e">
        <f>H72</f>
        <v>#REF!</v>
      </c>
    </row>
    <row r="73" spans="1:9" x14ac:dyDescent="0.2">
      <c r="A73" t="s">
        <v>73</v>
      </c>
      <c r="B73" s="377">
        <v>6</v>
      </c>
      <c r="C73" s="377"/>
      <c r="D73" s="2" t="s">
        <v>452</v>
      </c>
      <c r="E73" s="2"/>
      <c r="F73" s="2"/>
      <c r="G73">
        <f t="shared" si="10"/>
        <v>30469796.246380996</v>
      </c>
      <c r="H73" s="379"/>
    </row>
    <row r="74" spans="1:9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486</v>
      </c>
      <c r="F74" s="2"/>
      <c r="G74">
        <f>-VLOOKUP($C74,DRE!$D:$S,2,0)</f>
        <v>69000.39</v>
      </c>
      <c r="H74" s="352" t="e">
        <f t="shared" ref="H74:H93" si="12">G74/$G$94</f>
        <v>#N/A</v>
      </c>
      <c r="I74"/>
    </row>
    <row r="75" spans="1:9" x14ac:dyDescent="0.2">
      <c r="A75" s="77">
        <v>45413</v>
      </c>
      <c r="B75" s="377">
        <v>8</v>
      </c>
      <c r="C75" t="s">
        <v>563</v>
      </c>
      <c r="D75" s="2" t="s">
        <v>331</v>
      </c>
      <c r="E75" s="2" t="s">
        <v>487</v>
      </c>
      <c r="F75" s="2"/>
      <c r="G75">
        <f>VLOOKUP($C75,DRE!$D:$S,2,0)</f>
        <v>0</v>
      </c>
      <c r="H75" s="352" t="e">
        <f t="shared" si="12"/>
        <v>#N/A</v>
      </c>
      <c r="I75"/>
    </row>
    <row r="76" spans="1:9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488</v>
      </c>
      <c r="F76" s="2"/>
      <c r="G76">
        <f>-VLOOKUP($C76,DRE!$D:$S,2,0)</f>
        <v>52394.22</v>
      </c>
      <c r="H76" s="352" t="e">
        <f t="shared" si="12"/>
        <v>#N/A</v>
      </c>
      <c r="I76"/>
    </row>
    <row r="77" spans="1:9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489</v>
      </c>
      <c r="F77" s="2"/>
      <c r="G77">
        <f>-VLOOKUP($C77,DRE!$D:$S,2,0)</f>
        <v>37496.6</v>
      </c>
      <c r="H77" s="352" t="e">
        <f t="shared" si="12"/>
        <v>#N/A</v>
      </c>
      <c r="I77"/>
    </row>
    <row r="78" spans="1:9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490</v>
      </c>
      <c r="F78" s="2"/>
      <c r="G78">
        <f>-VLOOKUP($C78,DRE!$D:$S,2,0)</f>
        <v>20420.989999999998</v>
      </c>
      <c r="H78" s="352" t="e">
        <f t="shared" si="12"/>
        <v>#N/A</v>
      </c>
      <c r="I78"/>
    </row>
    <row r="79" spans="1:9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491</v>
      </c>
      <c r="F79" s="2"/>
      <c r="G79">
        <f>-VLOOKUP($C79,DRE!$D:$S,2,0)</f>
        <v>57562.549999999996</v>
      </c>
      <c r="H79" s="352" t="e">
        <f t="shared" si="12"/>
        <v>#N/A</v>
      </c>
      <c r="I79"/>
    </row>
    <row r="80" spans="1:9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492</v>
      </c>
      <c r="F80" s="2"/>
      <c r="G80">
        <f>-VLOOKUP($C80,DRE!$D:$S,2,0)</f>
        <v>32092.9664204</v>
      </c>
      <c r="H80" s="352" t="e">
        <f t="shared" si="12"/>
        <v>#N/A</v>
      </c>
      <c r="I80"/>
    </row>
    <row r="81" spans="1:9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493</v>
      </c>
      <c r="F81" s="2"/>
      <c r="G81">
        <f>-VLOOKUP($C81,DRE!$D:$S,2,0)</f>
        <v>28028.559999999998</v>
      </c>
      <c r="H81" s="352" t="e">
        <f t="shared" si="12"/>
        <v>#N/A</v>
      </c>
      <c r="I81"/>
    </row>
    <row r="82" spans="1:9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494</v>
      </c>
      <c r="F82" s="2"/>
      <c r="G82">
        <f>-VLOOKUP($C82,DRE!$D:$S,2,0)</f>
        <v>31292.27</v>
      </c>
      <c r="H82" s="352" t="e">
        <f t="shared" si="12"/>
        <v>#N/A</v>
      </c>
      <c r="I82"/>
    </row>
    <row r="83" spans="1:9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495</v>
      </c>
      <c r="F83" s="2"/>
      <c r="G83">
        <f>-VLOOKUP($C83,DRE!$D:$S,2,0)</f>
        <v>17854.25</v>
      </c>
      <c r="H83" s="352" t="e">
        <f t="shared" si="12"/>
        <v>#N/A</v>
      </c>
      <c r="I83"/>
    </row>
    <row r="84" spans="1:9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496</v>
      </c>
      <c r="F84" s="2"/>
      <c r="G84">
        <f>-VLOOKUP($C84,DRE!$D:$S,2,0)</f>
        <v>17075.189999999999</v>
      </c>
      <c r="H84" s="352" t="e">
        <f t="shared" si="12"/>
        <v>#N/A</v>
      </c>
      <c r="I84"/>
    </row>
    <row r="85" spans="1:9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497</v>
      </c>
      <c r="F85" s="2"/>
      <c r="G85">
        <f>-VLOOKUP($C85,DRE!$D:$S,2,0)</f>
        <v>11955.59</v>
      </c>
      <c r="H85" s="352" t="e">
        <f t="shared" si="12"/>
        <v>#N/A</v>
      </c>
      <c r="I85"/>
    </row>
    <row r="86" spans="1:9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498</v>
      </c>
      <c r="F86" s="2"/>
      <c r="G86">
        <f>-VLOOKUP($C86,DRE!$D:$S,2,0)</f>
        <v>7231.5300000000007</v>
      </c>
      <c r="H86" s="352" t="e">
        <f t="shared" si="12"/>
        <v>#N/A</v>
      </c>
      <c r="I86"/>
    </row>
    <row r="87" spans="1:9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499</v>
      </c>
      <c r="F87" s="2"/>
      <c r="G87">
        <f>-VLOOKUP($C87,DRE!$D:$S,2,0)</f>
        <v>4840.16</v>
      </c>
      <c r="H87" s="352" t="e">
        <f t="shared" si="12"/>
        <v>#N/A</v>
      </c>
      <c r="I87"/>
    </row>
    <row r="88" spans="1:9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500</v>
      </c>
      <c r="F88" s="2"/>
      <c r="G88" t="e">
        <f>-VLOOKUP($C88,DRE!$D:$S,2,0)</f>
        <v>#N/A</v>
      </c>
      <c r="H88" s="352" t="e">
        <f t="shared" si="12"/>
        <v>#N/A</v>
      </c>
      <c r="I88"/>
    </row>
    <row r="89" spans="1:9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501</v>
      </c>
      <c r="F89" s="2"/>
      <c r="G89">
        <f>-VLOOKUP($C89,DRE!$D:$S,2,0)</f>
        <v>0</v>
      </c>
      <c r="H89" s="352" t="e">
        <f t="shared" si="12"/>
        <v>#N/A</v>
      </c>
      <c r="I89"/>
    </row>
    <row r="90" spans="1:9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502</v>
      </c>
      <c r="F90" s="2"/>
      <c r="G90">
        <f>-VLOOKUP($C90,DRE!$D:$S,2,0)</f>
        <v>5.62</v>
      </c>
      <c r="H90" s="352" t="e">
        <f t="shared" si="12"/>
        <v>#N/A</v>
      </c>
      <c r="I90"/>
    </row>
    <row r="91" spans="1:9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503</v>
      </c>
      <c r="F91" s="2"/>
      <c r="G91">
        <f>-VLOOKUP($C91,DRE!$D:$S,2,0)</f>
        <v>0</v>
      </c>
      <c r="H91" s="352" t="e">
        <f t="shared" si="12"/>
        <v>#N/A</v>
      </c>
      <c r="I91"/>
    </row>
    <row r="92" spans="1:9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504</v>
      </c>
      <c r="F92" s="2"/>
      <c r="G92">
        <f>-VLOOKUP($C92,DRE!$D:$S,2,0)</f>
        <v>-417.34</v>
      </c>
      <c r="H92" s="352" t="e">
        <f t="shared" si="12"/>
        <v>#N/A</v>
      </c>
      <c r="I92"/>
    </row>
    <row r="93" spans="1:9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505</v>
      </c>
      <c r="F93" s="2"/>
      <c r="G93">
        <f>-VLOOKUP($C93,DRE!$D:$S,2,0)</f>
        <v>-4179.58</v>
      </c>
      <c r="H93" s="352" t="e">
        <f t="shared" si="12"/>
        <v>#N/A</v>
      </c>
      <c r="I93"/>
    </row>
    <row r="94" spans="1:9" x14ac:dyDescent="0.2">
      <c r="A94" s="77">
        <v>45413</v>
      </c>
      <c r="B94" s="377">
        <v>27</v>
      </c>
      <c r="C94" s="2" t="s">
        <v>484</v>
      </c>
      <c r="D94" s="2" t="s">
        <v>331</v>
      </c>
      <c r="E94" s="2" t="s">
        <v>506</v>
      </c>
      <c r="F94" s="2"/>
      <c r="G94" t="e">
        <f>SUM(G74:G93)</f>
        <v>#N/A</v>
      </c>
      <c r="I94"/>
    </row>
    <row r="95" spans="1:9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486</v>
      </c>
      <c r="F95" s="2"/>
      <c r="G95">
        <f>-VLOOKUP($C95,DRE!$D:$S,4,0)</f>
        <v>43713.2</v>
      </c>
      <c r="H95" s="352" t="e">
        <f t="shared" ref="H95:H114" si="13">G95/$G$115</f>
        <v>#N/A</v>
      </c>
      <c r="I95" s="2"/>
    </row>
    <row r="96" spans="1:9" x14ac:dyDescent="0.2">
      <c r="A96" s="77">
        <v>45444</v>
      </c>
      <c r="B96" s="377">
        <v>8</v>
      </c>
      <c r="C96" t="s">
        <v>563</v>
      </c>
      <c r="D96" s="2" t="s">
        <v>331</v>
      </c>
      <c r="E96" s="2" t="s">
        <v>487</v>
      </c>
      <c r="F96" s="2"/>
      <c r="G96">
        <f>VLOOKUP($C96,DRE!$D:$S,4,0)</f>
        <v>0</v>
      </c>
      <c r="H96" s="352" t="e">
        <f t="shared" si="13"/>
        <v>#N/A</v>
      </c>
    </row>
    <row r="97" spans="1:8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488</v>
      </c>
      <c r="F97" s="2"/>
      <c r="G97">
        <f>-VLOOKUP($C97,DRE!$D:$S,4,0)</f>
        <v>41642.620000000003</v>
      </c>
      <c r="H97" s="352" t="e">
        <f t="shared" si="13"/>
        <v>#N/A</v>
      </c>
    </row>
    <row r="98" spans="1:8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489</v>
      </c>
      <c r="F98" s="2"/>
      <c r="G98">
        <f>-VLOOKUP($C98,DRE!$D:$S,4,0)</f>
        <v>40796.76</v>
      </c>
      <c r="H98" s="352" t="e">
        <f t="shared" si="13"/>
        <v>#N/A</v>
      </c>
    </row>
    <row r="99" spans="1:8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490</v>
      </c>
      <c r="F99" s="2"/>
      <c r="G99">
        <f>-VLOOKUP($C99,DRE!$D:$S,4,0)</f>
        <v>35594.14</v>
      </c>
      <c r="H99" s="352" t="e">
        <f t="shared" si="13"/>
        <v>#N/A</v>
      </c>
    </row>
    <row r="100" spans="1:8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491</v>
      </c>
      <c r="F100" s="2"/>
      <c r="G100">
        <f>-VLOOKUP($C100,DRE!$D:$S,4,0)</f>
        <v>66297.600000000006</v>
      </c>
      <c r="H100" s="352" t="e">
        <f t="shared" si="13"/>
        <v>#N/A</v>
      </c>
    </row>
    <row r="101" spans="1:8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492</v>
      </c>
      <c r="F101" s="2"/>
      <c r="G101">
        <f>-VLOOKUP($C101,DRE!$D:$S,4,0)</f>
        <v>32092.9664204</v>
      </c>
      <c r="H101" s="352" t="e">
        <f t="shared" si="13"/>
        <v>#N/A</v>
      </c>
    </row>
    <row r="102" spans="1:8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493</v>
      </c>
      <c r="F102" s="2"/>
      <c r="G102">
        <f>-VLOOKUP($C102,DRE!$D:$S,4,0)</f>
        <v>8354.27</v>
      </c>
      <c r="H102" s="352" t="e">
        <f t="shared" si="13"/>
        <v>#N/A</v>
      </c>
    </row>
    <row r="103" spans="1:8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494</v>
      </c>
      <c r="F103" s="2"/>
      <c r="G103">
        <f>-VLOOKUP($C103,DRE!$D:$S,4,0)</f>
        <v>31704.62</v>
      </c>
      <c r="H103" s="352" t="e">
        <f t="shared" si="13"/>
        <v>#N/A</v>
      </c>
    </row>
    <row r="104" spans="1:8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495</v>
      </c>
      <c r="F104" s="2"/>
      <c r="G104">
        <f>-VLOOKUP($C104,DRE!$D:$S,4,0)</f>
        <v>22935.85</v>
      </c>
      <c r="H104" s="352" t="e">
        <f t="shared" si="13"/>
        <v>#N/A</v>
      </c>
    </row>
    <row r="105" spans="1:8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496</v>
      </c>
      <c r="F105" s="2"/>
      <c r="G105">
        <f>-VLOOKUP($C105,DRE!$D:$S,4,0)</f>
        <v>18098.29</v>
      </c>
      <c r="H105" s="352" t="e">
        <f t="shared" si="13"/>
        <v>#N/A</v>
      </c>
    </row>
    <row r="106" spans="1:8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497</v>
      </c>
      <c r="F106" s="2"/>
      <c r="G106">
        <f>-VLOOKUP($C106,DRE!$D:$S,4,0)</f>
        <v>13545.1</v>
      </c>
      <c r="H106" s="352" t="e">
        <f t="shared" si="13"/>
        <v>#N/A</v>
      </c>
    </row>
    <row r="107" spans="1:8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498</v>
      </c>
      <c r="F107" s="2"/>
      <c r="G107">
        <f>-VLOOKUP($C107,DRE!$D:$S,4,0)</f>
        <v>5268.5</v>
      </c>
      <c r="H107" s="352" t="e">
        <f t="shared" si="13"/>
        <v>#N/A</v>
      </c>
    </row>
    <row r="108" spans="1:8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499</v>
      </c>
      <c r="F108" s="2"/>
      <c r="G108">
        <f>-VLOOKUP($C108,DRE!$D:$S,4,0)</f>
        <v>4780.9400000000005</v>
      </c>
      <c r="H108" s="352" t="e">
        <f t="shared" si="13"/>
        <v>#N/A</v>
      </c>
    </row>
    <row r="109" spans="1:8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500</v>
      </c>
      <c r="F109" s="2"/>
      <c r="G109" t="e">
        <f>-VLOOKUP($C109,DRE!$D:$S,4,0)</f>
        <v>#N/A</v>
      </c>
      <c r="H109" s="352" t="e">
        <f t="shared" si="13"/>
        <v>#N/A</v>
      </c>
    </row>
    <row r="110" spans="1:8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501</v>
      </c>
      <c r="F110" s="2"/>
      <c r="G110">
        <f>-VLOOKUP($C110,DRE!$D:$S,4,0)</f>
        <v>0</v>
      </c>
      <c r="H110" s="352" t="e">
        <f t="shared" si="13"/>
        <v>#N/A</v>
      </c>
    </row>
    <row r="111" spans="1:8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502</v>
      </c>
      <c r="F111" s="2"/>
      <c r="G111">
        <f>-VLOOKUP($C111,DRE!$D:$S,4,0)</f>
        <v>0</v>
      </c>
      <c r="H111" s="352" t="e">
        <f t="shared" si="13"/>
        <v>#N/A</v>
      </c>
    </row>
    <row r="112" spans="1:8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503</v>
      </c>
      <c r="F112" s="2"/>
      <c r="G112">
        <f>-VLOOKUP($C112,DRE!$D:$S,4,0)</f>
        <v>0</v>
      </c>
      <c r="H112" s="352" t="e">
        <f t="shared" si="13"/>
        <v>#N/A</v>
      </c>
    </row>
    <row r="113" spans="1:8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504</v>
      </c>
      <c r="F113" s="2"/>
      <c r="G113">
        <f>-VLOOKUP($C113,DRE!$D:$S,4,0)</f>
        <v>0</v>
      </c>
      <c r="H113" s="352" t="e">
        <f t="shared" si="13"/>
        <v>#N/A</v>
      </c>
    </row>
    <row r="114" spans="1:8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505</v>
      </c>
      <c r="F114" s="2"/>
      <c r="G114">
        <f>-VLOOKUP($C114,DRE!$D:$S,4,0)</f>
        <v>0</v>
      </c>
      <c r="H114" s="352" t="e">
        <f t="shared" si="13"/>
        <v>#N/A</v>
      </c>
    </row>
    <row r="115" spans="1:8" x14ac:dyDescent="0.2">
      <c r="A115" s="77">
        <v>45444</v>
      </c>
      <c r="B115" s="377">
        <v>27</v>
      </c>
      <c r="C115" s="2" t="s">
        <v>484</v>
      </c>
      <c r="D115" s="2" t="s">
        <v>331</v>
      </c>
      <c r="E115" s="2" t="s">
        <v>506</v>
      </c>
      <c r="F115" s="2"/>
      <c r="G115" t="e">
        <f>SUM(G95:G114)</f>
        <v>#N/A</v>
      </c>
    </row>
    <row r="116" spans="1:8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486</v>
      </c>
      <c r="F116" s="2"/>
      <c r="G116">
        <f>-VLOOKUP($C116,DRE!$D:$S,6,0)</f>
        <v>150696.85</v>
      </c>
      <c r="H116" s="352" t="e">
        <f t="shared" ref="H116:H135" si="14">G116/$G$136</f>
        <v>#N/A</v>
      </c>
    </row>
    <row r="117" spans="1:8" x14ac:dyDescent="0.2">
      <c r="A117" s="77">
        <v>45474</v>
      </c>
      <c r="B117" s="377">
        <v>8</v>
      </c>
      <c r="C117" t="s">
        <v>563</v>
      </c>
      <c r="D117" s="2" t="s">
        <v>331</v>
      </c>
      <c r="E117" s="2" t="s">
        <v>487</v>
      </c>
      <c r="F117" s="2"/>
      <c r="G117">
        <f>VLOOKUP($C117,DRE!$D:$S,6,0)</f>
        <v>0</v>
      </c>
      <c r="H117" s="352" t="e">
        <f t="shared" si="14"/>
        <v>#N/A</v>
      </c>
    </row>
    <row r="118" spans="1:8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488</v>
      </c>
      <c r="F118" s="2"/>
      <c r="G118">
        <f>-VLOOKUP($C118,DRE!$D:$S,6,0)</f>
        <v>48085.99</v>
      </c>
      <c r="H118" s="352" t="e">
        <f t="shared" si="14"/>
        <v>#N/A</v>
      </c>
    </row>
    <row r="119" spans="1:8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489</v>
      </c>
      <c r="F119" s="2"/>
      <c r="G119">
        <f>-VLOOKUP($C119,DRE!$D:$S,6,0)</f>
        <v>36780.47</v>
      </c>
      <c r="H119" s="352" t="e">
        <f t="shared" si="14"/>
        <v>#N/A</v>
      </c>
    </row>
    <row r="120" spans="1:8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490</v>
      </c>
      <c r="F120" s="2"/>
      <c r="G120">
        <f>-VLOOKUP($C120,DRE!$D:$S,6,0)</f>
        <v>59654.75</v>
      </c>
      <c r="H120" s="352" t="e">
        <f t="shared" si="14"/>
        <v>#N/A</v>
      </c>
    </row>
    <row r="121" spans="1:8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491</v>
      </c>
      <c r="F121" s="2"/>
      <c r="G121">
        <f>-VLOOKUP($C121,DRE!$D:$S,6,0)</f>
        <v>37082.65</v>
      </c>
      <c r="H121" s="352" t="e">
        <f t="shared" si="14"/>
        <v>#N/A</v>
      </c>
    </row>
    <row r="122" spans="1:8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492</v>
      </c>
      <c r="F122" s="2"/>
      <c r="G122">
        <f>-VLOOKUP($C122,DRE!$D:$S,6,0)</f>
        <v>32092.9664204</v>
      </c>
      <c r="H122" s="352" t="e">
        <f t="shared" si="14"/>
        <v>#N/A</v>
      </c>
    </row>
    <row r="123" spans="1:8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493</v>
      </c>
      <c r="F123" s="2"/>
      <c r="G123">
        <f>-VLOOKUP($C123,DRE!$D:$S,6,0)</f>
        <v>45328.1</v>
      </c>
      <c r="H123" s="352" t="e">
        <f t="shared" si="14"/>
        <v>#N/A</v>
      </c>
    </row>
    <row r="124" spans="1:8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494</v>
      </c>
      <c r="F124" s="2"/>
      <c r="G124">
        <f>-VLOOKUP($C124,DRE!$D:$S,6,0)</f>
        <v>32652.85</v>
      </c>
      <c r="H124" s="352" t="e">
        <f t="shared" si="14"/>
        <v>#N/A</v>
      </c>
    </row>
    <row r="125" spans="1:8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495</v>
      </c>
      <c r="F125" s="2"/>
      <c r="G125">
        <f>-VLOOKUP($C125,DRE!$D:$S,6,0)</f>
        <v>29030.68</v>
      </c>
      <c r="H125" s="352" t="e">
        <f t="shared" si="14"/>
        <v>#N/A</v>
      </c>
    </row>
    <row r="126" spans="1:8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496</v>
      </c>
      <c r="F126" s="2"/>
      <c r="G126">
        <f>-VLOOKUP($C126,DRE!$D:$S,6,0)</f>
        <v>18926.8</v>
      </c>
      <c r="H126" s="352" t="e">
        <f t="shared" si="14"/>
        <v>#N/A</v>
      </c>
    </row>
    <row r="127" spans="1:8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497</v>
      </c>
      <c r="F127" s="2"/>
      <c r="G127">
        <f>-VLOOKUP($C127,DRE!$D:$S,6,0)</f>
        <v>-5548.51</v>
      </c>
      <c r="H127" s="352" t="e">
        <f t="shared" si="14"/>
        <v>#N/A</v>
      </c>
    </row>
    <row r="128" spans="1:8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498</v>
      </c>
      <c r="F128" s="2"/>
      <c r="G128">
        <f>-VLOOKUP($C128,DRE!$D:$S,6,0)</f>
        <v>4922.4799999999996</v>
      </c>
      <c r="H128" s="352" t="e">
        <f t="shared" si="14"/>
        <v>#N/A</v>
      </c>
    </row>
    <row r="129" spans="1:8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499</v>
      </c>
      <c r="F129" s="2"/>
      <c r="G129">
        <f>-VLOOKUP($C129,DRE!$D:$S,6,0)</f>
        <v>5080.03</v>
      </c>
      <c r="H129" s="352" t="e">
        <f t="shared" si="14"/>
        <v>#N/A</v>
      </c>
    </row>
    <row r="130" spans="1:8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500</v>
      </c>
      <c r="F130" s="2"/>
      <c r="G130" t="e">
        <f>-VLOOKUP($C130,DRE!$D:$S,6,0)</f>
        <v>#N/A</v>
      </c>
      <c r="H130" s="352" t="e">
        <f t="shared" si="14"/>
        <v>#N/A</v>
      </c>
    </row>
    <row r="131" spans="1:8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501</v>
      </c>
      <c r="F131" s="2"/>
      <c r="G131">
        <f>-VLOOKUP($C131,DRE!$D:$S,6,0)</f>
        <v>0</v>
      </c>
      <c r="H131" s="352" t="e">
        <f t="shared" si="14"/>
        <v>#N/A</v>
      </c>
    </row>
    <row r="132" spans="1:8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502</v>
      </c>
      <c r="F132" s="2"/>
      <c r="G132">
        <f>-VLOOKUP($C132,DRE!$D:$S,6,0)</f>
        <v>14.45</v>
      </c>
      <c r="H132" s="352" t="e">
        <f t="shared" si="14"/>
        <v>#N/A</v>
      </c>
    </row>
    <row r="133" spans="1:8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503</v>
      </c>
      <c r="F133" s="2"/>
      <c r="G133">
        <f>-VLOOKUP($C133,DRE!$D:$S,6,0)</f>
        <v>0</v>
      </c>
      <c r="H133" s="352" t="e">
        <f t="shared" si="14"/>
        <v>#N/A</v>
      </c>
    </row>
    <row r="134" spans="1:8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504</v>
      </c>
      <c r="F134" s="2"/>
      <c r="G134">
        <f>-VLOOKUP($C134,DRE!$D:$S,6,0)</f>
        <v>0</v>
      </c>
      <c r="H134" s="352" t="e">
        <f t="shared" si="14"/>
        <v>#N/A</v>
      </c>
    </row>
    <row r="135" spans="1:8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505</v>
      </c>
      <c r="F135" s="2"/>
      <c r="G135">
        <f>-VLOOKUP($C135,DRE!$D:$S,6,0)</f>
        <v>-13410.47</v>
      </c>
      <c r="H135" s="352" t="e">
        <f t="shared" si="14"/>
        <v>#N/A</v>
      </c>
    </row>
    <row r="136" spans="1:8" x14ac:dyDescent="0.2">
      <c r="A136" s="77">
        <v>45474</v>
      </c>
      <c r="B136" s="377">
        <v>27</v>
      </c>
      <c r="C136" s="2" t="s">
        <v>484</v>
      </c>
      <c r="D136" s="2" t="s">
        <v>331</v>
      </c>
      <c r="E136" s="2" t="s">
        <v>506</v>
      </c>
      <c r="F136" s="2"/>
      <c r="G136" t="e">
        <f>SUM(G116:G135)</f>
        <v>#N/A</v>
      </c>
    </row>
    <row r="137" spans="1:8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486</v>
      </c>
      <c r="F137" s="2"/>
      <c r="G137">
        <f>-VLOOKUP($C137,DRE!$D:$S,8,0)</f>
        <v>78157.039999999994</v>
      </c>
      <c r="H137" s="352" t="e">
        <f t="shared" ref="H137:H156" si="15">G137/$G$157</f>
        <v>#N/A</v>
      </c>
    </row>
    <row r="138" spans="1:8" x14ac:dyDescent="0.2">
      <c r="A138" s="77">
        <v>45505</v>
      </c>
      <c r="B138" s="377">
        <v>8</v>
      </c>
      <c r="C138" t="s">
        <v>563</v>
      </c>
      <c r="D138" s="2" t="s">
        <v>331</v>
      </c>
      <c r="E138" s="2" t="s">
        <v>487</v>
      </c>
      <c r="F138" s="2"/>
      <c r="G138">
        <f>VLOOKUP($C138,DRE!$D:$S,8,0)</f>
        <v>0</v>
      </c>
      <c r="H138" s="352" t="e">
        <f t="shared" si="15"/>
        <v>#N/A</v>
      </c>
    </row>
    <row r="139" spans="1:8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488</v>
      </c>
      <c r="F139" s="2"/>
      <c r="G139">
        <f>-VLOOKUP($C139,DRE!$D:$S,8,0)</f>
        <v>53139.99</v>
      </c>
      <c r="H139" s="352" t="e">
        <f t="shared" si="15"/>
        <v>#N/A</v>
      </c>
    </row>
    <row r="140" spans="1:8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489</v>
      </c>
      <c r="F140" s="2"/>
      <c r="G140">
        <f>-VLOOKUP($C140,DRE!$D:$S,8,0)</f>
        <v>34695.78</v>
      </c>
      <c r="H140" s="352" t="e">
        <f t="shared" si="15"/>
        <v>#N/A</v>
      </c>
    </row>
    <row r="141" spans="1:8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490</v>
      </c>
      <c r="F141" s="2"/>
      <c r="G141">
        <f>-VLOOKUP($C141,DRE!$D:$S,8,0)</f>
        <v>50998.1</v>
      </c>
      <c r="H141" s="352" t="e">
        <f t="shared" si="15"/>
        <v>#N/A</v>
      </c>
    </row>
    <row r="142" spans="1:8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491</v>
      </c>
      <c r="F142" s="2"/>
      <c r="G142">
        <f>-VLOOKUP($C142,DRE!$D:$S,8,0)</f>
        <v>37925.609999999993</v>
      </c>
      <c r="H142" s="352" t="e">
        <f t="shared" si="15"/>
        <v>#N/A</v>
      </c>
    </row>
    <row r="143" spans="1:8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492</v>
      </c>
      <c r="F143" s="2"/>
      <c r="G143">
        <f>-VLOOKUP($C143,DRE!$D:$S,8,0)</f>
        <v>32092.9664204</v>
      </c>
      <c r="H143" s="352" t="e">
        <f t="shared" si="15"/>
        <v>#N/A</v>
      </c>
    </row>
    <row r="144" spans="1:8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493</v>
      </c>
      <c r="F144" s="2"/>
      <c r="G144">
        <f>-VLOOKUP($C144,DRE!$D:$S,8,0)</f>
        <v>28179.51</v>
      </c>
      <c r="H144" s="352" t="e">
        <f t="shared" si="15"/>
        <v>#N/A</v>
      </c>
    </row>
    <row r="145" spans="1:8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494</v>
      </c>
      <c r="F145" s="2"/>
      <c r="G145">
        <f>-VLOOKUP($C145,DRE!$D:$S,8,0)</f>
        <v>32498.45</v>
      </c>
      <c r="H145" s="352" t="e">
        <f t="shared" si="15"/>
        <v>#N/A</v>
      </c>
    </row>
    <row r="146" spans="1:8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495</v>
      </c>
      <c r="F146" s="2"/>
      <c r="G146">
        <f>-VLOOKUP($C146,DRE!$D:$S,8,0)</f>
        <v>29462.43</v>
      </c>
      <c r="H146" s="352" t="e">
        <f t="shared" si="15"/>
        <v>#N/A</v>
      </c>
    </row>
    <row r="147" spans="1:8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496</v>
      </c>
      <c r="F147" s="2"/>
      <c r="G147">
        <f>-VLOOKUP($C147,DRE!$D:$S,8,0)</f>
        <v>18344.009999999998</v>
      </c>
      <c r="H147" s="352" t="e">
        <f t="shared" si="15"/>
        <v>#N/A</v>
      </c>
    </row>
    <row r="148" spans="1:8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497</v>
      </c>
      <c r="F148" s="2"/>
      <c r="G148">
        <f>-VLOOKUP($C148,DRE!$D:$S,8,0)</f>
        <v>10241.26</v>
      </c>
      <c r="H148" s="352" t="e">
        <f t="shared" si="15"/>
        <v>#N/A</v>
      </c>
    </row>
    <row r="149" spans="1:8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498</v>
      </c>
      <c r="F149" s="2"/>
      <c r="G149">
        <f>-VLOOKUP($C149,DRE!$D:$S,8,0)</f>
        <v>4773.74</v>
      </c>
      <c r="H149" s="352" t="e">
        <f t="shared" si="15"/>
        <v>#N/A</v>
      </c>
    </row>
    <row r="150" spans="1:8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499</v>
      </c>
      <c r="F150" s="2"/>
      <c r="G150">
        <f>-VLOOKUP($C150,DRE!$D:$S,8,0)</f>
        <v>5280.54</v>
      </c>
      <c r="H150" s="352" t="e">
        <f t="shared" si="15"/>
        <v>#N/A</v>
      </c>
    </row>
    <row r="151" spans="1:8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500</v>
      </c>
      <c r="F151" s="2"/>
      <c r="G151" t="e">
        <f>-VLOOKUP($C151,DRE!$D:$S,8,0)</f>
        <v>#N/A</v>
      </c>
      <c r="H151" s="352" t="e">
        <f t="shared" si="15"/>
        <v>#N/A</v>
      </c>
    </row>
    <row r="152" spans="1:8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501</v>
      </c>
      <c r="F152" s="2"/>
      <c r="G152">
        <f>-VLOOKUP($C152,DRE!$D:$S,8,0)</f>
        <v>0</v>
      </c>
      <c r="H152" s="352" t="e">
        <f t="shared" si="15"/>
        <v>#N/A</v>
      </c>
    </row>
    <row r="153" spans="1:8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502</v>
      </c>
      <c r="F153" s="2"/>
      <c r="G153">
        <f>-VLOOKUP($C153,DRE!$D:$S,8,0)</f>
        <v>-7.0000000000000007E-2</v>
      </c>
      <c r="H153" s="352" t="e">
        <f t="shared" si="15"/>
        <v>#N/A</v>
      </c>
    </row>
    <row r="154" spans="1:8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503</v>
      </c>
      <c r="F154" s="2"/>
      <c r="G154">
        <f>-VLOOKUP($C154,DRE!$D:$S,8,0)</f>
        <v>0</v>
      </c>
      <c r="H154" s="352" t="e">
        <f t="shared" si="15"/>
        <v>#N/A</v>
      </c>
    </row>
    <row r="155" spans="1:8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504</v>
      </c>
      <c r="F155" s="2"/>
      <c r="G155">
        <f>-VLOOKUP($C155,DRE!$D:$S,8,0)</f>
        <v>0</v>
      </c>
      <c r="H155" s="352" t="e">
        <f t="shared" si="15"/>
        <v>#N/A</v>
      </c>
    </row>
    <row r="156" spans="1:8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505</v>
      </c>
      <c r="F156" s="2"/>
      <c r="G156">
        <f>-VLOOKUP($C156,DRE!$D:$S,8,0)</f>
        <v>-22837.03</v>
      </c>
      <c r="H156" s="352" t="e">
        <f t="shared" si="15"/>
        <v>#N/A</v>
      </c>
    </row>
    <row r="157" spans="1:8" x14ac:dyDescent="0.2">
      <c r="A157" s="77">
        <v>45505</v>
      </c>
      <c r="B157" s="377">
        <v>27</v>
      </c>
      <c r="C157" s="2" t="s">
        <v>484</v>
      </c>
      <c r="D157" s="2" t="s">
        <v>331</v>
      </c>
      <c r="E157" s="2" t="s">
        <v>506</v>
      </c>
      <c r="F157" s="2"/>
      <c r="G157" t="e">
        <f>SUM(G137:G156)</f>
        <v>#N/A</v>
      </c>
    </row>
    <row r="158" spans="1:8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486</v>
      </c>
      <c r="F158" s="2"/>
      <c r="G158">
        <f>-VLOOKUP($C158,DRE!$D:$S,10,0)</f>
        <v>45044.93</v>
      </c>
      <c r="H158" s="352" t="e">
        <f t="shared" ref="H158:H177" si="16">G158/$G$178</f>
        <v>#N/A</v>
      </c>
    </row>
    <row r="159" spans="1:8" x14ac:dyDescent="0.2">
      <c r="A159" s="77">
        <v>45536</v>
      </c>
      <c r="B159" s="377">
        <v>8</v>
      </c>
      <c r="C159" t="s">
        <v>563</v>
      </c>
      <c r="D159" s="2" t="s">
        <v>331</v>
      </c>
      <c r="E159" s="2" t="s">
        <v>487</v>
      </c>
      <c r="F159" s="2"/>
      <c r="G159">
        <f>VLOOKUP($C159,DRE!$D:$S,10,0)</f>
        <v>0</v>
      </c>
      <c r="H159" s="352" t="e">
        <f t="shared" si="16"/>
        <v>#N/A</v>
      </c>
    </row>
    <row r="160" spans="1:8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488</v>
      </c>
      <c r="F160" s="2"/>
      <c r="G160">
        <f>-VLOOKUP($C160,DRE!$D:$S,10,0)</f>
        <v>57899.24</v>
      </c>
      <c r="H160" s="352" t="e">
        <f t="shared" si="16"/>
        <v>#N/A</v>
      </c>
    </row>
    <row r="161" spans="1:8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489</v>
      </c>
      <c r="F161" s="2"/>
      <c r="G161">
        <f>-VLOOKUP($C161,DRE!$D:$S,10,0)</f>
        <v>37222.89</v>
      </c>
      <c r="H161" s="352" t="e">
        <f t="shared" si="16"/>
        <v>#N/A</v>
      </c>
    </row>
    <row r="162" spans="1:8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490</v>
      </c>
      <c r="F162" s="2"/>
      <c r="G162">
        <f>-VLOOKUP($C162,DRE!$D:$S,10,0)</f>
        <v>68365.11</v>
      </c>
      <c r="H162" s="352" t="e">
        <f t="shared" si="16"/>
        <v>#N/A</v>
      </c>
    </row>
    <row r="163" spans="1:8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491</v>
      </c>
      <c r="F163" s="2"/>
      <c r="G163">
        <f>-VLOOKUP($C163,DRE!$D:$S,10,0)</f>
        <v>39556.859999999993</v>
      </c>
      <c r="H163" s="352" t="e">
        <f t="shared" si="16"/>
        <v>#N/A</v>
      </c>
    </row>
    <row r="164" spans="1:8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492</v>
      </c>
      <c r="F164" s="2"/>
      <c r="G164">
        <f>-VLOOKUP($C164,DRE!$D:$S,10,0)</f>
        <v>32092.9664204</v>
      </c>
      <c r="H164" s="352" t="e">
        <f t="shared" si="16"/>
        <v>#N/A</v>
      </c>
    </row>
    <row r="165" spans="1:8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493</v>
      </c>
      <c r="F165" s="2"/>
      <c r="G165">
        <f>-VLOOKUP($C165,DRE!$D:$S,10,0)</f>
        <v>28715.68</v>
      </c>
      <c r="H165" s="352" t="e">
        <f t="shared" si="16"/>
        <v>#N/A</v>
      </c>
    </row>
    <row r="166" spans="1:8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494</v>
      </c>
      <c r="F166" s="2"/>
      <c r="G166">
        <f>-VLOOKUP($C166,DRE!$D:$S,10,0)</f>
        <v>31418.74</v>
      </c>
      <c r="H166" s="352" t="e">
        <f t="shared" si="16"/>
        <v>#N/A</v>
      </c>
    </row>
    <row r="167" spans="1:8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495</v>
      </c>
      <c r="F167" s="2"/>
      <c r="G167">
        <f>-VLOOKUP($C167,DRE!$D:$S,10,0)</f>
        <v>30201.67</v>
      </c>
      <c r="H167" s="352" t="e">
        <f t="shared" si="16"/>
        <v>#N/A</v>
      </c>
    </row>
    <row r="168" spans="1:8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496</v>
      </c>
      <c r="F168" s="2"/>
      <c r="G168">
        <f>-VLOOKUP($C168,DRE!$D:$S,10,0)</f>
        <v>18505.25</v>
      </c>
      <c r="H168" s="352" t="e">
        <f t="shared" si="16"/>
        <v>#N/A</v>
      </c>
    </row>
    <row r="169" spans="1:8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497</v>
      </c>
      <c r="F169" s="2"/>
      <c r="G169">
        <f>-VLOOKUP($C169,DRE!$D:$S,10,0)</f>
        <v>5992.55</v>
      </c>
      <c r="H169" s="352" t="e">
        <f t="shared" si="16"/>
        <v>#N/A</v>
      </c>
    </row>
    <row r="170" spans="1:8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498</v>
      </c>
      <c r="F170" s="2"/>
      <c r="G170">
        <f>-VLOOKUP($C170,DRE!$D:$S,10,0)</f>
        <v>4733.74</v>
      </c>
      <c r="H170" s="352" t="e">
        <f t="shared" si="16"/>
        <v>#N/A</v>
      </c>
    </row>
    <row r="171" spans="1:8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499</v>
      </c>
      <c r="F171" s="2"/>
      <c r="G171">
        <f>-VLOOKUP($C171,DRE!$D:$S,10,0)</f>
        <v>5535.14</v>
      </c>
      <c r="H171" s="352" t="e">
        <f t="shared" si="16"/>
        <v>#N/A</v>
      </c>
    </row>
    <row r="172" spans="1:8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500</v>
      </c>
      <c r="F172" s="2"/>
      <c r="G172" t="e">
        <f>-VLOOKUP($C172,DRE!$D:$S,10,0)</f>
        <v>#N/A</v>
      </c>
      <c r="H172" s="352" t="e">
        <f t="shared" si="16"/>
        <v>#N/A</v>
      </c>
    </row>
    <row r="173" spans="1:8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501</v>
      </c>
      <c r="F173" s="2"/>
      <c r="G173">
        <f>-VLOOKUP($C173,DRE!$D:$S,10,0)</f>
        <v>0</v>
      </c>
      <c r="H173" s="352" t="e">
        <f t="shared" si="16"/>
        <v>#N/A</v>
      </c>
    </row>
    <row r="174" spans="1:8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502</v>
      </c>
      <c r="F174" s="2"/>
      <c r="G174">
        <f>-VLOOKUP($C174,DRE!$D:$S,10,0)</f>
        <v>14.93</v>
      </c>
      <c r="H174" s="352" t="e">
        <f t="shared" si="16"/>
        <v>#N/A</v>
      </c>
    </row>
    <row r="175" spans="1:8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503</v>
      </c>
      <c r="F175" s="2"/>
      <c r="G175">
        <f>-VLOOKUP($C175,DRE!$D:$S,10,0)</f>
        <v>0</v>
      </c>
      <c r="H175" s="352" t="e">
        <f t="shared" si="16"/>
        <v>#N/A</v>
      </c>
    </row>
    <row r="176" spans="1:8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504</v>
      </c>
      <c r="F176" s="2"/>
      <c r="G176">
        <f>-VLOOKUP($C176,DRE!$D:$S,10,0)</f>
        <v>0</v>
      </c>
      <c r="H176" s="352" t="e">
        <f t="shared" si="16"/>
        <v>#N/A</v>
      </c>
    </row>
    <row r="177" spans="1:8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505</v>
      </c>
      <c r="F177" s="2"/>
      <c r="G177">
        <f>-VLOOKUP($C177,DRE!$D:$S,10,0)</f>
        <v>-26523.64</v>
      </c>
      <c r="H177" s="352" t="e">
        <f t="shared" si="16"/>
        <v>#N/A</v>
      </c>
    </row>
    <row r="178" spans="1:8" x14ac:dyDescent="0.2">
      <c r="A178" s="77">
        <v>45536</v>
      </c>
      <c r="B178" s="377">
        <v>27</v>
      </c>
      <c r="C178" s="2" t="s">
        <v>484</v>
      </c>
      <c r="D178" s="2" t="s">
        <v>331</v>
      </c>
      <c r="E178" s="2" t="s">
        <v>506</v>
      </c>
      <c r="F178" s="2"/>
      <c r="G178" t="e">
        <f>SUM(G158:G177)</f>
        <v>#N/A</v>
      </c>
    </row>
    <row r="179" spans="1:8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486</v>
      </c>
      <c r="F179" s="2"/>
      <c r="G179">
        <f>-VLOOKUP($C179,DRE!$D:$S,12,0)</f>
        <v>101101.62999999999</v>
      </c>
      <c r="H179" s="352" t="e">
        <f t="shared" ref="H179:H198" si="17">G179/$G$199</f>
        <v>#N/A</v>
      </c>
    </row>
    <row r="180" spans="1:8" x14ac:dyDescent="0.2">
      <c r="A180" s="77">
        <v>45566</v>
      </c>
      <c r="B180" s="377">
        <v>8</v>
      </c>
      <c r="C180" t="s">
        <v>563</v>
      </c>
      <c r="D180" s="2" t="s">
        <v>331</v>
      </c>
      <c r="E180" s="2" t="s">
        <v>487</v>
      </c>
      <c r="F180" s="2"/>
      <c r="G180">
        <f>VLOOKUP($C180,DRE!$D:$S,12,0)</f>
        <v>0</v>
      </c>
      <c r="H180" s="352" t="e">
        <f t="shared" si="17"/>
        <v>#N/A</v>
      </c>
    </row>
    <row r="181" spans="1:8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488</v>
      </c>
      <c r="F181" s="2"/>
      <c r="G181">
        <f>-VLOOKUP($C181,DRE!$D:$S,12,0)</f>
        <v>60817.24</v>
      </c>
      <c r="H181" s="352" t="e">
        <f t="shared" si="17"/>
        <v>#N/A</v>
      </c>
    </row>
    <row r="182" spans="1:8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489</v>
      </c>
      <c r="F182" s="2"/>
      <c r="G182">
        <f>-VLOOKUP($C182,DRE!$D:$S,12,0)</f>
        <v>137704.1</v>
      </c>
      <c r="H182" s="352" t="e">
        <f t="shared" si="17"/>
        <v>#N/A</v>
      </c>
    </row>
    <row r="183" spans="1:8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490</v>
      </c>
      <c r="F183" s="2"/>
      <c r="G183">
        <f>-VLOOKUP($C183,DRE!$D:$S,12,0)</f>
        <v>56740.55</v>
      </c>
      <c r="H183" s="352" t="e">
        <f t="shared" si="17"/>
        <v>#N/A</v>
      </c>
    </row>
    <row r="184" spans="1:8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491</v>
      </c>
      <c r="F184" s="2"/>
      <c r="G184">
        <f>-VLOOKUP($C184,DRE!$D:$S,12,0)</f>
        <v>71752.91</v>
      </c>
      <c r="H184" s="352" t="e">
        <f t="shared" si="17"/>
        <v>#N/A</v>
      </c>
    </row>
    <row r="185" spans="1:8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492</v>
      </c>
      <c r="F185" s="2"/>
      <c r="G185">
        <f>-VLOOKUP($C185,DRE!$D:$S,12,0)</f>
        <v>32092.9664204</v>
      </c>
      <c r="H185" s="352" t="e">
        <f t="shared" si="17"/>
        <v>#N/A</v>
      </c>
    </row>
    <row r="186" spans="1:8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493</v>
      </c>
      <c r="F186" s="2"/>
      <c r="G186">
        <f>-VLOOKUP($C186,DRE!$D:$S,12,0)</f>
        <v>28290.78</v>
      </c>
      <c r="H186" s="352" t="e">
        <f t="shared" si="17"/>
        <v>#N/A</v>
      </c>
    </row>
    <row r="187" spans="1:8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494</v>
      </c>
      <c r="F187" s="2"/>
      <c r="G187">
        <f>-VLOOKUP($C187,DRE!$D:$S,12,0)</f>
        <v>31346.799999999999</v>
      </c>
      <c r="H187" s="352" t="e">
        <f t="shared" si="17"/>
        <v>#N/A</v>
      </c>
    </row>
    <row r="188" spans="1:8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495</v>
      </c>
      <c r="F188" s="2"/>
      <c r="G188">
        <f>-VLOOKUP($C188,DRE!$D:$S,12,0)</f>
        <v>12062.55</v>
      </c>
      <c r="H188" s="352" t="e">
        <f t="shared" si="17"/>
        <v>#N/A</v>
      </c>
    </row>
    <row r="189" spans="1:8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496</v>
      </c>
      <c r="F189" s="2"/>
      <c r="G189">
        <f>-VLOOKUP($C189,DRE!$D:$S,12,0)</f>
        <v>16751.009999999998</v>
      </c>
      <c r="H189" s="352" t="e">
        <f t="shared" si="17"/>
        <v>#N/A</v>
      </c>
    </row>
    <row r="190" spans="1:8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497</v>
      </c>
      <c r="F190" s="2"/>
      <c r="G190">
        <f>-VLOOKUP($C190,DRE!$D:$S,12,0)</f>
        <v>13795.05</v>
      </c>
      <c r="H190" s="352" t="e">
        <f t="shared" si="17"/>
        <v>#N/A</v>
      </c>
    </row>
    <row r="191" spans="1:8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498</v>
      </c>
      <c r="F191" s="2"/>
      <c r="G191">
        <f>-VLOOKUP($C191,DRE!$D:$S,12,0)</f>
        <v>5213.74</v>
      </c>
      <c r="H191" s="352" t="e">
        <f t="shared" si="17"/>
        <v>#N/A</v>
      </c>
    </row>
    <row r="192" spans="1:8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499</v>
      </c>
      <c r="F192" s="2"/>
      <c r="G192">
        <f>-VLOOKUP($C192,DRE!$D:$S,12,0)</f>
        <v>5597.23</v>
      </c>
      <c r="H192" s="352" t="e">
        <f t="shared" si="17"/>
        <v>#N/A</v>
      </c>
    </row>
    <row r="193" spans="1:8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500</v>
      </c>
      <c r="F193" s="2"/>
      <c r="G193" t="e">
        <f>-VLOOKUP($C193,DRE!$D:$S,12,0)</f>
        <v>#N/A</v>
      </c>
      <c r="H193" s="352" t="e">
        <f t="shared" si="17"/>
        <v>#N/A</v>
      </c>
    </row>
    <row r="194" spans="1:8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501</v>
      </c>
      <c r="F194" s="2"/>
      <c r="G194">
        <f>-VLOOKUP($C194,DRE!$D:$S,12,0)</f>
        <v>379.93</v>
      </c>
      <c r="H194" s="352" t="e">
        <f t="shared" si="17"/>
        <v>#N/A</v>
      </c>
    </row>
    <row r="195" spans="1:8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502</v>
      </c>
      <c r="F195" s="2"/>
      <c r="G195">
        <f>-VLOOKUP($C195,DRE!$D:$S,12,0)</f>
        <v>7.0000000000000007E-2</v>
      </c>
      <c r="H195" s="352" t="e">
        <f t="shared" si="17"/>
        <v>#N/A</v>
      </c>
    </row>
    <row r="196" spans="1:8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503</v>
      </c>
      <c r="F196" s="2"/>
      <c r="G196">
        <f>-VLOOKUP($C196,DRE!$D:$S,12,0)</f>
        <v>0</v>
      </c>
      <c r="H196" s="352" t="e">
        <f t="shared" si="17"/>
        <v>#N/A</v>
      </c>
    </row>
    <row r="197" spans="1:8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504</v>
      </c>
      <c r="F197" s="2"/>
      <c r="G197">
        <f>-VLOOKUP($C197,DRE!$D:$S,12,0)</f>
        <v>0</v>
      </c>
      <c r="H197" s="352" t="e">
        <f t="shared" si="17"/>
        <v>#N/A</v>
      </c>
    </row>
    <row r="198" spans="1:8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505</v>
      </c>
      <c r="F198" s="2"/>
      <c r="G198">
        <f>-VLOOKUP($C198,DRE!$D:$S,12,0)</f>
        <v>-35961.980000000003</v>
      </c>
      <c r="H198" s="352" t="e">
        <f t="shared" si="17"/>
        <v>#N/A</v>
      </c>
    </row>
    <row r="199" spans="1:8" x14ac:dyDescent="0.2">
      <c r="A199" s="77">
        <v>45566</v>
      </c>
      <c r="B199" s="377">
        <v>27</v>
      </c>
      <c r="C199" s="2" t="s">
        <v>484</v>
      </c>
      <c r="D199" s="2" t="s">
        <v>331</v>
      </c>
      <c r="E199" s="2" t="s">
        <v>506</v>
      </c>
      <c r="F199" s="2"/>
      <c r="G199" t="e">
        <f>SUM(G179:G198)</f>
        <v>#N/A</v>
      </c>
    </row>
    <row r="200" spans="1:8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486</v>
      </c>
      <c r="F200" s="2"/>
      <c r="G200">
        <f>-VLOOKUP($C200,DRE!$D:$S,14,0)</f>
        <v>36733.81</v>
      </c>
      <c r="H200" s="352" t="e">
        <f t="shared" ref="H200:H219" si="18">G200/$G$220</f>
        <v>#N/A</v>
      </c>
    </row>
    <row r="201" spans="1:8" x14ac:dyDescent="0.2">
      <c r="A201" s="77">
        <v>45597</v>
      </c>
      <c r="B201" s="377">
        <v>8</v>
      </c>
      <c r="C201" t="s">
        <v>563</v>
      </c>
      <c r="D201" s="2" t="s">
        <v>331</v>
      </c>
      <c r="E201" s="2" t="s">
        <v>487</v>
      </c>
      <c r="F201" s="2"/>
      <c r="G201">
        <f>VLOOKUP($C201,DRE!$D:$S,14,0)</f>
        <v>-400000</v>
      </c>
      <c r="H201" s="352" t="e">
        <f t="shared" si="18"/>
        <v>#N/A</v>
      </c>
    </row>
    <row r="202" spans="1:8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488</v>
      </c>
      <c r="F202" s="2"/>
      <c r="G202">
        <f>-VLOOKUP($C202,DRE!$D:$S,14,0)</f>
        <v>81642.240000000005</v>
      </c>
      <c r="H202" s="352" t="e">
        <f t="shared" si="18"/>
        <v>#N/A</v>
      </c>
    </row>
    <row r="203" spans="1:8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489</v>
      </c>
      <c r="F203" s="2"/>
      <c r="G203">
        <f>-VLOOKUP($C203,DRE!$D:$S,14,0)</f>
        <v>43561.63</v>
      </c>
      <c r="H203" s="352" t="e">
        <f t="shared" si="18"/>
        <v>#N/A</v>
      </c>
    </row>
    <row r="204" spans="1:8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490</v>
      </c>
      <c r="F204" s="2"/>
      <c r="G204">
        <f>-VLOOKUP($C204,DRE!$D:$S,14,0)</f>
        <v>61669.21</v>
      </c>
      <c r="H204" s="352" t="e">
        <f t="shared" si="18"/>
        <v>#N/A</v>
      </c>
    </row>
    <row r="205" spans="1:8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491</v>
      </c>
      <c r="F205" s="2"/>
      <c r="G205">
        <f>-VLOOKUP($C205,DRE!$D:$S,14,0)</f>
        <v>35357.480000000003</v>
      </c>
      <c r="H205" s="352" t="e">
        <f t="shared" si="18"/>
        <v>#N/A</v>
      </c>
    </row>
    <row r="206" spans="1:8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492</v>
      </c>
      <c r="F206" s="2"/>
      <c r="G206">
        <f>-VLOOKUP($C206,DRE!$D:$S,14,0)</f>
        <v>32092.9664204</v>
      </c>
      <c r="H206" s="352" t="e">
        <f t="shared" si="18"/>
        <v>#N/A</v>
      </c>
    </row>
    <row r="207" spans="1:8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493</v>
      </c>
      <c r="F207" s="2"/>
      <c r="G207">
        <f>-VLOOKUP($C207,DRE!$D:$S,14,0)</f>
        <v>27886.19</v>
      </c>
      <c r="H207" s="352" t="e">
        <f t="shared" si="18"/>
        <v>#N/A</v>
      </c>
    </row>
    <row r="208" spans="1:8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494</v>
      </c>
      <c r="F208" s="2"/>
      <c r="G208">
        <f>-VLOOKUP($C208,DRE!$D:$S,14,0)</f>
        <v>0</v>
      </c>
      <c r="H208" s="352" t="e">
        <f t="shared" si="18"/>
        <v>#N/A</v>
      </c>
    </row>
    <row r="209" spans="1:8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495</v>
      </c>
      <c r="F209" s="2"/>
      <c r="G209">
        <f>-VLOOKUP($C209,DRE!$D:$S,14,0)</f>
        <v>12859.4</v>
      </c>
      <c r="H209" s="352" t="e">
        <f t="shared" si="18"/>
        <v>#N/A</v>
      </c>
    </row>
    <row r="210" spans="1:8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496</v>
      </c>
      <c r="F210" s="2"/>
      <c r="G210">
        <f>-VLOOKUP($C210,DRE!$D:$S,14,0)</f>
        <v>34162.67</v>
      </c>
      <c r="H210" s="352" t="e">
        <f t="shared" si="18"/>
        <v>#N/A</v>
      </c>
    </row>
    <row r="211" spans="1:8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497</v>
      </c>
      <c r="F211" s="2"/>
      <c r="G211">
        <f>-VLOOKUP($C211,DRE!$D:$S,14,0)</f>
        <v>1860.3</v>
      </c>
      <c r="H211" s="352" t="e">
        <f t="shared" si="18"/>
        <v>#N/A</v>
      </c>
    </row>
    <row r="212" spans="1:8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498</v>
      </c>
      <c r="F212" s="2"/>
      <c r="G212">
        <f>-VLOOKUP($C212,DRE!$D:$S,14,0)</f>
        <v>5887.36</v>
      </c>
      <c r="H212" s="352" t="e">
        <f t="shared" si="18"/>
        <v>#N/A</v>
      </c>
    </row>
    <row r="213" spans="1:8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499</v>
      </c>
      <c r="F213" s="2"/>
      <c r="G213">
        <f>-VLOOKUP($C213,DRE!$D:$S,14,0)</f>
        <v>6602.67</v>
      </c>
      <c r="H213" s="352" t="e">
        <f t="shared" si="18"/>
        <v>#N/A</v>
      </c>
    </row>
    <row r="214" spans="1:8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500</v>
      </c>
      <c r="F214" s="2"/>
      <c r="G214" t="e">
        <f>-VLOOKUP($C214,DRE!$D:$S,14,0)</f>
        <v>#N/A</v>
      </c>
      <c r="H214" s="352" t="e">
        <f t="shared" si="18"/>
        <v>#N/A</v>
      </c>
    </row>
    <row r="215" spans="1:8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501</v>
      </c>
      <c r="F215" s="2"/>
      <c r="G215">
        <f>-VLOOKUP($C215,DRE!$D:$S,14,0)</f>
        <v>4189.25</v>
      </c>
      <c r="H215" s="352" t="e">
        <f t="shared" si="18"/>
        <v>#N/A</v>
      </c>
    </row>
    <row r="216" spans="1:8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502</v>
      </c>
      <c r="F216" s="2"/>
      <c r="G216">
        <f>-VLOOKUP($C216,DRE!$D:$S,14,0)</f>
        <v>894.94</v>
      </c>
      <c r="H216" s="352" t="e">
        <f t="shared" si="18"/>
        <v>#N/A</v>
      </c>
    </row>
    <row r="217" spans="1:8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503</v>
      </c>
      <c r="F217" s="2"/>
      <c r="G217">
        <f>-VLOOKUP($C217,DRE!$D:$S,14,0)</f>
        <v>0</v>
      </c>
      <c r="H217" s="352" t="e">
        <f t="shared" si="18"/>
        <v>#N/A</v>
      </c>
    </row>
    <row r="218" spans="1:8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504</v>
      </c>
      <c r="F218" s="2"/>
      <c r="G218">
        <f>-VLOOKUP($C218,DRE!$D:$S,14,0)</f>
        <v>0</v>
      </c>
      <c r="H218" s="352" t="e">
        <f t="shared" si="18"/>
        <v>#N/A</v>
      </c>
    </row>
    <row r="219" spans="1:8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505</v>
      </c>
      <c r="F219" s="2"/>
      <c r="G219">
        <f>-VLOOKUP($C219,DRE!$D:$S,14,0)</f>
        <v>-47746.04</v>
      </c>
      <c r="H219" s="352" t="e">
        <f t="shared" si="18"/>
        <v>#N/A</v>
      </c>
    </row>
    <row r="220" spans="1:8" x14ac:dyDescent="0.2">
      <c r="A220" s="77">
        <v>45597</v>
      </c>
      <c r="B220" s="377">
        <v>27</v>
      </c>
      <c r="C220" s="2" t="s">
        <v>484</v>
      </c>
      <c r="D220" s="2" t="s">
        <v>331</v>
      </c>
      <c r="E220" s="2" t="s">
        <v>506</v>
      </c>
      <c r="F220" s="2"/>
      <c r="G220" t="e">
        <f>SUM(G200:G219)</f>
        <v>#N/A</v>
      </c>
    </row>
    <row r="221" spans="1:8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486</v>
      </c>
      <c r="F221" s="2"/>
      <c r="G221">
        <f>-VLOOKUP($C221,DRE!$D:$S,16,0)</f>
        <v>39949.51</v>
      </c>
      <c r="H221" s="352" t="e">
        <f t="shared" ref="H221:H240" si="19">G221/$G$220</f>
        <v>#N/A</v>
      </c>
    </row>
    <row r="222" spans="1:8" x14ac:dyDescent="0.2">
      <c r="A222" s="77">
        <v>45627</v>
      </c>
      <c r="B222" s="377">
        <v>8</v>
      </c>
      <c r="C222" t="s">
        <v>563</v>
      </c>
      <c r="D222" s="2" t="s">
        <v>331</v>
      </c>
      <c r="E222" s="2" t="s">
        <v>487</v>
      </c>
      <c r="F222" s="2"/>
      <c r="G222">
        <f>-VLOOKUP($C222,DRE!$D:$S,16,0)</f>
        <v>500000</v>
      </c>
      <c r="H222" s="352" t="e">
        <f t="shared" si="19"/>
        <v>#N/A</v>
      </c>
    </row>
    <row r="223" spans="1:8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488</v>
      </c>
      <c r="F223" s="2"/>
      <c r="G223">
        <f>-VLOOKUP($C223,DRE!$D:$S,16,0)</f>
        <v>82098.929999999993</v>
      </c>
      <c r="H223" s="352" t="e">
        <f t="shared" si="19"/>
        <v>#N/A</v>
      </c>
    </row>
    <row r="224" spans="1:8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489</v>
      </c>
      <c r="F224" s="2"/>
      <c r="G224">
        <f>-VLOOKUP($C224,DRE!$D:$S,16,0)</f>
        <v>42967.49</v>
      </c>
      <c r="H224" s="352" t="e">
        <f t="shared" si="19"/>
        <v>#N/A</v>
      </c>
    </row>
    <row r="225" spans="1:8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490</v>
      </c>
      <c r="F225" s="2"/>
      <c r="G225">
        <f>-VLOOKUP($C225,DRE!$D:$S,16,0)</f>
        <v>74138.52</v>
      </c>
      <c r="H225" s="352" t="e">
        <f t="shared" si="19"/>
        <v>#N/A</v>
      </c>
    </row>
    <row r="226" spans="1:8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491</v>
      </c>
      <c r="F226" s="2"/>
      <c r="G226">
        <f>-VLOOKUP($C226,DRE!$D:$S,16,0)</f>
        <v>82781.58</v>
      </c>
      <c r="H226" s="352" t="e">
        <f t="shared" si="19"/>
        <v>#N/A</v>
      </c>
    </row>
    <row r="227" spans="1:8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492</v>
      </c>
      <c r="F227" s="2"/>
      <c r="G227">
        <f>-VLOOKUP($C227,DRE!$D:$S,16,0)</f>
        <v>32092.9664204</v>
      </c>
      <c r="H227" s="352" t="e">
        <f t="shared" si="19"/>
        <v>#N/A</v>
      </c>
    </row>
    <row r="228" spans="1:8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493</v>
      </c>
      <c r="F228" s="2"/>
      <c r="G228">
        <f>-VLOOKUP($C228,DRE!$D:$S,16,0)</f>
        <v>25292.07</v>
      </c>
      <c r="H228" s="352" t="e">
        <f t="shared" si="19"/>
        <v>#N/A</v>
      </c>
    </row>
    <row r="229" spans="1:8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494</v>
      </c>
      <c r="F229" s="2"/>
      <c r="G229">
        <f>-VLOOKUP($C229,DRE!$D:$S,16,0)</f>
        <v>0</v>
      </c>
      <c r="H229" s="352" t="e">
        <f t="shared" si="19"/>
        <v>#N/A</v>
      </c>
    </row>
    <row r="230" spans="1:8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495</v>
      </c>
      <c r="F230" s="2"/>
      <c r="G230">
        <f>-VLOOKUP($C230,DRE!$D:$S,16,0)</f>
        <v>51616.7</v>
      </c>
      <c r="H230" s="352" t="e">
        <f t="shared" si="19"/>
        <v>#N/A</v>
      </c>
    </row>
    <row r="231" spans="1:8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496</v>
      </c>
      <c r="F231" s="2"/>
      <c r="G231">
        <f>-VLOOKUP($C231,DRE!$D:$S,16,0)</f>
        <v>19319</v>
      </c>
      <c r="H231" s="352" t="e">
        <f t="shared" si="19"/>
        <v>#N/A</v>
      </c>
    </row>
    <row r="232" spans="1:8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497</v>
      </c>
      <c r="F232" s="2"/>
      <c r="G232">
        <f>-VLOOKUP($C232,DRE!$D:$S,16,0)</f>
        <v>7664.7900000000009</v>
      </c>
      <c r="H232" s="352" t="e">
        <f t="shared" si="19"/>
        <v>#N/A</v>
      </c>
    </row>
    <row r="233" spans="1:8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498</v>
      </c>
      <c r="F233" s="2"/>
      <c r="G233">
        <f>-VLOOKUP($C233,DRE!$D:$S,16,0)</f>
        <v>5727.88</v>
      </c>
      <c r="H233" s="352" t="e">
        <f t="shared" si="19"/>
        <v>#N/A</v>
      </c>
    </row>
    <row r="234" spans="1:8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499</v>
      </c>
      <c r="F234" s="2"/>
      <c r="G234">
        <f>-VLOOKUP($C234,DRE!$D:$S,16,0)</f>
        <v>6910.08</v>
      </c>
      <c r="H234" s="352" t="e">
        <f t="shared" si="19"/>
        <v>#N/A</v>
      </c>
    </row>
    <row r="235" spans="1:8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500</v>
      </c>
      <c r="F235" s="2"/>
      <c r="G235" t="e">
        <f>-VLOOKUP($C235,DRE!$D:$S,16,0)</f>
        <v>#N/A</v>
      </c>
      <c r="H235" s="352" t="e">
        <f t="shared" si="19"/>
        <v>#N/A</v>
      </c>
    </row>
    <row r="236" spans="1:8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501</v>
      </c>
      <c r="F236" s="2"/>
      <c r="G236">
        <f>-VLOOKUP($C236,DRE!$D:$S,16,0)</f>
        <v>11743.11</v>
      </c>
      <c r="H236" s="352" t="e">
        <f t="shared" si="19"/>
        <v>#N/A</v>
      </c>
    </row>
    <row r="237" spans="1:8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502</v>
      </c>
      <c r="F237" s="2"/>
      <c r="G237">
        <f>-VLOOKUP($C237,DRE!$D:$S,16,0)</f>
        <v>374.46</v>
      </c>
      <c r="H237" s="352" t="e">
        <f t="shared" si="19"/>
        <v>#N/A</v>
      </c>
    </row>
    <row r="238" spans="1:8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503</v>
      </c>
      <c r="F238" s="2"/>
      <c r="G238">
        <f>-VLOOKUP($C238,DRE!$D:$S,16,0)</f>
        <v>0</v>
      </c>
      <c r="H238" s="352" t="e">
        <f t="shared" si="19"/>
        <v>#N/A</v>
      </c>
    </row>
    <row r="239" spans="1:8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504</v>
      </c>
      <c r="F239" s="2"/>
      <c r="G239">
        <f>-VLOOKUP($C239,DRE!$D:$S,16,0)</f>
        <v>0</v>
      </c>
      <c r="H239" s="352" t="e">
        <f t="shared" si="19"/>
        <v>#N/A</v>
      </c>
    </row>
    <row r="240" spans="1:8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505</v>
      </c>
      <c r="F240" s="2"/>
      <c r="G240">
        <f>-VLOOKUP($C240,DRE!$D:$S,16,0)</f>
        <v>-65531.21</v>
      </c>
      <c r="H240" s="352" t="e">
        <f t="shared" si="19"/>
        <v>#N/A</v>
      </c>
    </row>
    <row r="241" spans="1:8" x14ac:dyDescent="0.2">
      <c r="A241" s="77">
        <v>45627</v>
      </c>
      <c r="B241" s="377">
        <v>27</v>
      </c>
      <c r="C241" s="2" t="s">
        <v>484</v>
      </c>
      <c r="D241" s="2" t="s">
        <v>331</v>
      </c>
      <c r="E241" s="2" t="s">
        <v>506</v>
      </c>
      <c r="F241" s="2"/>
      <c r="G241" t="e">
        <f>SUM(G221:G240)</f>
        <v>#N/A</v>
      </c>
    </row>
    <row r="242" spans="1:8" x14ac:dyDescent="0.2">
      <c r="A242" s="77">
        <v>45658</v>
      </c>
      <c r="B242" s="377">
        <v>1</v>
      </c>
      <c r="C242" s="377"/>
      <c r="D242" s="2" t="s">
        <v>455</v>
      </c>
      <c r="E242" s="2"/>
      <c r="F242" s="2"/>
      <c r="G242">
        <f>-DRE!$W$22</f>
        <v>1388902.2948</v>
      </c>
      <c r="H242" s="352">
        <f>G242/$G$247</f>
        <v>0.4044610417710357</v>
      </c>
    </row>
    <row r="243" spans="1:8" x14ac:dyDescent="0.2">
      <c r="A243" s="77">
        <v>45658</v>
      </c>
      <c r="B243" s="377">
        <v>2</v>
      </c>
      <c r="C243" s="377"/>
      <c r="D243" s="2" t="s">
        <v>142</v>
      </c>
      <c r="E243" s="2"/>
      <c r="F243" s="2"/>
      <c r="G243">
        <f>-DRE!$W$34</f>
        <v>526895.42879999999</v>
      </c>
      <c r="H243" s="352">
        <f>G243/$G$247</f>
        <v>0.1534367642955993</v>
      </c>
    </row>
    <row r="244" spans="1:8" x14ac:dyDescent="0.2">
      <c r="A244" s="77">
        <v>45658</v>
      </c>
      <c r="B244" s="377">
        <v>3</v>
      </c>
      <c r="C244" s="377"/>
      <c r="D244" s="2" t="s">
        <v>453</v>
      </c>
      <c r="E244" s="2"/>
      <c r="F244" s="2"/>
      <c r="G244">
        <f>-DRE!$W$4-DRE!$W$41</f>
        <v>1041992.34</v>
      </c>
      <c r="H244" s="352">
        <f>G244/$G$247</f>
        <v>0.30343769243647678</v>
      </c>
    </row>
    <row r="245" spans="1:8" x14ac:dyDescent="0.2">
      <c r="A245" s="77">
        <v>45658</v>
      </c>
      <c r="B245" s="377">
        <v>4</v>
      </c>
      <c r="C245" s="377"/>
      <c r="D245" s="2" t="s">
        <v>454</v>
      </c>
      <c r="E245" s="2"/>
      <c r="F245" s="2"/>
      <c r="G245">
        <f>-DRE!$W$21</f>
        <v>217634.95</v>
      </c>
      <c r="H245" s="352">
        <f>G245/$G$247</f>
        <v>6.3377286460213331E-2</v>
      </c>
    </row>
    <row r="246" spans="1:8" x14ac:dyDescent="0.2">
      <c r="A246" s="77">
        <v>45658</v>
      </c>
      <c r="B246" s="377">
        <v>5</v>
      </c>
      <c r="C246" s="377"/>
      <c r="D246" s="2" t="s">
        <v>331</v>
      </c>
      <c r="E246" s="2"/>
      <c r="F246" s="2"/>
      <c r="G246">
        <f>G247-G242-G243-G244-G245</f>
        <v>258533.14642040018</v>
      </c>
      <c r="H246" s="352">
        <f>G246/$G$247</f>
        <v>7.5287215036674848E-2</v>
      </c>
    </row>
    <row r="247" spans="1:8" x14ac:dyDescent="0.2">
      <c r="A247" s="77">
        <v>45658</v>
      </c>
      <c r="B247" s="377">
        <v>7</v>
      </c>
      <c r="C247" s="377"/>
      <c r="D247" s="2" t="s">
        <v>452</v>
      </c>
      <c r="E247" s="2"/>
      <c r="F247" s="2"/>
      <c r="G247">
        <f>-DRE!$W$44</f>
        <v>3433958.1600204003</v>
      </c>
      <c r="H247" s="379"/>
    </row>
    <row r="248" spans="1:8" x14ac:dyDescent="0.2">
      <c r="A248" s="77">
        <v>45689</v>
      </c>
      <c r="B248" s="377">
        <v>1</v>
      </c>
      <c r="C248" s="377"/>
      <c r="D248" s="2" t="s">
        <v>455</v>
      </c>
      <c r="E248" s="2"/>
      <c r="F248" s="2"/>
      <c r="G248">
        <f>-DRE!$Y$22</f>
        <v>1404814.5481999996</v>
      </c>
      <c r="H248" s="352">
        <f>G248/$G$253</f>
        <v>0.41612055409116128</v>
      </c>
    </row>
    <row r="249" spans="1:8" x14ac:dyDescent="0.2">
      <c r="A249" s="77">
        <v>45689</v>
      </c>
      <c r="B249" s="377">
        <v>2</v>
      </c>
      <c r="C249" s="377"/>
      <c r="D249" s="2" t="s">
        <v>142</v>
      </c>
      <c r="E249" s="2"/>
      <c r="F249" s="2"/>
      <c r="G249">
        <f>-DRE!$Y$34</f>
        <v>475823.33700000006</v>
      </c>
      <c r="H249" s="352">
        <f>G249/$G$253</f>
        <v>0.14094377859030877</v>
      </c>
    </row>
    <row r="250" spans="1:8" x14ac:dyDescent="0.2">
      <c r="A250" s="77">
        <v>45689</v>
      </c>
      <c r="B250" s="377">
        <v>3</v>
      </c>
      <c r="C250" s="377"/>
      <c r="D250" s="2" t="s">
        <v>453</v>
      </c>
      <c r="E250" s="2"/>
      <c r="F250" s="2"/>
      <c r="G250">
        <f>-DRE!$Y$4-DRE!$Y$41</f>
        <v>847593.64</v>
      </c>
      <c r="H250" s="352">
        <f>G250/$G$253</f>
        <v>0.25106597562850069</v>
      </c>
    </row>
    <row r="251" spans="1:8" x14ac:dyDescent="0.2">
      <c r="A251" s="77">
        <v>45689</v>
      </c>
      <c r="B251" s="377">
        <v>4</v>
      </c>
      <c r="C251" s="377"/>
      <c r="D251" s="2" t="s">
        <v>454</v>
      </c>
      <c r="E251" s="2"/>
      <c r="F251" s="2"/>
      <c r="G251">
        <f>-DRE!$Y$21</f>
        <v>151787.51</v>
      </c>
      <c r="H251" s="352">
        <f>G251/$G$253</f>
        <v>4.4961025529133045E-2</v>
      </c>
    </row>
    <row r="252" spans="1:8" x14ac:dyDescent="0.2">
      <c r="A252" s="77">
        <v>45689</v>
      </c>
      <c r="B252" s="377">
        <v>5</v>
      </c>
      <c r="C252" s="377"/>
      <c r="D252" s="2" t="s">
        <v>331</v>
      </c>
      <c r="E252" s="2"/>
      <c r="F252" s="2"/>
      <c r="G252">
        <f>G253-G248-G249-G250-G251</f>
        <v>495960.67642040004</v>
      </c>
      <c r="H252" s="352">
        <f>G252/$G$253</f>
        <v>0.14690866616089623</v>
      </c>
    </row>
    <row r="253" spans="1:8" x14ac:dyDescent="0.2">
      <c r="A253" s="77">
        <v>45689</v>
      </c>
      <c r="B253" s="377">
        <v>7</v>
      </c>
      <c r="C253" s="377"/>
      <c r="D253" s="2" t="s">
        <v>452</v>
      </c>
      <c r="E253" s="2"/>
      <c r="F253" s="2"/>
      <c r="G253">
        <f>-DRE!$Y$44</f>
        <v>3375979.7116203997</v>
      </c>
      <c r="H253" s="379"/>
    </row>
    <row r="254" spans="1:8" x14ac:dyDescent="0.2">
      <c r="A254" s="77">
        <v>45717</v>
      </c>
      <c r="B254" s="377">
        <v>1</v>
      </c>
      <c r="C254" s="377"/>
      <c r="D254" s="2" t="s">
        <v>455</v>
      </c>
      <c r="E254" s="2"/>
      <c r="F254" s="2"/>
      <c r="G254">
        <f>-DRE!$AA$22</f>
        <v>1420450.1930999998</v>
      </c>
      <c r="H254" s="352">
        <f>G254/$G$259</f>
        <v>0.41171213201424961</v>
      </c>
    </row>
    <row r="255" spans="1:8" x14ac:dyDescent="0.2">
      <c r="A255" s="77">
        <v>45717</v>
      </c>
      <c r="B255" s="377">
        <v>2</v>
      </c>
      <c r="C255" s="377"/>
      <c r="D255" s="2" t="s">
        <v>142</v>
      </c>
      <c r="E255" s="2"/>
      <c r="F255" s="2"/>
      <c r="G255">
        <f>-DRE!$AA$34</f>
        <v>522863.83350000001</v>
      </c>
      <c r="H255" s="352">
        <f>G255/$G$259</f>
        <v>0.15155011044324146</v>
      </c>
    </row>
    <row r="256" spans="1:8" x14ac:dyDescent="0.2">
      <c r="A256" s="77">
        <v>45717</v>
      </c>
      <c r="B256" s="377">
        <v>3</v>
      </c>
      <c r="C256" s="377"/>
      <c r="D256" s="2" t="s">
        <v>453</v>
      </c>
      <c r="E256" s="2"/>
      <c r="F256" s="2"/>
      <c r="G256">
        <f>-DRE!$AA$4-DRE!$AA$41</f>
        <v>917016.74</v>
      </c>
      <c r="H256" s="352">
        <f>G256/$G$259</f>
        <v>0.26579384405883033</v>
      </c>
    </row>
    <row r="257" spans="1:8" x14ac:dyDescent="0.2">
      <c r="A257" s="77">
        <v>45717</v>
      </c>
      <c r="B257" s="377">
        <v>4</v>
      </c>
      <c r="C257" s="377"/>
      <c r="D257" s="2" t="s">
        <v>454</v>
      </c>
      <c r="E257" s="2"/>
      <c r="F257" s="2"/>
      <c r="G257">
        <f>-DRE!$AA$21</f>
        <v>127979.75</v>
      </c>
      <c r="H257" s="352">
        <f>G257/$G$259</f>
        <v>3.7094447931439171E-2</v>
      </c>
    </row>
    <row r="258" spans="1:8" x14ac:dyDescent="0.2">
      <c r="A258" s="77">
        <v>45717</v>
      </c>
      <c r="B258" s="377">
        <v>5</v>
      </c>
      <c r="C258" s="377"/>
      <c r="D258" s="2" t="s">
        <v>331</v>
      </c>
      <c r="E258" s="2"/>
      <c r="F258" s="2"/>
      <c r="G258">
        <f>G259-G254-G255-G256-G257</f>
        <v>461794.74542039959</v>
      </c>
      <c r="H258" s="352">
        <f>G258/$G$259</f>
        <v>0.13384946555223948</v>
      </c>
    </row>
    <row r="259" spans="1:8" x14ac:dyDescent="0.2">
      <c r="A259" s="77">
        <v>45717</v>
      </c>
      <c r="B259" s="377">
        <v>7</v>
      </c>
      <c r="C259" s="377"/>
      <c r="D259" s="2" t="s">
        <v>452</v>
      </c>
      <c r="E259" s="2"/>
      <c r="F259" s="2"/>
      <c r="G259">
        <f>-DRE!$AA$44</f>
        <v>3450105.2620203993</v>
      </c>
      <c r="H259" s="379"/>
    </row>
  </sheetData>
  <autoFilter ref="A1:H241" xr:uid="{04219A2B-A7D8-4F11-9F52-C3BE4F8E7AF5}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E0D4-E1EE-4754-BF93-3F774DB17A6F}">
  <sheetPr>
    <tabColor rgb="FFFF0000"/>
  </sheetPr>
  <dimension ref="A1:F64"/>
  <sheetViews>
    <sheetView workbookViewId="0">
      <selection activeCell="E2" sqref="E2:E22"/>
    </sheetView>
  </sheetViews>
  <sheetFormatPr defaultRowHeight="12.75" x14ac:dyDescent="0.2"/>
  <cols>
    <col min="1" max="1" width="6.7109375" bestFit="1" customWidth="1"/>
    <col min="2" max="2" width="24.140625" bestFit="1" customWidth="1"/>
    <col min="3" max="3" width="24.140625" customWidth="1"/>
    <col min="4" max="4" width="40.5703125" bestFit="1" customWidth="1"/>
    <col min="5" max="5" width="14.7109375" bestFit="1" customWidth="1"/>
    <col min="6" max="6" width="6.85546875" bestFit="1" customWidth="1"/>
  </cols>
  <sheetData>
    <row r="1" spans="1:6" x14ac:dyDescent="0.2">
      <c r="A1" t="s">
        <v>9</v>
      </c>
      <c r="B1" s="2" t="s">
        <v>467</v>
      </c>
      <c r="C1" s="2" t="s">
        <v>483</v>
      </c>
      <c r="D1" s="2" t="s">
        <v>485</v>
      </c>
      <c r="E1" t="s">
        <v>468</v>
      </c>
      <c r="F1" s="375" t="s">
        <v>469</v>
      </c>
    </row>
    <row r="2" spans="1:6" x14ac:dyDescent="0.2">
      <c r="A2" s="77">
        <v>45658</v>
      </c>
      <c r="B2" s="2" t="s">
        <v>331</v>
      </c>
      <c r="C2" t="s">
        <v>340</v>
      </c>
      <c r="D2" s="2" t="s">
        <v>486</v>
      </c>
      <c r="E2">
        <f>-VLOOKUP(C2,DRE!$D:$AS,20,0)</f>
        <v>18249.39</v>
      </c>
      <c r="F2" s="352" t="e">
        <f>E2/$E$22</f>
        <v>#N/A</v>
      </c>
    </row>
    <row r="3" spans="1:6" x14ac:dyDescent="0.2">
      <c r="A3" s="77">
        <v>45658</v>
      </c>
      <c r="B3" s="2" t="s">
        <v>331</v>
      </c>
      <c r="C3" t="s">
        <v>563</v>
      </c>
      <c r="D3" s="2" t="s">
        <v>487</v>
      </c>
      <c r="E3">
        <f>-VLOOKUP(C3,DRE!$D:$AS,20,0)</f>
        <v>0</v>
      </c>
      <c r="F3" s="352" t="e">
        <f t="shared" ref="F3:F21" si="0">E3/$E$22</f>
        <v>#N/A</v>
      </c>
    </row>
    <row r="4" spans="1:6" x14ac:dyDescent="0.2">
      <c r="A4" s="77">
        <v>45658</v>
      </c>
      <c r="B4" s="2" t="s">
        <v>331</v>
      </c>
      <c r="C4" t="s">
        <v>355</v>
      </c>
      <c r="D4" s="2" t="s">
        <v>488</v>
      </c>
      <c r="E4">
        <f>-VLOOKUP(C4,DRE!$D:$AS,20,0)</f>
        <v>47101.599999999999</v>
      </c>
      <c r="F4" s="352" t="e">
        <f t="shared" si="0"/>
        <v>#N/A</v>
      </c>
    </row>
    <row r="5" spans="1:6" x14ac:dyDescent="0.2">
      <c r="A5" s="77">
        <v>45658</v>
      </c>
      <c r="B5" s="2" t="s">
        <v>331</v>
      </c>
      <c r="C5" t="s">
        <v>353</v>
      </c>
      <c r="D5" s="2" t="s">
        <v>489</v>
      </c>
      <c r="E5">
        <f>-VLOOKUP(C5,DRE!$D:$AS,20,0)</f>
        <v>50914.1</v>
      </c>
      <c r="F5" s="352" t="e">
        <f t="shared" si="0"/>
        <v>#N/A</v>
      </c>
    </row>
    <row r="6" spans="1:6" x14ac:dyDescent="0.2">
      <c r="A6" s="77">
        <v>45658</v>
      </c>
      <c r="B6" s="2" t="s">
        <v>331</v>
      </c>
      <c r="C6" t="s">
        <v>343</v>
      </c>
      <c r="D6" s="2" t="s">
        <v>490</v>
      </c>
      <c r="E6">
        <f>-VLOOKUP(C6,DRE!$D:$AS,20,0)</f>
        <v>43544.49</v>
      </c>
      <c r="F6" s="352" t="e">
        <f t="shared" si="0"/>
        <v>#N/A</v>
      </c>
    </row>
    <row r="7" spans="1:6" x14ac:dyDescent="0.2">
      <c r="A7" s="77">
        <v>45658</v>
      </c>
      <c r="B7" s="2" t="s">
        <v>331</v>
      </c>
      <c r="C7" t="s">
        <v>351</v>
      </c>
      <c r="D7" s="2" t="s">
        <v>491</v>
      </c>
      <c r="E7">
        <f>-VLOOKUP(C7,DRE!$D:$AS,20,0)</f>
        <v>48394.3</v>
      </c>
      <c r="F7" s="352" t="e">
        <f t="shared" si="0"/>
        <v>#N/A</v>
      </c>
    </row>
    <row r="8" spans="1:6" x14ac:dyDescent="0.2">
      <c r="A8" s="77">
        <v>45658</v>
      </c>
      <c r="B8" s="2" t="s">
        <v>331</v>
      </c>
      <c r="C8" t="s">
        <v>364</v>
      </c>
      <c r="D8" s="2" t="s">
        <v>492</v>
      </c>
      <c r="E8">
        <f>-VLOOKUP(C8,DRE!$D:$AS,20,0)</f>
        <v>32092.9664204</v>
      </c>
      <c r="F8" s="352" t="e">
        <f t="shared" si="0"/>
        <v>#N/A</v>
      </c>
    </row>
    <row r="9" spans="1:6" x14ac:dyDescent="0.2">
      <c r="A9" s="77">
        <v>45658</v>
      </c>
      <c r="B9" s="2" t="s">
        <v>331</v>
      </c>
      <c r="C9" t="s">
        <v>349</v>
      </c>
      <c r="D9" s="2" t="s">
        <v>493</v>
      </c>
      <c r="E9">
        <f>-VLOOKUP(C9,DRE!$D:$AS,20,0)</f>
        <v>31228.29</v>
      </c>
      <c r="F9" s="352" t="e">
        <f t="shared" si="0"/>
        <v>#N/A</v>
      </c>
    </row>
    <row r="10" spans="1:6" x14ac:dyDescent="0.2">
      <c r="A10" s="77">
        <v>45658</v>
      </c>
      <c r="B10" s="2" t="s">
        <v>331</v>
      </c>
      <c r="C10" t="s">
        <v>329</v>
      </c>
      <c r="D10" s="2" t="s">
        <v>494</v>
      </c>
      <c r="E10">
        <f>-VLOOKUP(C10,DRE!$D:$AS,20,0)</f>
        <v>0</v>
      </c>
      <c r="F10" s="352" t="e">
        <f t="shared" si="0"/>
        <v>#N/A</v>
      </c>
    </row>
    <row r="11" spans="1:6" x14ac:dyDescent="0.2">
      <c r="A11" s="77">
        <v>45658</v>
      </c>
      <c r="B11" s="2" t="s">
        <v>331</v>
      </c>
      <c r="C11" t="s">
        <v>361</v>
      </c>
      <c r="D11" s="2" t="s">
        <v>495</v>
      </c>
      <c r="E11">
        <f>-VLOOKUP(C11,DRE!$D:$AS,20,0)</f>
        <v>13926.67</v>
      </c>
      <c r="F11" s="352" t="e">
        <f t="shared" si="0"/>
        <v>#N/A</v>
      </c>
    </row>
    <row r="12" spans="1:6" x14ac:dyDescent="0.2">
      <c r="A12" s="77">
        <v>45658</v>
      </c>
      <c r="B12" s="2" t="s">
        <v>331</v>
      </c>
      <c r="C12" t="s">
        <v>354</v>
      </c>
      <c r="D12" s="2" t="s">
        <v>496</v>
      </c>
      <c r="E12">
        <f>-VLOOKUP(C12,DRE!$D:$AS,20,0)</f>
        <v>27717.360000000001</v>
      </c>
      <c r="F12" s="352" t="e">
        <f t="shared" si="0"/>
        <v>#N/A</v>
      </c>
    </row>
    <row r="13" spans="1:6" x14ac:dyDescent="0.2">
      <c r="A13" s="77">
        <v>45658</v>
      </c>
      <c r="B13" s="2" t="s">
        <v>331</v>
      </c>
      <c r="C13" t="s">
        <v>350</v>
      </c>
      <c r="D13" s="2" t="s">
        <v>497</v>
      </c>
      <c r="E13">
        <f>-VLOOKUP(C13,DRE!$D:$AS,20,0)</f>
        <v>1521.59</v>
      </c>
      <c r="F13" s="352" t="e">
        <f t="shared" si="0"/>
        <v>#N/A</v>
      </c>
    </row>
    <row r="14" spans="1:6" x14ac:dyDescent="0.2">
      <c r="A14" s="77">
        <v>45658</v>
      </c>
      <c r="B14" s="2" t="s">
        <v>331</v>
      </c>
      <c r="C14" t="s">
        <v>352</v>
      </c>
      <c r="D14" s="2" t="s">
        <v>498</v>
      </c>
      <c r="E14">
        <f>-VLOOKUP(C14,DRE!$D:$AS,20,0)</f>
        <v>8625.2900000000009</v>
      </c>
      <c r="F14" s="352" t="e">
        <f t="shared" si="0"/>
        <v>#N/A</v>
      </c>
    </row>
    <row r="15" spans="1:6" x14ac:dyDescent="0.2">
      <c r="A15" s="77">
        <v>45658</v>
      </c>
      <c r="B15" s="2" t="s">
        <v>331</v>
      </c>
      <c r="C15" t="s">
        <v>357</v>
      </c>
      <c r="D15" s="2" t="s">
        <v>499</v>
      </c>
      <c r="E15">
        <f>-VLOOKUP(C15,DRE!$D:$AS,20,0)</f>
        <v>6479.54</v>
      </c>
      <c r="F15" s="352" t="e">
        <f t="shared" si="0"/>
        <v>#N/A</v>
      </c>
    </row>
    <row r="16" spans="1:6" x14ac:dyDescent="0.2">
      <c r="A16" s="77">
        <v>45658</v>
      </c>
      <c r="B16" s="2" t="s">
        <v>331</v>
      </c>
      <c r="C16" t="s">
        <v>330</v>
      </c>
      <c r="D16" s="2" t="s">
        <v>500</v>
      </c>
      <c r="E16" t="e">
        <f>-VLOOKUP(C16,DRE!$D:$AS,20,0)</f>
        <v>#N/A</v>
      </c>
      <c r="F16" s="352" t="e">
        <f t="shared" si="0"/>
        <v>#N/A</v>
      </c>
    </row>
    <row r="17" spans="1:6" x14ac:dyDescent="0.2">
      <c r="A17" s="77">
        <v>45658</v>
      </c>
      <c r="B17" s="2" t="s">
        <v>331</v>
      </c>
      <c r="C17" t="s">
        <v>328</v>
      </c>
      <c r="D17" s="2" t="s">
        <v>501</v>
      </c>
      <c r="E17">
        <f>-VLOOKUP(C17,DRE!$D:$AS,20,0)</f>
        <v>10130.86</v>
      </c>
      <c r="F17" s="352" t="e">
        <f t="shared" si="0"/>
        <v>#N/A</v>
      </c>
    </row>
    <row r="18" spans="1:6" x14ac:dyDescent="0.2">
      <c r="A18" s="77">
        <v>45658</v>
      </c>
      <c r="B18" s="2" t="s">
        <v>331</v>
      </c>
      <c r="C18" t="s">
        <v>331</v>
      </c>
      <c r="D18" s="2" t="s">
        <v>502</v>
      </c>
      <c r="E18">
        <f>-VLOOKUP(C18,DRE!$D:$AS,20,0)</f>
        <v>666.56</v>
      </c>
      <c r="F18" s="352" t="e">
        <f t="shared" si="0"/>
        <v>#N/A</v>
      </c>
    </row>
    <row r="19" spans="1:6" x14ac:dyDescent="0.2">
      <c r="A19" s="77">
        <v>45658</v>
      </c>
      <c r="B19" s="2" t="s">
        <v>331</v>
      </c>
      <c r="C19" t="s">
        <v>332</v>
      </c>
      <c r="D19" s="2" t="s">
        <v>503</v>
      </c>
      <c r="E19">
        <f>-VLOOKUP(C19,DRE!$D:$AS,20,0)</f>
        <v>0</v>
      </c>
      <c r="F19" s="352" t="e">
        <f t="shared" si="0"/>
        <v>#N/A</v>
      </c>
    </row>
    <row r="20" spans="1:6" x14ac:dyDescent="0.2">
      <c r="A20" s="77">
        <v>45658</v>
      </c>
      <c r="B20" s="2" t="s">
        <v>331</v>
      </c>
      <c r="C20" t="s">
        <v>359</v>
      </c>
      <c r="D20" s="2" t="s">
        <v>504</v>
      </c>
      <c r="E20">
        <f>-VLOOKUP(C20,DRE!$D:$AS,20,0)</f>
        <v>0</v>
      </c>
      <c r="F20" s="352" t="e">
        <f t="shared" si="0"/>
        <v>#N/A</v>
      </c>
    </row>
    <row r="21" spans="1:6" x14ac:dyDescent="0.2">
      <c r="A21" s="77">
        <v>45658</v>
      </c>
      <c r="B21" s="2" t="s">
        <v>331</v>
      </c>
      <c r="C21" t="s">
        <v>360</v>
      </c>
      <c r="D21" s="2" t="s">
        <v>505</v>
      </c>
      <c r="E21">
        <f>-VLOOKUP(C21,DRE!$D:$AS,20,0)</f>
        <v>-82059.86</v>
      </c>
      <c r="F21" s="352" t="e">
        <f t="shared" si="0"/>
        <v>#N/A</v>
      </c>
    </row>
    <row r="22" spans="1:6" x14ac:dyDescent="0.2">
      <c r="A22" s="77">
        <v>45658</v>
      </c>
      <c r="B22" s="2" t="s">
        <v>331</v>
      </c>
      <c r="C22" s="2" t="s">
        <v>484</v>
      </c>
      <c r="D22" s="2" t="s">
        <v>506</v>
      </c>
      <c r="E22" t="e">
        <f>SUM(E2:E21)</f>
        <v>#N/A</v>
      </c>
    </row>
    <row r="23" spans="1:6" x14ac:dyDescent="0.2">
      <c r="A23" s="77">
        <v>45689</v>
      </c>
      <c r="B23" s="2" t="s">
        <v>331</v>
      </c>
      <c r="C23" t="s">
        <v>340</v>
      </c>
      <c r="D23" s="2" t="s">
        <v>486</v>
      </c>
      <c r="E23">
        <f>-VLOOKUP(C23,DRE!$D:$AS,22,0)</f>
        <v>43101.16</v>
      </c>
      <c r="F23" s="352" t="e">
        <f>E23/$E$43</f>
        <v>#N/A</v>
      </c>
    </row>
    <row r="24" spans="1:6" x14ac:dyDescent="0.2">
      <c r="A24" s="77">
        <v>45689</v>
      </c>
      <c r="B24" s="2" t="s">
        <v>331</v>
      </c>
      <c r="C24" t="s">
        <v>563</v>
      </c>
      <c r="D24" s="2" t="s">
        <v>487</v>
      </c>
      <c r="E24">
        <f>-VLOOKUP(C24,DRE!$D:$AS,22,0)</f>
        <v>0</v>
      </c>
      <c r="F24" s="352" t="e">
        <f t="shared" ref="F24:F42" si="1">E24/$E$43</f>
        <v>#N/A</v>
      </c>
    </row>
    <row r="25" spans="1:6" x14ac:dyDescent="0.2">
      <c r="A25" s="77">
        <v>45689</v>
      </c>
      <c r="B25" s="2" t="s">
        <v>331</v>
      </c>
      <c r="C25" t="s">
        <v>355</v>
      </c>
      <c r="D25" s="2" t="s">
        <v>488</v>
      </c>
      <c r="E25">
        <f>-VLOOKUP(C25,DRE!$D:$AS,22,0)</f>
        <v>78225.320000000007</v>
      </c>
      <c r="F25" s="352" t="e">
        <f t="shared" si="1"/>
        <v>#N/A</v>
      </c>
    </row>
    <row r="26" spans="1:6" x14ac:dyDescent="0.2">
      <c r="A26" s="77">
        <v>45689</v>
      </c>
      <c r="B26" s="2" t="s">
        <v>331</v>
      </c>
      <c r="C26" t="s">
        <v>353</v>
      </c>
      <c r="D26" s="2" t="s">
        <v>489</v>
      </c>
      <c r="E26">
        <f>-VLOOKUP(C26,DRE!$D:$AS,22,0)</f>
        <v>65071.91</v>
      </c>
      <c r="F26" s="352" t="e">
        <f t="shared" si="1"/>
        <v>#N/A</v>
      </c>
    </row>
    <row r="27" spans="1:6" x14ac:dyDescent="0.2">
      <c r="A27" s="77">
        <v>45689</v>
      </c>
      <c r="B27" s="2" t="s">
        <v>331</v>
      </c>
      <c r="C27" t="s">
        <v>343</v>
      </c>
      <c r="D27" s="2" t="s">
        <v>490</v>
      </c>
      <c r="E27">
        <f>-VLOOKUP(C27,DRE!$D:$AS,22,0)</f>
        <v>55514.86</v>
      </c>
      <c r="F27" s="352" t="e">
        <f t="shared" si="1"/>
        <v>#N/A</v>
      </c>
    </row>
    <row r="28" spans="1:6" x14ac:dyDescent="0.2">
      <c r="A28" s="77">
        <v>45689</v>
      </c>
      <c r="B28" s="2" t="s">
        <v>331</v>
      </c>
      <c r="C28" t="s">
        <v>351</v>
      </c>
      <c r="D28" s="2" t="s">
        <v>491</v>
      </c>
      <c r="E28">
        <f>-VLOOKUP(C28,DRE!$D:$AS,22,0)</f>
        <v>133784.15</v>
      </c>
      <c r="F28" s="352" t="e">
        <f t="shared" si="1"/>
        <v>#N/A</v>
      </c>
    </row>
    <row r="29" spans="1:6" x14ac:dyDescent="0.2">
      <c r="A29" s="77">
        <v>45689</v>
      </c>
      <c r="B29" s="2" t="s">
        <v>331</v>
      </c>
      <c r="C29" t="s">
        <v>364</v>
      </c>
      <c r="D29" s="2" t="s">
        <v>492</v>
      </c>
      <c r="E29">
        <f>-VLOOKUP(C29,DRE!$D:$AS,22,0)</f>
        <v>32092.9664204</v>
      </c>
      <c r="F29" s="352" t="e">
        <f t="shared" si="1"/>
        <v>#N/A</v>
      </c>
    </row>
    <row r="30" spans="1:6" x14ac:dyDescent="0.2">
      <c r="A30" s="77">
        <v>45689</v>
      </c>
      <c r="B30" s="2" t="s">
        <v>331</v>
      </c>
      <c r="C30" t="s">
        <v>349</v>
      </c>
      <c r="D30" s="2" t="s">
        <v>493</v>
      </c>
      <c r="E30">
        <f>-VLOOKUP(C30,DRE!$D:$AS,22,0)</f>
        <v>30476.55</v>
      </c>
      <c r="F30" s="352" t="e">
        <f t="shared" si="1"/>
        <v>#N/A</v>
      </c>
    </row>
    <row r="31" spans="1:6" x14ac:dyDescent="0.2">
      <c r="A31" s="77">
        <v>45689</v>
      </c>
      <c r="B31" s="2" t="s">
        <v>331</v>
      </c>
      <c r="C31" t="s">
        <v>329</v>
      </c>
      <c r="D31" s="2" t="s">
        <v>494</v>
      </c>
      <c r="E31">
        <f>-VLOOKUP(C31,DRE!$D:$AS,22,0)</f>
        <v>0</v>
      </c>
      <c r="F31" s="352" t="e">
        <f t="shared" si="1"/>
        <v>#N/A</v>
      </c>
    </row>
    <row r="32" spans="1:6" x14ac:dyDescent="0.2">
      <c r="A32" s="77">
        <v>45689</v>
      </c>
      <c r="B32" s="2" t="s">
        <v>331</v>
      </c>
      <c r="C32" t="s">
        <v>361</v>
      </c>
      <c r="D32" s="2" t="s">
        <v>495</v>
      </c>
      <c r="E32">
        <f>-VLOOKUP(C32,DRE!$D:$AS,22,0)</f>
        <v>27090.600000000002</v>
      </c>
      <c r="F32" s="352" t="e">
        <f t="shared" si="1"/>
        <v>#N/A</v>
      </c>
    </row>
    <row r="33" spans="1:6" x14ac:dyDescent="0.2">
      <c r="A33" s="77">
        <v>45689</v>
      </c>
      <c r="B33" s="2" t="s">
        <v>331</v>
      </c>
      <c r="C33" t="s">
        <v>354</v>
      </c>
      <c r="D33" s="2" t="s">
        <v>496</v>
      </c>
      <c r="E33">
        <f>-VLOOKUP(C33,DRE!$D:$AS,22,0)</f>
        <v>19043.96</v>
      </c>
      <c r="F33" s="352" t="e">
        <f t="shared" si="1"/>
        <v>#N/A</v>
      </c>
    </row>
    <row r="34" spans="1:6" x14ac:dyDescent="0.2">
      <c r="A34" s="77">
        <v>45689</v>
      </c>
      <c r="B34" s="2" t="s">
        <v>331</v>
      </c>
      <c r="C34" t="s">
        <v>350</v>
      </c>
      <c r="D34" s="2" t="s">
        <v>497</v>
      </c>
      <c r="E34">
        <f>-VLOOKUP(C34,DRE!$D:$AS,22,0)</f>
        <v>9308.48</v>
      </c>
      <c r="F34" s="352" t="e">
        <f t="shared" si="1"/>
        <v>#N/A</v>
      </c>
    </row>
    <row r="35" spans="1:6" x14ac:dyDescent="0.2">
      <c r="A35" s="77">
        <v>45689</v>
      </c>
      <c r="B35" s="2" t="s">
        <v>331</v>
      </c>
      <c r="C35" t="s">
        <v>352</v>
      </c>
      <c r="D35" s="2" t="s">
        <v>498</v>
      </c>
      <c r="E35">
        <f>-VLOOKUP(C35,DRE!$D:$AS,22,0)</f>
        <v>8967.49</v>
      </c>
      <c r="F35" s="352" t="e">
        <f t="shared" si="1"/>
        <v>#N/A</v>
      </c>
    </row>
    <row r="36" spans="1:6" x14ac:dyDescent="0.2">
      <c r="A36" s="77">
        <v>45689</v>
      </c>
      <c r="B36" s="2" t="s">
        <v>331</v>
      </c>
      <c r="C36" t="s">
        <v>357</v>
      </c>
      <c r="D36" s="2" t="s">
        <v>499</v>
      </c>
      <c r="E36">
        <f>-VLOOKUP(C36,DRE!$D:$AS,22,0)</f>
        <v>3622.44</v>
      </c>
      <c r="F36" s="352" t="e">
        <f t="shared" si="1"/>
        <v>#N/A</v>
      </c>
    </row>
    <row r="37" spans="1:6" x14ac:dyDescent="0.2">
      <c r="A37" s="77">
        <v>45689</v>
      </c>
      <c r="B37" s="2" t="s">
        <v>331</v>
      </c>
      <c r="C37" t="s">
        <v>330</v>
      </c>
      <c r="D37" s="2" t="s">
        <v>500</v>
      </c>
      <c r="E37" t="e">
        <f>-VLOOKUP(C37,DRE!$D:$AS,22,0)</f>
        <v>#N/A</v>
      </c>
      <c r="F37" s="352" t="e">
        <f t="shared" si="1"/>
        <v>#N/A</v>
      </c>
    </row>
    <row r="38" spans="1:6" x14ac:dyDescent="0.2">
      <c r="A38" s="77">
        <v>45689</v>
      </c>
      <c r="B38" s="2" t="s">
        <v>331</v>
      </c>
      <c r="C38" t="s">
        <v>328</v>
      </c>
      <c r="D38" s="2" t="s">
        <v>501</v>
      </c>
      <c r="E38">
        <f>-VLOOKUP(C38,DRE!$D:$AS,22,0)</f>
        <v>3222.51</v>
      </c>
      <c r="F38" s="352" t="e">
        <f t="shared" si="1"/>
        <v>#N/A</v>
      </c>
    </row>
    <row r="39" spans="1:6" x14ac:dyDescent="0.2">
      <c r="A39" s="77">
        <v>45689</v>
      </c>
      <c r="B39" s="2" t="s">
        <v>331</v>
      </c>
      <c r="C39" t="s">
        <v>331</v>
      </c>
      <c r="D39" s="2" t="s">
        <v>502</v>
      </c>
      <c r="E39">
        <f>-VLOOKUP(C39,DRE!$D:$AS,22,0)</f>
        <v>11.39</v>
      </c>
      <c r="F39" s="352" t="e">
        <f t="shared" si="1"/>
        <v>#N/A</v>
      </c>
    </row>
    <row r="40" spans="1:6" x14ac:dyDescent="0.2">
      <c r="A40" s="77">
        <v>45689</v>
      </c>
      <c r="B40" s="2" t="s">
        <v>331</v>
      </c>
      <c r="C40" t="s">
        <v>332</v>
      </c>
      <c r="D40" s="2" t="s">
        <v>503</v>
      </c>
      <c r="E40">
        <f>-VLOOKUP(C40,DRE!$D:$AS,22,0)</f>
        <v>0</v>
      </c>
      <c r="F40" s="352" t="e">
        <f t="shared" si="1"/>
        <v>#N/A</v>
      </c>
    </row>
    <row r="41" spans="1:6" x14ac:dyDescent="0.2">
      <c r="A41" s="77">
        <v>45689</v>
      </c>
      <c r="B41" s="2" t="s">
        <v>331</v>
      </c>
      <c r="C41" t="s">
        <v>359</v>
      </c>
      <c r="D41" s="2" t="s">
        <v>504</v>
      </c>
      <c r="E41">
        <f>-VLOOKUP(C41,DRE!$D:$AS,22,0)</f>
        <v>0</v>
      </c>
      <c r="F41" s="352" t="e">
        <f t="shared" si="1"/>
        <v>#N/A</v>
      </c>
    </row>
    <row r="42" spans="1:6" x14ac:dyDescent="0.2">
      <c r="A42" s="77">
        <v>45689</v>
      </c>
      <c r="B42" s="2" t="s">
        <v>331</v>
      </c>
      <c r="C42" t="s">
        <v>360</v>
      </c>
      <c r="D42" s="2" t="s">
        <v>505</v>
      </c>
      <c r="E42">
        <f>-VLOOKUP(C42,DRE!$D:$AS,22,0)</f>
        <v>-18015.32</v>
      </c>
      <c r="F42" s="352" t="e">
        <f t="shared" si="1"/>
        <v>#N/A</v>
      </c>
    </row>
    <row r="43" spans="1:6" x14ac:dyDescent="0.2">
      <c r="A43" s="77">
        <v>45689</v>
      </c>
      <c r="B43" s="2" t="s">
        <v>331</v>
      </c>
      <c r="C43" s="2" t="s">
        <v>484</v>
      </c>
      <c r="D43" s="2" t="s">
        <v>506</v>
      </c>
      <c r="E43" t="e">
        <f>SUM(E23:E42)</f>
        <v>#N/A</v>
      </c>
    </row>
    <row r="44" spans="1:6" x14ac:dyDescent="0.2">
      <c r="A44" s="77">
        <v>45717</v>
      </c>
      <c r="B44" s="2" t="s">
        <v>331</v>
      </c>
      <c r="C44" t="s">
        <v>340</v>
      </c>
      <c r="D44" s="2" t="s">
        <v>486</v>
      </c>
      <c r="E44">
        <f>-VLOOKUP(C44,DRE!$D:$AS,24,0)</f>
        <v>24888.149000000001</v>
      </c>
      <c r="F44" s="352" t="e">
        <f>E44/$E$64</f>
        <v>#N/A</v>
      </c>
    </row>
    <row r="45" spans="1:6" x14ac:dyDescent="0.2">
      <c r="A45" s="77">
        <v>45717</v>
      </c>
      <c r="B45" s="2" t="s">
        <v>331</v>
      </c>
      <c r="C45" t="s">
        <v>563</v>
      </c>
      <c r="D45" s="2" t="s">
        <v>487</v>
      </c>
      <c r="E45">
        <f>-VLOOKUP(C45,DRE!$D:$AS,24,0)</f>
        <v>0</v>
      </c>
      <c r="F45" s="352" t="e">
        <f t="shared" ref="F45:F63" si="2">E45/$E$64</f>
        <v>#N/A</v>
      </c>
    </row>
    <row r="46" spans="1:6" x14ac:dyDescent="0.2">
      <c r="A46" s="77">
        <v>45717</v>
      </c>
      <c r="B46" s="2" t="s">
        <v>331</v>
      </c>
      <c r="C46" t="s">
        <v>355</v>
      </c>
      <c r="D46" s="2" t="s">
        <v>488</v>
      </c>
      <c r="E46">
        <f>-VLOOKUP(C46,DRE!$D:$AS,24,0)</f>
        <v>60110.36</v>
      </c>
      <c r="F46" s="352" t="e">
        <f t="shared" si="2"/>
        <v>#N/A</v>
      </c>
    </row>
    <row r="47" spans="1:6" x14ac:dyDescent="0.2">
      <c r="A47" s="77">
        <v>45717</v>
      </c>
      <c r="B47" s="2" t="s">
        <v>331</v>
      </c>
      <c r="C47" t="s">
        <v>353</v>
      </c>
      <c r="D47" s="2" t="s">
        <v>489</v>
      </c>
      <c r="E47">
        <f>-VLOOKUP(C47,DRE!$D:$AS,24,0)</f>
        <v>62148.17</v>
      </c>
      <c r="F47" s="352" t="e">
        <f t="shared" si="2"/>
        <v>#N/A</v>
      </c>
    </row>
    <row r="48" spans="1:6" x14ac:dyDescent="0.2">
      <c r="A48" s="77">
        <v>45717</v>
      </c>
      <c r="B48" s="2" t="s">
        <v>331</v>
      </c>
      <c r="C48" t="s">
        <v>343</v>
      </c>
      <c r="D48" s="2" t="s">
        <v>490</v>
      </c>
      <c r="E48">
        <f>-VLOOKUP(C48,DRE!$D:$AS,24,0)</f>
        <v>51427.57</v>
      </c>
      <c r="F48" s="352" t="e">
        <f t="shared" si="2"/>
        <v>#N/A</v>
      </c>
    </row>
    <row r="49" spans="1:6" x14ac:dyDescent="0.2">
      <c r="A49" s="77">
        <v>45717</v>
      </c>
      <c r="B49" s="2" t="s">
        <v>331</v>
      </c>
      <c r="C49" t="s">
        <v>351</v>
      </c>
      <c r="D49" s="2" t="s">
        <v>491</v>
      </c>
      <c r="E49">
        <f>-VLOOKUP(C49,DRE!$D:$AS,24,0)</f>
        <v>106129.56999999998</v>
      </c>
      <c r="F49" s="352" t="e">
        <f t="shared" si="2"/>
        <v>#N/A</v>
      </c>
    </row>
    <row r="50" spans="1:6" x14ac:dyDescent="0.2">
      <c r="A50" s="77">
        <v>45717</v>
      </c>
      <c r="B50" s="2" t="s">
        <v>331</v>
      </c>
      <c r="C50" t="s">
        <v>364</v>
      </c>
      <c r="D50" s="2" t="s">
        <v>492</v>
      </c>
      <c r="E50">
        <f>-VLOOKUP(C50,DRE!$D:$AS,24,0)</f>
        <v>32092.9664204</v>
      </c>
      <c r="F50" s="352" t="e">
        <f t="shared" si="2"/>
        <v>#N/A</v>
      </c>
    </row>
    <row r="51" spans="1:6" x14ac:dyDescent="0.2">
      <c r="A51" s="77">
        <v>45717</v>
      </c>
      <c r="B51" s="2" t="s">
        <v>331</v>
      </c>
      <c r="C51" t="s">
        <v>349</v>
      </c>
      <c r="D51" s="2" t="s">
        <v>493</v>
      </c>
      <c r="E51">
        <f>-VLOOKUP(C51,DRE!$D:$AS,24,0)</f>
        <v>29928.35</v>
      </c>
      <c r="F51" s="352" t="e">
        <f t="shared" si="2"/>
        <v>#N/A</v>
      </c>
    </row>
    <row r="52" spans="1:6" x14ac:dyDescent="0.2">
      <c r="A52" s="77">
        <v>45717</v>
      </c>
      <c r="B52" s="2" t="s">
        <v>331</v>
      </c>
      <c r="C52" t="s">
        <v>329</v>
      </c>
      <c r="D52" s="2" t="s">
        <v>494</v>
      </c>
      <c r="E52">
        <f>-VLOOKUP(C52,DRE!$D:$AS,24,0)</f>
        <v>0</v>
      </c>
      <c r="F52" s="352" t="e">
        <f t="shared" si="2"/>
        <v>#N/A</v>
      </c>
    </row>
    <row r="53" spans="1:6" x14ac:dyDescent="0.2">
      <c r="A53" s="77">
        <v>45717</v>
      </c>
      <c r="B53" s="2" t="s">
        <v>331</v>
      </c>
      <c r="C53" t="s">
        <v>361</v>
      </c>
      <c r="D53" s="2" t="s">
        <v>495</v>
      </c>
      <c r="E53">
        <f>-VLOOKUP(C53,DRE!$D:$AS,24,0)</f>
        <v>49585.25</v>
      </c>
      <c r="F53" s="352" t="e">
        <f t="shared" si="2"/>
        <v>#N/A</v>
      </c>
    </row>
    <row r="54" spans="1:6" x14ac:dyDescent="0.2">
      <c r="A54" s="77">
        <v>45717</v>
      </c>
      <c r="B54" s="2" t="s">
        <v>331</v>
      </c>
      <c r="C54" t="s">
        <v>354</v>
      </c>
      <c r="D54" s="2" t="s">
        <v>496</v>
      </c>
      <c r="E54">
        <f>-VLOOKUP(C54,DRE!$D:$AS,24,0)</f>
        <v>32720.92</v>
      </c>
      <c r="F54" s="352" t="e">
        <f t="shared" si="2"/>
        <v>#N/A</v>
      </c>
    </row>
    <row r="55" spans="1:6" x14ac:dyDescent="0.2">
      <c r="A55" s="77">
        <v>45717</v>
      </c>
      <c r="B55" s="2" t="s">
        <v>331</v>
      </c>
      <c r="C55" t="s">
        <v>350</v>
      </c>
      <c r="D55" s="2" t="s">
        <v>497</v>
      </c>
      <c r="E55">
        <f>-VLOOKUP(C55,DRE!$D:$AS,24,0)</f>
        <v>6626.51</v>
      </c>
      <c r="F55" s="352" t="e">
        <f t="shared" si="2"/>
        <v>#N/A</v>
      </c>
    </row>
    <row r="56" spans="1:6" x14ac:dyDescent="0.2">
      <c r="A56" s="77">
        <v>45717</v>
      </c>
      <c r="B56" s="2" t="s">
        <v>331</v>
      </c>
      <c r="C56" t="s">
        <v>352</v>
      </c>
      <c r="D56" s="2" t="s">
        <v>498</v>
      </c>
      <c r="E56">
        <f>-VLOOKUP(C56,DRE!$D:$AS,24,0)</f>
        <v>15225.14</v>
      </c>
      <c r="F56" s="352" t="e">
        <f t="shared" si="2"/>
        <v>#N/A</v>
      </c>
    </row>
    <row r="57" spans="1:6" x14ac:dyDescent="0.2">
      <c r="A57" s="77">
        <v>45717</v>
      </c>
      <c r="B57" s="2" t="s">
        <v>331</v>
      </c>
      <c r="C57" t="s">
        <v>357</v>
      </c>
      <c r="D57" s="2" t="s">
        <v>499</v>
      </c>
      <c r="E57">
        <f>-VLOOKUP(C57,DRE!$D:$AS,24,0)</f>
        <v>7498.74</v>
      </c>
      <c r="F57" s="352" t="e">
        <f t="shared" si="2"/>
        <v>#N/A</v>
      </c>
    </row>
    <row r="58" spans="1:6" x14ac:dyDescent="0.2">
      <c r="A58" s="77">
        <v>45717</v>
      </c>
      <c r="B58" s="2" t="s">
        <v>331</v>
      </c>
      <c r="C58" t="s">
        <v>330</v>
      </c>
      <c r="D58" s="2" t="s">
        <v>500</v>
      </c>
      <c r="E58" t="e">
        <f>-VLOOKUP(C58,DRE!$D:$AS,24,0)</f>
        <v>#N/A</v>
      </c>
      <c r="F58" s="352" t="e">
        <f t="shared" si="2"/>
        <v>#N/A</v>
      </c>
    </row>
    <row r="59" spans="1:6" x14ac:dyDescent="0.2">
      <c r="A59" s="77">
        <v>45717</v>
      </c>
      <c r="B59" s="2" t="s">
        <v>331</v>
      </c>
      <c r="C59" t="s">
        <v>328</v>
      </c>
      <c r="D59" s="2" t="s">
        <v>501</v>
      </c>
      <c r="E59">
        <f>-VLOOKUP(C59,DRE!$D:$AS,24,0)</f>
        <v>5578.97</v>
      </c>
      <c r="F59" s="352" t="e">
        <f t="shared" si="2"/>
        <v>#N/A</v>
      </c>
    </row>
    <row r="60" spans="1:6" x14ac:dyDescent="0.2">
      <c r="A60" s="77">
        <v>45717</v>
      </c>
      <c r="B60" s="2" t="s">
        <v>331</v>
      </c>
      <c r="C60" t="s">
        <v>331</v>
      </c>
      <c r="D60" s="2" t="s">
        <v>502</v>
      </c>
      <c r="E60">
        <f>-VLOOKUP(C60,DRE!$D:$AS,24,0)</f>
        <v>7.0000000000000007E-2</v>
      </c>
      <c r="F60" s="352" t="e">
        <f t="shared" si="2"/>
        <v>#N/A</v>
      </c>
    </row>
    <row r="61" spans="1:6" x14ac:dyDescent="0.2">
      <c r="A61" s="77">
        <v>45717</v>
      </c>
      <c r="B61" s="2" t="s">
        <v>331</v>
      </c>
      <c r="C61" t="s">
        <v>332</v>
      </c>
      <c r="D61" s="2" t="s">
        <v>503</v>
      </c>
      <c r="E61">
        <f>-VLOOKUP(C61,DRE!$D:$AS,24,0)</f>
        <v>0</v>
      </c>
      <c r="F61" s="352" t="e">
        <f t="shared" si="2"/>
        <v>#N/A</v>
      </c>
    </row>
    <row r="62" spans="1:6" x14ac:dyDescent="0.2">
      <c r="A62" s="77">
        <v>45717</v>
      </c>
      <c r="B62" s="2" t="s">
        <v>331</v>
      </c>
      <c r="C62" t="s">
        <v>359</v>
      </c>
      <c r="D62" s="2" t="s">
        <v>504</v>
      </c>
      <c r="E62">
        <f>-VLOOKUP(C62,DRE!$D:$AS,24,0)</f>
        <v>0</v>
      </c>
      <c r="F62" s="352" t="e">
        <f t="shared" si="2"/>
        <v>#N/A</v>
      </c>
    </row>
    <row r="63" spans="1:6" x14ac:dyDescent="0.2">
      <c r="A63" s="77">
        <v>45717</v>
      </c>
      <c r="B63" s="2" t="s">
        <v>331</v>
      </c>
      <c r="C63" t="s">
        <v>360</v>
      </c>
      <c r="D63" s="2" t="s">
        <v>505</v>
      </c>
      <c r="E63">
        <f>-VLOOKUP(C63,DRE!$D:$AS,24,0)</f>
        <v>-22165.99</v>
      </c>
      <c r="F63" s="352" t="e">
        <f t="shared" si="2"/>
        <v>#N/A</v>
      </c>
    </row>
    <row r="64" spans="1:6" x14ac:dyDescent="0.2">
      <c r="A64" s="77">
        <v>45717</v>
      </c>
      <c r="B64" s="2" t="s">
        <v>331</v>
      </c>
      <c r="C64" s="2" t="s">
        <v>484</v>
      </c>
      <c r="D64" s="2" t="s">
        <v>506</v>
      </c>
      <c r="E64" t="e">
        <f>SUM(E44:E63)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664D-09A5-4F78-8B35-8A0760B6763D}">
  <sheetPr codeName="Planilha11">
    <tabColor rgb="FF00B050"/>
  </sheetPr>
  <dimension ref="A1:M85"/>
  <sheetViews>
    <sheetView zoomScale="85" zoomScaleNormal="85" workbookViewId="0">
      <pane ySplit="1" topLeftCell="A62" activePane="bottomLeft" state="frozen"/>
      <selection activeCell="H464" sqref="H464"/>
      <selection pane="bottomLeft" activeCell="C80" sqref="C80"/>
    </sheetView>
  </sheetViews>
  <sheetFormatPr defaultColWidth="9.140625" defaultRowHeight="12.75" x14ac:dyDescent="0.2"/>
  <cols>
    <col min="1" max="1" width="10.140625" style="2" bestFit="1" customWidth="1"/>
    <col min="2" max="2" width="10.5703125" style="2" bestFit="1" customWidth="1"/>
    <col min="3" max="3" width="20.42578125" style="2" bestFit="1" customWidth="1"/>
    <col min="4" max="4" width="20.140625" style="2" bestFit="1" customWidth="1"/>
    <col min="5" max="5" width="31.140625" style="2" bestFit="1" customWidth="1"/>
    <col min="6" max="6" width="10.42578125" style="2" bestFit="1" customWidth="1"/>
    <col min="7" max="7" width="10.28515625" style="2" bestFit="1" customWidth="1"/>
    <col min="8" max="8" width="10.28515625" style="2" customWidth="1"/>
    <col min="9" max="9" width="11.140625" style="2" bestFit="1" customWidth="1"/>
    <col min="10" max="10" width="11.140625" style="2" customWidth="1"/>
    <col min="11" max="11" width="40.85546875" style="2" customWidth="1"/>
    <col min="12" max="12" width="9.5703125" style="2" bestFit="1" customWidth="1"/>
    <col min="13" max="13" width="15.5703125" style="2" bestFit="1" customWidth="1"/>
    <col min="14" max="16384" width="9.140625" style="2"/>
  </cols>
  <sheetData>
    <row r="1" spans="1:13" x14ac:dyDescent="0.2">
      <c r="A1" s="43" t="s">
        <v>95</v>
      </c>
      <c r="B1" s="43" t="s">
        <v>91</v>
      </c>
      <c r="C1" s="43" t="s">
        <v>90</v>
      </c>
      <c r="D1" s="43" t="s">
        <v>111</v>
      </c>
      <c r="E1" s="43" t="s">
        <v>110</v>
      </c>
      <c r="F1" s="43" t="s">
        <v>92</v>
      </c>
      <c r="G1" s="43" t="s">
        <v>93</v>
      </c>
      <c r="H1" s="43" t="s">
        <v>143</v>
      </c>
      <c r="I1" s="43" t="s">
        <v>94</v>
      </c>
      <c r="J1" s="43" t="s">
        <v>7</v>
      </c>
      <c r="K1" s="43" t="s">
        <v>122</v>
      </c>
      <c r="M1" s="43" t="s">
        <v>247</v>
      </c>
    </row>
    <row r="2" spans="1:13" ht="21" x14ac:dyDescent="0.4">
      <c r="A2" s="52">
        <v>43466</v>
      </c>
      <c r="B2" s="51">
        <v>1467400.1099999887</v>
      </c>
      <c r="C2" s="64">
        <v>0</v>
      </c>
      <c r="D2" s="64">
        <v>0</v>
      </c>
      <c r="E2" s="64">
        <v>605844.72999999986</v>
      </c>
      <c r="F2" s="64">
        <v>101544.8</v>
      </c>
      <c r="G2" s="64">
        <v>116218.54999999999</v>
      </c>
      <c r="H2" s="64">
        <f>F2+G2</f>
        <v>217763.34999999998</v>
      </c>
      <c r="I2" s="64">
        <f t="shared" ref="I2:I49" si="0">E2+F2+G2</f>
        <v>823608.07999999984</v>
      </c>
      <c r="J2" s="64">
        <f>'TOTAIS  20 E 21'!N8</f>
        <v>1497079.5515116551</v>
      </c>
      <c r="M2" s="122">
        <f t="shared" ref="M2:M33" si="1">LOOKUP(2,1/(LEN($I$1:$I$99)&gt;0),$I$1:$I$99)</f>
        <v>2586968.2243999997</v>
      </c>
    </row>
    <row r="3" spans="1:13" ht="21" x14ac:dyDescent="0.4">
      <c r="A3" s="52">
        <v>43497</v>
      </c>
      <c r="B3" s="51">
        <v>1032717.8069999877</v>
      </c>
      <c r="C3" s="64">
        <v>0</v>
      </c>
      <c r="D3" s="64">
        <v>0</v>
      </c>
      <c r="E3" s="64">
        <v>600933.77</v>
      </c>
      <c r="F3" s="64">
        <v>103291.20000000003</v>
      </c>
      <c r="G3" s="64">
        <v>116363.45</v>
      </c>
      <c r="H3" s="64">
        <f t="shared" ref="H3:H51" si="2">F3+G3</f>
        <v>219654.65000000002</v>
      </c>
      <c r="I3" s="64">
        <f t="shared" si="0"/>
        <v>820588.42</v>
      </c>
      <c r="J3" s="64">
        <f>'TOTAIS  20 E 21'!O8</f>
        <v>1451102.2777399875</v>
      </c>
      <c r="M3" s="122">
        <f t="shared" si="1"/>
        <v>2586968.2243999997</v>
      </c>
    </row>
    <row r="4" spans="1:13" ht="21" x14ac:dyDescent="0.4">
      <c r="A4" s="52">
        <v>43525</v>
      </c>
      <c r="B4" s="51">
        <v>1313738.0199999877</v>
      </c>
      <c r="C4" s="64">
        <v>0</v>
      </c>
      <c r="D4" s="64">
        <v>0</v>
      </c>
      <c r="E4" s="64">
        <v>609825.37</v>
      </c>
      <c r="F4" s="64">
        <v>103980.69000000002</v>
      </c>
      <c r="G4" s="64">
        <v>118008.89</v>
      </c>
      <c r="H4" s="64">
        <f t="shared" si="2"/>
        <v>221989.58000000002</v>
      </c>
      <c r="I4" s="64">
        <f t="shared" si="0"/>
        <v>831814.95000000007</v>
      </c>
      <c r="J4" s="64">
        <f>'TOTAIS  20 E 21'!P8</f>
        <v>1442210.5248055554</v>
      </c>
      <c r="L4" s="64">
        <v>1</v>
      </c>
      <c r="M4" s="122">
        <f t="shared" si="1"/>
        <v>2586968.2243999997</v>
      </c>
    </row>
    <row r="5" spans="1:13" ht="21" x14ac:dyDescent="0.4">
      <c r="A5" s="52">
        <v>43556</v>
      </c>
      <c r="B5" s="51">
        <v>1330213.885999993</v>
      </c>
      <c r="C5" s="64">
        <v>0</v>
      </c>
      <c r="D5" s="64">
        <v>0</v>
      </c>
      <c r="E5" s="64">
        <v>594547.78999999992</v>
      </c>
      <c r="F5" s="64">
        <v>93503.835789060206</v>
      </c>
      <c r="G5" s="64">
        <v>123127.79421093981</v>
      </c>
      <c r="H5" s="64">
        <f t="shared" si="2"/>
        <v>216631.63</v>
      </c>
      <c r="I5" s="64">
        <f t="shared" si="0"/>
        <v>811179.41999999993</v>
      </c>
      <c r="J5" s="64">
        <f>'TOTAIS  20 E 21'!Q8</f>
        <v>1481588.1707983341</v>
      </c>
      <c r="M5" s="122">
        <f t="shared" si="1"/>
        <v>2586968.2243999997</v>
      </c>
    </row>
    <row r="6" spans="1:13" ht="21" x14ac:dyDescent="0.4">
      <c r="A6" s="52">
        <v>43586</v>
      </c>
      <c r="B6" s="51">
        <v>1973924.0239999788</v>
      </c>
      <c r="C6" s="64">
        <v>0</v>
      </c>
      <c r="D6" s="64">
        <v>0</v>
      </c>
      <c r="E6" s="64">
        <v>672233.09999999986</v>
      </c>
      <c r="F6" s="64">
        <v>117036.5308514825</v>
      </c>
      <c r="G6" s="64">
        <v>144383.96</v>
      </c>
      <c r="H6" s="64">
        <f t="shared" si="2"/>
        <v>261420.49085148249</v>
      </c>
      <c r="I6" s="64">
        <f t="shared" si="0"/>
        <v>933653.59085148235</v>
      </c>
      <c r="J6" s="64">
        <f>'TOTAIS  20 E 21'!R8</f>
        <v>1610069.6159149779</v>
      </c>
      <c r="M6" s="122">
        <f t="shared" si="1"/>
        <v>2586968.2243999997</v>
      </c>
    </row>
    <row r="7" spans="1:13" ht="21" x14ac:dyDescent="0.4">
      <c r="A7" s="52">
        <v>43617</v>
      </c>
      <c r="B7" s="51">
        <v>2136174.1899999799</v>
      </c>
      <c r="C7" s="64">
        <v>0</v>
      </c>
      <c r="D7" s="64">
        <v>0</v>
      </c>
      <c r="E7" s="64">
        <v>633270.71</v>
      </c>
      <c r="F7" s="64">
        <v>103243.3358045051</v>
      </c>
      <c r="G7" s="64">
        <v>166945.33419549488</v>
      </c>
      <c r="H7" s="64">
        <f t="shared" si="2"/>
        <v>270188.67</v>
      </c>
      <c r="I7" s="64">
        <f t="shared" si="0"/>
        <v>903459.37999999989</v>
      </c>
      <c r="J7" s="64">
        <f>'TOTAIS  20 E 21'!S8</f>
        <v>1702489.4654371068</v>
      </c>
      <c r="M7" s="122">
        <f t="shared" si="1"/>
        <v>2586968.2243999997</v>
      </c>
    </row>
    <row r="8" spans="1:13" ht="21" x14ac:dyDescent="0.4">
      <c r="A8" s="52">
        <v>43647</v>
      </c>
      <c r="B8" s="51">
        <v>1983098.5799999996</v>
      </c>
      <c r="C8" s="64">
        <v>0</v>
      </c>
      <c r="D8" s="64">
        <v>0</v>
      </c>
      <c r="E8" s="64">
        <v>619699.84</v>
      </c>
      <c r="F8" s="64">
        <v>111994.75204441062</v>
      </c>
      <c r="G8" s="64">
        <v>132163.61795558941</v>
      </c>
      <c r="H8" s="64">
        <f t="shared" si="2"/>
        <v>244158.37000000002</v>
      </c>
      <c r="I8" s="64">
        <f t="shared" si="0"/>
        <v>863858.21</v>
      </c>
      <c r="J8" s="64">
        <f>'TOTAIS  20 E 21'!T8</f>
        <v>1707009.7942716335</v>
      </c>
      <c r="M8" s="122">
        <f t="shared" si="1"/>
        <v>2586968.2243999997</v>
      </c>
    </row>
    <row r="9" spans="1:13" ht="21" x14ac:dyDescent="0.4">
      <c r="A9" s="52">
        <v>43678</v>
      </c>
      <c r="B9" s="51">
        <v>2276787.9096264662</v>
      </c>
      <c r="C9" s="64">
        <v>0</v>
      </c>
      <c r="D9" s="64">
        <v>0</v>
      </c>
      <c r="E9" s="64">
        <v>628401.06000000006</v>
      </c>
      <c r="F9" s="64">
        <v>91654.37000000001</v>
      </c>
      <c r="G9" s="64">
        <v>136505.37</v>
      </c>
      <c r="H9" s="64">
        <f t="shared" si="2"/>
        <v>228159.74</v>
      </c>
      <c r="I9" s="64">
        <f t="shared" si="0"/>
        <v>856560.8</v>
      </c>
      <c r="J9" s="64">
        <f>'TOTAIS  20 E 21'!U8</f>
        <v>1613678.9274349667</v>
      </c>
      <c r="M9" s="122">
        <f t="shared" si="1"/>
        <v>2586968.2243999997</v>
      </c>
    </row>
    <row r="10" spans="1:13" ht="21" x14ac:dyDescent="0.4">
      <c r="A10" s="52">
        <v>43709</v>
      </c>
      <c r="B10" s="51">
        <v>1849436.0400000003</v>
      </c>
      <c r="C10" s="64">
        <v>0</v>
      </c>
      <c r="D10" s="64">
        <v>0</v>
      </c>
      <c r="E10" s="64">
        <v>636382.6399999999</v>
      </c>
      <c r="F10" s="64">
        <v>108365.38</v>
      </c>
      <c r="G10" s="64">
        <v>127789.68999999999</v>
      </c>
      <c r="H10" s="64">
        <f t="shared" si="2"/>
        <v>236155.07</v>
      </c>
      <c r="I10" s="64">
        <f t="shared" si="0"/>
        <v>872537.70999999985</v>
      </c>
      <c r="J10" s="64">
        <f>'TOTAIS  20 E 21'!V8</f>
        <v>1652698.1501916409</v>
      </c>
      <c r="M10" s="122">
        <f t="shared" si="1"/>
        <v>2586968.2243999997</v>
      </c>
    </row>
    <row r="11" spans="1:13" ht="21" x14ac:dyDescent="0.4">
      <c r="A11" s="52">
        <v>43739</v>
      </c>
      <c r="B11" s="51">
        <v>1853373.6699999557</v>
      </c>
      <c r="C11" s="64">
        <v>0</v>
      </c>
      <c r="D11" s="64">
        <v>0</v>
      </c>
      <c r="E11" s="64">
        <v>618508.91</v>
      </c>
      <c r="F11" s="64">
        <v>79567.366180853947</v>
      </c>
      <c r="G11" s="64">
        <v>114286.23381914606</v>
      </c>
      <c r="H11" s="64">
        <f t="shared" si="2"/>
        <v>193853.6</v>
      </c>
      <c r="I11" s="64">
        <f t="shared" si="0"/>
        <v>812362.51</v>
      </c>
      <c r="J11" s="64">
        <f>'TOTAIS  20 E 21'!W8</f>
        <v>1626455.5745602681</v>
      </c>
      <c r="M11" s="122">
        <f t="shared" si="1"/>
        <v>2586968.2243999997</v>
      </c>
    </row>
    <row r="12" spans="1:13" ht="21" x14ac:dyDescent="0.4">
      <c r="A12" s="52">
        <v>43770</v>
      </c>
      <c r="B12" s="51">
        <v>2489722.6293332889</v>
      </c>
      <c r="C12" s="64">
        <v>0</v>
      </c>
      <c r="D12" s="64">
        <v>0</v>
      </c>
      <c r="E12" s="64">
        <v>659042.29999999981</v>
      </c>
      <c r="F12" s="64">
        <v>136017.87416973917</v>
      </c>
      <c r="G12" s="64">
        <v>161983.63583026081</v>
      </c>
      <c r="H12" s="64">
        <f t="shared" si="2"/>
        <v>298001.51</v>
      </c>
      <c r="I12" s="64">
        <f t="shared" si="0"/>
        <v>957043.80999999982</v>
      </c>
      <c r="J12" s="64">
        <f>'TOTAIS  20 E 21'!X8</f>
        <v>1821513.5370933095</v>
      </c>
      <c r="M12" s="122">
        <f t="shared" si="1"/>
        <v>2586968.2243999997</v>
      </c>
    </row>
    <row r="13" spans="1:13" ht="21" x14ac:dyDescent="0.4">
      <c r="A13" s="52">
        <v>43800</v>
      </c>
      <c r="B13" s="51">
        <v>1833456.7339999606</v>
      </c>
      <c r="C13" s="64">
        <v>0</v>
      </c>
      <c r="D13" s="64">
        <v>0</v>
      </c>
      <c r="E13" s="64">
        <v>660698.02</v>
      </c>
      <c r="F13" s="64">
        <v>126751.455388121</v>
      </c>
      <c r="G13" s="64">
        <v>149564.89461187902</v>
      </c>
      <c r="H13" s="64">
        <f t="shared" si="2"/>
        <v>276316.35000000003</v>
      </c>
      <c r="I13" s="64">
        <f t="shared" si="0"/>
        <v>937014.37</v>
      </c>
      <c r="J13" s="64">
        <f>'TOTAIS  20 E 21'!Y8</f>
        <v>1701985.0988399102</v>
      </c>
      <c r="M13" s="122">
        <f t="shared" si="1"/>
        <v>2586968.2243999997</v>
      </c>
    </row>
    <row r="14" spans="1:13" ht="21" x14ac:dyDescent="0.4">
      <c r="A14" s="52">
        <v>43831</v>
      </c>
      <c r="B14" s="51">
        <v>2128952.7909999569</v>
      </c>
      <c r="C14" s="64">
        <v>0</v>
      </c>
      <c r="D14" s="64">
        <v>0</v>
      </c>
      <c r="E14" s="64">
        <v>679809.7699999999</v>
      </c>
      <c r="F14" s="64">
        <v>104501.43999999999</v>
      </c>
      <c r="G14" s="64">
        <v>135261.78111119999</v>
      </c>
      <c r="H14" s="64">
        <f t="shared" si="2"/>
        <v>239763.22111119999</v>
      </c>
      <c r="I14" s="64">
        <f t="shared" si="0"/>
        <v>919572.99111119984</v>
      </c>
      <c r="J14" s="64">
        <f>'TOTAIS  20 E 21'!Z8</f>
        <v>1763525.2191153993</v>
      </c>
      <c r="M14" s="122">
        <f t="shared" si="1"/>
        <v>2586968.2243999997</v>
      </c>
    </row>
    <row r="15" spans="1:13" ht="21" x14ac:dyDescent="0.4">
      <c r="A15" s="52">
        <v>43862</v>
      </c>
      <c r="B15" s="51">
        <v>1573272.0889999997</v>
      </c>
      <c r="C15" s="64">
        <v>0</v>
      </c>
      <c r="D15" s="64">
        <v>0</v>
      </c>
      <c r="E15" s="64">
        <v>678314</v>
      </c>
      <c r="F15" s="64">
        <v>86111.952871801637</v>
      </c>
      <c r="G15" s="64">
        <v>125225.57712819836</v>
      </c>
      <c r="H15" s="64">
        <f t="shared" si="2"/>
        <v>211337.53</v>
      </c>
      <c r="I15" s="64">
        <f t="shared" si="0"/>
        <v>889651.53</v>
      </c>
      <c r="J15" s="64">
        <f>'TOTAIS  20 E 21'!AA8</f>
        <v>1617599.8373125843</v>
      </c>
      <c r="M15" s="122">
        <f t="shared" si="1"/>
        <v>2586968.2243999997</v>
      </c>
    </row>
    <row r="16" spans="1:13" ht="21" x14ac:dyDescent="0.4">
      <c r="A16" s="52">
        <v>43891</v>
      </c>
      <c r="B16" s="51">
        <v>2476961.441999896</v>
      </c>
      <c r="C16" s="64">
        <v>0</v>
      </c>
      <c r="D16" s="64">
        <v>0</v>
      </c>
      <c r="E16" s="64">
        <v>704085.23</v>
      </c>
      <c r="F16" s="64">
        <v>86174.750002511282</v>
      </c>
      <c r="G16" s="64">
        <v>121384.24999748872</v>
      </c>
      <c r="H16" s="64">
        <f t="shared" si="2"/>
        <v>207559</v>
      </c>
      <c r="I16" s="64">
        <f t="shared" si="0"/>
        <v>911644.23</v>
      </c>
      <c r="J16" s="64">
        <f>'TOTAIS  20 E 21'!AB8</f>
        <v>1487717.9005062196</v>
      </c>
      <c r="M16" s="122">
        <f t="shared" si="1"/>
        <v>2586968.2243999997</v>
      </c>
    </row>
    <row r="17" spans="1:13" ht="21" x14ac:dyDescent="0.4">
      <c r="A17" s="52">
        <v>43922</v>
      </c>
      <c r="B17" s="51">
        <v>2086485.9379999482</v>
      </c>
      <c r="C17" s="64">
        <v>0</v>
      </c>
      <c r="D17" s="64">
        <v>0</v>
      </c>
      <c r="E17" s="64">
        <v>707304.1100000001</v>
      </c>
      <c r="F17" s="64">
        <v>75503.38</v>
      </c>
      <c r="G17" s="64">
        <v>124658.48999999999</v>
      </c>
      <c r="H17" s="64">
        <f t="shared" si="2"/>
        <v>200161.87</v>
      </c>
      <c r="I17" s="64">
        <f t="shared" si="0"/>
        <v>907465.9800000001</v>
      </c>
      <c r="J17" s="64">
        <f>'TOTAIS  20 E 21'!AC8</f>
        <v>1428873.3806415254</v>
      </c>
      <c r="M17" s="122">
        <f t="shared" si="1"/>
        <v>2586968.2243999997</v>
      </c>
    </row>
    <row r="18" spans="1:13" ht="21" x14ac:dyDescent="0.4">
      <c r="A18" s="52">
        <v>43952</v>
      </c>
      <c r="B18" s="51">
        <v>2038109.0599999507</v>
      </c>
      <c r="C18" s="64">
        <v>0</v>
      </c>
      <c r="D18" s="64">
        <v>0</v>
      </c>
      <c r="E18" s="64">
        <v>707776.60999999987</v>
      </c>
      <c r="F18" s="64">
        <v>82724.5</v>
      </c>
      <c r="G18" s="64">
        <v>130264.56999999998</v>
      </c>
      <c r="H18" s="64">
        <f t="shared" si="2"/>
        <v>212989.06999999998</v>
      </c>
      <c r="I18" s="64">
        <f t="shared" si="0"/>
        <v>920765.67999999982</v>
      </c>
      <c r="J18" s="64">
        <f>'TOTAIS  20 E 21'!AD8</f>
        <v>1326652.5929153252</v>
      </c>
      <c r="M18" s="122">
        <f t="shared" si="1"/>
        <v>2586968.2243999997</v>
      </c>
    </row>
    <row r="19" spans="1:13" ht="21" x14ac:dyDescent="0.4">
      <c r="A19" s="52">
        <v>43983</v>
      </c>
      <c r="B19" s="51">
        <v>1960087.7539999653</v>
      </c>
      <c r="C19" s="64">
        <v>0</v>
      </c>
      <c r="D19" s="64">
        <v>0</v>
      </c>
      <c r="E19" s="64">
        <v>748508.18</v>
      </c>
      <c r="F19" s="64">
        <v>87885.7</v>
      </c>
      <c r="G19" s="64">
        <v>125145.27</v>
      </c>
      <c r="H19" s="64">
        <f t="shared" si="2"/>
        <v>213030.97</v>
      </c>
      <c r="I19" s="64">
        <f t="shared" si="0"/>
        <v>961539.15</v>
      </c>
      <c r="J19" s="64">
        <f>'TOTAIS  20 E 21'!AE8</f>
        <v>1272790.3995824866</v>
      </c>
      <c r="M19" s="122">
        <f t="shared" si="1"/>
        <v>2586968.2243999997</v>
      </c>
    </row>
    <row r="20" spans="1:13" ht="21" x14ac:dyDescent="0.4">
      <c r="A20" s="52">
        <v>44013</v>
      </c>
      <c r="B20" s="51">
        <v>2449578.3899999997</v>
      </c>
      <c r="C20" s="64">
        <v>0</v>
      </c>
      <c r="D20" s="64">
        <v>0</v>
      </c>
      <c r="E20" s="64">
        <v>743018.7</v>
      </c>
      <c r="F20" s="64">
        <v>96030.49</v>
      </c>
      <c r="G20" s="64">
        <v>144318.23000000001</v>
      </c>
      <c r="H20" s="64">
        <f t="shared" si="2"/>
        <v>240348.72000000003</v>
      </c>
      <c r="I20" s="64">
        <f t="shared" si="0"/>
        <v>983367.41999999993</v>
      </c>
      <c r="J20" s="64">
        <f>'TOTAIS  20 E 21'!AF8</f>
        <v>1535004.7522616577</v>
      </c>
      <c r="M20" s="122">
        <f t="shared" si="1"/>
        <v>2586968.2243999997</v>
      </c>
    </row>
    <row r="21" spans="1:13" ht="21" x14ac:dyDescent="0.4">
      <c r="A21" s="52">
        <v>44044</v>
      </c>
      <c r="B21" s="51">
        <v>1751404.72</v>
      </c>
      <c r="C21" s="64">
        <v>0</v>
      </c>
      <c r="D21" s="64">
        <v>0</v>
      </c>
      <c r="E21" s="64">
        <v>759153.67</v>
      </c>
      <c r="F21" s="64">
        <v>91969.450000000012</v>
      </c>
      <c r="G21" s="64">
        <v>148298.57999999996</v>
      </c>
      <c r="H21" s="64">
        <f t="shared" si="2"/>
        <v>240268.02999999997</v>
      </c>
      <c r="I21" s="64">
        <f t="shared" si="0"/>
        <v>999421.70000000007</v>
      </c>
      <c r="J21" s="64">
        <f>'TOTAIS  20 E 21'!AG8</f>
        <v>1520031.522126511</v>
      </c>
      <c r="M21" s="122">
        <f t="shared" si="1"/>
        <v>2586968.2243999997</v>
      </c>
    </row>
    <row r="22" spans="1:13" ht="21" x14ac:dyDescent="0.4">
      <c r="A22" s="52">
        <v>44075</v>
      </c>
      <c r="B22" s="51">
        <v>2636104.91</v>
      </c>
      <c r="C22" s="64">
        <v>0</v>
      </c>
      <c r="D22" s="64">
        <v>0</v>
      </c>
      <c r="E22" s="64">
        <v>708902.19000000006</v>
      </c>
      <c r="F22" s="64">
        <v>74678.8</v>
      </c>
      <c r="G22" s="64">
        <v>123595.12000000001</v>
      </c>
      <c r="H22" s="64">
        <f t="shared" si="2"/>
        <v>198273.92000000001</v>
      </c>
      <c r="I22" s="64">
        <f t="shared" si="0"/>
        <v>907176.1100000001</v>
      </c>
      <c r="J22" s="64">
        <f>'TOTAIS  20 E 21'!AH8</f>
        <v>1465711.7206913044</v>
      </c>
      <c r="M22" s="122">
        <f t="shared" si="1"/>
        <v>2586968.2243999997</v>
      </c>
    </row>
    <row r="23" spans="1:13" ht="21" x14ac:dyDescent="0.4">
      <c r="A23" s="52">
        <v>44105</v>
      </c>
      <c r="B23" s="51">
        <v>1991057.37</v>
      </c>
      <c r="C23" s="64">
        <v>0</v>
      </c>
      <c r="D23" s="64">
        <v>0</v>
      </c>
      <c r="E23" s="64">
        <v>781689.92000000016</v>
      </c>
      <c r="F23" s="64">
        <v>92014.180000000022</v>
      </c>
      <c r="G23" s="64">
        <v>161998.28000000003</v>
      </c>
      <c r="H23" s="64">
        <f t="shared" si="2"/>
        <v>254012.46000000005</v>
      </c>
      <c r="I23" s="64">
        <f t="shared" si="0"/>
        <v>1035702.3800000002</v>
      </c>
      <c r="J23" s="64">
        <f>'TOTAIS  20 E 21'!AI8</f>
        <v>1672469.713374659</v>
      </c>
      <c r="M23" s="122">
        <f t="shared" si="1"/>
        <v>2586968.2243999997</v>
      </c>
    </row>
    <row r="24" spans="1:13" ht="21" x14ac:dyDescent="0.4">
      <c r="A24" s="52">
        <v>44136</v>
      </c>
      <c r="B24" s="51">
        <v>2890477.23</v>
      </c>
      <c r="C24" s="64">
        <v>0</v>
      </c>
      <c r="D24" s="64">
        <v>0</v>
      </c>
      <c r="E24" s="64">
        <v>751195.75</v>
      </c>
      <c r="F24" s="64">
        <v>116597.48000000001</v>
      </c>
      <c r="G24" s="64">
        <v>142364.16</v>
      </c>
      <c r="H24" s="64">
        <f t="shared" si="2"/>
        <v>258961.64</v>
      </c>
      <c r="I24" s="64">
        <f t="shared" si="0"/>
        <v>1010157.39</v>
      </c>
      <c r="J24" s="64">
        <f>'TOTAIS  20 E 21'!AJ8</f>
        <v>1843152.783017132</v>
      </c>
      <c r="M24" s="122">
        <f t="shared" si="1"/>
        <v>2586968.2243999997</v>
      </c>
    </row>
    <row r="25" spans="1:13" ht="21" x14ac:dyDescent="0.4">
      <c r="A25" s="52">
        <v>44166</v>
      </c>
      <c r="B25" s="51">
        <v>2672542.3600000003</v>
      </c>
      <c r="C25" s="64">
        <v>0</v>
      </c>
      <c r="D25" s="64">
        <v>0</v>
      </c>
      <c r="E25" s="64">
        <v>793496.35</v>
      </c>
      <c r="F25" s="64">
        <v>160090.70000000001</v>
      </c>
      <c r="G25" s="64">
        <v>167785.3</v>
      </c>
      <c r="H25" s="64">
        <f t="shared" si="2"/>
        <v>327876</v>
      </c>
      <c r="I25" s="76">
        <f t="shared" si="0"/>
        <v>1121372.3500000001</v>
      </c>
      <c r="J25" s="76">
        <f>'TOTAIS  20 E 21'!AK8-423786</f>
        <v>1829112.3236300349</v>
      </c>
      <c r="K25" s="2" t="s">
        <v>125</v>
      </c>
      <c r="M25" s="122">
        <f t="shared" si="1"/>
        <v>2586968.2243999997</v>
      </c>
    </row>
    <row r="26" spans="1:13" ht="21" x14ac:dyDescent="0.4">
      <c r="A26" s="52">
        <v>44197</v>
      </c>
      <c r="B26" s="51">
        <v>2160275.17</v>
      </c>
      <c r="C26" s="64">
        <v>0</v>
      </c>
      <c r="D26" s="64">
        <v>0</v>
      </c>
      <c r="E26" s="64">
        <v>746860.55</v>
      </c>
      <c r="F26" s="64">
        <v>91269.450000000012</v>
      </c>
      <c r="G26" s="64">
        <v>134543.45000000004</v>
      </c>
      <c r="H26" s="64">
        <f t="shared" si="2"/>
        <v>225812.90000000005</v>
      </c>
      <c r="I26" s="76">
        <f t="shared" si="0"/>
        <v>972673.45000000007</v>
      </c>
      <c r="J26" s="76">
        <f>'TOTAIS  20 E 21'!AL8+423786</f>
        <v>1564415.6469000001</v>
      </c>
      <c r="K26" s="2" t="s">
        <v>126</v>
      </c>
      <c r="L26" s="64">
        <v>746860.55</v>
      </c>
      <c r="M26" s="122">
        <f t="shared" si="1"/>
        <v>2586968.2243999997</v>
      </c>
    </row>
    <row r="27" spans="1:13" ht="21" x14ac:dyDescent="0.4">
      <c r="A27" s="52">
        <v>44228</v>
      </c>
      <c r="B27" s="51">
        <v>1729170.56</v>
      </c>
      <c r="C27" s="64">
        <v>0</v>
      </c>
      <c r="D27" s="64">
        <v>0</v>
      </c>
      <c r="E27" s="64">
        <v>769483.95</v>
      </c>
      <c r="F27" s="64">
        <v>80297.290000000008</v>
      </c>
      <c r="G27" s="64">
        <v>147901.47</v>
      </c>
      <c r="H27" s="64">
        <f t="shared" si="2"/>
        <v>228198.76</v>
      </c>
      <c r="I27" s="64">
        <f t="shared" si="0"/>
        <v>997682.71</v>
      </c>
      <c r="J27" s="64">
        <f>'TOTAIS  20 E 21'!AM8</f>
        <v>1553144.8189623649</v>
      </c>
      <c r="M27" s="122">
        <f t="shared" si="1"/>
        <v>2586968.2243999997</v>
      </c>
    </row>
    <row r="28" spans="1:13" ht="21" x14ac:dyDescent="0.4">
      <c r="A28" s="52">
        <v>44256</v>
      </c>
      <c r="B28" s="51">
        <v>1408118.1800000002</v>
      </c>
      <c r="C28" s="64">
        <v>0</v>
      </c>
      <c r="D28" s="64">
        <v>0</v>
      </c>
      <c r="E28" s="64">
        <v>791535.15</v>
      </c>
      <c r="F28" s="64">
        <v>105572</v>
      </c>
      <c r="G28" s="64">
        <v>155510.69000000003</v>
      </c>
      <c r="H28" s="64">
        <f t="shared" si="2"/>
        <v>261082.69000000003</v>
      </c>
      <c r="I28" s="64">
        <f t="shared" si="0"/>
        <v>1052617.8400000001</v>
      </c>
      <c r="J28" s="64">
        <f>'TOTAIS  20 E 21'!AN8</f>
        <v>1644442.984385483</v>
      </c>
      <c r="M28" s="122">
        <f t="shared" si="1"/>
        <v>2586968.2243999997</v>
      </c>
    </row>
    <row r="29" spans="1:13" ht="21" x14ac:dyDescent="0.4">
      <c r="A29" s="52">
        <v>44287</v>
      </c>
      <c r="B29" s="51">
        <v>2194304.09</v>
      </c>
      <c r="C29" s="64">
        <v>0</v>
      </c>
      <c r="D29" s="64">
        <v>0</v>
      </c>
      <c r="E29" s="64">
        <v>791072.19999999984</v>
      </c>
      <c r="F29" s="64">
        <v>106357.75999999999</v>
      </c>
      <c r="G29" s="64">
        <v>148776.24</v>
      </c>
      <c r="H29" s="64">
        <f t="shared" si="2"/>
        <v>255134</v>
      </c>
      <c r="I29" s="64">
        <f t="shared" si="0"/>
        <v>1046206.1999999998</v>
      </c>
      <c r="J29" s="64">
        <f>'TOTAIS  20 E 21'!AO8</f>
        <v>1650736.3111547623</v>
      </c>
      <c r="M29" s="122">
        <f t="shared" si="1"/>
        <v>2586968.2243999997</v>
      </c>
    </row>
    <row r="30" spans="1:13" ht="21" x14ac:dyDescent="0.4">
      <c r="A30" s="52">
        <v>44317</v>
      </c>
      <c r="B30" s="51">
        <v>2650378.8100000005</v>
      </c>
      <c r="C30" s="64">
        <v>0</v>
      </c>
      <c r="D30" s="64">
        <v>0</v>
      </c>
      <c r="E30" s="64">
        <v>837022.83</v>
      </c>
      <c r="F30" s="64">
        <v>97677.78</v>
      </c>
      <c r="G30" s="64">
        <v>145962.32999999999</v>
      </c>
      <c r="H30" s="64">
        <f t="shared" si="2"/>
        <v>243640.11</v>
      </c>
      <c r="I30" s="64">
        <f t="shared" si="0"/>
        <v>1080662.94</v>
      </c>
      <c r="J30" s="64">
        <f>'TOTAIS  20 E 21'!AP8</f>
        <v>1651667.4981161288</v>
      </c>
      <c r="M30" s="122">
        <f t="shared" si="1"/>
        <v>2586968.2243999997</v>
      </c>
    </row>
    <row r="31" spans="1:13" ht="21" x14ac:dyDescent="0.4">
      <c r="A31" s="52">
        <v>44348</v>
      </c>
      <c r="B31" s="51">
        <v>2209415.4800000004</v>
      </c>
      <c r="C31" s="64">
        <v>0</v>
      </c>
      <c r="D31" s="64">
        <v>0</v>
      </c>
      <c r="E31" s="64">
        <v>858019.17999999982</v>
      </c>
      <c r="F31" s="64">
        <v>102818.37999999999</v>
      </c>
      <c r="G31" s="64">
        <v>130214.95000000001</v>
      </c>
      <c r="H31" s="64">
        <f t="shared" si="2"/>
        <v>233033.33000000002</v>
      </c>
      <c r="I31" s="64">
        <f t="shared" si="0"/>
        <v>1091052.5099999998</v>
      </c>
      <c r="J31" s="64">
        <f>'TOTAIS  20 E 21'!AQ8</f>
        <v>1619718.5587499999</v>
      </c>
      <c r="M31" s="122">
        <f t="shared" si="1"/>
        <v>2586968.2243999997</v>
      </c>
    </row>
    <row r="32" spans="1:13" ht="21" x14ac:dyDescent="0.4">
      <c r="A32" s="52">
        <v>44378</v>
      </c>
      <c r="B32" s="51">
        <v>2332555.91</v>
      </c>
      <c r="C32" s="64">
        <v>0</v>
      </c>
      <c r="D32" s="64">
        <v>0</v>
      </c>
      <c r="E32" s="64">
        <v>878160.59999999986</v>
      </c>
      <c r="F32" s="64">
        <v>125335.77000000002</v>
      </c>
      <c r="G32" s="64">
        <v>127187.29999999999</v>
      </c>
      <c r="H32" s="64">
        <f t="shared" si="2"/>
        <v>252523.07</v>
      </c>
      <c r="I32" s="64">
        <f t="shared" si="0"/>
        <v>1130683.67</v>
      </c>
      <c r="J32" s="64">
        <f>'TOTAIS  20 E 21'!AR8</f>
        <v>1810248.005542475</v>
      </c>
      <c r="M32" s="122">
        <f t="shared" si="1"/>
        <v>2586968.2243999997</v>
      </c>
    </row>
    <row r="33" spans="1:13" ht="21" x14ac:dyDescent="0.4">
      <c r="A33" s="52">
        <v>44409</v>
      </c>
      <c r="B33" s="51">
        <v>2180870.0699999998</v>
      </c>
      <c r="C33" s="64">
        <v>0</v>
      </c>
      <c r="D33" s="64">
        <v>0</v>
      </c>
      <c r="E33" s="64">
        <v>909633.78590000002</v>
      </c>
      <c r="F33" s="64">
        <v>131738.43</v>
      </c>
      <c r="G33" s="64">
        <v>130646.66999999998</v>
      </c>
      <c r="H33" s="64">
        <f t="shared" si="2"/>
        <v>262385.09999999998</v>
      </c>
      <c r="I33" s="64">
        <f t="shared" si="0"/>
        <v>1172018.8858999999</v>
      </c>
      <c r="J33" s="64">
        <f>'TOTAIS  20 E 21'!AS8</f>
        <v>1948051.7087666679</v>
      </c>
      <c r="M33" s="122">
        <f t="shared" si="1"/>
        <v>2586968.2243999997</v>
      </c>
    </row>
    <row r="34" spans="1:13" ht="21" x14ac:dyDescent="0.4">
      <c r="A34" s="52">
        <v>44440</v>
      </c>
      <c r="B34" s="51">
        <v>2274247.44</v>
      </c>
      <c r="C34" s="64">
        <v>0</v>
      </c>
      <c r="D34" s="64">
        <v>0</v>
      </c>
      <c r="E34" s="64">
        <v>918300.81</v>
      </c>
      <c r="F34" s="64">
        <v>138663.00000000003</v>
      </c>
      <c r="G34" s="64">
        <v>130447.95</v>
      </c>
      <c r="H34" s="64">
        <f t="shared" si="2"/>
        <v>269110.95</v>
      </c>
      <c r="I34" s="64">
        <f t="shared" si="0"/>
        <v>1187411.76</v>
      </c>
      <c r="J34" s="64">
        <f>'TOTAIS  20 E 21'!AT8</f>
        <v>1910234.2948591404</v>
      </c>
      <c r="M34" s="122">
        <f t="shared" ref="M34:M65" si="3">LOOKUP(2,1/(LEN($I$1:$I$99)&gt;0),$I$1:$I$99)</f>
        <v>2586968.2243999997</v>
      </c>
    </row>
    <row r="35" spans="1:13" ht="21" x14ac:dyDescent="0.4">
      <c r="A35" s="52">
        <v>44470</v>
      </c>
      <c r="B35" s="51">
        <v>2588760.7199999997</v>
      </c>
      <c r="C35" s="64">
        <v>0</v>
      </c>
      <c r="D35" s="64">
        <v>0</v>
      </c>
      <c r="E35" s="64">
        <v>944298.19</v>
      </c>
      <c r="F35" s="64">
        <v>144435.19999999998</v>
      </c>
      <c r="G35" s="64">
        <v>145032.66000000003</v>
      </c>
      <c r="H35" s="64">
        <f t="shared" si="2"/>
        <v>289467.86</v>
      </c>
      <c r="I35" s="64">
        <f t="shared" si="0"/>
        <v>1233766.0499999998</v>
      </c>
      <c r="J35" s="64">
        <f>'TOTAIS  20 E 21'!AU8</f>
        <v>1985994.3184155733</v>
      </c>
      <c r="M35" s="122">
        <f t="shared" si="3"/>
        <v>2586968.2243999997</v>
      </c>
    </row>
    <row r="36" spans="1:13" ht="54" x14ac:dyDescent="0.4">
      <c r="A36" s="52">
        <v>44501</v>
      </c>
      <c r="B36" s="51">
        <v>2581281.1</v>
      </c>
      <c r="C36" s="64">
        <v>0</v>
      </c>
      <c r="D36" s="64">
        <v>0</v>
      </c>
      <c r="E36" s="64">
        <v>963353.22919999994</v>
      </c>
      <c r="F36" s="64">
        <v>195564.41000000003</v>
      </c>
      <c r="G36" s="64">
        <v>163991.65000000002</v>
      </c>
      <c r="H36" s="64">
        <f t="shared" si="2"/>
        <v>359556.06000000006</v>
      </c>
      <c r="I36" s="64">
        <f t="shared" si="0"/>
        <v>1322909.2892</v>
      </c>
      <c r="J36" s="64">
        <f>'TOTAIS  20 E 21'!AV8</f>
        <v>2122823.6025415235</v>
      </c>
      <c r="K36" s="75" t="s">
        <v>138</v>
      </c>
      <c r="M36" s="122">
        <f t="shared" si="3"/>
        <v>2586968.2243999997</v>
      </c>
    </row>
    <row r="37" spans="1:13" ht="66.75" x14ac:dyDescent="0.4">
      <c r="A37" s="52">
        <v>44531</v>
      </c>
      <c r="B37" s="51">
        <v>3002777.1399999997</v>
      </c>
      <c r="C37" s="64">
        <v>0</v>
      </c>
      <c r="D37" s="64">
        <v>0</v>
      </c>
      <c r="E37" s="64">
        <v>937424.88</v>
      </c>
      <c r="F37" s="64">
        <v>219635.91</v>
      </c>
      <c r="G37" s="64">
        <v>185657.44</v>
      </c>
      <c r="H37" s="64">
        <f t="shared" si="2"/>
        <v>405293.35</v>
      </c>
      <c r="I37" s="64">
        <f t="shared" si="0"/>
        <v>1342718.23</v>
      </c>
      <c r="J37" s="64">
        <f>'TOTAIS  20 E 21'!AW8</f>
        <v>2236398.0369892474</v>
      </c>
      <c r="K37" s="75" t="s">
        <v>139</v>
      </c>
      <c r="M37" s="122">
        <f t="shared" si="3"/>
        <v>2586968.2243999997</v>
      </c>
    </row>
    <row r="38" spans="1:13" ht="21" x14ac:dyDescent="0.4">
      <c r="A38" s="52">
        <v>44562</v>
      </c>
      <c r="B38" s="51">
        <v>2236775.35</v>
      </c>
      <c r="C38" s="64">
        <f>-'DRE Novo'!$AH$30</f>
        <v>847898.45</v>
      </c>
      <c r="D38" s="64">
        <f>-'DRE Novo'!$AH$31</f>
        <v>111801.22</v>
      </c>
      <c r="E38" s="65">
        <f t="shared" ref="E38:E54" si="4">C38+D38</f>
        <v>959699.66999999993</v>
      </c>
      <c r="F38" s="64">
        <f>-'DRE Novo'!$AH$7-'DRE Novo'!$AH$15</f>
        <v>204851.3</v>
      </c>
      <c r="G38" s="64">
        <f>-'DRE Novo'!$AH$32</f>
        <v>51742.820000000007</v>
      </c>
      <c r="H38" s="95">
        <f t="shared" si="2"/>
        <v>256594.12</v>
      </c>
      <c r="I38" s="65">
        <f t="shared" si="0"/>
        <v>1216293.79</v>
      </c>
      <c r="J38" s="65">
        <f>'TOTAIS  20 E 21'!AX8</f>
        <v>1949099.2089322503</v>
      </c>
      <c r="M38" s="122">
        <f t="shared" si="3"/>
        <v>2586968.2243999997</v>
      </c>
    </row>
    <row r="39" spans="1:13" ht="21" x14ac:dyDescent="0.4">
      <c r="A39" s="52">
        <v>44593</v>
      </c>
      <c r="B39" s="63">
        <v>1432655.23</v>
      </c>
      <c r="C39" s="64">
        <f>-'DRE Novo'!$AI$30</f>
        <v>843620.84</v>
      </c>
      <c r="D39" s="64">
        <f>-'DRE Novo'!$AI$31</f>
        <v>111327.18</v>
      </c>
      <c r="E39" s="65">
        <f t="shared" si="4"/>
        <v>954948.02</v>
      </c>
      <c r="F39" s="64">
        <f>-'DRE Novo'!$AI$7-'DRE Novo'!$AI$15</f>
        <v>199550.19</v>
      </c>
      <c r="G39" s="64">
        <f>-'DRE Novo'!$AI$32</f>
        <v>84021.97</v>
      </c>
      <c r="H39" s="95">
        <f t="shared" si="2"/>
        <v>283572.16000000003</v>
      </c>
      <c r="I39" s="65">
        <f t="shared" si="0"/>
        <v>1238520.18</v>
      </c>
      <c r="J39" s="65">
        <f>'TOTAIS  20 E 21'!AY8</f>
        <v>1857228.0633864438</v>
      </c>
      <c r="M39" s="122">
        <f t="shared" si="3"/>
        <v>2586968.2243999997</v>
      </c>
    </row>
    <row r="40" spans="1:13" ht="66.75" x14ac:dyDescent="0.4">
      <c r="A40" s="52">
        <v>44621</v>
      </c>
      <c r="B40" s="63">
        <v>2011358.93</v>
      </c>
      <c r="C40" s="64">
        <f>-'DRE Novo'!$AJ$30</f>
        <v>875677.44180967717</v>
      </c>
      <c r="D40" s="64">
        <f>-'DRE Novo'!$AJ$31</f>
        <v>102032.18000000001</v>
      </c>
      <c r="E40" s="65">
        <f t="shared" si="4"/>
        <v>977709.62180967722</v>
      </c>
      <c r="F40" s="64">
        <f>-'DRE Novo'!$AJ$7-'DRE Novo'!$AJ$15</f>
        <v>300265.38000000006</v>
      </c>
      <c r="G40" s="64">
        <f>-'DRE Novo'!$AJ$32</f>
        <v>65302.580999999991</v>
      </c>
      <c r="H40" s="95">
        <f t="shared" si="2"/>
        <v>365567.96100000007</v>
      </c>
      <c r="I40" s="65">
        <f t="shared" si="0"/>
        <v>1343277.5828096773</v>
      </c>
      <c r="J40" s="65">
        <f>'TOTAIS  20 E 21'!AZ8</f>
        <v>2002373.6598899262</v>
      </c>
      <c r="K40" s="75" t="s">
        <v>123</v>
      </c>
      <c r="M40" s="122">
        <f t="shared" si="3"/>
        <v>2586968.2243999997</v>
      </c>
    </row>
    <row r="41" spans="1:13" ht="21" x14ac:dyDescent="0.4">
      <c r="A41" s="52">
        <v>44652</v>
      </c>
      <c r="B41" s="63">
        <v>2659030.98</v>
      </c>
      <c r="C41" s="64">
        <f>-'DRE Novo'!$AK$30</f>
        <v>855509.10999999987</v>
      </c>
      <c r="D41" s="64">
        <f>-'DRE Novo'!$AK$31</f>
        <v>101115.38</v>
      </c>
      <c r="E41" s="65">
        <f t="shared" si="4"/>
        <v>956624.48999999987</v>
      </c>
      <c r="F41" s="64">
        <f>-'DRE Novo'!$AK$7-'DRE Novo'!$AK$15</f>
        <v>261180.62</v>
      </c>
      <c r="G41" s="64">
        <f>-'DRE Novo'!$AK$32</f>
        <v>64063.389999999992</v>
      </c>
      <c r="H41" s="95">
        <f t="shared" si="2"/>
        <v>325244.01</v>
      </c>
      <c r="I41" s="65">
        <f t="shared" si="0"/>
        <v>1281868.4999999998</v>
      </c>
      <c r="J41" s="65">
        <f>'TOTAIS  20 E 21'!BA8</f>
        <v>2010814.6033234182</v>
      </c>
      <c r="M41" s="122">
        <f t="shared" si="3"/>
        <v>2586968.2243999997</v>
      </c>
    </row>
    <row r="42" spans="1:13" ht="92.25" x14ac:dyDescent="0.4">
      <c r="A42" s="52">
        <v>44682</v>
      </c>
      <c r="B42" s="63">
        <v>3006579.75</v>
      </c>
      <c r="C42" s="64">
        <f>-'DRE Novo'!$AL$30</f>
        <v>856237.37999999977</v>
      </c>
      <c r="D42" s="64">
        <f>-'DRE Novo'!$AL$31</f>
        <v>111082.9</v>
      </c>
      <c r="E42" s="65">
        <f t="shared" si="4"/>
        <v>967320.2799999998</v>
      </c>
      <c r="F42" s="64">
        <f>-'DRE Novo'!$AL$7-'DRE Novo'!$AL$15</f>
        <v>248791.3</v>
      </c>
      <c r="G42" s="64">
        <f>-'DRE Novo'!$AL$32</f>
        <v>59907.12999999999</v>
      </c>
      <c r="H42" s="95">
        <f t="shared" si="2"/>
        <v>308698.43</v>
      </c>
      <c r="I42" s="65">
        <f t="shared" si="0"/>
        <v>1276018.7099999997</v>
      </c>
      <c r="J42" s="65">
        <f>'TOTAIS  20 E 21'!BB8</f>
        <v>2042098.9375737989</v>
      </c>
      <c r="K42" s="75" t="s">
        <v>124</v>
      </c>
      <c r="M42" s="122">
        <f t="shared" si="3"/>
        <v>2586968.2243999997</v>
      </c>
    </row>
    <row r="43" spans="1:13" ht="21" x14ac:dyDescent="0.4">
      <c r="A43" s="52">
        <v>44713</v>
      </c>
      <c r="B43" s="63">
        <v>2464901.36</v>
      </c>
      <c r="C43" s="64">
        <f>-'DRE Novo'!$AM$30</f>
        <v>828360.95039999997</v>
      </c>
      <c r="D43" s="64">
        <f>-'DRE Novo'!$AM$31</f>
        <v>112102.85</v>
      </c>
      <c r="E43" s="65">
        <f t="shared" si="4"/>
        <v>940463.80039999995</v>
      </c>
      <c r="F43" s="64">
        <f>-'DRE Novo'!$AM$7-'DRE Novo'!$AM$15</f>
        <v>250547.28000000003</v>
      </c>
      <c r="G43" s="64">
        <f>-'DRE Novo'!$AM$32</f>
        <v>60847.680000000008</v>
      </c>
      <c r="H43" s="95">
        <f t="shared" si="2"/>
        <v>311394.96000000002</v>
      </c>
      <c r="I43" s="65">
        <f t="shared" si="0"/>
        <v>1251858.7603999998</v>
      </c>
      <c r="J43" s="65">
        <f>'TOTAIS  20 E 21'!BC8</f>
        <v>1982207.7923231076</v>
      </c>
      <c r="M43" s="122">
        <f t="shared" si="3"/>
        <v>2586968.2243999997</v>
      </c>
    </row>
    <row r="44" spans="1:13" ht="181.5" x14ac:dyDescent="0.4">
      <c r="A44" s="52">
        <v>44743</v>
      </c>
      <c r="B44" s="63">
        <v>2501382.0599999996</v>
      </c>
      <c r="C44" s="64">
        <f>-'DRE Novo'!$AN$30</f>
        <v>858332.99999999965</v>
      </c>
      <c r="D44" s="64">
        <f>-'DRE Novo'!$AN$31</f>
        <v>113876.44</v>
      </c>
      <c r="E44" s="65">
        <f t="shared" si="4"/>
        <v>972209.43999999971</v>
      </c>
      <c r="F44" s="64">
        <f>-'DRE Novo'!$AN$7-'DRE Novo'!$AN$15</f>
        <v>292423.58</v>
      </c>
      <c r="G44" s="64">
        <f>-'DRE Novo'!$AN$32</f>
        <v>58176.169799999996</v>
      </c>
      <c r="H44" s="95">
        <f t="shared" si="2"/>
        <v>350599.74979999999</v>
      </c>
      <c r="I44" s="65">
        <f t="shared" si="0"/>
        <v>1322809.1897999998</v>
      </c>
      <c r="J44" s="65">
        <f>'TOTAIS  20 E 21'!BD8</f>
        <v>2135287.6744802496</v>
      </c>
      <c r="K44" s="75" t="s">
        <v>137</v>
      </c>
      <c r="M44" s="122">
        <f t="shared" si="3"/>
        <v>2586968.2243999997</v>
      </c>
    </row>
    <row r="45" spans="1:13" ht="21" x14ac:dyDescent="0.4">
      <c r="A45" s="52">
        <v>44774</v>
      </c>
      <c r="B45" s="63">
        <f>'TOTAIS  20 E 21'!BE2</f>
        <v>2204860.0499999998</v>
      </c>
      <c r="C45" s="64">
        <f>-'DRE Novo'!$AO$30</f>
        <v>843550.576</v>
      </c>
      <c r="D45" s="64">
        <f>-'DRE Novo'!$AO$31</f>
        <v>110579.75</v>
      </c>
      <c r="E45" s="65">
        <f t="shared" si="4"/>
        <v>954130.326</v>
      </c>
      <c r="F45" s="64">
        <f>-'DRE Novo'!$AO$7-'DRE Novo'!$AO$15</f>
        <v>270013.49</v>
      </c>
      <c r="G45" s="64">
        <f>-'DRE Novo'!$AO$32</f>
        <v>62653.755600000004</v>
      </c>
      <c r="H45" s="95">
        <f t="shared" si="2"/>
        <v>332667.24560000002</v>
      </c>
      <c r="I45" s="65">
        <f t="shared" si="0"/>
        <v>1286797.5716000001</v>
      </c>
      <c r="J45" s="65">
        <f>'TOTAIS  20 E 21'!BE8</f>
        <v>2049865.6030802501</v>
      </c>
      <c r="M45" s="122">
        <f t="shared" si="3"/>
        <v>2586968.2243999997</v>
      </c>
    </row>
    <row r="46" spans="1:13" ht="21" x14ac:dyDescent="0.4">
      <c r="A46" s="52">
        <v>44805</v>
      </c>
      <c r="B46" s="63">
        <f>'TOTAIS  20 E 21'!BF2</f>
        <v>2556896.0299999998</v>
      </c>
      <c r="C46" s="64">
        <f>-'DRE Novo'!$AP$30</f>
        <v>823273.71746774204</v>
      </c>
      <c r="D46" s="64">
        <f>-'DRE Novo'!$AP$31</f>
        <v>106944.25</v>
      </c>
      <c r="E46" s="65">
        <f t="shared" si="4"/>
        <v>930217.96746774204</v>
      </c>
      <c r="F46" s="64">
        <f>-'DRE Novo'!$AP$7-'DRE Novo'!$AP$15</f>
        <v>272952.02</v>
      </c>
      <c r="G46" s="64">
        <f>-'DRE Novo'!$AP$32</f>
        <v>51678.737499999996</v>
      </c>
      <c r="H46" s="95">
        <f t="shared" si="2"/>
        <v>324630.75750000001</v>
      </c>
      <c r="I46" s="65">
        <f t="shared" si="0"/>
        <v>1254848.7249677421</v>
      </c>
      <c r="J46" s="65">
        <f>'TOTAIS  20 E 21'!BF8</f>
        <v>2076592.232747992</v>
      </c>
      <c r="K46" s="2" t="s">
        <v>146</v>
      </c>
      <c r="M46" s="122">
        <f t="shared" si="3"/>
        <v>2586968.2243999997</v>
      </c>
    </row>
    <row r="47" spans="1:13" ht="21" x14ac:dyDescent="0.4">
      <c r="A47" s="52">
        <v>44835</v>
      </c>
      <c r="B47" s="2">
        <v>2707697.4400000004</v>
      </c>
      <c r="C47" s="64">
        <f>-'DRE Novo'!$AQ$30</f>
        <v>876122.20358890004</v>
      </c>
      <c r="D47" s="64">
        <f>-'DRE Novo'!$AQ$31</f>
        <v>112685.56999999999</v>
      </c>
      <c r="E47" s="65">
        <f t="shared" si="4"/>
        <v>988807.77358889999</v>
      </c>
      <c r="F47" s="64">
        <f>-'DRE Novo'!$AQ$7-'DRE Novo'!$AQ$15</f>
        <v>279781.60000000003</v>
      </c>
      <c r="G47" s="64">
        <f>-'DRE Novo'!$AQ$32</f>
        <v>68470.740000000005</v>
      </c>
      <c r="H47" s="95">
        <f t="shared" si="2"/>
        <v>348252.34</v>
      </c>
      <c r="I47" s="65">
        <f t="shared" si="0"/>
        <v>1337060.1135889001</v>
      </c>
      <c r="J47" s="65">
        <f>'TOTAIS  20 E 21'!BG8</f>
        <v>2172058.8057999993</v>
      </c>
      <c r="M47" s="122">
        <f t="shared" si="3"/>
        <v>2586968.2243999997</v>
      </c>
    </row>
    <row r="48" spans="1:13" ht="28.5" x14ac:dyDescent="0.4">
      <c r="A48" s="52">
        <v>44866</v>
      </c>
      <c r="B48" s="2">
        <v>2415882.54</v>
      </c>
      <c r="C48" s="64">
        <f>-'DRE Novo'!$AR$30</f>
        <v>860272.84940000006</v>
      </c>
      <c r="D48" s="64">
        <f>-'DRE Novo'!$AR$31</f>
        <v>114511.93</v>
      </c>
      <c r="E48" s="65">
        <f t="shared" si="4"/>
        <v>974784.77940000012</v>
      </c>
      <c r="F48" s="64">
        <f>-'DRE Novo'!$AR$7-'DRE Novo'!$AR$15</f>
        <v>355639.71600000001</v>
      </c>
      <c r="G48" s="64">
        <f>-'DRE Novo'!$AR$32</f>
        <v>60074.569000000003</v>
      </c>
      <c r="H48" s="95">
        <f t="shared" si="2"/>
        <v>415714.28500000003</v>
      </c>
      <c r="I48" s="65">
        <f t="shared" si="0"/>
        <v>1390499.0644</v>
      </c>
      <c r="J48" s="65">
        <f>'TOTAIS  20 E 21'!BH8</f>
        <v>2253458.5942000002</v>
      </c>
      <c r="K48" s="75" t="s">
        <v>145</v>
      </c>
      <c r="M48" s="122">
        <f t="shared" si="3"/>
        <v>2586968.2243999997</v>
      </c>
    </row>
    <row r="49" spans="1:13" ht="28.5" x14ac:dyDescent="0.4">
      <c r="A49" s="52">
        <v>44896</v>
      </c>
      <c r="B49" s="2">
        <v>2692784.64</v>
      </c>
      <c r="C49" s="64">
        <f>-'DRE Novo'!$AS$30</f>
        <v>868044.27540000004</v>
      </c>
      <c r="D49" s="64">
        <f>-'DRE Novo'!$AS$31</f>
        <v>118486.11</v>
      </c>
      <c r="E49" s="65">
        <f t="shared" si="4"/>
        <v>986530.38540000003</v>
      </c>
      <c r="F49" s="64">
        <f>-'DRE Novo'!$AS$7-'DRE Novo'!$AS$15</f>
        <v>396176.92000000004</v>
      </c>
      <c r="G49" s="64">
        <f>-'DRE Novo'!$AS$32</f>
        <v>63940.700000000004</v>
      </c>
      <c r="H49" s="95">
        <f t="shared" si="2"/>
        <v>460117.62000000005</v>
      </c>
      <c r="I49" s="65">
        <f t="shared" si="0"/>
        <v>1446648.0053999999</v>
      </c>
      <c r="J49" s="65">
        <f>'TOTAIS  20 E 21'!BI8</f>
        <v>2504976.6642000019</v>
      </c>
      <c r="K49" s="75" t="s">
        <v>149</v>
      </c>
      <c r="M49" s="122">
        <f t="shared" si="3"/>
        <v>2586968.2243999997</v>
      </c>
    </row>
    <row r="50" spans="1:13" ht="21" x14ac:dyDescent="0.4">
      <c r="A50" s="52">
        <v>44927</v>
      </c>
      <c r="B50" s="63">
        <f>'TOTAIS  20 E 21'!BJ2</f>
        <v>2859585.31</v>
      </c>
      <c r="C50" s="64">
        <f>-'DRE Novo'!$AT$30</f>
        <v>895642.22</v>
      </c>
      <c r="D50" s="64">
        <f>-'DRE Novo'!$AT$31</f>
        <v>116664.95999999999</v>
      </c>
      <c r="E50" s="65">
        <f t="shared" si="4"/>
        <v>1012307.1799999999</v>
      </c>
      <c r="F50" s="64">
        <f>-'DRE Novo'!$AT$7-'DRE Novo'!$AT$15</f>
        <v>291989.88</v>
      </c>
      <c r="G50" s="64">
        <f>-'DRE Novo'!$AT$32</f>
        <v>64358.880000000005</v>
      </c>
      <c r="H50" s="95">
        <f t="shared" si="2"/>
        <v>356348.76</v>
      </c>
      <c r="I50" s="65">
        <f>E50+H50</f>
        <v>1368655.94</v>
      </c>
      <c r="J50" s="114">
        <f>'TOTAIS  20 E 21'!BJ8</f>
        <v>2156896.8136779219</v>
      </c>
      <c r="M50" s="122">
        <f t="shared" si="3"/>
        <v>2586968.2243999997</v>
      </c>
    </row>
    <row r="51" spans="1:13" ht="21" x14ac:dyDescent="0.4">
      <c r="A51" s="52">
        <v>44958</v>
      </c>
      <c r="B51" s="2">
        <f>'TOTAIS  20 E 21'!BK2</f>
        <v>2290503.62</v>
      </c>
      <c r="C51" s="64">
        <f>-'DRE Novo'!$AU$30</f>
        <v>889001.3600000001</v>
      </c>
      <c r="D51" s="64">
        <f>-'DRE Novo'!$AU$31</f>
        <v>97786.220000000016</v>
      </c>
      <c r="E51" s="65">
        <f t="shared" si="4"/>
        <v>986787.58000000007</v>
      </c>
      <c r="F51" s="64">
        <f>-'DRE Novo'!$AU$7-'DRE Novo'!$AU$15</f>
        <v>268409.17</v>
      </c>
      <c r="G51" s="64">
        <f>-'DRE Novo'!$AU$32</f>
        <v>60730.195500000002</v>
      </c>
      <c r="H51" s="95">
        <f t="shared" si="2"/>
        <v>329139.36549999996</v>
      </c>
      <c r="I51" s="65">
        <f>E51+H51</f>
        <v>1315926.9454999999</v>
      </c>
      <c r="J51" s="114">
        <f>'TOTAIS  20 E 21'!BK8</f>
        <v>2201438.6588999997</v>
      </c>
      <c r="M51" s="122">
        <f t="shared" si="3"/>
        <v>2586968.2243999997</v>
      </c>
    </row>
    <row r="52" spans="1:13" ht="21" x14ac:dyDescent="0.4">
      <c r="A52" s="52">
        <v>44986</v>
      </c>
      <c r="B52" s="2">
        <f>'TOTAIS  20 E 21'!BL2</f>
        <v>2258763.79</v>
      </c>
      <c r="C52" s="64">
        <f>-'DRE Novo'!$AV$30</f>
        <v>933096.29520000017</v>
      </c>
      <c r="D52" s="64">
        <f>-'DRE Novo'!$AV$31</f>
        <v>96526.48</v>
      </c>
      <c r="E52" s="65">
        <f t="shared" si="4"/>
        <v>1029622.7752000001</v>
      </c>
      <c r="F52" s="64">
        <f>-'DRE Novo'!$AV$7-'DRE Novo'!$AV$15</f>
        <v>309551.84000000008</v>
      </c>
      <c r="G52" s="64">
        <f>-'DRE Novo'!$AV$32</f>
        <v>69443.160399999993</v>
      </c>
      <c r="H52" s="95">
        <f t="shared" ref="H52:H54" si="5">F52+G52</f>
        <v>378995.00040000008</v>
      </c>
      <c r="I52" s="65">
        <f>E52+H52</f>
        <v>1408617.7756000003</v>
      </c>
      <c r="J52" s="114">
        <f>'TOTAIS  20 E 21'!BL8</f>
        <v>2301123.2955999994</v>
      </c>
      <c r="M52" s="122">
        <f t="shared" si="3"/>
        <v>2586968.2243999997</v>
      </c>
    </row>
    <row r="53" spans="1:13" ht="21" x14ac:dyDescent="0.4">
      <c r="A53" s="52">
        <v>45017</v>
      </c>
      <c r="B53" s="63">
        <f>'TOTAIS  20 E 21'!BM2</f>
        <v>3226365.23</v>
      </c>
      <c r="C53" s="64">
        <f>-'DRE Novo'!$AW$30</f>
        <v>926803.35000000009</v>
      </c>
      <c r="D53" s="64">
        <f>-'DRE Novo'!$AW$31</f>
        <v>95939.1</v>
      </c>
      <c r="E53" s="65">
        <f t="shared" si="4"/>
        <v>1022742.4500000001</v>
      </c>
      <c r="F53" s="64">
        <f>-'DRE Novo'!$AW$7-'DRE Novo'!$AW$15</f>
        <v>338759.95</v>
      </c>
      <c r="G53" s="64">
        <f>-'DRE Novo'!$AW$32</f>
        <v>65998.149999999994</v>
      </c>
      <c r="H53" s="95">
        <f t="shared" si="5"/>
        <v>404758.1</v>
      </c>
      <c r="I53" s="65">
        <f t="shared" ref="I53:I54" si="6">E53+H53</f>
        <v>1427500.55</v>
      </c>
      <c r="J53" s="114">
        <f>'TOTAIS  20 E 21'!BM8</f>
        <v>2448120.9411999998</v>
      </c>
      <c r="M53" s="122">
        <f t="shared" si="3"/>
        <v>2586968.2243999997</v>
      </c>
    </row>
    <row r="54" spans="1:13" ht="21" x14ac:dyDescent="0.4">
      <c r="A54" s="52">
        <v>45047</v>
      </c>
      <c r="B54" s="63">
        <f>'TOTAIS  20 E 21'!BN2</f>
        <v>2759630.72</v>
      </c>
      <c r="C54" s="64">
        <f>-'DRE Novo'!$AX$30</f>
        <v>964125.32</v>
      </c>
      <c r="D54" s="64">
        <f>-'DRE Novo'!$AX$31</f>
        <v>97190.92</v>
      </c>
      <c r="E54" s="65">
        <f t="shared" si="4"/>
        <v>1061316.24</v>
      </c>
      <c r="F54" s="64">
        <f>-'DRE Novo'!$AX$7-'DRE Novo'!$AX$15</f>
        <v>344858.27</v>
      </c>
      <c r="G54" s="64">
        <f>-'DRE Novo'!$AX$32</f>
        <v>67928.26999999999</v>
      </c>
      <c r="H54" s="95">
        <f t="shared" si="5"/>
        <v>412786.54000000004</v>
      </c>
      <c r="I54" s="65">
        <f t="shared" si="6"/>
        <v>1474102.78</v>
      </c>
      <c r="J54" s="114">
        <f>'TOTAIS  20 E 21'!BN8</f>
        <v>2568380.5800000005</v>
      </c>
      <c r="M54" s="122">
        <f t="shared" si="3"/>
        <v>2586968.2243999997</v>
      </c>
    </row>
    <row r="55" spans="1:13" ht="21" x14ac:dyDescent="0.4">
      <c r="A55" s="52">
        <v>45078</v>
      </c>
      <c r="B55" s="63">
        <f>'TOTAIS  20 E 21'!BO2</f>
        <v>2764496.3499999996</v>
      </c>
      <c r="C55" s="64">
        <f>-'DRE Novo'!$AY$30</f>
        <v>962957.29870000004</v>
      </c>
      <c r="D55" s="64">
        <f>-'DRE Novo'!$AY$31</f>
        <v>128146.17</v>
      </c>
      <c r="E55" s="65">
        <f t="shared" ref="E55:E65" si="7">IFERROR(C55+D55,"")</f>
        <v>1091103.4687000001</v>
      </c>
      <c r="F55" s="64">
        <f>-'DRE Novo'!$AY$7-'DRE Novo'!$AY$15</f>
        <v>334716.5</v>
      </c>
      <c r="G55" s="64">
        <f>-'DRE Novo'!$AY$32</f>
        <v>65455.923500000004</v>
      </c>
      <c r="H55" s="95">
        <f t="shared" ref="H55:H85" si="8">IFERROR(F55+G55,"")</f>
        <v>400172.42350000003</v>
      </c>
      <c r="I55" s="65">
        <f t="shared" ref="I55:I85" si="9">IFERROR(E55+H55,"")</f>
        <v>1491275.8922000001</v>
      </c>
      <c r="J55" s="114">
        <f>'TOTAIS  20 E 21'!BO8</f>
        <v>2551024.1396999992</v>
      </c>
      <c r="M55" s="122">
        <f t="shared" si="3"/>
        <v>2586968.2243999997</v>
      </c>
    </row>
    <row r="56" spans="1:13" ht="21" x14ac:dyDescent="0.4">
      <c r="A56" s="52">
        <v>45108</v>
      </c>
      <c r="B56" s="63">
        <f>'TOTAIS  20 E 21'!BP2</f>
        <v>2839189.01</v>
      </c>
      <c r="C56" s="64">
        <f>-'DRE Novo'!$AZ$30</f>
        <v>995535.56550000003</v>
      </c>
      <c r="D56" s="64">
        <f>-'DRE Novo'!$AZ$31</f>
        <v>127499.35</v>
      </c>
      <c r="E56" s="65">
        <f t="shared" si="7"/>
        <v>1123034.9155000001</v>
      </c>
      <c r="F56" s="64">
        <f>-'DRE Novo'!$AZ$7-'DRE Novo'!$AZ$15</f>
        <v>356816.84</v>
      </c>
      <c r="G56" s="64">
        <f>-'DRE Novo'!$AZ$32</f>
        <v>64810.391500000005</v>
      </c>
      <c r="H56" s="95">
        <f t="shared" si="8"/>
        <v>421627.23150000005</v>
      </c>
      <c r="I56" s="65">
        <f t="shared" si="9"/>
        <v>1544662.1470000001</v>
      </c>
      <c r="J56" s="114">
        <f>'TOTAIS  20 E 21'!BP8</f>
        <v>2602941.4101666659</v>
      </c>
      <c r="M56" s="122">
        <f t="shared" si="3"/>
        <v>2586968.2243999997</v>
      </c>
    </row>
    <row r="57" spans="1:13" ht="21" x14ac:dyDescent="0.4">
      <c r="A57" s="52">
        <v>45139</v>
      </c>
      <c r="B57" s="63">
        <f>'TOTAIS  20 E 21'!BQ2</f>
        <v>3801574.8499999996</v>
      </c>
      <c r="C57" s="64">
        <f>-'DRE Novo'!$BA$30</f>
        <v>1010173.1000000001</v>
      </c>
      <c r="D57" s="64">
        <f>-'DRE Novo'!$BA$31</f>
        <v>129274.32</v>
      </c>
      <c r="E57" s="65">
        <f t="shared" si="7"/>
        <v>1139447.4200000002</v>
      </c>
      <c r="F57" s="64">
        <f>-'DRE Novo'!$BA$7-'DRE Novo'!$BA$15</f>
        <v>355906.94000000006</v>
      </c>
      <c r="G57" s="64">
        <f>-'DRE Novo'!$BA$32</f>
        <v>64800.018400000001</v>
      </c>
      <c r="H57" s="95">
        <f t="shared" si="8"/>
        <v>420706.95840000006</v>
      </c>
      <c r="I57" s="65">
        <f t="shared" si="9"/>
        <v>1560154.3784000003</v>
      </c>
      <c r="J57" s="114">
        <f>'TOTAIS  20 E 21'!BQ8</f>
        <v>2647088.1504666666</v>
      </c>
      <c r="M57" s="122">
        <f t="shared" si="3"/>
        <v>2586968.2243999997</v>
      </c>
    </row>
    <row r="58" spans="1:13" ht="21" x14ac:dyDescent="0.4">
      <c r="A58" s="52">
        <v>45170</v>
      </c>
      <c r="B58" s="63">
        <f>'TOTAIS  20 E 21'!BR2</f>
        <v>3346794.8000000003</v>
      </c>
      <c r="C58" s="64">
        <f>-'DRE Novo'!$BB$30</f>
        <v>992521.94</v>
      </c>
      <c r="D58" s="64">
        <f>-'DRE Novo'!$BB$31</f>
        <v>125370.3</v>
      </c>
      <c r="E58" s="65">
        <f t="shared" si="7"/>
        <v>1117892.24</v>
      </c>
      <c r="F58" s="64">
        <f>-'DRE Novo'!$BB$7-'DRE Novo'!$BB$15</f>
        <v>334576.64999999997</v>
      </c>
      <c r="G58" s="64">
        <f>-'DRE Novo'!$BB$32</f>
        <v>71491.451399999991</v>
      </c>
      <c r="H58" s="95">
        <f t="shared" si="8"/>
        <v>406068.10139999993</v>
      </c>
      <c r="I58" s="65">
        <f t="shared" si="9"/>
        <v>1523960.3413999998</v>
      </c>
      <c r="J58" s="114">
        <f>'TOTAIS  20 E 21'!BR8</f>
        <v>2666106.2522215056</v>
      </c>
      <c r="M58" s="122">
        <f t="shared" si="3"/>
        <v>2586968.2243999997</v>
      </c>
    </row>
    <row r="59" spans="1:13" ht="21" x14ac:dyDescent="0.4">
      <c r="A59" s="52">
        <v>45200</v>
      </c>
      <c r="B59" s="63">
        <f>'TOTAIS  20 E 21'!BS2</f>
        <v>3245706.1199999996</v>
      </c>
      <c r="C59" s="64">
        <f>-'DRE Novo'!$BC$30</f>
        <v>1061086.1068</v>
      </c>
      <c r="D59" s="64">
        <f>-'DRE Novo'!$BC$31</f>
        <v>113215.15</v>
      </c>
      <c r="E59" s="65">
        <f t="shared" si="7"/>
        <v>1174301.2567999999</v>
      </c>
      <c r="F59" s="64">
        <f>-'DRE Novo'!$BC$7-'DRE Novo'!$BC$15</f>
        <v>362374.79000000004</v>
      </c>
      <c r="G59" s="64">
        <f>-'DRE Novo'!$BC$32</f>
        <v>77489.373599999992</v>
      </c>
      <c r="H59" s="95">
        <f t="shared" si="8"/>
        <v>439864.16360000003</v>
      </c>
      <c r="I59" s="65">
        <f t="shared" si="9"/>
        <v>1614165.4203999999</v>
      </c>
      <c r="J59" s="114">
        <f>'TOTAIS  20 E 21'!BS8</f>
        <v>2989804.5726666646</v>
      </c>
      <c r="M59" s="122">
        <f t="shared" si="3"/>
        <v>2586968.2243999997</v>
      </c>
    </row>
    <row r="60" spans="1:13" ht="21" x14ac:dyDescent="0.4">
      <c r="A60" s="52">
        <v>45231</v>
      </c>
      <c r="B60" s="63">
        <f>'TOTAIS  20 E 21'!BT2</f>
        <v>3479448.69</v>
      </c>
      <c r="C60" s="64">
        <f>-'DRE Novo'!$BD$30</f>
        <v>1044327.5577999997</v>
      </c>
      <c r="D60" s="64">
        <f>-'DRE Novo'!$BD$31</f>
        <v>110183.11</v>
      </c>
      <c r="E60" s="65">
        <f t="shared" si="7"/>
        <v>1154510.6677999997</v>
      </c>
      <c r="F60" s="64">
        <f>-'DRE Novo'!$BD$7-'DRE Novo'!$BD$15</f>
        <v>431665.93999999994</v>
      </c>
      <c r="G60" s="64">
        <f>-'DRE Novo'!$BD$32</f>
        <v>79794.998999999996</v>
      </c>
      <c r="H60" s="95">
        <f t="shared" si="8"/>
        <v>511460.93899999995</v>
      </c>
      <c r="I60" s="65">
        <f t="shared" si="9"/>
        <v>1665971.6067999997</v>
      </c>
      <c r="J60" s="114">
        <f>'TOTAIS  20 E 21'!BT8</f>
        <v>2855162.7166666663</v>
      </c>
      <c r="M60" s="122">
        <f t="shared" si="3"/>
        <v>2586968.2243999997</v>
      </c>
    </row>
    <row r="61" spans="1:13" ht="21" x14ac:dyDescent="0.4">
      <c r="A61" s="52">
        <v>45261</v>
      </c>
      <c r="B61" s="63">
        <f>'TOTAIS  20 E 21'!BU2</f>
        <v>4923248.92</v>
      </c>
      <c r="C61" s="64">
        <f>-'DRE Novo'!$BE$30</f>
        <v>1053017.22</v>
      </c>
      <c r="D61" s="64">
        <f>-'DRE Novo'!$BE$31</f>
        <v>112700.97</v>
      </c>
      <c r="E61" s="65">
        <f t="shared" si="7"/>
        <v>1165718.19</v>
      </c>
      <c r="F61" s="64">
        <f>-'DRE Novo'!$BE$7-'DRE Novo'!$BE$15</f>
        <v>486788.83</v>
      </c>
      <c r="G61" s="64">
        <f>-'DRE Novo'!$BE$32</f>
        <v>86235.760500000004</v>
      </c>
      <c r="H61" s="95">
        <f t="shared" si="8"/>
        <v>573024.59050000005</v>
      </c>
      <c r="I61" s="65">
        <f t="shared" si="9"/>
        <v>1738742.7804999999</v>
      </c>
      <c r="J61" s="114">
        <f>'TOTAIS  20 E 21'!BU8</f>
        <v>3347664.0940666688</v>
      </c>
      <c r="M61" s="122">
        <f t="shared" si="3"/>
        <v>2586968.2243999997</v>
      </c>
    </row>
    <row r="62" spans="1:13" ht="21" customHeight="1" x14ac:dyDescent="0.4">
      <c r="A62" s="52">
        <v>45292</v>
      </c>
      <c r="B62" s="63">
        <f>'TOTAIS  20 E 21'!BV2</f>
        <v>3209755.2600000002</v>
      </c>
      <c r="C62" s="64">
        <f>-'DRE Novo'!$BF$30</f>
        <v>1080548.1127999995</v>
      </c>
      <c r="D62" s="64">
        <f>-'DRE Novo'!$BF$31</f>
        <v>131197.21</v>
      </c>
      <c r="E62" s="65">
        <f t="shared" si="7"/>
        <v>1211745.3227999995</v>
      </c>
      <c r="F62" s="64">
        <f>-'DRE Novo'!$BF$7-'DRE Novo'!$BF$15</f>
        <v>382983.25</v>
      </c>
      <c r="G62" s="64">
        <f>-'DRE Novo'!$BF$32</f>
        <v>80646.669500000004</v>
      </c>
      <c r="H62" s="95">
        <f t="shared" si="8"/>
        <v>463629.91950000002</v>
      </c>
      <c r="I62" s="65">
        <f t="shared" si="9"/>
        <v>1675375.2422999996</v>
      </c>
      <c r="J62" s="114">
        <f>'TOTAIS  20 E 21'!BV8</f>
        <v>2861248.7890204</v>
      </c>
      <c r="M62" s="122">
        <f t="shared" si="3"/>
        <v>2586968.2243999997</v>
      </c>
    </row>
    <row r="63" spans="1:13" ht="21" customHeight="1" x14ac:dyDescent="0.4">
      <c r="A63" s="52">
        <v>45323</v>
      </c>
      <c r="B63" s="63">
        <f>'TOTAIS  20 E 21'!BW2</f>
        <v>3256937.67</v>
      </c>
      <c r="C63" s="64">
        <f>-'DRE Novo'!$BG$30</f>
        <v>1071965.7100000004</v>
      </c>
      <c r="D63" s="64">
        <f>-'DRE Novo'!$BG$31</f>
        <v>130577.01</v>
      </c>
      <c r="E63" s="65">
        <f t="shared" si="7"/>
        <v>1202542.7200000004</v>
      </c>
      <c r="F63" s="64">
        <f>-'DRE Novo'!$BG$7-'DRE Novo'!$BG$15</f>
        <v>346542.42</v>
      </c>
      <c r="G63" s="64">
        <f>-'DRE Novo'!$BG$32</f>
        <v>71810.100000000006</v>
      </c>
      <c r="H63" s="95">
        <f t="shared" si="8"/>
        <v>418352.52</v>
      </c>
      <c r="I63" s="65">
        <f t="shared" si="9"/>
        <v>1620895.2400000005</v>
      </c>
      <c r="J63" s="114">
        <f>'TOTAIS  20 E 21'!BW8</f>
        <v>2650974.7318203999</v>
      </c>
      <c r="M63" s="122">
        <f t="shared" si="3"/>
        <v>2586968.2243999997</v>
      </c>
    </row>
    <row r="64" spans="1:13" ht="21" customHeight="1" x14ac:dyDescent="0.4">
      <c r="A64" s="52">
        <v>45352</v>
      </c>
      <c r="B64" s="63">
        <f>'TOTAIS  20 E 21'!BX2</f>
        <v>2605192.48</v>
      </c>
      <c r="C64" s="64">
        <f>-'DRE Novo'!$BH$30</f>
        <v>1084855.31</v>
      </c>
      <c r="D64" s="64">
        <f>-'DRE Novo'!$BH$31</f>
        <v>130812.94</v>
      </c>
      <c r="E64" s="65">
        <f t="shared" si="7"/>
        <v>1215668.25</v>
      </c>
      <c r="F64" s="64">
        <f>-'DRE Novo'!$BH$7-'DRE Novo'!$BH$15</f>
        <v>373244.79</v>
      </c>
      <c r="G64" s="64">
        <f>-'DRE Novo'!$BH$32</f>
        <v>91751.489999999991</v>
      </c>
      <c r="H64" s="95">
        <f t="shared" si="8"/>
        <v>464996.27999999997</v>
      </c>
      <c r="I64" s="65">
        <f t="shared" si="9"/>
        <v>1680664.53</v>
      </c>
      <c r="J64" s="114">
        <f>'TOTAIS  20 E 21'!BX8</f>
        <v>2685804.1903204005</v>
      </c>
      <c r="M64" s="122">
        <f t="shared" si="3"/>
        <v>2586968.2243999997</v>
      </c>
    </row>
    <row r="65" spans="1:13" ht="21" customHeight="1" x14ac:dyDescent="0.4">
      <c r="A65" s="52">
        <v>45383</v>
      </c>
      <c r="B65" s="63">
        <f>'TOTAIS  20 E 21'!BY2</f>
        <v>3293581.6300000004</v>
      </c>
      <c r="C65" s="347">
        <v>0</v>
      </c>
      <c r="D65" s="347">
        <v>0</v>
      </c>
      <c r="E65" s="347">
        <f t="shared" si="7"/>
        <v>0</v>
      </c>
      <c r="F65" s="347">
        <v>0</v>
      </c>
      <c r="G65" s="347">
        <v>0</v>
      </c>
      <c r="H65" s="347">
        <f t="shared" si="8"/>
        <v>0</v>
      </c>
      <c r="I65" s="347">
        <f t="shared" si="9"/>
        <v>0</v>
      </c>
      <c r="J65" s="347">
        <v>0</v>
      </c>
      <c r="M65" s="122">
        <f t="shared" si="3"/>
        <v>2586968.2243999997</v>
      </c>
    </row>
    <row r="66" spans="1:13" ht="21" customHeight="1" x14ac:dyDescent="0.4">
      <c r="A66" s="52">
        <v>45413</v>
      </c>
      <c r="B66" s="63">
        <f>'TOTAIS  20 E 21'!BZ2</f>
        <v>3629988.73</v>
      </c>
      <c r="C66" s="64">
        <v>0</v>
      </c>
      <c r="D66" s="64">
        <v>0</v>
      </c>
      <c r="E66" s="65">
        <f>IF(-DRE!E22="","",-DRE!E22)</f>
        <v>1261018.94</v>
      </c>
      <c r="F66" s="64">
        <f>IF(-DRE!E34=0,"",-DRE!E34)</f>
        <v>377876.51</v>
      </c>
      <c r="G66" s="64">
        <v>0</v>
      </c>
      <c r="H66" s="95">
        <f t="shared" si="8"/>
        <v>377876.51</v>
      </c>
      <c r="I66" s="65">
        <f t="shared" si="9"/>
        <v>1638895.45</v>
      </c>
      <c r="J66" s="114">
        <f>'TOTAIS  20 E 21'!BZ8</f>
        <v>2823768.4863584004</v>
      </c>
      <c r="M66" s="122">
        <f t="shared" ref="M66:M85" si="10">LOOKUP(2,1/(LEN($I$1:$I$99)&gt;0),$I$1:$I$99)</f>
        <v>2586968.2243999997</v>
      </c>
    </row>
    <row r="67" spans="1:13" ht="21" customHeight="1" x14ac:dyDescent="0.4">
      <c r="A67" s="52">
        <v>45444</v>
      </c>
      <c r="B67" s="63">
        <f>'TOTAIS  20 E 21'!CA2</f>
        <v>4068124.1200259998</v>
      </c>
      <c r="C67" s="64">
        <v>0</v>
      </c>
      <c r="D67" s="64">
        <v>0</v>
      </c>
      <c r="E67" s="65">
        <f>IF(-DRE!G22=0,"",-DRE!G22)</f>
        <v>1247698.2404</v>
      </c>
      <c r="F67" s="64">
        <f>IF(-DRE!G34=0,"",-DRE!G34)</f>
        <v>447513.51</v>
      </c>
      <c r="G67" s="64">
        <v>0</v>
      </c>
      <c r="H67" s="95">
        <f t="shared" si="8"/>
        <v>447513.51</v>
      </c>
      <c r="I67" s="65">
        <f t="shared" si="9"/>
        <v>1695211.7504</v>
      </c>
      <c r="J67" s="114">
        <f>'TOTAIS  20 E 21'!CA8</f>
        <v>2918865.1367984</v>
      </c>
      <c r="M67" s="122">
        <f t="shared" si="10"/>
        <v>2586968.2243999997</v>
      </c>
    </row>
    <row r="68" spans="1:13" ht="21" customHeight="1" x14ac:dyDescent="0.4">
      <c r="A68" s="52">
        <v>45474</v>
      </c>
      <c r="B68" s="63">
        <f>'TOTAIS  20 E 21'!CB2</f>
        <v>4640246.4200030006</v>
      </c>
      <c r="C68" s="64">
        <v>0</v>
      </c>
      <c r="D68" s="64">
        <v>0</v>
      </c>
      <c r="E68" s="65">
        <f>IF(-DRE!I22=0,"",-DRE!I22)</f>
        <v>1257014.5288</v>
      </c>
      <c r="F68" s="64">
        <f>IF(-DRE!I34=0,"",-DRE!I34)</f>
        <v>494827.37000000005</v>
      </c>
      <c r="G68" s="64">
        <v>0</v>
      </c>
      <c r="H68" s="95">
        <f t="shared" si="8"/>
        <v>494827.37000000005</v>
      </c>
      <c r="I68" s="65">
        <f t="shared" si="9"/>
        <v>1751841.8988000001</v>
      </c>
      <c r="J68" s="114">
        <f>'TOTAIS  20 E 21'!CB8</f>
        <v>3179330.9151744</v>
      </c>
      <c r="M68" s="122">
        <f t="shared" si="10"/>
        <v>2586968.2243999997</v>
      </c>
    </row>
    <row r="69" spans="1:13" ht="21" customHeight="1" x14ac:dyDescent="0.4">
      <c r="A69" s="52">
        <v>45505</v>
      </c>
      <c r="B69" s="63">
        <f>'TOTAIS  20 E 21'!CC2</f>
        <v>3454209.97</v>
      </c>
      <c r="C69" s="64">
        <v>0</v>
      </c>
      <c r="D69" s="64">
        <v>0</v>
      </c>
      <c r="E69" s="65">
        <f>IF(-DRE!K22=0,"",-DRE!K22)</f>
        <v>1275862.1514000001</v>
      </c>
      <c r="F69" s="64">
        <f>IF(-DRE!K34=0,"",-DRE!K34)</f>
        <v>502670.66000000003</v>
      </c>
      <c r="G69" s="64">
        <v>0</v>
      </c>
      <c r="H69" s="95">
        <f t="shared" si="8"/>
        <v>502670.66000000003</v>
      </c>
      <c r="I69" s="65">
        <f>E69+H69</f>
        <v>1778532.8114</v>
      </c>
      <c r="J69" s="114">
        <f>'TOTAIS  20 E 21'!CC8</f>
        <v>3032591.0977763999</v>
      </c>
      <c r="M69" s="122">
        <f t="shared" si="10"/>
        <v>2586968.2243999997</v>
      </c>
    </row>
    <row r="70" spans="1:13" ht="21" customHeight="1" x14ac:dyDescent="0.4">
      <c r="A70" s="52">
        <v>45536</v>
      </c>
      <c r="B70" s="63">
        <f>'TOTAIS  20 E 21'!CD2</f>
        <v>4253136.8799960008</v>
      </c>
      <c r="C70" s="64">
        <f>IF(-DRE!M22=0,"",0)</f>
        <v>0</v>
      </c>
      <c r="D70" s="64">
        <f>IF(-DRE!M22=0,"",0)</f>
        <v>0</v>
      </c>
      <c r="E70" s="65">
        <f>IF(-DRE!M22=0,"",-DRE!M22)</f>
        <v>1300087.375</v>
      </c>
      <c r="F70" s="64">
        <f>IF(-DRE!M34=0,"",-DRE!M34)</f>
        <v>508838.19</v>
      </c>
      <c r="G70" s="64">
        <v>0</v>
      </c>
      <c r="H70" s="95">
        <f>F70+G70</f>
        <v>508838.19</v>
      </c>
      <c r="I70" s="65">
        <f>E70+H70</f>
        <v>1808925.5649999999</v>
      </c>
      <c r="J70" s="114">
        <f>'TOTAIS  20 E 21'!CD8</f>
        <v>3103284.8914473997</v>
      </c>
      <c r="M70" s="122">
        <f t="shared" si="10"/>
        <v>2586968.2243999997</v>
      </c>
    </row>
    <row r="71" spans="1:13" ht="21" customHeight="1" x14ac:dyDescent="0.4">
      <c r="A71" s="52">
        <v>45566</v>
      </c>
      <c r="B71" s="63">
        <f>'TOTAIS  20 E 21'!CE2</f>
        <v>4658140.6700220024</v>
      </c>
      <c r="C71" s="64">
        <f>IF(-DRE!O22=0,"",0)</f>
        <v>0</v>
      </c>
      <c r="D71" s="64">
        <f>IF(-DRE!O22=0,"",0)</f>
        <v>0</v>
      </c>
      <c r="E71" s="65">
        <f>IF(-DRE!O22=0,"",-DRE!O22)</f>
        <v>1339147.3012000001</v>
      </c>
      <c r="F71" s="64">
        <f>IF(-DRE!O34=0,"",-DRE!O34)</f>
        <v>521239.39</v>
      </c>
      <c r="G71" s="64">
        <v>0</v>
      </c>
      <c r="H71" s="95">
        <f t="shared" si="8"/>
        <v>521239.39</v>
      </c>
      <c r="I71" s="65">
        <f t="shared" si="9"/>
        <v>1860386.6912000002</v>
      </c>
      <c r="J71" s="114">
        <f>'TOTAIS  20 E 21'!CE8</f>
        <v>3402956.5976324002</v>
      </c>
      <c r="M71" s="122">
        <f t="shared" si="10"/>
        <v>2586968.2243999997</v>
      </c>
    </row>
    <row r="72" spans="1:13" ht="21" customHeight="1" x14ac:dyDescent="0.4">
      <c r="A72" s="52">
        <v>45597</v>
      </c>
      <c r="B72" s="63">
        <f>'TOTAIS  20 E 21'!CF2</f>
        <v>6144338.9999359995</v>
      </c>
      <c r="C72" s="64">
        <f>IF(-DRE!Q22=0,"",0)</f>
        <v>0</v>
      </c>
      <c r="D72" s="64">
        <f>IF(-DRE!Q22=0,"",0)</f>
        <v>0</v>
      </c>
      <c r="E72" s="65">
        <f>IF(-DRE!Q22=0,"",-DRE!Q22)</f>
        <v>1351942.3735999998</v>
      </c>
      <c r="F72" s="64">
        <f>IF(-DRE!Q34=0,"",-DRE!Q34)</f>
        <v>600306.92999999982</v>
      </c>
      <c r="G72" s="64">
        <v>0</v>
      </c>
      <c r="H72" s="95">
        <f t="shared" si="8"/>
        <v>600306.92999999982</v>
      </c>
      <c r="I72" s="65">
        <f t="shared" si="9"/>
        <v>1952249.3035999998</v>
      </c>
      <c r="J72" s="114">
        <f>'TOTAIS  20 E 21'!CF8</f>
        <v>3810971.4100323999</v>
      </c>
      <c r="M72" s="122">
        <f t="shared" si="10"/>
        <v>2586968.2243999997</v>
      </c>
    </row>
    <row r="73" spans="1:13" ht="21" customHeight="1" x14ac:dyDescent="0.4">
      <c r="A73" s="52">
        <v>45627</v>
      </c>
      <c r="B73" s="63">
        <f>'TOTAIS  20 E 21'!CG2</f>
        <v>5312105.9099210007</v>
      </c>
      <c r="C73" s="64">
        <f>IF(-DRE!S22=0,"",0)</f>
        <v>0</v>
      </c>
      <c r="D73" s="64">
        <f>IF(-DRE!S22=0,"",0)</f>
        <v>0</v>
      </c>
      <c r="E73" s="65">
        <f>IF(-DRE!S22=0,"",-DRE!S22)</f>
        <v>1333428.7895000002</v>
      </c>
      <c r="F73" s="64">
        <f>IF(-DRE!S34=0,"",-DRE!S34)</f>
        <v>615099.82999999996</v>
      </c>
      <c r="G73" s="64">
        <v>0</v>
      </c>
      <c r="H73" s="95">
        <f t="shared" si="8"/>
        <v>615099.82999999996</v>
      </c>
      <c r="I73" s="65">
        <f t="shared" si="9"/>
        <v>1948528.6195</v>
      </c>
      <c r="J73" s="114">
        <f>'TOTAIS  20 E 21'!CG8</f>
        <v>3974938.4054539558</v>
      </c>
      <c r="M73" s="122">
        <f t="shared" si="10"/>
        <v>2586968.2243999997</v>
      </c>
    </row>
    <row r="74" spans="1:13" ht="21" customHeight="1" x14ac:dyDescent="0.4">
      <c r="A74" s="52">
        <v>45658</v>
      </c>
      <c r="B74" s="63">
        <f>'TOTAIS  20 E 21'!CH2</f>
        <v>4402653.9400060009</v>
      </c>
      <c r="C74" s="64">
        <f>IF(-DRE!W22=0,"",0)</f>
        <v>0</v>
      </c>
      <c r="D74" s="64">
        <f>IF(-DRE!W22=0,"",0)</f>
        <v>0</v>
      </c>
      <c r="E74" s="65">
        <f>IF(-DRE!$W$22=0,"",-DRE!$W$22)</f>
        <v>1388902.2948</v>
      </c>
      <c r="F74" s="64">
        <f>IF(-DRE!$W$34=0,"",-DRE!$W$34)</f>
        <v>526895.42879999999</v>
      </c>
      <c r="G74" s="64">
        <v>0</v>
      </c>
      <c r="H74" s="95">
        <f t="shared" si="8"/>
        <v>526895.42879999999</v>
      </c>
      <c r="I74" s="65">
        <f t="shared" si="9"/>
        <v>1915797.7236000001</v>
      </c>
      <c r="J74" s="114">
        <f>'TOTAIS  20 E 21'!CH8</f>
        <v>3433958.1635897364</v>
      </c>
      <c r="M74" s="122">
        <f t="shared" si="10"/>
        <v>2586968.2243999997</v>
      </c>
    </row>
    <row r="75" spans="1:13" ht="21" customHeight="1" x14ac:dyDescent="0.4">
      <c r="A75" s="52">
        <v>45689</v>
      </c>
      <c r="B75" s="63">
        <f>'TOTAIS  20 E 21'!CI2</f>
        <v>4086254.28</v>
      </c>
      <c r="C75" s="64">
        <f>IF(-DRE!Y22=0,"",0)</f>
        <v>0</v>
      </c>
      <c r="D75" s="64">
        <f>IF(-DRE!Y22=0,"",0)</f>
        <v>0</v>
      </c>
      <c r="E75" s="65">
        <f>IF(-DRE!$Y$22=0,"",-DRE!$Y$22)</f>
        <v>1404814.5481999996</v>
      </c>
      <c r="F75" s="64">
        <f>IF(-DRE!$Y$34=0,"",-DRE!$Y$34)</f>
        <v>475823.33700000006</v>
      </c>
      <c r="G75" s="64">
        <v>0</v>
      </c>
      <c r="H75" s="95">
        <f t="shared" si="8"/>
        <v>475823.33700000006</v>
      </c>
      <c r="I75" s="65">
        <f t="shared" si="9"/>
        <v>1880637.8851999997</v>
      </c>
      <c r="J75" s="114">
        <f>'TOTAIS  20 E 21'!CI8</f>
        <v>3375979.711529999</v>
      </c>
      <c r="M75" s="122">
        <f t="shared" si="10"/>
        <v>2586968.2243999997</v>
      </c>
    </row>
    <row r="76" spans="1:13" ht="21" customHeight="1" x14ac:dyDescent="0.4">
      <c r="A76" s="52">
        <v>45717</v>
      </c>
      <c r="B76" s="63">
        <f>'TOTAIS  20 E 21'!CJ2</f>
        <v>4048194.34</v>
      </c>
      <c r="C76" s="64">
        <f>IF(-DRE!AA22=0,"",0)</f>
        <v>0</v>
      </c>
      <c r="D76" s="64">
        <f>IF(-DRE!AA22=0,"",0)</f>
        <v>0</v>
      </c>
      <c r="E76" s="65">
        <f>IF(-DRE!$AA$22=0,"",-DRE!$AA$22)</f>
        <v>1420450.1930999998</v>
      </c>
      <c r="F76" s="64">
        <f>IF(-DRE!$AA$34=0,"",-DRE!$AA$34)</f>
        <v>522863.83350000001</v>
      </c>
      <c r="G76" s="64">
        <v>0</v>
      </c>
      <c r="H76" s="95">
        <f t="shared" si="8"/>
        <v>522863.83350000001</v>
      </c>
      <c r="I76" s="65">
        <f t="shared" si="9"/>
        <v>1943314.0265999998</v>
      </c>
      <c r="J76" s="114">
        <f>'TOTAIS  20 E 21'!CJ8</f>
        <v>3450105.2607997358</v>
      </c>
      <c r="M76" s="122">
        <f t="shared" si="10"/>
        <v>2586968.2243999997</v>
      </c>
    </row>
    <row r="77" spans="1:13" ht="21" customHeight="1" x14ac:dyDescent="0.4">
      <c r="A77" s="52">
        <v>45748</v>
      </c>
      <c r="B77" s="63">
        <f>'TOTAIS  20 E 21'!CK2</f>
        <v>3939627.5</v>
      </c>
      <c r="C77" s="64">
        <f>IF(-DRE!AC22=0,"",0)</f>
        <v>0</v>
      </c>
      <c r="D77" s="64">
        <f>IF(-DRE!AC22=0,"",0)</f>
        <v>0</v>
      </c>
      <c r="E77" s="65">
        <f>IF(-DRE!$AC$22=0,"",-DRE!$AC$22)</f>
        <v>1483785.7775999999</v>
      </c>
      <c r="F77" s="64">
        <f>IF(-DRE!$AC$34=0,"",-DRE!$AC$34)</f>
        <v>540123.74239999999</v>
      </c>
      <c r="G77" s="64">
        <v>0</v>
      </c>
      <c r="H77" s="95">
        <f t="shared" si="8"/>
        <v>540123.74239999999</v>
      </c>
      <c r="I77" s="65">
        <f t="shared" si="9"/>
        <v>2023909.52</v>
      </c>
      <c r="J77" s="114">
        <f>'TOTAIS  20 E 21'!CK8</f>
        <v>3421585.1947974907</v>
      </c>
      <c r="M77" s="122">
        <f t="shared" si="10"/>
        <v>2586968.2243999997</v>
      </c>
    </row>
    <row r="78" spans="1:13" ht="21" customHeight="1" x14ac:dyDescent="0.4">
      <c r="A78" s="52">
        <v>45778</v>
      </c>
      <c r="B78" s="63">
        <f>'TOTAIS  20 E 21'!CL2</f>
        <v>3548210.8800000008</v>
      </c>
      <c r="C78" s="64">
        <f>IF(-DRE!AE22=0,"",0)</f>
        <v>0</v>
      </c>
      <c r="D78" s="64">
        <f>IF(-DRE!AE22=0,"",0)</f>
        <v>0</v>
      </c>
      <c r="E78" s="65">
        <f>IF(-DRE!$AE$22=0,"",-DRE!$AE$22)</f>
        <v>1575153.351</v>
      </c>
      <c r="F78" s="64">
        <f>IF(-DRE!$AE$34=0,"",-DRE!$AE$34)</f>
        <v>556426.91</v>
      </c>
      <c r="G78" s="64">
        <v>0</v>
      </c>
      <c r="H78" s="95">
        <f t="shared" si="8"/>
        <v>556426.91</v>
      </c>
      <c r="I78" s="65">
        <f t="shared" si="9"/>
        <v>2131580.2609999999</v>
      </c>
      <c r="J78" s="114">
        <f>'TOTAIS  20 E 21'!CL8</f>
        <v>3439636.9320489997</v>
      </c>
      <c r="M78" s="122">
        <f t="shared" si="10"/>
        <v>2586968.2243999997</v>
      </c>
    </row>
    <row r="79" spans="1:13" ht="21" customHeight="1" x14ac:dyDescent="0.4">
      <c r="A79" s="52">
        <v>45809</v>
      </c>
      <c r="B79" s="63">
        <f>'TOTAIS  20 E 21'!CM2</f>
        <v>4304516.2699640002</v>
      </c>
      <c r="C79" s="64">
        <f>IF(-DRE!AG22=0,"",0)</f>
        <v>0</v>
      </c>
      <c r="D79" s="64">
        <f>IF(-DRE!AG22=0,"",0)</f>
        <v>0</v>
      </c>
      <c r="E79" s="65">
        <f>IF(-DRE!$AG$22=0,"",-DRE!$AG$22)</f>
        <v>1596757.1</v>
      </c>
      <c r="F79" s="64">
        <f>IF(-DRE!$AG$34=0,"",-DRE!$AG$34)</f>
        <v>550571.80000000005</v>
      </c>
      <c r="G79" s="64">
        <v>0</v>
      </c>
      <c r="H79" s="95">
        <f t="shared" si="8"/>
        <v>550571.80000000005</v>
      </c>
      <c r="I79" s="65">
        <f t="shared" si="9"/>
        <v>2147328.9000000004</v>
      </c>
      <c r="J79" s="114">
        <f>'TOTAIS  20 E 21'!CM8</f>
        <v>3663274.56702</v>
      </c>
      <c r="M79" s="122">
        <f t="shared" si="10"/>
        <v>2586968.2243999997</v>
      </c>
    </row>
    <row r="80" spans="1:13" ht="21" customHeight="1" x14ac:dyDescent="0.4">
      <c r="A80" s="52">
        <v>45839</v>
      </c>
      <c r="B80" s="63">
        <f>'TOTAIS  20 E 21'!CN2</f>
        <v>4526009.38</v>
      </c>
      <c r="C80" s="64">
        <f>IF(-DRE!AI22=0,"",0)</f>
        <v>0</v>
      </c>
      <c r="D80" s="64">
        <f>IF(-DRE!AI22=0,"",0)</f>
        <v>0</v>
      </c>
      <c r="E80" s="65">
        <f>IF(-DRE!$AI$22=0,"",-DRE!$AI$22)</f>
        <v>1594773.16</v>
      </c>
      <c r="F80" s="64">
        <f>IF(-DRE!$AI$34=0,"",-DRE!$AI$34)</f>
        <v>591983.14500000002</v>
      </c>
      <c r="G80" s="64">
        <v>0</v>
      </c>
      <c r="H80" s="95">
        <f t="shared" si="8"/>
        <v>591983.14500000002</v>
      </c>
      <c r="I80" s="65">
        <f t="shared" si="9"/>
        <v>2186756.3049999997</v>
      </c>
      <c r="J80" s="114">
        <f>'TOTAIS  20 E 21'!CN8</f>
        <v>3695605.0500739999</v>
      </c>
      <c r="M80" s="122">
        <f t="shared" si="10"/>
        <v>2586968.2243999997</v>
      </c>
    </row>
    <row r="81" spans="1:13" ht="21" customHeight="1" x14ac:dyDescent="0.4">
      <c r="A81" s="52">
        <v>45870</v>
      </c>
      <c r="B81" s="63">
        <f>'TOTAIS  20 E 21'!CO2</f>
        <v>4828600.7084499998</v>
      </c>
      <c r="C81" s="64">
        <f>IF(-DRE!AK22=0,"",0)</f>
        <v>0</v>
      </c>
      <c r="D81" s="64">
        <f>IF(-DRE!AK22=0,"",0)</f>
        <v>0</v>
      </c>
      <c r="E81" s="65">
        <f>IF(-DRE!$AK$22=0,"",-DRE!$AK$22)</f>
        <v>1598716.6397999995</v>
      </c>
      <c r="F81" s="64">
        <f>IF(-DRE!$AK$34=0,"",-DRE!$AK$34)</f>
        <v>568047.18450000009</v>
      </c>
      <c r="G81" s="64">
        <v>0</v>
      </c>
      <c r="H81" s="95">
        <f t="shared" si="8"/>
        <v>568047.18450000009</v>
      </c>
      <c r="I81" s="65">
        <f t="shared" si="9"/>
        <v>2166763.8242999995</v>
      </c>
      <c r="J81" s="114">
        <f>'TOTAIS  20 E 21'!CO8</f>
        <v>3579908.552383</v>
      </c>
      <c r="M81" s="122">
        <f t="shared" si="10"/>
        <v>2586968.2243999997</v>
      </c>
    </row>
    <row r="82" spans="1:13" ht="21" customHeight="1" x14ac:dyDescent="0.4">
      <c r="A82" s="52">
        <v>45901</v>
      </c>
      <c r="B82" s="63">
        <f>'TOTAIS  20 E 21'!CP2</f>
        <v>4420476.6128320005</v>
      </c>
      <c r="C82" s="64">
        <f>IF(-DRE!AM22=0,"",0)</f>
        <v>0</v>
      </c>
      <c r="D82" s="64">
        <f>IF(-DRE!AM22=0,"",0)</f>
        <v>0</v>
      </c>
      <c r="E82" s="65">
        <f>IF(-DRE!$AM$22=0,"",-DRE!$AM$22)</f>
        <v>1618700.8512999993</v>
      </c>
      <c r="F82" s="64">
        <f>IF(-DRE!$AM$34=0,"",-DRE!$AM$34)</f>
        <v>593873.33950000012</v>
      </c>
      <c r="G82" s="64">
        <v>0</v>
      </c>
      <c r="H82" s="95">
        <f t="shared" si="8"/>
        <v>593873.33950000012</v>
      </c>
      <c r="I82" s="65">
        <f t="shared" si="9"/>
        <v>2212574.1907999995</v>
      </c>
      <c r="J82" s="114">
        <f>'TOTAIS  20 E 21'!CP8</f>
        <v>4009107.362592964</v>
      </c>
      <c r="M82" s="122">
        <f t="shared" si="10"/>
        <v>2586968.2243999997</v>
      </c>
    </row>
    <row r="83" spans="1:13" ht="21" customHeight="1" x14ac:dyDescent="0.4">
      <c r="A83" s="52">
        <v>45931</v>
      </c>
      <c r="B83" s="63">
        <f>'TOTAIS  20 E 21'!CQ2</f>
        <v>4300330.28</v>
      </c>
      <c r="C83" s="64">
        <f>IF(-DRE!AO22=0,"",0)</f>
        <v>0</v>
      </c>
      <c r="D83" s="64">
        <f>IF(-DRE!AO22=0,"",0)</f>
        <v>0</v>
      </c>
      <c r="E83" s="65">
        <f>IF(-DRE!$AO$22=0,"",-DRE!$AO$22)</f>
        <v>1632905.1767999995</v>
      </c>
      <c r="F83" s="64">
        <f>IF(-DRE!$AO$34=0,"",-DRE!$AO$34)</f>
        <v>528241.38699999999</v>
      </c>
      <c r="G83" s="64">
        <v>0</v>
      </c>
      <c r="H83" s="95">
        <f t="shared" si="8"/>
        <v>528241.38699999999</v>
      </c>
      <c r="I83" s="65">
        <f t="shared" si="9"/>
        <v>2161146.5637999997</v>
      </c>
      <c r="J83" s="114">
        <f>'TOTAIS  20 E 21'!CQ8</f>
        <v>3650367.4379567346</v>
      </c>
      <c r="M83" s="122">
        <f t="shared" si="10"/>
        <v>2586968.2243999997</v>
      </c>
    </row>
    <row r="84" spans="1:13" ht="21" customHeight="1" x14ac:dyDescent="0.4">
      <c r="A84" s="52">
        <v>45962</v>
      </c>
      <c r="B84" s="63">
        <f>'TOTAIS  20 E 21'!CR2</f>
        <v>4681796.72</v>
      </c>
      <c r="C84" s="64">
        <f>IF(-DRE!AQ22=0,"",0)</f>
        <v>0</v>
      </c>
      <c r="D84" s="64">
        <f>IF(-DRE!AQ22=0,"",0)</f>
        <v>0</v>
      </c>
      <c r="E84" s="65">
        <f>IF(-DRE!$AQ$22=0,"",-DRE!$AQ$22)</f>
        <v>1653420.7499999998</v>
      </c>
      <c r="F84" s="64">
        <f>IF(-DRE!$AQ$34=0,"",-DRE!$AQ$34)</f>
        <v>663956.28</v>
      </c>
      <c r="G84" s="64">
        <v>0</v>
      </c>
      <c r="H84" s="95">
        <f t="shared" si="8"/>
        <v>663956.28</v>
      </c>
      <c r="I84" s="65">
        <f t="shared" si="9"/>
        <v>2317377.0299999998</v>
      </c>
      <c r="J84" s="114">
        <f>'TOTAIS  20 E 21'!CR8</f>
        <v>4047441.1483200006</v>
      </c>
      <c r="M84" s="122">
        <f t="shared" si="10"/>
        <v>2586968.2243999997</v>
      </c>
    </row>
    <row r="85" spans="1:13" ht="21" customHeight="1" x14ac:dyDescent="0.4">
      <c r="A85" s="52">
        <v>45992</v>
      </c>
      <c r="B85" s="63">
        <f>'TOTAIS  20 E 21'!CS2</f>
        <v>7347433.0200000014</v>
      </c>
      <c r="C85" s="64">
        <f>IF(-DRE!AS22=0,"",0)</f>
        <v>0</v>
      </c>
      <c r="D85" s="64">
        <f>IF(-DRE!AS22=0,"",0)</f>
        <v>0</v>
      </c>
      <c r="E85" s="65">
        <f>IF(-DRE!$AS$22=0,"",-DRE!$AS$22)</f>
        <v>1708820.5143999998</v>
      </c>
      <c r="F85" s="64">
        <f>IF(-DRE!$AS$34=0,"",-DRE!$AS$34)</f>
        <v>878147.71000000008</v>
      </c>
      <c r="G85" s="64">
        <v>0</v>
      </c>
      <c r="H85" s="95">
        <f t="shared" si="8"/>
        <v>878147.71000000008</v>
      </c>
      <c r="I85" s="65">
        <f t="shared" si="9"/>
        <v>2586968.2243999997</v>
      </c>
      <c r="J85" s="114">
        <f>'TOTAIS  20 E 21'!CS8</f>
        <v>4467699.2041689996</v>
      </c>
      <c r="M85" s="122">
        <f t="shared" si="10"/>
        <v>2586968.2243999997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D948-AC7B-49D8-A39E-713851AD12F3}">
  <sheetPr>
    <tabColor rgb="FFFF0000"/>
  </sheetPr>
  <dimension ref="A1:CB174"/>
  <sheetViews>
    <sheetView workbookViewId="0">
      <pane xSplit="6" ySplit="1" topLeftCell="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40.85546875" bestFit="1" customWidth="1"/>
    <col min="7" max="7" width="6.42578125" customWidth="1"/>
    <col min="8" max="8" width="48.42578125" customWidth="1"/>
    <col min="9" max="9" width="17.85546875" bestFit="1" customWidth="1"/>
    <col min="10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374</v>
      </c>
      <c r="E1" s="17" t="s">
        <v>174</v>
      </c>
      <c r="F1" s="17" t="s">
        <v>33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>
        <v>2</v>
      </c>
      <c r="C3" s="2"/>
      <c r="D3" s="99"/>
      <c r="E3" s="20"/>
      <c r="F3" s="225" t="s">
        <v>325</v>
      </c>
      <c r="G3" s="20"/>
      <c r="H3" s="20"/>
      <c r="I3" s="20">
        <f>I4+I5</f>
        <v>0</v>
      </c>
      <c r="J3" s="20">
        <f t="shared" ref="J3:BI3" si="4">J4+J5</f>
        <v>0</v>
      </c>
      <c r="K3" s="20">
        <f t="shared" si="4"/>
        <v>0</v>
      </c>
      <c r="L3" s="20">
        <f t="shared" si="4"/>
        <v>0</v>
      </c>
      <c r="M3" s="20">
        <f t="shared" si="4"/>
        <v>0</v>
      </c>
      <c r="N3" s="20">
        <f t="shared" si="4"/>
        <v>0</v>
      </c>
      <c r="O3" s="20">
        <f t="shared" si="4"/>
        <v>0</v>
      </c>
      <c r="P3" s="20">
        <f t="shared" si="4"/>
        <v>0</v>
      </c>
      <c r="Q3" s="20">
        <f t="shared" si="4"/>
        <v>0</v>
      </c>
      <c r="R3" s="20">
        <f t="shared" si="4"/>
        <v>0</v>
      </c>
      <c r="S3" s="20">
        <f t="shared" si="4"/>
        <v>0</v>
      </c>
      <c r="T3" s="20">
        <f t="shared" si="4"/>
        <v>0</v>
      </c>
      <c r="U3" s="20">
        <f t="shared" si="4"/>
        <v>0</v>
      </c>
      <c r="V3" s="20">
        <f t="shared" si="4"/>
        <v>0</v>
      </c>
      <c r="W3" s="20">
        <f t="shared" si="4"/>
        <v>0</v>
      </c>
      <c r="X3" s="20">
        <f t="shared" si="4"/>
        <v>0</v>
      </c>
      <c r="Y3" s="20">
        <f t="shared" si="4"/>
        <v>0</v>
      </c>
      <c r="Z3" s="20">
        <f t="shared" si="4"/>
        <v>0</v>
      </c>
      <c r="AA3" s="20">
        <f t="shared" si="4"/>
        <v>0</v>
      </c>
      <c r="AB3" s="20">
        <f t="shared" si="4"/>
        <v>0</v>
      </c>
      <c r="AC3" s="20">
        <f t="shared" si="4"/>
        <v>0</v>
      </c>
      <c r="AD3" s="20">
        <f t="shared" si="4"/>
        <v>0</v>
      </c>
      <c r="AE3" s="20">
        <f t="shared" si="4"/>
        <v>0</v>
      </c>
      <c r="AF3" s="20">
        <f t="shared" si="4"/>
        <v>0</v>
      </c>
      <c r="AG3" s="20">
        <f t="shared" si="4"/>
        <v>0</v>
      </c>
      <c r="AH3" s="20">
        <f t="shared" si="4"/>
        <v>0</v>
      </c>
      <c r="AI3" s="20">
        <f t="shared" si="4"/>
        <v>0</v>
      </c>
      <c r="AJ3" s="20">
        <f t="shared" si="4"/>
        <v>0</v>
      </c>
      <c r="AK3" s="20">
        <f t="shared" si="4"/>
        <v>0</v>
      </c>
      <c r="AL3" s="20">
        <f t="shared" si="4"/>
        <v>0</v>
      </c>
      <c r="AM3" s="20">
        <f t="shared" si="4"/>
        <v>0</v>
      </c>
      <c r="AN3" s="20">
        <f t="shared" si="4"/>
        <v>0</v>
      </c>
      <c r="AO3" s="20">
        <f t="shared" si="4"/>
        <v>0</v>
      </c>
      <c r="AP3" s="20">
        <f t="shared" si="4"/>
        <v>0</v>
      </c>
      <c r="AQ3" s="20">
        <f t="shared" si="4"/>
        <v>0</v>
      </c>
      <c r="AR3" s="20">
        <f t="shared" si="4"/>
        <v>0</v>
      </c>
      <c r="AS3" s="20">
        <f t="shared" si="4"/>
        <v>0</v>
      </c>
      <c r="AT3" s="20">
        <f t="shared" si="4"/>
        <v>0</v>
      </c>
      <c r="AU3" s="20">
        <f t="shared" si="4"/>
        <v>-7800</v>
      </c>
      <c r="AV3" s="20">
        <f t="shared" si="4"/>
        <v>0</v>
      </c>
      <c r="AW3" s="20">
        <f t="shared" si="4"/>
        <v>-18049.05</v>
      </c>
      <c r="AX3" s="20">
        <f t="shared" si="4"/>
        <v>0</v>
      </c>
      <c r="AY3" s="20">
        <f t="shared" si="4"/>
        <v>0</v>
      </c>
      <c r="AZ3" s="20">
        <f t="shared" si="4"/>
        <v>-3754.01</v>
      </c>
      <c r="BA3" s="20">
        <f t="shared" si="4"/>
        <v>-30733.65</v>
      </c>
      <c r="BB3" s="20">
        <f t="shared" si="4"/>
        <v>-30733.63</v>
      </c>
      <c r="BC3" s="20">
        <f t="shared" si="4"/>
        <v>-40441.49</v>
      </c>
      <c r="BD3" s="20">
        <f t="shared" si="4"/>
        <v>-33171.86</v>
      </c>
      <c r="BE3" s="20">
        <f t="shared" si="4"/>
        <v>-32088.69</v>
      </c>
      <c r="BF3" s="20">
        <f t="shared" si="4"/>
        <v>-31547.81</v>
      </c>
      <c r="BG3" s="109">
        <f t="shared" si="4"/>
        <v>-31712.15</v>
      </c>
      <c r="BH3" s="109">
        <f t="shared" si="4"/>
        <v>-30890.400000000001</v>
      </c>
      <c r="BI3" s="109">
        <f t="shared" si="4"/>
        <v>-30740.65</v>
      </c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>
        <v>3</v>
      </c>
      <c r="C4" s="2"/>
      <c r="D4" s="99"/>
      <c r="E4" s="20"/>
      <c r="F4" s="226" t="s">
        <v>326</v>
      </c>
      <c r="G4" s="20"/>
      <c r="H4" s="20"/>
      <c r="I4" s="20">
        <v>0</v>
      </c>
      <c r="J4" s="20">
        <v>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>
        <v>4</v>
      </c>
      <c r="C5" s="2"/>
      <c r="D5" s="99"/>
      <c r="E5" s="20"/>
      <c r="F5" s="226" t="s">
        <v>327</v>
      </c>
      <c r="G5" s="20"/>
      <c r="H5" s="20"/>
      <c r="I5" s="20">
        <f>SUM(I6:I9)</f>
        <v>0</v>
      </c>
      <c r="J5" s="20">
        <f t="shared" ref="J5:BI5" si="5">SUM(J6:J9)</f>
        <v>0</v>
      </c>
      <c r="K5" s="20">
        <f t="shared" si="5"/>
        <v>0</v>
      </c>
      <c r="L5" s="20">
        <f t="shared" si="5"/>
        <v>0</v>
      </c>
      <c r="M5" s="20">
        <f t="shared" si="5"/>
        <v>0</v>
      </c>
      <c r="N5" s="20">
        <f t="shared" si="5"/>
        <v>0</v>
      </c>
      <c r="O5" s="20">
        <f t="shared" si="5"/>
        <v>0</v>
      </c>
      <c r="P5" s="20">
        <f t="shared" si="5"/>
        <v>0</v>
      </c>
      <c r="Q5" s="20">
        <f t="shared" si="5"/>
        <v>0</v>
      </c>
      <c r="R5" s="20">
        <f t="shared" si="5"/>
        <v>0</v>
      </c>
      <c r="S5" s="20">
        <f t="shared" si="5"/>
        <v>0</v>
      </c>
      <c r="T5" s="20">
        <f t="shared" si="5"/>
        <v>0</v>
      </c>
      <c r="U5" s="20">
        <f t="shared" si="5"/>
        <v>0</v>
      </c>
      <c r="V5" s="20">
        <f t="shared" si="5"/>
        <v>0</v>
      </c>
      <c r="W5" s="20">
        <f t="shared" si="5"/>
        <v>0</v>
      </c>
      <c r="X5" s="20">
        <f t="shared" si="5"/>
        <v>0</v>
      </c>
      <c r="Y5" s="20">
        <f t="shared" si="5"/>
        <v>0</v>
      </c>
      <c r="Z5" s="20">
        <f t="shared" si="5"/>
        <v>0</v>
      </c>
      <c r="AA5" s="20">
        <f t="shared" si="5"/>
        <v>0</v>
      </c>
      <c r="AB5" s="20">
        <f t="shared" si="5"/>
        <v>0</v>
      </c>
      <c r="AC5" s="20">
        <f t="shared" si="5"/>
        <v>0</v>
      </c>
      <c r="AD5" s="20">
        <f t="shared" si="5"/>
        <v>0</v>
      </c>
      <c r="AE5" s="20">
        <f t="shared" si="5"/>
        <v>0</v>
      </c>
      <c r="AF5" s="20">
        <f t="shared" si="5"/>
        <v>0</v>
      </c>
      <c r="AG5" s="20">
        <f t="shared" si="5"/>
        <v>0</v>
      </c>
      <c r="AH5" s="20">
        <f t="shared" si="5"/>
        <v>0</v>
      </c>
      <c r="AI5" s="20">
        <f t="shared" si="5"/>
        <v>0</v>
      </c>
      <c r="AJ5" s="20">
        <f t="shared" si="5"/>
        <v>0</v>
      </c>
      <c r="AK5" s="20">
        <f t="shared" si="5"/>
        <v>0</v>
      </c>
      <c r="AL5" s="20">
        <f t="shared" si="5"/>
        <v>0</v>
      </c>
      <c r="AM5" s="20">
        <f t="shared" si="5"/>
        <v>0</v>
      </c>
      <c r="AN5" s="20">
        <f t="shared" si="5"/>
        <v>0</v>
      </c>
      <c r="AO5" s="20">
        <f t="shared" si="5"/>
        <v>0</v>
      </c>
      <c r="AP5" s="20">
        <f t="shared" si="5"/>
        <v>0</v>
      </c>
      <c r="AQ5" s="20">
        <f t="shared" si="5"/>
        <v>0</v>
      </c>
      <c r="AR5" s="20">
        <f t="shared" si="5"/>
        <v>0</v>
      </c>
      <c r="AS5" s="20">
        <f t="shared" si="5"/>
        <v>0</v>
      </c>
      <c r="AT5" s="20">
        <f t="shared" si="5"/>
        <v>0</v>
      </c>
      <c r="AU5" s="20">
        <f t="shared" si="5"/>
        <v>-7800</v>
      </c>
      <c r="AV5" s="20">
        <f t="shared" si="5"/>
        <v>0</v>
      </c>
      <c r="AW5" s="20">
        <f t="shared" si="5"/>
        <v>-18049.05</v>
      </c>
      <c r="AX5" s="20">
        <f t="shared" si="5"/>
        <v>0</v>
      </c>
      <c r="AY5" s="20">
        <f t="shared" si="5"/>
        <v>0</v>
      </c>
      <c r="AZ5" s="20">
        <f t="shared" si="5"/>
        <v>-3754.01</v>
      </c>
      <c r="BA5" s="20">
        <f t="shared" si="5"/>
        <v>-30733.65</v>
      </c>
      <c r="BB5" s="20">
        <f t="shared" si="5"/>
        <v>-30733.63</v>
      </c>
      <c r="BC5" s="20">
        <f t="shared" si="5"/>
        <v>-40441.49</v>
      </c>
      <c r="BD5" s="20">
        <f t="shared" si="5"/>
        <v>-33171.86</v>
      </c>
      <c r="BE5" s="20">
        <f t="shared" si="5"/>
        <v>-32088.69</v>
      </c>
      <c r="BF5" s="20">
        <f t="shared" si="5"/>
        <v>-31547.81</v>
      </c>
      <c r="BG5" s="109">
        <f t="shared" si="5"/>
        <v>-31712.15</v>
      </c>
      <c r="BH5" s="109">
        <f t="shared" si="5"/>
        <v>-30890.400000000001</v>
      </c>
      <c r="BI5" s="109">
        <f t="shared" si="5"/>
        <v>-30740.65</v>
      </c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>
        <v>5</v>
      </c>
      <c r="C6" s="2"/>
      <c r="D6" s="99"/>
      <c r="E6" s="20"/>
      <c r="F6" s="227" t="s">
        <v>328</v>
      </c>
      <c r="G6" s="20"/>
      <c r="H6" s="20"/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6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6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7">SUM(AU7:BF7)</f>
        <v>-228320.19</v>
      </c>
      <c r="BU7" s="103">
        <f t="shared" ref="BU7" si="8">SUM(BG7:BR7)</f>
        <v>-93343.200000000012</v>
      </c>
      <c r="BV7" s="103">
        <f t="shared" ref="BV7" si="9">AVERAGE(AU7:BF7)</f>
        <v>-19026.682499999999</v>
      </c>
      <c r="BW7" s="103">
        <f t="shared" ref="BW7" si="10">AVERAGE(BG7:BR7)</f>
        <v>-31114.400000000005</v>
      </c>
      <c r="BX7" s="105">
        <f t="shared" ref="BX7" si="11">BI7/BW7-1</f>
        <v>-1.2012123004139674E-2</v>
      </c>
      <c r="CA7">
        <f t="shared" ref="CA7" si="12">MONTH($BZ$2)</f>
        <v>3</v>
      </c>
    </row>
    <row r="8" spans="1:80" ht="15" x14ac:dyDescent="0.2">
      <c r="A8" s="2"/>
      <c r="B8" s="2">
        <v>7</v>
      </c>
      <c r="C8" s="2"/>
      <c r="D8" s="99"/>
      <c r="E8" s="20"/>
      <c r="F8" s="227" t="s">
        <v>330</v>
      </c>
      <c r="G8" s="20"/>
      <c r="H8" s="20"/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>
        <v>8</v>
      </c>
      <c r="C9" s="2"/>
      <c r="D9" s="99"/>
      <c r="E9" s="20"/>
      <c r="F9" s="227" t="s">
        <v>331</v>
      </c>
      <c r="G9" s="20"/>
      <c r="H9" s="20"/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>
        <v>9</v>
      </c>
      <c r="C10" s="2"/>
      <c r="D10" s="99"/>
      <c r="E10" s="20"/>
      <c r="F10" s="225" t="s">
        <v>332</v>
      </c>
      <c r="G10" s="20"/>
      <c r="H10" s="20"/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>
        <v>10</v>
      </c>
      <c r="C11" s="2"/>
      <c r="D11" s="99"/>
      <c r="E11" s="20"/>
      <c r="F11" s="219" t="s">
        <v>333</v>
      </c>
      <c r="G11" s="20"/>
      <c r="H11" s="20"/>
      <c r="I11" s="20">
        <f>SUM(I12:I15)</f>
        <v>2128952.7909999602</v>
      </c>
      <c r="J11" s="20">
        <f t="shared" ref="J11:BI11" si="13">SUM(J12:J15)</f>
        <v>1573272.09</v>
      </c>
      <c r="K11" s="20">
        <f t="shared" si="13"/>
        <v>2476961.4419999002</v>
      </c>
      <c r="L11" s="20">
        <f t="shared" si="13"/>
        <v>2086485.9379999503</v>
      </c>
      <c r="M11" s="20">
        <f t="shared" si="13"/>
        <v>2038109.0599999509</v>
      </c>
      <c r="N11" s="20">
        <f t="shared" si="13"/>
        <v>1960087.75</v>
      </c>
      <c r="O11" s="20">
        <f t="shared" si="13"/>
        <v>2449578.39</v>
      </c>
      <c r="P11" s="20">
        <f t="shared" si="13"/>
        <v>1751404.72</v>
      </c>
      <c r="Q11" s="20">
        <f t="shared" si="13"/>
        <v>2636104.9099999997</v>
      </c>
      <c r="R11" s="20">
        <f t="shared" si="13"/>
        <v>1991057.3699999999</v>
      </c>
      <c r="S11" s="20">
        <f t="shared" si="13"/>
        <v>2890477.23</v>
      </c>
      <c r="T11" s="20">
        <f t="shared" si="13"/>
        <v>2672542.36</v>
      </c>
      <c r="U11" s="20">
        <f t="shared" si="13"/>
        <v>2672542.36</v>
      </c>
      <c r="V11" s="20">
        <f t="shared" si="13"/>
        <v>2160275.17</v>
      </c>
      <c r="W11" s="20">
        <f t="shared" si="13"/>
        <v>2160275.17</v>
      </c>
      <c r="X11" s="20">
        <f t="shared" si="13"/>
        <v>1729170.56</v>
      </c>
      <c r="Y11" s="20">
        <f t="shared" si="13"/>
        <v>1408118.18</v>
      </c>
      <c r="Z11" s="20">
        <f t="shared" si="13"/>
        <v>2194304.09</v>
      </c>
      <c r="AA11" s="20">
        <f t="shared" si="13"/>
        <v>2650378.81</v>
      </c>
      <c r="AB11" s="20">
        <f t="shared" si="13"/>
        <v>2209415.48</v>
      </c>
      <c r="AC11" s="20">
        <f t="shared" si="13"/>
        <v>2332555.91</v>
      </c>
      <c r="AD11" s="20">
        <f t="shared" si="13"/>
        <v>2180870.0699999994</v>
      </c>
      <c r="AE11" s="20">
        <f t="shared" si="13"/>
        <v>2274247.4400000004</v>
      </c>
      <c r="AF11" s="20">
        <f t="shared" si="13"/>
        <v>2588760.7199999997</v>
      </c>
      <c r="AG11" s="20">
        <f t="shared" si="13"/>
        <v>2581281.1</v>
      </c>
      <c r="AH11" s="20">
        <f t="shared" si="13"/>
        <v>3002777.14</v>
      </c>
      <c r="AI11" s="20">
        <f t="shared" si="13"/>
        <v>2236775.35</v>
      </c>
      <c r="AJ11" s="20">
        <f t="shared" si="13"/>
        <v>1432655.23</v>
      </c>
      <c r="AK11" s="20">
        <f t="shared" si="13"/>
        <v>2011358.93</v>
      </c>
      <c r="AL11" s="20">
        <f t="shared" si="13"/>
        <v>2659030.98</v>
      </c>
      <c r="AM11" s="20">
        <f t="shared" si="13"/>
        <v>3006579.75</v>
      </c>
      <c r="AN11" s="20">
        <f t="shared" si="13"/>
        <v>2464901.36</v>
      </c>
      <c r="AO11" s="20">
        <f t="shared" si="13"/>
        <v>2501382.06</v>
      </c>
      <c r="AP11" s="20">
        <f t="shared" si="13"/>
        <v>2204860.0499999998</v>
      </c>
      <c r="AQ11" s="20">
        <f t="shared" si="13"/>
        <v>2556896.0299999998</v>
      </c>
      <c r="AR11" s="20">
        <f t="shared" si="13"/>
        <v>2707697.44</v>
      </c>
      <c r="AS11" s="20">
        <f t="shared" si="13"/>
        <v>2415882.54</v>
      </c>
      <c r="AT11" s="20">
        <f t="shared" si="13"/>
        <v>2692784.64</v>
      </c>
      <c r="AU11" s="20">
        <f t="shared" si="13"/>
        <v>2851785.31</v>
      </c>
      <c r="AV11" s="20">
        <f t="shared" si="13"/>
        <v>2290503.62</v>
      </c>
      <c r="AW11" s="20">
        <f t="shared" si="13"/>
        <v>2240714.7400000002</v>
      </c>
      <c r="AX11" s="20">
        <f t="shared" si="13"/>
        <v>3226365.23</v>
      </c>
      <c r="AY11" s="20">
        <f t="shared" si="13"/>
        <v>2759630.72</v>
      </c>
      <c r="AZ11" s="20">
        <f t="shared" si="13"/>
        <v>2760742.3400000003</v>
      </c>
      <c r="BA11" s="20">
        <f t="shared" si="13"/>
        <v>2808455.36</v>
      </c>
      <c r="BB11" s="20">
        <f t="shared" si="13"/>
        <v>3770841.2200000007</v>
      </c>
      <c r="BC11" s="20">
        <f t="shared" si="13"/>
        <v>3306353.3099999996</v>
      </c>
      <c r="BD11" s="20">
        <f t="shared" si="13"/>
        <v>3212534.2600000002</v>
      </c>
      <c r="BE11" s="20">
        <f t="shared" si="13"/>
        <v>3447359.9999999995</v>
      </c>
      <c r="BF11" s="20">
        <f t="shared" si="13"/>
        <v>4891701.1100000003</v>
      </c>
      <c r="BG11" s="109">
        <f t="shared" si="13"/>
        <v>3178043.11</v>
      </c>
      <c r="BH11" s="109">
        <f t="shared" si="13"/>
        <v>3226047.27</v>
      </c>
      <c r="BI11" s="109">
        <f t="shared" si="13"/>
        <v>2574451.8300000005</v>
      </c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11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9" si="14">CONCATENATE(A12,E12)</f>
        <v>1 - TOTAL</v>
      </c>
      <c r="I12" s="20">
        <f>I2+I3-I14-I13-I15</f>
        <v>2080493.1609999603</v>
      </c>
      <c r="J12" s="20">
        <f t="shared" ref="J12:BI12" si="15">J2+J3-J14-J13-J15</f>
        <v>1557878.36</v>
      </c>
      <c r="K12" s="20">
        <f t="shared" si="15"/>
        <v>2467867.0219999002</v>
      </c>
      <c r="L12" s="20">
        <f t="shared" si="15"/>
        <v>2077416.3179999501</v>
      </c>
      <c r="M12" s="20">
        <f t="shared" si="15"/>
        <v>2023994.409999951</v>
      </c>
      <c r="N12" s="20">
        <f t="shared" si="15"/>
        <v>1893787.87</v>
      </c>
      <c r="O12" s="20">
        <f t="shared" si="15"/>
        <v>2432703.7400000002</v>
      </c>
      <c r="P12" s="20">
        <f t="shared" si="15"/>
        <v>1729132.8599999999</v>
      </c>
      <c r="Q12" s="20">
        <f t="shared" si="15"/>
        <v>2626606.65</v>
      </c>
      <c r="R12" s="20">
        <f t="shared" si="15"/>
        <v>1944716.39</v>
      </c>
      <c r="S12" s="20">
        <f t="shared" si="15"/>
        <v>2879198.23</v>
      </c>
      <c r="T12" s="20">
        <f t="shared" si="15"/>
        <v>2636964.1199999996</v>
      </c>
      <c r="U12" s="20">
        <f t="shared" si="15"/>
        <v>2636964.1199999996</v>
      </c>
      <c r="V12" s="20">
        <f t="shared" si="15"/>
        <v>2148686.1799999997</v>
      </c>
      <c r="W12" s="20">
        <f t="shared" si="15"/>
        <v>2148686.1799999997</v>
      </c>
      <c r="X12" s="20">
        <f t="shared" si="15"/>
        <v>1696947.3800000001</v>
      </c>
      <c r="Y12" s="20">
        <f t="shared" si="15"/>
        <v>1392808.22</v>
      </c>
      <c r="Z12" s="20">
        <f t="shared" si="15"/>
        <v>2148581.48</v>
      </c>
      <c r="AA12" s="20">
        <f t="shared" si="15"/>
        <v>2615876.56</v>
      </c>
      <c r="AB12" s="20">
        <f t="shared" si="15"/>
        <v>2171635.73</v>
      </c>
      <c r="AC12" s="20">
        <f t="shared" si="15"/>
        <v>2290461.33</v>
      </c>
      <c r="AD12" s="20">
        <f t="shared" si="15"/>
        <v>2137745.8699999992</v>
      </c>
      <c r="AE12" s="20">
        <f t="shared" si="15"/>
        <v>2227187.0300000003</v>
      </c>
      <c r="AF12" s="20">
        <f t="shared" si="15"/>
        <v>2548910.1399999997</v>
      </c>
      <c r="AG12" s="20">
        <f t="shared" si="15"/>
        <v>2497815.87</v>
      </c>
      <c r="AH12" s="20">
        <f t="shared" si="15"/>
        <v>2915902.69</v>
      </c>
      <c r="AI12" s="20">
        <f t="shared" si="15"/>
        <v>2207028.7200000002</v>
      </c>
      <c r="AJ12" s="20">
        <f t="shared" si="15"/>
        <v>1413713.47</v>
      </c>
      <c r="AK12" s="20">
        <f t="shared" si="15"/>
        <v>1978443.77</v>
      </c>
      <c r="AL12" s="20">
        <f t="shared" si="15"/>
        <v>2552963.2599999998</v>
      </c>
      <c r="AM12" s="20">
        <f t="shared" si="15"/>
        <v>2942460.34</v>
      </c>
      <c r="AN12" s="20">
        <f t="shared" si="15"/>
        <v>2353894.8899999997</v>
      </c>
      <c r="AO12" s="20">
        <f t="shared" si="15"/>
        <v>2489830.21</v>
      </c>
      <c r="AP12" s="20">
        <f t="shared" si="15"/>
        <v>2074481.41</v>
      </c>
      <c r="AQ12" s="20">
        <f t="shared" si="15"/>
        <v>2490668.09</v>
      </c>
      <c r="AR12" s="20">
        <f t="shared" si="15"/>
        <v>2627678.59</v>
      </c>
      <c r="AS12" s="20">
        <f t="shared" si="15"/>
        <v>2233248.35</v>
      </c>
      <c r="AT12" s="20">
        <f t="shared" si="15"/>
        <v>2559407.89</v>
      </c>
      <c r="AU12" s="20">
        <f t="shared" si="15"/>
        <v>2834062.91</v>
      </c>
      <c r="AV12" s="20">
        <f t="shared" si="15"/>
        <v>2252640.1800000002</v>
      </c>
      <c r="AW12" s="20">
        <f t="shared" si="15"/>
        <v>2222936.7100000004</v>
      </c>
      <c r="AX12" s="20">
        <f t="shared" si="15"/>
        <v>3189129.54</v>
      </c>
      <c r="AY12" s="20">
        <f t="shared" si="15"/>
        <v>2720686.62</v>
      </c>
      <c r="AZ12" s="20">
        <f t="shared" si="15"/>
        <v>2674467.2800000003</v>
      </c>
      <c r="BA12" s="20">
        <f t="shared" si="15"/>
        <v>2636572.1399999997</v>
      </c>
      <c r="BB12" s="20">
        <f t="shared" si="15"/>
        <v>3693140.3600000008</v>
      </c>
      <c r="BC12" s="20">
        <f t="shared" si="15"/>
        <v>3065747.4499999997</v>
      </c>
      <c r="BD12" s="20">
        <f t="shared" si="15"/>
        <v>3041201.68</v>
      </c>
      <c r="BE12" s="20">
        <f t="shared" si="15"/>
        <v>3281394.7799999993</v>
      </c>
      <c r="BF12" s="20">
        <f t="shared" si="15"/>
        <v>4552102.9800000004</v>
      </c>
      <c r="BG12" s="109">
        <f t="shared" si="15"/>
        <v>3132465.1599999997</v>
      </c>
      <c r="BH12" s="109">
        <f t="shared" si="15"/>
        <v>2968313.23</v>
      </c>
      <c r="BI12" s="109">
        <f t="shared" si="15"/>
        <v>2440903.9000000004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6">SUM(AU12:BF12)</f>
        <v>36164082.629999995</v>
      </c>
      <c r="BU12" s="103">
        <f t="shared" ref="BU12:BU51" si="17">SUM(BG12:BR12)</f>
        <v>8541682.2899999991</v>
      </c>
      <c r="BV12" s="103">
        <f t="shared" ref="BV12:BV52" si="18">AVERAGE(AU12:BF12)</f>
        <v>3013673.5524999998</v>
      </c>
      <c r="BW12" s="103">
        <f t="shared" ref="BW12:BW51" si="19">AVERAGE(BG12:BR12)</f>
        <v>2847227.4299999997</v>
      </c>
      <c r="BX12" s="105">
        <f t="shared" ref="BX12:BX52" si="20">BI12/BW12-1</f>
        <v>-0.14270849097572769</v>
      </c>
      <c r="CA12">
        <f t="shared" ref="CA12:CA83" si="21">MONTH($BZ$2)</f>
        <v>3</v>
      </c>
    </row>
    <row r="13" spans="1:80" ht="15" x14ac:dyDescent="0.2">
      <c r="A13" s="2" t="s">
        <v>107</v>
      </c>
      <c r="B13" s="2">
        <v>12</v>
      </c>
      <c r="C13" s="2"/>
      <c r="D13" s="99" t="s">
        <v>185</v>
      </c>
      <c r="E13" s="20"/>
      <c r="F13" s="217" t="s">
        <v>335</v>
      </c>
      <c r="G13" s="20"/>
      <c r="H13" s="20" t="str">
        <f t="shared" si="14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6"/>
        <v>1402904.5899999999</v>
      </c>
      <c r="BU13" s="103">
        <f t="shared" si="17"/>
        <v>436859.92</v>
      </c>
      <c r="BV13" s="103">
        <f t="shared" si="18"/>
        <v>116908.71583333332</v>
      </c>
      <c r="BW13" s="103">
        <f t="shared" si="19"/>
        <v>145619.97333333333</v>
      </c>
      <c r="BX13" s="105">
        <f t="shared" si="20"/>
        <v>-8.2901013212656416E-2</v>
      </c>
      <c r="CA13">
        <f t="shared" si="21"/>
        <v>3</v>
      </c>
    </row>
    <row r="14" spans="1:80" ht="15" x14ac:dyDescent="0.2">
      <c r="A14" s="2"/>
      <c r="B14" s="2">
        <v>13</v>
      </c>
      <c r="C14" s="2"/>
      <c r="D14" s="99"/>
      <c r="E14" s="20"/>
      <c r="F14" s="227" t="s">
        <v>336</v>
      </c>
      <c r="G14" s="20"/>
      <c r="H14" s="20"/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>
        <v>14</v>
      </c>
      <c r="C15" s="2"/>
      <c r="D15" s="99"/>
      <c r="E15" s="20"/>
      <c r="F15" s="227" t="s">
        <v>337</v>
      </c>
      <c r="G15" s="20"/>
      <c r="H15" s="20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15</v>
      </c>
      <c r="C16" s="2"/>
      <c r="D16" s="101" t="s">
        <v>32</v>
      </c>
      <c r="E16" s="20"/>
      <c r="F16" s="221" t="s">
        <v>338</v>
      </c>
      <c r="G16" s="20"/>
      <c r="H16" s="20" t="str">
        <f t="shared" si="14"/>
        <v>1 - TOTAL</v>
      </c>
      <c r="I16" s="87">
        <f t="shared" ref="I16:AN16" si="22">SUM(I17:I20)</f>
        <v>-1125900.4261111999</v>
      </c>
      <c r="J16" s="87">
        <f t="shared" si="22"/>
        <v>-1020978.7671281984</v>
      </c>
      <c r="K16" s="87">
        <f t="shared" si="22"/>
        <v>-1010271.2499974886</v>
      </c>
      <c r="L16" s="87">
        <f t="shared" si="22"/>
        <v>-1085739.6100000001</v>
      </c>
      <c r="M16" s="87">
        <f t="shared" si="22"/>
        <v>-1014675.0399999998</v>
      </c>
      <c r="N16" s="87">
        <f t="shared" si="22"/>
        <v>-951174.02000000014</v>
      </c>
      <c r="O16" s="87">
        <f t="shared" si="22"/>
        <v>-950512.93999999983</v>
      </c>
      <c r="P16" s="87">
        <f t="shared" si="22"/>
        <v>-967508.97</v>
      </c>
      <c r="Q16" s="87">
        <f t="shared" si="22"/>
        <v>-882670.42</v>
      </c>
      <c r="R16" s="87">
        <f t="shared" si="22"/>
        <v>-1033818.4600000002</v>
      </c>
      <c r="S16" s="87">
        <f t="shared" si="22"/>
        <v>-1123250.8600000001</v>
      </c>
      <c r="T16" s="87">
        <f t="shared" si="22"/>
        <v>-1472609.97</v>
      </c>
      <c r="U16" s="87">
        <f t="shared" si="22"/>
        <v>-1048823.9700000002</v>
      </c>
      <c r="V16" s="87">
        <f t="shared" si="22"/>
        <v>-964102.21000000008</v>
      </c>
      <c r="W16" s="87">
        <f t="shared" si="22"/>
        <v>-540316.21</v>
      </c>
      <c r="X16" s="87">
        <f t="shared" si="22"/>
        <v>-1022547.4099999999</v>
      </c>
      <c r="Y16" s="87">
        <f t="shared" si="22"/>
        <v>-1070467.9200000002</v>
      </c>
      <c r="Z16" s="87">
        <f t="shared" si="22"/>
        <v>-1118297.7199999997</v>
      </c>
      <c r="AA16" s="87">
        <f t="shared" si="22"/>
        <v>-1096176.27</v>
      </c>
      <c r="AB16" s="87">
        <f t="shared" si="22"/>
        <v>-1114894.3999999997</v>
      </c>
      <c r="AC16" s="87">
        <f t="shared" si="22"/>
        <v>-1182311.79</v>
      </c>
      <c r="AD16" s="87">
        <f t="shared" si="22"/>
        <v>-1301160.5159</v>
      </c>
      <c r="AE16" s="87">
        <f t="shared" si="22"/>
        <v>-1227947.1300000001</v>
      </c>
      <c r="AF16" s="87">
        <f t="shared" si="22"/>
        <v>-1284067.25</v>
      </c>
      <c r="AG16" s="87">
        <f t="shared" si="22"/>
        <v>-1310233.4491999999</v>
      </c>
      <c r="AH16" s="87">
        <f t="shared" si="22"/>
        <v>-1339333.8900000001</v>
      </c>
      <c r="AI16" s="87">
        <f t="shared" si="22"/>
        <v>-1193723.5199999998</v>
      </c>
      <c r="AJ16" s="87">
        <f t="shared" si="22"/>
        <v>-1142517.46</v>
      </c>
      <c r="AK16" s="87">
        <f t="shared" si="22"/>
        <v>-1112090.5928096771</v>
      </c>
      <c r="AL16" s="87">
        <f t="shared" si="22"/>
        <v>-1142824.01</v>
      </c>
      <c r="AM16" s="87">
        <f t="shared" si="22"/>
        <v>-1181669.5999999999</v>
      </c>
      <c r="AN16" s="87">
        <f t="shared" si="22"/>
        <v>-1198889.9003999999</v>
      </c>
      <c r="AO16" s="87">
        <f t="shared" ref="AO16:BF16" si="23">SUM(AO17:AO20)</f>
        <v>-1242347.0597999997</v>
      </c>
      <c r="AP16" s="87">
        <f t="shared" si="23"/>
        <v>-1209724.5516000001</v>
      </c>
      <c r="AQ16" s="87">
        <f t="shared" si="23"/>
        <v>-1193639.2349677421</v>
      </c>
      <c r="AR16" s="87">
        <f t="shared" si="23"/>
        <v>-1268012.7835888998</v>
      </c>
      <c r="AS16" s="87">
        <f t="shared" si="23"/>
        <v>-1252394.2484000002</v>
      </c>
      <c r="AT16" s="87">
        <f t="shared" si="23"/>
        <v>-1427805.2354000001</v>
      </c>
      <c r="AU16" s="87">
        <f t="shared" si="23"/>
        <v>-1323042.6199999999</v>
      </c>
      <c r="AV16" s="87">
        <f t="shared" si="23"/>
        <v>-1251142.2555000002</v>
      </c>
      <c r="AW16" s="87">
        <f t="shared" si="23"/>
        <v>-1302249.5456000003</v>
      </c>
      <c r="AX16" s="87">
        <f t="shared" si="23"/>
        <v>-1281249.0400000003</v>
      </c>
      <c r="AY16" s="87">
        <f t="shared" si="23"/>
        <v>-1394090.8199999998</v>
      </c>
      <c r="AZ16" s="87">
        <f t="shared" si="23"/>
        <v>-1465706.4522000002</v>
      </c>
      <c r="BA16" s="87">
        <f t="shared" si="23"/>
        <v>-1413036.727</v>
      </c>
      <c r="BB16" s="87">
        <f t="shared" si="23"/>
        <v>-1464210.9784000001</v>
      </c>
      <c r="BC16" s="87">
        <f t="shared" si="23"/>
        <v>-1460800.4614000001</v>
      </c>
      <c r="BD16" s="87">
        <f t="shared" si="23"/>
        <v>-1507199.2004</v>
      </c>
      <c r="BE16" s="87">
        <f t="shared" si="23"/>
        <v>-1468935.2167999998</v>
      </c>
      <c r="BF16" s="87">
        <f t="shared" si="23"/>
        <v>-1475582.7205000003</v>
      </c>
      <c r="BG16" s="109">
        <f>SUM(BG17:BG21)</f>
        <v>-1774016.1422999997</v>
      </c>
      <c r="BH16" s="109">
        <f>SUM(BH17:BH21)</f>
        <v>-1681475.0300000005</v>
      </c>
      <c r="BI16" s="109">
        <f>SUM(BI17:BI21)</f>
        <v>-1696865.4699999997</v>
      </c>
      <c r="BJ16" s="141"/>
      <c r="BK16" s="141"/>
      <c r="BL16" s="141"/>
      <c r="BM16" s="141"/>
      <c r="BN16" s="141"/>
      <c r="BO16" s="141"/>
      <c r="BP16" s="141"/>
      <c r="BQ16" s="141"/>
      <c r="BR16" s="141"/>
      <c r="BS16" s="105">
        <v>-4.0697983558053208E-2</v>
      </c>
      <c r="BT16" s="103">
        <f t="shared" si="16"/>
        <v>-16807246.037800003</v>
      </c>
      <c r="BU16" s="103">
        <f t="shared" si="17"/>
        <v>-5152356.6423000004</v>
      </c>
      <c r="BV16" s="103">
        <f t="shared" si="18"/>
        <v>-1400603.8364833335</v>
      </c>
      <c r="BW16" s="103">
        <f t="shared" si="19"/>
        <v>-1717452.2141000002</v>
      </c>
      <c r="BX16" s="105">
        <f t="shared" si="20"/>
        <v>-1.1986792954695735E-2</v>
      </c>
      <c r="BY16">
        <v>2</v>
      </c>
      <c r="CA16">
        <f t="shared" si="21"/>
        <v>3</v>
      </c>
    </row>
    <row r="17" spans="1:79" ht="15" x14ac:dyDescent="0.2">
      <c r="A17" s="2" t="s">
        <v>107</v>
      </c>
      <c r="B17" s="2">
        <v>16</v>
      </c>
      <c r="C17" t="s">
        <v>213</v>
      </c>
      <c r="D17" s="99" t="s">
        <v>190</v>
      </c>
      <c r="E17" s="99" t="s">
        <v>30</v>
      </c>
      <c r="F17" s="217" t="s">
        <v>340</v>
      </c>
      <c r="H17" s="20" t="str">
        <f t="shared" si="14"/>
        <v>1 - TOTALPENALIDADES E GLOSAS DE CLIENTES</v>
      </c>
      <c r="I17" s="20">
        <v>-15818.665000000001</v>
      </c>
      <c r="J17" s="20">
        <v>-19856.419999999998</v>
      </c>
      <c r="K17" s="20">
        <v>-27171.63</v>
      </c>
      <c r="L17" s="20">
        <v>-300</v>
      </c>
      <c r="M17" s="20">
        <v>-5304.8</v>
      </c>
      <c r="N17" s="20">
        <v>-72183.34</v>
      </c>
      <c r="O17" s="20">
        <v>-8208.94</v>
      </c>
      <c r="P17" s="20">
        <v>-608.23</v>
      </c>
      <c r="Q17" s="20">
        <v>-4276.55</v>
      </c>
      <c r="R17" s="20">
        <v>-7719.49</v>
      </c>
      <c r="S17" s="20">
        <v>-61920.46</v>
      </c>
      <c r="T17" s="20">
        <v>-5694.13</v>
      </c>
      <c r="U17" s="20">
        <v>-5694.13</v>
      </c>
      <c r="V17" s="20">
        <v>0</v>
      </c>
      <c r="W17" s="20">
        <v>0</v>
      </c>
      <c r="X17" s="20">
        <v>0</v>
      </c>
      <c r="Y17" s="20">
        <v>0</v>
      </c>
      <c r="Z17" s="20">
        <v>-3331.13</v>
      </c>
      <c r="AA17" s="20">
        <v>-5311.54</v>
      </c>
      <c r="AB17" s="20">
        <v>-6512.89</v>
      </c>
      <c r="AC17" s="20">
        <v>-3779.88</v>
      </c>
      <c r="AD17" s="20">
        <v>-35269.800000000003</v>
      </c>
      <c r="AE17" s="20">
        <v>-25874.19</v>
      </c>
      <c r="AF17" s="20">
        <v>-21889.69</v>
      </c>
      <c r="AG17" s="20">
        <v>-4940</v>
      </c>
      <c r="AH17" s="20">
        <v>-34669.870000000003</v>
      </c>
      <c r="AI17" s="20">
        <v>-11747.12</v>
      </c>
      <c r="AJ17" s="20">
        <v>-5696.73</v>
      </c>
      <c r="AK17" s="20">
        <v>-5693.35</v>
      </c>
      <c r="AL17" s="20">
        <v>-7446.7</v>
      </c>
      <c r="AM17" s="20">
        <v>-14391.15</v>
      </c>
      <c r="AN17" s="20">
        <v>-14336.19</v>
      </c>
      <c r="AO17" s="20">
        <v>-2040.76</v>
      </c>
      <c r="AP17" s="20">
        <v>-5100.3500000000004</v>
      </c>
      <c r="AQ17" s="20">
        <v>-6902.78</v>
      </c>
      <c r="AR17" s="20">
        <v>-14970.919999999998</v>
      </c>
      <c r="AS17" s="20">
        <v>-13723.560000000001</v>
      </c>
      <c r="AT17" s="20">
        <v>-176797.66</v>
      </c>
      <c r="AU17" s="20">
        <v>-17170.8</v>
      </c>
      <c r="AV17" s="20">
        <v>-22510</v>
      </c>
      <c r="AW17" s="20">
        <v>-32443.95</v>
      </c>
      <c r="AX17" s="20">
        <v>-17170.8</v>
      </c>
      <c r="AY17" s="20">
        <v>-28040.83</v>
      </c>
      <c r="AZ17" s="20">
        <v>-65037.659999999996</v>
      </c>
      <c r="BA17" s="20">
        <v>-21614.62</v>
      </c>
      <c r="BB17" s="20">
        <v>-21523.99</v>
      </c>
      <c r="BC17" s="20">
        <v>-23943.87</v>
      </c>
      <c r="BD17" s="20">
        <v>-32073.5</v>
      </c>
      <c r="BE17" s="20">
        <v>-41254.85</v>
      </c>
      <c r="BF17" s="20">
        <v>-32755.25</v>
      </c>
      <c r="BG17" s="103">
        <v>-22436.78</v>
      </c>
      <c r="BH17" s="103">
        <v>-37827.72</v>
      </c>
      <c r="BI17" s="103">
        <v>-13762.51</v>
      </c>
      <c r="BJ17" s="103"/>
      <c r="BK17" s="103"/>
      <c r="BL17" s="103"/>
      <c r="BM17" s="103"/>
      <c r="BN17" s="103"/>
      <c r="BO17" s="103"/>
      <c r="BP17" s="103"/>
      <c r="BQ17" s="103"/>
      <c r="BR17" s="103"/>
      <c r="BS17" s="105">
        <v>-0.6361792357562126</v>
      </c>
      <c r="BT17" s="103">
        <f t="shared" si="16"/>
        <v>-355540.12</v>
      </c>
      <c r="BU17" s="103">
        <f t="shared" si="17"/>
        <v>-74027.009999999995</v>
      </c>
      <c r="BV17" s="103">
        <f t="shared" si="18"/>
        <v>-29628.343333333334</v>
      </c>
      <c r="BW17" s="103">
        <f t="shared" si="19"/>
        <v>-24675.67</v>
      </c>
      <c r="BX17" s="105">
        <f t="shared" si="20"/>
        <v>-0.44226397905305104</v>
      </c>
      <c r="CA17">
        <f t="shared" si="21"/>
        <v>3</v>
      </c>
    </row>
    <row r="18" spans="1:79" ht="15" x14ac:dyDescent="0.2">
      <c r="A18" s="2" t="s">
        <v>107</v>
      </c>
      <c r="B18" s="2">
        <v>17</v>
      </c>
      <c r="C18" t="s">
        <v>213</v>
      </c>
      <c r="D18" s="99" t="s">
        <v>188</v>
      </c>
      <c r="E18" s="99" t="s">
        <v>28</v>
      </c>
      <c r="F18" s="217" t="s">
        <v>341</v>
      </c>
      <c r="H18" s="20" t="str">
        <f t="shared" si="14"/>
        <v>1 - TOTALCORRESPONDENTES</v>
      </c>
      <c r="I18" s="20">
        <v>-273919.21000000002</v>
      </c>
      <c r="J18" s="20">
        <v>-186320.77</v>
      </c>
      <c r="K18" s="20">
        <v>-127114.1</v>
      </c>
      <c r="L18" s="20">
        <v>-222005.01</v>
      </c>
      <c r="M18" s="20">
        <v>-147818.02000000002</v>
      </c>
      <c r="N18" s="20">
        <v>-3860.57</v>
      </c>
      <c r="O18" s="20">
        <v>-2179.5</v>
      </c>
      <c r="P18" s="20">
        <v>-6759</v>
      </c>
      <c r="Q18" s="20">
        <v>-15398.2</v>
      </c>
      <c r="R18" s="20">
        <v>-46710.1</v>
      </c>
      <c r="S18" s="20">
        <v>-48512.3</v>
      </c>
      <c r="T18" s="20">
        <v>-59034.78</v>
      </c>
      <c r="U18" s="20">
        <v>-59034.78</v>
      </c>
      <c r="V18" s="20">
        <v>-60263.38</v>
      </c>
      <c r="W18" s="20">
        <v>-60263.38</v>
      </c>
      <c r="X18" s="20">
        <v>-57234.29</v>
      </c>
      <c r="Y18" s="20">
        <v>-36914.800000000003</v>
      </c>
      <c r="Z18" s="20">
        <v>-58909.63</v>
      </c>
      <c r="AA18" s="20">
        <v>-53236</v>
      </c>
      <c r="AB18" s="20">
        <v>-58115.5</v>
      </c>
      <c r="AC18" s="20">
        <v>-79664.5</v>
      </c>
      <c r="AD18" s="20">
        <v>-113411.71</v>
      </c>
      <c r="AE18" s="20">
        <v>-91956.4</v>
      </c>
      <c r="AF18" s="20">
        <v>-99161.75</v>
      </c>
      <c r="AG18" s="20">
        <v>-112917.75</v>
      </c>
      <c r="AH18" s="20">
        <v>-105076</v>
      </c>
      <c r="AI18" s="20">
        <v>-109533.53</v>
      </c>
      <c r="AJ18" s="20">
        <v>-74020.899999999994</v>
      </c>
      <c r="AK18" s="20">
        <v>-39068.36</v>
      </c>
      <c r="AL18" s="20">
        <v>-88815.599999999991</v>
      </c>
      <c r="AM18" s="20">
        <v>-102471.2</v>
      </c>
      <c r="AN18" s="20">
        <v>-88645.099999999991</v>
      </c>
      <c r="AO18" s="20">
        <v>-94878.15</v>
      </c>
      <c r="AP18" s="20">
        <v>-95849.9</v>
      </c>
      <c r="AQ18" s="20">
        <v>-84653</v>
      </c>
      <c r="AR18" s="20">
        <v>-115922.8</v>
      </c>
      <c r="AS18" s="20">
        <v>-115353.28</v>
      </c>
      <c r="AT18" s="20">
        <v>-128208.49</v>
      </c>
      <c r="AU18" s="20">
        <v>-152113.22</v>
      </c>
      <c r="AV18" s="20">
        <v>-84044.34</v>
      </c>
      <c r="AW18" s="20">
        <v>-77671.58</v>
      </c>
      <c r="AX18" s="20">
        <v>-149305.76999999999</v>
      </c>
      <c r="AY18" s="20">
        <v>-207336.53</v>
      </c>
      <c r="AZ18" s="20">
        <v>-165789.44</v>
      </c>
      <c r="BA18" s="20">
        <v>-171627.07</v>
      </c>
      <c r="BB18" s="20">
        <v>-141341.79</v>
      </c>
      <c r="BC18" s="20">
        <v>-131152.94</v>
      </c>
      <c r="BD18" s="20">
        <v>-153845.26999999999</v>
      </c>
      <c r="BE18" s="20">
        <v>-144088.12</v>
      </c>
      <c r="BF18" s="20">
        <v>-145016.31</v>
      </c>
      <c r="BG18" s="103">
        <v>-141836.54999999999</v>
      </c>
      <c r="BH18" s="103">
        <v>-85576.06</v>
      </c>
      <c r="BI18" s="103">
        <v>-70716.88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-0.17363711299632156</v>
      </c>
      <c r="BT18" s="103">
        <f t="shared" si="16"/>
        <v>-1723332.3800000004</v>
      </c>
      <c r="BU18" s="103">
        <f t="shared" si="17"/>
        <v>-298129.49</v>
      </c>
      <c r="BV18" s="103">
        <f t="shared" si="18"/>
        <v>-143611.03166666671</v>
      </c>
      <c r="BW18" s="103">
        <f t="shared" si="19"/>
        <v>-99376.496666666659</v>
      </c>
      <c r="BX18" s="105">
        <f t="shared" si="20"/>
        <v>-0.28839431483279288</v>
      </c>
      <c r="CA18">
        <f t="shared" si="21"/>
        <v>3</v>
      </c>
    </row>
    <row r="19" spans="1:79" ht="15" x14ac:dyDescent="0.2">
      <c r="A19" s="2"/>
      <c r="B19" s="2">
        <v>18</v>
      </c>
      <c r="D19" s="228" t="s">
        <v>339</v>
      </c>
      <c r="E19" s="229"/>
      <c r="F19" s="236" t="s">
        <v>342</v>
      </c>
      <c r="G19" s="229"/>
      <c r="H19" s="230"/>
      <c r="I19" s="230">
        <v>-815071.55111119989</v>
      </c>
      <c r="J19" s="230">
        <v>-803539.57712819835</v>
      </c>
      <c r="K19" s="230">
        <v>-830350.05999748863</v>
      </c>
      <c r="L19" s="230">
        <v>-834642.60000000009</v>
      </c>
      <c r="M19" s="230">
        <v>-838041.17999999982</v>
      </c>
      <c r="N19" s="230">
        <v>-875130.1100000001</v>
      </c>
      <c r="O19" s="230">
        <v>-887336.92999999993</v>
      </c>
      <c r="P19" s="230">
        <v>-907452.25</v>
      </c>
      <c r="Q19" s="230">
        <v>-832497.31</v>
      </c>
      <c r="R19" s="230">
        <v>-943688.20000000019</v>
      </c>
      <c r="S19" s="230">
        <v>-893559.91</v>
      </c>
      <c r="T19" s="230">
        <v>-1385067.6500000001</v>
      </c>
      <c r="U19" s="230">
        <v>-961281.65000000014</v>
      </c>
      <c r="V19" s="230">
        <v>-881479.00000000012</v>
      </c>
      <c r="W19" s="230">
        <v>-457693</v>
      </c>
      <c r="X19" s="230">
        <v>-917385.41999999993</v>
      </c>
      <c r="Y19" s="230">
        <v>-947045.84000000008</v>
      </c>
      <c r="Z19" s="230">
        <v>-939848.43999999983</v>
      </c>
      <c r="AA19" s="230">
        <v>-982985.15999999992</v>
      </c>
      <c r="AB19" s="230">
        <v>-988234.12999999989</v>
      </c>
      <c r="AC19" s="230">
        <v>-1014335.5299999999</v>
      </c>
      <c r="AD19" s="230">
        <v>-1041011.1059</v>
      </c>
      <c r="AE19" s="230">
        <v>-1048748.76</v>
      </c>
      <c r="AF19" s="230">
        <v>-1089330.8500000001</v>
      </c>
      <c r="AG19" s="230">
        <v>-1127344.8791999999</v>
      </c>
      <c r="AH19" s="230">
        <v>-1126244.02</v>
      </c>
      <c r="AI19" s="230">
        <v>-1012681.19</v>
      </c>
      <c r="AJ19" s="230">
        <v>-1038969.99</v>
      </c>
      <c r="AK19" s="230">
        <v>-1043012.2028096772</v>
      </c>
      <c r="AL19" s="230">
        <v>-1022731.8699999999</v>
      </c>
      <c r="AM19" s="230">
        <v>-1027227.4099999998</v>
      </c>
      <c r="AN19" s="230">
        <v>-1006841.9704</v>
      </c>
      <c r="AO19" s="230">
        <v>-1037087.9097999998</v>
      </c>
      <c r="AP19" s="230">
        <v>-1029898.0816</v>
      </c>
      <c r="AQ19" s="230">
        <v>-987002.15496774204</v>
      </c>
      <c r="AR19" s="230">
        <v>-1060288.4335888999</v>
      </c>
      <c r="AS19" s="230">
        <v>-1037756.2184000001</v>
      </c>
      <c r="AT19" s="230">
        <v>-1053367.9554000001</v>
      </c>
      <c r="AU19" s="230">
        <v>-1084258.96</v>
      </c>
      <c r="AV19" s="230">
        <v>-1050414.6455000001</v>
      </c>
      <c r="AW19" s="230">
        <v>-1101962.8056000003</v>
      </c>
      <c r="AX19" s="230">
        <v>-1091637.4700000002</v>
      </c>
      <c r="AY19" s="230">
        <v>-1132805.67</v>
      </c>
      <c r="AZ19" s="230">
        <v>-1159124.1222000001</v>
      </c>
      <c r="BA19" s="230">
        <v>-1190410.037</v>
      </c>
      <c r="BB19" s="230">
        <v>-1207144.3084000002</v>
      </c>
      <c r="BC19" s="230">
        <v>-1192280.5614</v>
      </c>
      <c r="BD19" s="230">
        <v>-1272289.9103999999</v>
      </c>
      <c r="BE19" s="230">
        <v>-1234305.6667999998</v>
      </c>
      <c r="BF19" s="230">
        <v>-1254682.7905000001</v>
      </c>
      <c r="BG19" s="230">
        <v>-1297488.7522999996</v>
      </c>
      <c r="BH19" s="230">
        <v>-1279449.5800000005</v>
      </c>
      <c r="BI19" s="230">
        <v>-1312516.5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/>
      <c r="BT19" s="103"/>
      <c r="BU19" s="103"/>
      <c r="BV19" s="103"/>
      <c r="BW19" s="103"/>
      <c r="BX19" s="105"/>
    </row>
    <row r="20" spans="1:79" ht="15" x14ac:dyDescent="0.2">
      <c r="A20" s="2" t="s">
        <v>107</v>
      </c>
      <c r="B20" s="2">
        <v>19</v>
      </c>
      <c r="C20" t="s">
        <v>213</v>
      </c>
      <c r="D20" s="99" t="s">
        <v>191</v>
      </c>
      <c r="E20" s="99" t="s">
        <v>31</v>
      </c>
      <c r="F20" s="217" t="s">
        <v>343</v>
      </c>
      <c r="H20" s="20" t="str">
        <f t="shared" ref="H20:H21" si="24">CONCATENATE(A20,E20)</f>
        <v>1 - TOTALPROCESSOS TRABALHISTAS</v>
      </c>
      <c r="I20" s="20">
        <v>-21091</v>
      </c>
      <c r="J20" s="20">
        <v>-11262</v>
      </c>
      <c r="K20" s="20">
        <v>-25635.46</v>
      </c>
      <c r="L20" s="20">
        <v>-28792</v>
      </c>
      <c r="M20" s="20">
        <v>-23511.040000000001</v>
      </c>
      <c r="N20" s="20">
        <v>0</v>
      </c>
      <c r="O20" s="20">
        <v>-52787.57</v>
      </c>
      <c r="P20" s="20">
        <v>-52689.49</v>
      </c>
      <c r="Q20" s="20">
        <v>-30498.36</v>
      </c>
      <c r="R20" s="20">
        <v>-35700.67</v>
      </c>
      <c r="S20" s="20">
        <v>-119258.19</v>
      </c>
      <c r="T20" s="20">
        <v>-22813.41</v>
      </c>
      <c r="U20" s="20">
        <v>-22813.41</v>
      </c>
      <c r="V20" s="20">
        <v>-22359.83</v>
      </c>
      <c r="W20" s="20">
        <v>-22359.83</v>
      </c>
      <c r="X20" s="20">
        <v>-47927.7</v>
      </c>
      <c r="Y20" s="20">
        <v>-86507.28</v>
      </c>
      <c r="Z20" s="20">
        <v>-116208.52</v>
      </c>
      <c r="AA20" s="20">
        <v>-54643.57</v>
      </c>
      <c r="AB20" s="20">
        <v>-62031.88</v>
      </c>
      <c r="AC20" s="20">
        <v>-84531.88</v>
      </c>
      <c r="AD20" s="20">
        <v>-111467.9</v>
      </c>
      <c r="AE20" s="20">
        <v>-61367.78</v>
      </c>
      <c r="AF20" s="20">
        <v>-73684.960000000006</v>
      </c>
      <c r="AG20" s="20">
        <v>-65030.82</v>
      </c>
      <c r="AH20" s="20">
        <v>-73344</v>
      </c>
      <c r="AI20" s="20">
        <v>-59761.68</v>
      </c>
      <c r="AJ20" s="20">
        <v>-23829.84</v>
      </c>
      <c r="AK20" s="20">
        <v>-24316.68</v>
      </c>
      <c r="AL20" s="20">
        <v>-23829.84</v>
      </c>
      <c r="AM20" s="20">
        <v>-37579.839999999997</v>
      </c>
      <c r="AN20" s="20">
        <v>-89066.64</v>
      </c>
      <c r="AO20" s="20">
        <v>-108340.24</v>
      </c>
      <c r="AP20" s="20">
        <v>-78876.22</v>
      </c>
      <c r="AQ20" s="20">
        <v>-115081.3</v>
      </c>
      <c r="AR20" s="20">
        <v>-76830.63</v>
      </c>
      <c r="AS20" s="20">
        <v>-85561.19</v>
      </c>
      <c r="AT20" s="20">
        <v>-69431.13</v>
      </c>
      <c r="AU20" s="20">
        <v>-69499.64</v>
      </c>
      <c r="AV20" s="20">
        <v>-94173.27</v>
      </c>
      <c r="AW20" s="20">
        <v>-90171.21</v>
      </c>
      <c r="AX20" s="20">
        <v>-23135</v>
      </c>
      <c r="AY20" s="20">
        <v>-25907.79</v>
      </c>
      <c r="AZ20" s="20">
        <v>-75755.23</v>
      </c>
      <c r="BA20" s="20">
        <v>-29385</v>
      </c>
      <c r="BB20" s="20">
        <v>-94200.89</v>
      </c>
      <c r="BC20" s="20">
        <v>-113423.09</v>
      </c>
      <c r="BD20" s="20">
        <v>-48990.52</v>
      </c>
      <c r="BE20" s="20">
        <v>-49286.58</v>
      </c>
      <c r="BF20" s="20">
        <v>-43128.369999999995</v>
      </c>
      <c r="BG20" s="103">
        <v>-43365.81</v>
      </c>
      <c r="BH20" s="103">
        <v>-24272.38</v>
      </c>
      <c r="BI20" s="103">
        <v>-38718.230000000003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0.59515589324161877</v>
      </c>
      <c r="BT20" s="103">
        <f t="shared" ref="BT20" si="25">SUM(AU20:BF20)</f>
        <v>-757056.59</v>
      </c>
      <c r="BU20" s="103">
        <f t="shared" ref="BU20" si="26">SUM(BG20:BR20)</f>
        <v>-106356.42000000001</v>
      </c>
      <c r="BV20" s="103">
        <f t="shared" ref="BV20" si="27">AVERAGE(AU20:BF20)</f>
        <v>-63088.049166666664</v>
      </c>
      <c r="BW20" s="103">
        <f t="shared" ref="BW20" si="28">AVERAGE(BG20:BR20)</f>
        <v>-35452.140000000007</v>
      </c>
      <c r="BX20" s="105">
        <f t="shared" ref="BX20" si="29">BI20/BW20-1</f>
        <v>9.2126737624301347E-2</v>
      </c>
      <c r="CA20">
        <f t="shared" si="21"/>
        <v>3</v>
      </c>
    </row>
    <row r="21" spans="1:79" ht="22.5" x14ac:dyDescent="0.2">
      <c r="A21" s="2"/>
      <c r="B21" s="2">
        <v>20</v>
      </c>
      <c r="C21" t="s">
        <v>213</v>
      </c>
      <c r="D21" t="s">
        <v>187</v>
      </c>
      <c r="E21" t="s">
        <v>219</v>
      </c>
      <c r="F21" s="217" t="s">
        <v>344</v>
      </c>
      <c r="G21">
        <v>1</v>
      </c>
      <c r="H21" s="20" t="str">
        <f t="shared" si="24"/>
        <v>PESSOAL CLT (BO / ASSIS JURÍD / NEGOC)</v>
      </c>
      <c r="I21" s="103">
        <v>-104501.43999999999</v>
      </c>
      <c r="J21" s="103">
        <v>-86111.952871801637</v>
      </c>
      <c r="K21" s="103">
        <v>-86174.750002511282</v>
      </c>
      <c r="L21" s="103">
        <v>-75503.38</v>
      </c>
      <c r="M21" s="103">
        <v>-82724.5</v>
      </c>
      <c r="N21" s="103">
        <v>-87885.7</v>
      </c>
      <c r="O21" s="103">
        <v>-96030.49</v>
      </c>
      <c r="P21" s="103">
        <v>-91969.450000000012</v>
      </c>
      <c r="Q21" s="103">
        <v>-74678.8</v>
      </c>
      <c r="R21" s="103">
        <v>-92014.180000000022</v>
      </c>
      <c r="S21" s="103">
        <v>-116597.48000000001</v>
      </c>
      <c r="T21" s="103">
        <v>-160090.70000000001</v>
      </c>
      <c r="U21" s="103">
        <v>-160090.70000000001</v>
      </c>
      <c r="V21" s="103">
        <v>-91269.450000000012</v>
      </c>
      <c r="W21" s="103">
        <v>-91269.450000000012</v>
      </c>
      <c r="X21" s="103">
        <v>-80297.290000000008</v>
      </c>
      <c r="Y21" s="103">
        <v>-105572</v>
      </c>
      <c r="Z21" s="103">
        <v>-106357.75999999999</v>
      </c>
      <c r="AA21" s="103">
        <v>-97677.78</v>
      </c>
      <c r="AB21" s="103">
        <v>-102818.37999999999</v>
      </c>
      <c r="AC21" s="103">
        <v>-125335.77000000002</v>
      </c>
      <c r="AD21" s="103">
        <v>-131738.43</v>
      </c>
      <c r="AE21" s="103">
        <v>-138663.00000000003</v>
      </c>
      <c r="AF21" s="103">
        <v>-144435.19999999998</v>
      </c>
      <c r="AG21" s="103">
        <v>-195564.41000000003</v>
      </c>
      <c r="AH21" s="103">
        <v>-219635.91</v>
      </c>
      <c r="AI21" s="103">
        <v>-139375.4</v>
      </c>
      <c r="AJ21" s="103">
        <v>-135132.07</v>
      </c>
      <c r="AK21" s="103">
        <v>-179816.81000000006</v>
      </c>
      <c r="AL21" s="103">
        <v>-171011.63</v>
      </c>
      <c r="AM21" s="103">
        <v>-162353.21000000002</v>
      </c>
      <c r="AN21" s="103">
        <v>-157040.13</v>
      </c>
      <c r="AO21" s="103">
        <v>-188271.53000000003</v>
      </c>
      <c r="AP21" s="103">
        <v>-173908.24</v>
      </c>
      <c r="AQ21" s="103">
        <v>-183539.68000000002</v>
      </c>
      <c r="AR21" s="103">
        <v>-188182.76</v>
      </c>
      <c r="AS21" s="103">
        <v>-243827.28600000002</v>
      </c>
      <c r="AT21" s="103">
        <v>-272736.58000000007</v>
      </c>
      <c r="AU21" s="103">
        <v>-194927.13</v>
      </c>
      <c r="AV21" s="103">
        <v>-186547.16999999998</v>
      </c>
      <c r="AW21" s="103">
        <v>-212071.30000000005</v>
      </c>
      <c r="AX21" s="103">
        <v>-239963.13</v>
      </c>
      <c r="AY21" s="103">
        <v>-242495.69</v>
      </c>
      <c r="AZ21" s="103">
        <v>-244560.45</v>
      </c>
      <c r="BA21" s="103">
        <v>-256831.39</v>
      </c>
      <c r="BB21" s="103">
        <v>-243450.10000000003</v>
      </c>
      <c r="BC21" s="103">
        <v>-241358.41999999998</v>
      </c>
      <c r="BD21" s="103">
        <v>-260532.21000000002</v>
      </c>
      <c r="BE21" s="103">
        <v>-311843.06999999995</v>
      </c>
      <c r="BF21" s="103">
        <v>-355173.53</v>
      </c>
      <c r="BG21" s="103">
        <v>-268888.25</v>
      </c>
      <c r="BH21" s="103">
        <v>-254349.28999999998</v>
      </c>
      <c r="BI21" s="103">
        <v>-261151.34999999998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/>
      <c r="BT21" s="103"/>
      <c r="BU21" s="103"/>
      <c r="BV21" s="103"/>
      <c r="BW21" s="103"/>
      <c r="BX21" s="105"/>
    </row>
    <row r="22" spans="1:79" ht="15" x14ac:dyDescent="0.2">
      <c r="A22" s="2" t="s">
        <v>107</v>
      </c>
      <c r="B22" s="2">
        <v>21</v>
      </c>
      <c r="C22" s="2"/>
      <c r="D22" s="98" t="s">
        <v>63</v>
      </c>
      <c r="E22" s="98"/>
      <c r="F22" s="232" t="s">
        <v>345</v>
      </c>
      <c r="G22" s="90"/>
      <c r="H22" s="20" t="str">
        <f t="shared" si="14"/>
        <v>1 - TOTAL</v>
      </c>
      <c r="I22" s="20">
        <f t="shared" ref="I22:BI22" si="30">I11+I16</f>
        <v>1003052.3648887603</v>
      </c>
      <c r="J22" s="20">
        <f t="shared" si="30"/>
        <v>552293.32287180168</v>
      </c>
      <c r="K22" s="20">
        <f t="shared" si="30"/>
        <v>1466690.1920024115</v>
      </c>
      <c r="L22" s="20">
        <f t="shared" si="30"/>
        <v>1000746.3279999502</v>
      </c>
      <c r="M22" s="20">
        <f t="shared" si="30"/>
        <v>1023434.0199999511</v>
      </c>
      <c r="N22" s="20">
        <f t="shared" si="30"/>
        <v>1008913.7299999999</v>
      </c>
      <c r="O22" s="20">
        <f t="shared" si="30"/>
        <v>1499065.4500000002</v>
      </c>
      <c r="P22" s="20">
        <f t="shared" si="30"/>
        <v>783895.75</v>
      </c>
      <c r="Q22" s="20">
        <f t="shared" si="30"/>
        <v>1753434.4899999998</v>
      </c>
      <c r="R22" s="20">
        <f t="shared" si="30"/>
        <v>957238.90999999968</v>
      </c>
      <c r="S22" s="20">
        <f t="shared" si="30"/>
        <v>1767226.3699999999</v>
      </c>
      <c r="T22" s="20">
        <f t="shared" si="30"/>
        <v>1199932.3899999999</v>
      </c>
      <c r="U22" s="20">
        <f t="shared" si="30"/>
        <v>1623718.3899999997</v>
      </c>
      <c r="V22" s="20">
        <f t="shared" si="30"/>
        <v>1196172.96</v>
      </c>
      <c r="W22" s="20">
        <f t="shared" si="30"/>
        <v>1619958.96</v>
      </c>
      <c r="X22" s="20">
        <f t="shared" si="30"/>
        <v>706623.15000000014</v>
      </c>
      <c r="Y22" s="20">
        <f t="shared" si="30"/>
        <v>337650.25999999978</v>
      </c>
      <c r="Z22" s="20">
        <f t="shared" si="30"/>
        <v>1076006.3700000001</v>
      </c>
      <c r="AA22" s="20">
        <f t="shared" si="30"/>
        <v>1554202.54</v>
      </c>
      <c r="AB22" s="20">
        <f t="shared" si="30"/>
        <v>1094521.0800000003</v>
      </c>
      <c r="AC22" s="20">
        <f t="shared" si="30"/>
        <v>1150244.1200000001</v>
      </c>
      <c r="AD22" s="20">
        <f t="shared" si="30"/>
        <v>879709.55409999937</v>
      </c>
      <c r="AE22" s="20">
        <f t="shared" si="30"/>
        <v>1046300.3100000003</v>
      </c>
      <c r="AF22" s="20">
        <f t="shared" si="30"/>
        <v>1304693.4699999997</v>
      </c>
      <c r="AG22" s="20">
        <f t="shared" si="30"/>
        <v>1271047.6508000002</v>
      </c>
      <c r="AH22" s="20">
        <f t="shared" si="30"/>
        <v>1663443.25</v>
      </c>
      <c r="AI22" s="20">
        <f t="shared" si="30"/>
        <v>1043051.8300000003</v>
      </c>
      <c r="AJ22" s="20">
        <f t="shared" si="30"/>
        <v>290137.77</v>
      </c>
      <c r="AK22" s="20">
        <f t="shared" si="30"/>
        <v>899268.33719032281</v>
      </c>
      <c r="AL22" s="20">
        <f t="shared" si="30"/>
        <v>1516206.97</v>
      </c>
      <c r="AM22" s="20">
        <f t="shared" si="30"/>
        <v>1824910.1500000001</v>
      </c>
      <c r="AN22" s="20">
        <f t="shared" si="30"/>
        <v>1266011.4595999999</v>
      </c>
      <c r="AO22" s="20">
        <f t="shared" si="30"/>
        <v>1259035.0002000004</v>
      </c>
      <c r="AP22" s="20">
        <f t="shared" si="30"/>
        <v>995135.49839999969</v>
      </c>
      <c r="AQ22" s="20">
        <f t="shared" si="30"/>
        <v>1363256.7950322577</v>
      </c>
      <c r="AR22" s="20">
        <f t="shared" si="30"/>
        <v>1439684.6564111002</v>
      </c>
      <c r="AS22" s="20">
        <f t="shared" si="30"/>
        <v>1163488.2915999999</v>
      </c>
      <c r="AT22" s="20">
        <f t="shared" si="30"/>
        <v>1264979.4046</v>
      </c>
      <c r="AU22" s="20">
        <f t="shared" si="30"/>
        <v>1528742.6900000002</v>
      </c>
      <c r="AV22" s="20">
        <f t="shared" si="30"/>
        <v>1039361.3644999999</v>
      </c>
      <c r="AW22" s="20">
        <f t="shared" si="30"/>
        <v>938465.19439999992</v>
      </c>
      <c r="AX22" s="20">
        <f t="shared" si="30"/>
        <v>1945116.1899999997</v>
      </c>
      <c r="AY22" s="20">
        <f t="shared" si="30"/>
        <v>1365539.9000000004</v>
      </c>
      <c r="AZ22" s="20">
        <f t="shared" si="30"/>
        <v>1295035.8878000001</v>
      </c>
      <c r="BA22" s="20">
        <f t="shared" si="30"/>
        <v>1395418.6329999999</v>
      </c>
      <c r="BB22" s="20">
        <f t="shared" si="30"/>
        <v>2306630.2416000003</v>
      </c>
      <c r="BC22" s="20">
        <f t="shared" si="30"/>
        <v>1845552.8485999994</v>
      </c>
      <c r="BD22" s="20">
        <f t="shared" si="30"/>
        <v>1705335.0596000003</v>
      </c>
      <c r="BE22" s="20">
        <f t="shared" si="30"/>
        <v>1978424.7831999997</v>
      </c>
      <c r="BF22" s="20">
        <f t="shared" si="30"/>
        <v>3416118.3895</v>
      </c>
      <c r="BG22" s="109">
        <f t="shared" si="30"/>
        <v>1404026.9677000002</v>
      </c>
      <c r="BH22" s="109">
        <f t="shared" si="30"/>
        <v>1544572.2399999995</v>
      </c>
      <c r="BI22" s="109">
        <f t="shared" si="30"/>
        <v>877586.3600000008</v>
      </c>
      <c r="BJ22" s="141"/>
      <c r="BK22" s="141"/>
      <c r="BL22" s="141"/>
      <c r="BM22" s="141"/>
      <c r="BN22" s="141"/>
      <c r="BO22" s="141"/>
      <c r="BP22" s="141"/>
      <c r="BQ22" s="141"/>
      <c r="BR22" s="141"/>
      <c r="BS22" s="105">
        <v>-0.22487967807132814</v>
      </c>
      <c r="BT22" s="103">
        <f t="shared" si="16"/>
        <v>20759741.1822</v>
      </c>
      <c r="BU22" s="103">
        <f t="shared" si="17"/>
        <v>3826185.5677000005</v>
      </c>
      <c r="BV22" s="103">
        <f t="shared" si="18"/>
        <v>1729978.4318500001</v>
      </c>
      <c r="BW22" s="103">
        <f t="shared" si="19"/>
        <v>1275395.1892333336</v>
      </c>
      <c r="BX22" s="105">
        <f t="shared" si="20"/>
        <v>-0.31191024757782249</v>
      </c>
      <c r="BY22">
        <v>3</v>
      </c>
      <c r="CA22">
        <f t="shared" si="21"/>
        <v>3</v>
      </c>
    </row>
    <row r="23" spans="1:79" ht="15" x14ac:dyDescent="0.2">
      <c r="A23" s="2" t="s">
        <v>107</v>
      </c>
      <c r="B23" s="2">
        <v>22</v>
      </c>
      <c r="C23" s="2"/>
      <c r="D23" s="101" t="s">
        <v>62</v>
      </c>
      <c r="E23" s="101"/>
      <c r="F23" s="221" t="s">
        <v>346</v>
      </c>
      <c r="G23" s="111"/>
      <c r="H23" s="20" t="str">
        <f t="shared" si="14"/>
        <v>1 - TOTAL</v>
      </c>
      <c r="I23" s="87">
        <f>I24+I31+I32+I33</f>
        <v>-146271.40000000002</v>
      </c>
      <c r="J23" s="87">
        <f t="shared" ref="J23:BI23" si="31">J24+J31+J32+J33</f>
        <v>-178086.69</v>
      </c>
      <c r="K23" s="87">
        <f t="shared" si="31"/>
        <v>-148831.06</v>
      </c>
      <c r="L23" s="87">
        <f t="shared" si="31"/>
        <v>-115646.88500000001</v>
      </c>
      <c r="M23" s="87">
        <f t="shared" si="31"/>
        <v>-97550.99000000002</v>
      </c>
      <c r="N23" s="87">
        <f t="shared" si="31"/>
        <v>-96746.880000000005</v>
      </c>
      <c r="O23" s="87">
        <f t="shared" si="31"/>
        <v>-96030.94</v>
      </c>
      <c r="P23" s="87">
        <f t="shared" si="31"/>
        <v>-103602.49000000002</v>
      </c>
      <c r="Q23" s="87">
        <f t="shared" si="31"/>
        <v>-110411.83999999998</v>
      </c>
      <c r="R23" s="87">
        <f t="shared" si="31"/>
        <v>-116142.68</v>
      </c>
      <c r="S23" s="87">
        <f t="shared" si="31"/>
        <v>-102457.4</v>
      </c>
      <c r="T23" s="87">
        <f t="shared" si="31"/>
        <v>-155718.53</v>
      </c>
      <c r="U23" s="87">
        <f t="shared" si="31"/>
        <v>-155718.53</v>
      </c>
      <c r="V23" s="87">
        <f t="shared" si="31"/>
        <v>-101105.18</v>
      </c>
      <c r="W23" s="87">
        <f t="shared" si="31"/>
        <v>-101105.18</v>
      </c>
      <c r="X23" s="87">
        <f t="shared" si="31"/>
        <v>-61582.99</v>
      </c>
      <c r="Y23" s="87">
        <f t="shared" si="31"/>
        <v>-63388.92</v>
      </c>
      <c r="Z23" s="87">
        <f t="shared" si="31"/>
        <v>-65297.85</v>
      </c>
      <c r="AA23" s="87">
        <f t="shared" si="31"/>
        <v>-72655.86</v>
      </c>
      <c r="AB23" s="87">
        <f t="shared" si="31"/>
        <v>-69488.19</v>
      </c>
      <c r="AC23" s="87">
        <f t="shared" si="31"/>
        <v>-69576.94</v>
      </c>
      <c r="AD23" s="87">
        <f t="shared" si="31"/>
        <v>-75511.900000000009</v>
      </c>
      <c r="AE23" s="87">
        <f t="shared" si="31"/>
        <v>-77161.48000000001</v>
      </c>
      <c r="AF23" s="87">
        <f t="shared" si="31"/>
        <v>-71672.259999999995</v>
      </c>
      <c r="AG23" s="87">
        <f t="shared" si="31"/>
        <v>-116058.94</v>
      </c>
      <c r="AH23" s="87">
        <f t="shared" si="31"/>
        <v>-170627.25</v>
      </c>
      <c r="AI23" s="87">
        <f t="shared" si="31"/>
        <v>-183321.80000000002</v>
      </c>
      <c r="AJ23" s="87">
        <f t="shared" si="31"/>
        <v>-175426.49</v>
      </c>
      <c r="AK23" s="87">
        <f t="shared" si="31"/>
        <v>-261556.27999999997</v>
      </c>
      <c r="AL23" s="87">
        <f t="shared" si="31"/>
        <v>-256642.84999999998</v>
      </c>
      <c r="AM23" s="87">
        <f t="shared" si="31"/>
        <v>-212215.00999999998</v>
      </c>
      <c r="AN23" s="87">
        <f t="shared" si="31"/>
        <v>-201084.75</v>
      </c>
      <c r="AO23" s="87">
        <f t="shared" si="31"/>
        <v>-234663.37</v>
      </c>
      <c r="AP23" s="87">
        <f t="shared" si="31"/>
        <v>-212928.28999999998</v>
      </c>
      <c r="AQ23" s="87">
        <f t="shared" si="31"/>
        <v>-212451.59000000003</v>
      </c>
      <c r="AR23" s="87">
        <f t="shared" si="31"/>
        <v>-215202.2</v>
      </c>
      <c r="AS23" s="87">
        <f t="shared" si="31"/>
        <v>-241733.3</v>
      </c>
      <c r="AT23" s="87">
        <f t="shared" si="31"/>
        <v>-267519.55000000005</v>
      </c>
      <c r="AU23" s="87">
        <f t="shared" si="31"/>
        <v>-217506.97999999998</v>
      </c>
      <c r="AV23" s="87">
        <f t="shared" si="31"/>
        <v>-409657.98</v>
      </c>
      <c r="AW23" s="87">
        <f t="shared" si="31"/>
        <v>-365242.34</v>
      </c>
      <c r="AX23" s="87">
        <f t="shared" si="31"/>
        <v>-313338.75</v>
      </c>
      <c r="AY23" s="87">
        <f t="shared" si="31"/>
        <v>-340498.92</v>
      </c>
      <c r="AZ23" s="87">
        <f t="shared" si="31"/>
        <v>-332115.12</v>
      </c>
      <c r="BA23" s="87">
        <f t="shared" si="31"/>
        <v>-270189.59999999998</v>
      </c>
      <c r="BB23" s="87">
        <f t="shared" si="31"/>
        <v>-264123.16000000003</v>
      </c>
      <c r="BC23" s="87">
        <f t="shared" si="31"/>
        <v>-332706.69</v>
      </c>
      <c r="BD23" s="87">
        <f t="shared" si="31"/>
        <v>-515159.56</v>
      </c>
      <c r="BE23" s="87">
        <f t="shared" si="31"/>
        <v>-362823.27</v>
      </c>
      <c r="BF23" s="87">
        <f t="shared" si="31"/>
        <v>-721141</v>
      </c>
      <c r="BG23" s="109">
        <f t="shared" si="31"/>
        <v>-351219.61</v>
      </c>
      <c r="BH23" s="109">
        <f t="shared" si="31"/>
        <v>-249445.59000000003</v>
      </c>
      <c r="BI23" s="109">
        <f t="shared" si="31"/>
        <v>-260955.97999999998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1.4474736973379831</v>
      </c>
      <c r="BT23" s="103">
        <f t="shared" si="16"/>
        <v>-4444503.37</v>
      </c>
      <c r="BU23" s="103">
        <f t="shared" si="17"/>
        <v>-861621.17999999993</v>
      </c>
      <c r="BV23" s="103">
        <f t="shared" si="18"/>
        <v>-370375.28083333332</v>
      </c>
      <c r="BW23" s="103">
        <f t="shared" si="19"/>
        <v>-287207.06</v>
      </c>
      <c r="BX23" s="105">
        <f t="shared" si="20"/>
        <v>-9.1401235053205188E-2</v>
      </c>
      <c r="BY23">
        <v>2</v>
      </c>
      <c r="CA23">
        <f t="shared" si="21"/>
        <v>3</v>
      </c>
    </row>
    <row r="24" spans="1:79" ht="15" x14ac:dyDescent="0.2">
      <c r="A24" s="2"/>
      <c r="B24" s="2">
        <v>23</v>
      </c>
      <c r="C24" s="2"/>
      <c r="E24" s="101"/>
      <c r="F24" s="233" t="s">
        <v>347</v>
      </c>
      <c r="G24" s="111"/>
      <c r="H24" s="20"/>
      <c r="I24" s="87">
        <f>SUM(I25:I30)</f>
        <v>-137332.64000000001</v>
      </c>
      <c r="J24" s="87">
        <f t="shared" ref="J24:BI24" si="32">SUM(J25:J30)</f>
        <v>-153565.43</v>
      </c>
      <c r="K24" s="87">
        <f t="shared" si="32"/>
        <v>-132815.34</v>
      </c>
      <c r="L24" s="87">
        <f t="shared" si="32"/>
        <v>-99243.845000000001</v>
      </c>
      <c r="M24" s="87">
        <f t="shared" si="32"/>
        <v>-84769.390000000014</v>
      </c>
      <c r="N24" s="87">
        <f t="shared" si="32"/>
        <v>-81662.53</v>
      </c>
      <c r="O24" s="87">
        <f t="shared" si="32"/>
        <v>-85594.8</v>
      </c>
      <c r="P24" s="87">
        <f t="shared" si="32"/>
        <v>-87609.48000000001</v>
      </c>
      <c r="Q24" s="87">
        <f t="shared" si="32"/>
        <v>-93968.919999999984</v>
      </c>
      <c r="R24" s="87">
        <f t="shared" si="32"/>
        <v>-99343.969999999987</v>
      </c>
      <c r="S24" s="87">
        <f t="shared" si="32"/>
        <v>-84931.79</v>
      </c>
      <c r="T24" s="87">
        <f t="shared" si="32"/>
        <v>-98878.189999999988</v>
      </c>
      <c r="U24" s="87">
        <f t="shared" si="32"/>
        <v>-98878.189999999988</v>
      </c>
      <c r="V24" s="87">
        <f t="shared" si="32"/>
        <v>-89358.399999999994</v>
      </c>
      <c r="W24" s="87">
        <f t="shared" si="32"/>
        <v>-89358.399999999994</v>
      </c>
      <c r="X24" s="87">
        <f t="shared" si="32"/>
        <v>-44780.7</v>
      </c>
      <c r="Y24" s="87">
        <f t="shared" si="32"/>
        <v>-46400.01</v>
      </c>
      <c r="Z24" s="87">
        <f t="shared" si="32"/>
        <v>-49057.84</v>
      </c>
      <c r="AA24" s="87">
        <f t="shared" si="32"/>
        <v>-47357.74</v>
      </c>
      <c r="AB24" s="87">
        <f t="shared" si="32"/>
        <v>-54033.21</v>
      </c>
      <c r="AC24" s="87">
        <f t="shared" si="32"/>
        <v>-44649.619999999995</v>
      </c>
      <c r="AD24" s="87">
        <f t="shared" si="32"/>
        <v>-50802.930000000008</v>
      </c>
      <c r="AE24" s="87">
        <f t="shared" si="32"/>
        <v>-61721.630000000005</v>
      </c>
      <c r="AF24" s="87">
        <f t="shared" si="32"/>
        <v>-53145.57</v>
      </c>
      <c r="AG24" s="87">
        <f t="shared" si="32"/>
        <v>-98433.63</v>
      </c>
      <c r="AH24" s="87">
        <f t="shared" si="32"/>
        <v>-91773.23</v>
      </c>
      <c r="AI24" s="87">
        <f t="shared" si="32"/>
        <v>-96521.790000000008</v>
      </c>
      <c r="AJ24" s="87">
        <f t="shared" si="32"/>
        <v>-87308.229999999981</v>
      </c>
      <c r="AK24" s="87">
        <f t="shared" si="32"/>
        <v>-113140.60999999999</v>
      </c>
      <c r="AL24" s="87">
        <f t="shared" si="32"/>
        <v>-155403.22</v>
      </c>
      <c r="AM24" s="87">
        <f t="shared" si="32"/>
        <v>-113130.56</v>
      </c>
      <c r="AN24" s="87">
        <f t="shared" si="32"/>
        <v>-97220.51999999999</v>
      </c>
      <c r="AO24" s="87">
        <f t="shared" si="32"/>
        <v>-117539.69</v>
      </c>
      <c r="AP24" s="87">
        <f t="shared" si="32"/>
        <v>-99271.26999999999</v>
      </c>
      <c r="AQ24" s="87">
        <f t="shared" si="32"/>
        <v>-106033.40000000001</v>
      </c>
      <c r="AR24" s="87">
        <f t="shared" si="32"/>
        <v>-107510.51999999999</v>
      </c>
      <c r="AS24" s="87">
        <f t="shared" si="32"/>
        <v>-106698.62999999999</v>
      </c>
      <c r="AT24" s="87">
        <f t="shared" si="32"/>
        <v>-105941.13</v>
      </c>
      <c r="AU24" s="87">
        <f t="shared" si="32"/>
        <v>-109144.9</v>
      </c>
      <c r="AV24" s="87">
        <f t="shared" si="32"/>
        <v>-315027.45</v>
      </c>
      <c r="AW24" s="87">
        <f t="shared" si="32"/>
        <v>-240611.04</v>
      </c>
      <c r="AX24" s="87">
        <f t="shared" si="32"/>
        <v>-187421.53</v>
      </c>
      <c r="AY24" s="87">
        <f t="shared" si="32"/>
        <v>-198848.37</v>
      </c>
      <c r="AZ24" s="87">
        <f t="shared" si="32"/>
        <v>-214108.02999999997</v>
      </c>
      <c r="BA24" s="87">
        <f t="shared" si="32"/>
        <v>-133665.5</v>
      </c>
      <c r="BB24" s="87">
        <f t="shared" si="32"/>
        <v>-130155.29</v>
      </c>
      <c r="BC24" s="87">
        <f t="shared" si="32"/>
        <v>-219831.82</v>
      </c>
      <c r="BD24" s="87">
        <f t="shared" si="32"/>
        <v>-312475.92999999993</v>
      </c>
      <c r="BE24" s="87">
        <f t="shared" si="32"/>
        <v>-119176.87</v>
      </c>
      <c r="BF24" s="87">
        <f t="shared" si="32"/>
        <v>-543664.21</v>
      </c>
      <c r="BG24" s="109">
        <f t="shared" si="32"/>
        <v>-203449.88</v>
      </c>
      <c r="BH24" s="109">
        <f t="shared" si="32"/>
        <v>-118224.69</v>
      </c>
      <c r="BI24" s="109">
        <f t="shared" si="32"/>
        <v>-109364.18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/>
      <c r="BT24" s="103"/>
      <c r="BU24" s="103"/>
      <c r="BV24" s="103"/>
      <c r="BW24" s="103"/>
      <c r="BX24" s="105"/>
    </row>
    <row r="25" spans="1:79" ht="15" x14ac:dyDescent="0.2">
      <c r="A25" s="2" t="s">
        <v>107</v>
      </c>
      <c r="B25" s="2">
        <v>24</v>
      </c>
      <c r="C25" s="2" t="s">
        <v>214</v>
      </c>
      <c r="D25" s="99" t="s">
        <v>196</v>
      </c>
      <c r="E25" s="99" t="s">
        <v>2</v>
      </c>
      <c r="F25" s="231" t="s">
        <v>349</v>
      </c>
      <c r="H25" s="20" t="str">
        <f t="shared" ref="H25:H26" si="33">CONCATENATE(A25,E25)</f>
        <v>1 - TOTALCOMUNICAÇÃO</v>
      </c>
      <c r="I25" s="20">
        <v>-17008.200000000004</v>
      </c>
      <c r="J25" s="20">
        <v>-18056.210000000003</v>
      </c>
      <c r="K25" s="20">
        <v>-18162.009999999998</v>
      </c>
      <c r="L25" s="20">
        <v>-16108.480000000001</v>
      </c>
      <c r="M25" s="20">
        <v>-16494.260000000002</v>
      </c>
      <c r="N25" s="20">
        <v>-15569.73</v>
      </c>
      <c r="O25" s="20">
        <v>-15908.69</v>
      </c>
      <c r="P25" s="20">
        <v>-16217.239999999998</v>
      </c>
      <c r="Q25" s="20">
        <v>-16015.3</v>
      </c>
      <c r="R25" s="20">
        <v>-15944.76</v>
      </c>
      <c r="S25" s="20">
        <v>-14632.27</v>
      </c>
      <c r="T25" s="20">
        <v>-16189.62</v>
      </c>
      <c r="U25" s="20">
        <v>-16189.62</v>
      </c>
      <c r="V25" s="20">
        <v>-22071.88</v>
      </c>
      <c r="W25" s="20">
        <v>-22071.88</v>
      </c>
      <c r="X25" s="20">
        <v>-17270.68</v>
      </c>
      <c r="Y25" s="20">
        <v>-20267.190000000002</v>
      </c>
      <c r="Z25" s="20">
        <v>-18171.439999999999</v>
      </c>
      <c r="AA25" s="20">
        <v>-18889.650000000001</v>
      </c>
      <c r="AB25" s="20">
        <v>-20371.68</v>
      </c>
      <c r="AC25" s="20">
        <v>-16534.3</v>
      </c>
      <c r="AD25" s="20">
        <v>-18303.09</v>
      </c>
      <c r="AE25" s="20">
        <v>-20185.46</v>
      </c>
      <c r="AF25" s="20">
        <v>-18022.3</v>
      </c>
      <c r="AG25" s="20">
        <v>-19087.189999999999</v>
      </c>
      <c r="AH25" s="20">
        <v>-18569.77</v>
      </c>
      <c r="AI25" s="20">
        <v>-19144.97</v>
      </c>
      <c r="AJ25" s="20">
        <v>-19837.999999999996</v>
      </c>
      <c r="AK25" s="20">
        <v>-11823.37</v>
      </c>
      <c r="AL25" s="20">
        <v>-21505.200000000001</v>
      </c>
      <c r="AM25" s="20">
        <v>-21689.759999999998</v>
      </c>
      <c r="AN25" s="20">
        <v>-17852.379999999997</v>
      </c>
      <c r="AO25" s="20">
        <v>-17522.560000000001</v>
      </c>
      <c r="AP25" s="20">
        <v>-17728.010000000002</v>
      </c>
      <c r="AQ25" s="20">
        <v>-18922.02</v>
      </c>
      <c r="AR25" s="20">
        <v>-19003.29</v>
      </c>
      <c r="AS25" s="20">
        <v>-19918.32</v>
      </c>
      <c r="AT25" s="20">
        <v>-20349</v>
      </c>
      <c r="AU25" s="20">
        <v>-19780</v>
      </c>
      <c r="AV25" s="20">
        <v>-19121.04</v>
      </c>
      <c r="AW25" s="20">
        <v>-47589.57</v>
      </c>
      <c r="AX25" s="20">
        <v>-20497.439999999999</v>
      </c>
      <c r="AY25" s="20">
        <v>-34217.72</v>
      </c>
      <c r="AZ25" s="20">
        <v>-33963.22</v>
      </c>
      <c r="BA25" s="20">
        <v>-44454.6</v>
      </c>
      <c r="BB25" s="20">
        <v>-30028.29</v>
      </c>
      <c r="BC25" s="20">
        <v>-13990.31</v>
      </c>
      <c r="BD25" s="20">
        <v>-42727.67</v>
      </c>
      <c r="BE25" s="20">
        <v>-12221.71</v>
      </c>
      <c r="BF25" s="20">
        <v>-45642.09</v>
      </c>
      <c r="BG25" s="103">
        <v>-30077.78</v>
      </c>
      <c r="BH25" s="103">
        <v>-13866.08</v>
      </c>
      <c r="BI25" s="103">
        <v>-27884.73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1.0110031097469507</v>
      </c>
      <c r="BT25" s="103">
        <f t="shared" ref="BT25:BT26" si="34">SUM(AU25:BF25)</f>
        <v>-364233.66000000003</v>
      </c>
      <c r="BU25" s="103">
        <f t="shared" ref="BU25:BU31" si="35">SUM(BG25:BR25)</f>
        <v>-71828.59</v>
      </c>
      <c r="BV25" s="103">
        <f t="shared" ref="BV25:BV26" si="36">AVERAGE(AU25:BF25)</f>
        <v>-30352.805000000004</v>
      </c>
      <c r="BW25" s="103">
        <f t="shared" ref="BW25:BW31" si="37">AVERAGE(BG25:BR25)</f>
        <v>-23942.863333333331</v>
      </c>
      <c r="BX25" s="105">
        <f t="shared" ref="BX25:BX31" si="38">BI25/BW25-1</f>
        <v>0.16463639339154512</v>
      </c>
      <c r="CA25">
        <f t="shared" si="21"/>
        <v>3</v>
      </c>
    </row>
    <row r="26" spans="1:79" ht="15" x14ac:dyDescent="0.2">
      <c r="A26" s="2" t="s">
        <v>107</v>
      </c>
      <c r="B26" s="2">
        <v>25</v>
      </c>
      <c r="C26" s="2" t="s">
        <v>214</v>
      </c>
      <c r="D26" s="99" t="s">
        <v>199</v>
      </c>
      <c r="E26" s="99" t="s">
        <v>5</v>
      </c>
      <c r="F26" s="231" t="s">
        <v>350</v>
      </c>
      <c r="H26" s="20" t="str">
        <f t="shared" si="33"/>
        <v>1 - TOTALCONSUMO DE MATERIAL</v>
      </c>
      <c r="I26" s="20">
        <v>-12142.61</v>
      </c>
      <c r="J26" s="20">
        <v>-20118.91</v>
      </c>
      <c r="K26" s="20">
        <v>-5441.78</v>
      </c>
      <c r="L26" s="20">
        <v>-4022.36</v>
      </c>
      <c r="M26" s="20">
        <v>-451.04</v>
      </c>
      <c r="N26" s="20">
        <v>-22.24</v>
      </c>
      <c r="O26" s="20">
        <v>-4677.74</v>
      </c>
      <c r="P26" s="20">
        <v>-4685.5</v>
      </c>
      <c r="Q26" s="20">
        <v>-2200</v>
      </c>
      <c r="R26" s="20">
        <v>-2212</v>
      </c>
      <c r="S26" s="20">
        <v>-4850</v>
      </c>
      <c r="T26" s="20">
        <v>-8321.43</v>
      </c>
      <c r="U26" s="20">
        <v>-8321.43</v>
      </c>
      <c r="V26" s="20">
        <v>-880.07</v>
      </c>
      <c r="W26" s="20">
        <v>-880.07</v>
      </c>
      <c r="X26" s="20">
        <v>-89.67</v>
      </c>
      <c r="Y26" s="20">
        <v>-2630.97</v>
      </c>
      <c r="Z26" s="20">
        <v>-2717.18</v>
      </c>
      <c r="AA26" s="20">
        <v>-529.91999999999996</v>
      </c>
      <c r="AB26" s="20">
        <v>-2587.79</v>
      </c>
      <c r="AC26" s="20">
        <v>-21.26</v>
      </c>
      <c r="AD26" s="20">
        <v>-2132.31</v>
      </c>
      <c r="AE26" s="20">
        <v>-701.28</v>
      </c>
      <c r="AF26" s="20">
        <v>-5142.7700000000004</v>
      </c>
      <c r="AG26" s="20">
        <v>-901.58</v>
      </c>
      <c r="AH26" s="20">
        <v>-3808.19</v>
      </c>
      <c r="AI26" s="20">
        <v>-3281.43</v>
      </c>
      <c r="AJ26" s="20">
        <v>-526.66</v>
      </c>
      <c r="AK26" s="20">
        <v>-4215.25</v>
      </c>
      <c r="AL26" s="20">
        <v>-6418.93</v>
      </c>
      <c r="AM26" s="20">
        <v>-7943.6900000000005</v>
      </c>
      <c r="AN26" s="20">
        <v>-4054.55</v>
      </c>
      <c r="AO26" s="20">
        <v>-3208.18</v>
      </c>
      <c r="AP26" s="20">
        <v>-6997.66</v>
      </c>
      <c r="AQ26" s="20">
        <v>-9790.36</v>
      </c>
      <c r="AR26" s="20">
        <v>-7749.96</v>
      </c>
      <c r="AS26" s="20">
        <v>-7804.1900000000005</v>
      </c>
      <c r="AT26" s="20">
        <v>-6227.85</v>
      </c>
      <c r="AU26" s="20">
        <v>-7090.57</v>
      </c>
      <c r="AV26" s="20">
        <v>-3646.71</v>
      </c>
      <c r="AW26" s="20">
        <v>-6497.35</v>
      </c>
      <c r="AX26" s="20">
        <v>-4130.43</v>
      </c>
      <c r="AY26" s="20">
        <v>-6745.72</v>
      </c>
      <c r="AZ26" s="20">
        <v>-7797.1</v>
      </c>
      <c r="BA26" s="20">
        <v>-5984.21</v>
      </c>
      <c r="BB26" s="20">
        <v>-9567.1200000000008</v>
      </c>
      <c r="BC26" s="20">
        <v>-9568.2000000000007</v>
      </c>
      <c r="BD26" s="20">
        <v>-6738.64</v>
      </c>
      <c r="BE26" s="20">
        <v>-11691.94</v>
      </c>
      <c r="BF26" s="20">
        <v>-10402.15</v>
      </c>
      <c r="BG26" s="103">
        <v>-7126.56</v>
      </c>
      <c r="BH26" s="103">
        <v>-7944.53</v>
      </c>
      <c r="BI26" s="103">
        <v>-16453.490000000002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1.0710463677524036</v>
      </c>
      <c r="BT26" s="103">
        <f t="shared" si="34"/>
        <v>-89860.14</v>
      </c>
      <c r="BU26" s="103">
        <f t="shared" si="35"/>
        <v>-31524.58</v>
      </c>
      <c r="BV26" s="103">
        <f t="shared" si="36"/>
        <v>-7488.3450000000003</v>
      </c>
      <c r="BW26" s="103">
        <f t="shared" si="37"/>
        <v>-10508.193333333335</v>
      </c>
      <c r="BX26" s="105">
        <f t="shared" si="38"/>
        <v>0.56577724429635534</v>
      </c>
      <c r="CA26">
        <f t="shared" si="21"/>
        <v>3</v>
      </c>
    </row>
    <row r="27" spans="1:79" ht="15" x14ac:dyDescent="0.2">
      <c r="A27" s="2"/>
      <c r="B27" s="2">
        <v>26</v>
      </c>
      <c r="C27" s="2"/>
      <c r="D27" s="113" t="s">
        <v>348</v>
      </c>
      <c r="E27" s="99"/>
      <c r="F27" s="231" t="s">
        <v>351</v>
      </c>
      <c r="H27" s="20"/>
      <c r="I27" s="20">
        <v>-15233.259999999998</v>
      </c>
      <c r="J27" s="20">
        <v>-13325.64</v>
      </c>
      <c r="K27" s="20">
        <v>-5365.74</v>
      </c>
      <c r="L27" s="20">
        <v>-3251.4450000000002</v>
      </c>
      <c r="M27" s="20">
        <v>-2858.46</v>
      </c>
      <c r="N27" s="20">
        <v>-3520.81</v>
      </c>
      <c r="O27" s="20">
        <v>-3012.96</v>
      </c>
      <c r="P27" s="20">
        <v>-3367.81</v>
      </c>
      <c r="Q27" s="20">
        <v>-3352.42</v>
      </c>
      <c r="R27" s="20">
        <v>-6460.44</v>
      </c>
      <c r="S27" s="20">
        <v>-7089.34</v>
      </c>
      <c r="T27" s="20">
        <v>-14289.099999999999</v>
      </c>
      <c r="U27" s="20">
        <v>-14289.099999999999</v>
      </c>
      <c r="V27" s="20">
        <v>-10212.289999999999</v>
      </c>
      <c r="W27" s="20">
        <v>-10212.289999999999</v>
      </c>
      <c r="X27" s="20">
        <v>-7495.02</v>
      </c>
      <c r="Y27" s="20">
        <v>-10309.01</v>
      </c>
      <c r="Z27" s="20">
        <v>-7362.73</v>
      </c>
      <c r="AA27" s="20">
        <v>-8890.75</v>
      </c>
      <c r="AB27" s="20">
        <v>-9576.7900000000009</v>
      </c>
      <c r="AC27" s="20">
        <v>-11572.67</v>
      </c>
      <c r="AD27" s="20">
        <v>-5172.1600000000008</v>
      </c>
      <c r="AE27" s="20">
        <v>-21166.530000000002</v>
      </c>
      <c r="AF27" s="20">
        <v>-9272.4000000000015</v>
      </c>
      <c r="AG27" s="20">
        <v>-30999.67</v>
      </c>
      <c r="AH27" s="20">
        <v>-14498.51</v>
      </c>
      <c r="AI27" s="20">
        <v>-13719.32</v>
      </c>
      <c r="AJ27" s="20">
        <v>-34628.28</v>
      </c>
      <c r="AK27" s="20">
        <v>-36322.869999999995</v>
      </c>
      <c r="AL27" s="20">
        <v>-67260.08</v>
      </c>
      <c r="AM27" s="20">
        <v>-25867.98</v>
      </c>
      <c r="AN27" s="20">
        <v>-15733.09</v>
      </c>
      <c r="AO27" s="20">
        <v>-40882.239999999998</v>
      </c>
      <c r="AP27" s="20">
        <v>-19995.5</v>
      </c>
      <c r="AQ27" s="20">
        <v>-20493.38</v>
      </c>
      <c r="AR27" s="20">
        <v>-23077.159999999996</v>
      </c>
      <c r="AS27" s="20">
        <v>-26304.69</v>
      </c>
      <c r="AT27" s="20">
        <v>-23397.7</v>
      </c>
      <c r="AU27" s="20">
        <v>-20684.599999999999</v>
      </c>
      <c r="AV27" s="20">
        <v>-236112.01</v>
      </c>
      <c r="AW27" s="20">
        <v>-124822.28</v>
      </c>
      <c r="AX27" s="20">
        <v>-103398.68</v>
      </c>
      <c r="AY27" s="20">
        <v>-99090.03</v>
      </c>
      <c r="AZ27" s="20">
        <v>-105311.54</v>
      </c>
      <c r="BA27" s="20">
        <v>-17573.84</v>
      </c>
      <c r="BB27" s="20">
        <v>-25756.32</v>
      </c>
      <c r="BC27" s="20">
        <v>-133037.66</v>
      </c>
      <c r="BD27" s="20">
        <v>-204656.72999999998</v>
      </c>
      <c r="BE27" s="20">
        <v>-33024.54</v>
      </c>
      <c r="BF27" s="20">
        <v>-428276.45</v>
      </c>
      <c r="BG27" s="20">
        <v>-95501.75</v>
      </c>
      <c r="BH27" s="20">
        <v>-32846.729999999996</v>
      </c>
      <c r="BI27" s="20">
        <v>-32556.7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/>
      <c r="BT27" s="103"/>
      <c r="BU27" s="103">
        <f t="shared" si="35"/>
        <v>-160905.18</v>
      </c>
      <c r="BV27" s="103"/>
      <c r="BW27" s="103">
        <f t="shared" si="37"/>
        <v>-53635.06</v>
      </c>
      <c r="BX27" s="105">
        <f t="shared" si="38"/>
        <v>-0.39299592468060995</v>
      </c>
    </row>
    <row r="28" spans="1:79" ht="15" x14ac:dyDescent="0.2">
      <c r="A28" s="2" t="s">
        <v>107</v>
      </c>
      <c r="B28" s="2">
        <v>27</v>
      </c>
      <c r="C28" s="2" t="s">
        <v>214</v>
      </c>
      <c r="D28" s="99" t="s">
        <v>198</v>
      </c>
      <c r="E28" s="99" t="s">
        <v>220</v>
      </c>
      <c r="F28" s="231" t="s">
        <v>352</v>
      </c>
      <c r="H28" s="20" t="str">
        <f t="shared" ref="H28:H31" si="39">CONCATENATE(A28,E28)</f>
        <v>1 - TOTALALUGUEL DE EQUIPAM / MANUT MÁQ EQUIPAM</v>
      </c>
      <c r="I28" s="20">
        <v>-5050.1499999999996</v>
      </c>
      <c r="J28" s="20">
        <v>-4144.71</v>
      </c>
      <c r="K28" s="20">
        <v>-3848.66</v>
      </c>
      <c r="L28" s="20">
        <v>-3803.6099999999997</v>
      </c>
      <c r="M28" s="20">
        <v>-337.04</v>
      </c>
      <c r="N28" s="20">
        <v>-337.04</v>
      </c>
      <c r="O28" s="20">
        <v>-337.04</v>
      </c>
      <c r="P28" s="20">
        <v>-337.04</v>
      </c>
      <c r="Q28" s="20">
        <v>-1177.79</v>
      </c>
      <c r="R28" s="20">
        <v>-707.96</v>
      </c>
      <c r="S28" s="20">
        <v>-336.59</v>
      </c>
      <c r="T28" s="20">
        <v>-386.59</v>
      </c>
      <c r="U28" s="20">
        <v>-386.59</v>
      </c>
      <c r="V28" s="20">
        <v>-336.59</v>
      </c>
      <c r="W28" s="20">
        <v>-336.59</v>
      </c>
      <c r="X28" s="20">
        <v>-1682.93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-823.44</v>
      </c>
      <c r="AF28" s="20">
        <v>-2490</v>
      </c>
      <c r="AG28" s="20">
        <v>-2710</v>
      </c>
      <c r="AH28" s="20">
        <v>-7400.29</v>
      </c>
      <c r="AI28" s="20">
        <v>-7236.11</v>
      </c>
      <c r="AJ28" s="20">
        <v>-7795</v>
      </c>
      <c r="AK28" s="20">
        <v>-6435</v>
      </c>
      <c r="AL28" s="20">
        <v>-6985</v>
      </c>
      <c r="AM28" s="20">
        <v>-7372.9</v>
      </c>
      <c r="AN28" s="20">
        <v>-5280</v>
      </c>
      <c r="AO28" s="20">
        <v>-6602.2699999999995</v>
      </c>
      <c r="AP28" s="20">
        <v>-5828.369999999999</v>
      </c>
      <c r="AQ28" s="20">
        <v>-6323.4699999999993</v>
      </c>
      <c r="AR28" s="20">
        <v>-5728.0499999999993</v>
      </c>
      <c r="AS28" s="20">
        <v>-5653.4699999999993</v>
      </c>
      <c r="AT28" s="20">
        <v>-5655.42</v>
      </c>
      <c r="AU28" s="20">
        <v>-6206.0599999999995</v>
      </c>
      <c r="AV28" s="20">
        <v>-5748.4699999999993</v>
      </c>
      <c r="AW28" s="20">
        <v>-9149</v>
      </c>
      <c r="AX28" s="20">
        <v>-6565.57</v>
      </c>
      <c r="AY28" s="20">
        <v>-7919.5</v>
      </c>
      <c r="AZ28" s="20">
        <v>-8577.7199999999993</v>
      </c>
      <c r="BA28" s="20">
        <v>-9081.0999999999985</v>
      </c>
      <c r="BB28" s="20">
        <v>-8561.0999999999985</v>
      </c>
      <c r="BC28" s="20">
        <v>-9379.2800000000007</v>
      </c>
      <c r="BD28" s="20">
        <v>-6143.63</v>
      </c>
      <c r="BE28" s="20">
        <v>-4615.67</v>
      </c>
      <c r="BF28" s="20">
        <v>-5832.52</v>
      </c>
      <c r="BG28" s="103">
        <v>-5539.09</v>
      </c>
      <c r="BH28" s="103">
        <v>-5270.03</v>
      </c>
      <c r="BI28" s="103">
        <v>-5225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-8.5445433896960132E-3</v>
      </c>
      <c r="BT28" s="103">
        <f t="shared" ref="BT28:BT31" si="40">SUM(AU28:BF28)</f>
        <v>-87779.62000000001</v>
      </c>
      <c r="BU28" s="103">
        <f t="shared" si="35"/>
        <v>-16034.119999999999</v>
      </c>
      <c r="BV28" s="103">
        <f t="shared" ref="BV28:BV31" si="41">AVERAGE(AU28:BF28)</f>
        <v>-7314.9683333333342</v>
      </c>
      <c r="BW28" s="103">
        <f t="shared" si="37"/>
        <v>-5344.706666666666</v>
      </c>
      <c r="BX28" s="105">
        <f t="shared" si="38"/>
        <v>-2.2397237890198984E-2</v>
      </c>
      <c r="CA28">
        <f t="shared" si="21"/>
        <v>3</v>
      </c>
    </row>
    <row r="29" spans="1:79" ht="15" x14ac:dyDescent="0.2">
      <c r="A29" s="2" t="s">
        <v>107</v>
      </c>
      <c r="B29" s="2">
        <v>28</v>
      </c>
      <c r="C29" s="2" t="s">
        <v>214</v>
      </c>
      <c r="D29" s="99" t="s">
        <v>194</v>
      </c>
      <c r="E29" s="99" t="s">
        <v>0</v>
      </c>
      <c r="F29" s="231" t="s">
        <v>353</v>
      </c>
      <c r="H29" s="20" t="str">
        <f t="shared" si="39"/>
        <v>1 - TOTALLOCALIZAÇÃO (ALUGUEL, COND, LUZ, IPTU)</v>
      </c>
      <c r="I29" s="20">
        <v>-79314.320000000007</v>
      </c>
      <c r="J29" s="20">
        <v>-88308.01</v>
      </c>
      <c r="K29" s="20">
        <v>-90640.859999999986</v>
      </c>
      <c r="L29" s="20">
        <v>-61440.7</v>
      </c>
      <c r="M29" s="20">
        <v>-56695.49</v>
      </c>
      <c r="N29" s="20">
        <v>-53603.11</v>
      </c>
      <c r="O29" s="20">
        <v>-50909.42</v>
      </c>
      <c r="P29" s="20">
        <v>-51874.04</v>
      </c>
      <c r="Q29" s="20">
        <v>-58560.259999999995</v>
      </c>
      <c r="R29" s="20">
        <v>-57607.939999999995</v>
      </c>
      <c r="S29" s="20">
        <v>-42400.800000000003</v>
      </c>
      <c r="T29" s="20">
        <v>-47784</v>
      </c>
      <c r="U29" s="20">
        <v>-47784</v>
      </c>
      <c r="V29" s="20">
        <v>-46595.87</v>
      </c>
      <c r="W29" s="20">
        <v>-46595.87</v>
      </c>
      <c r="X29" s="20">
        <v>-5273.15</v>
      </c>
      <c r="Y29" s="20">
        <v>-726.99</v>
      </c>
      <c r="Z29" s="20">
        <v>-8613.7900000000009</v>
      </c>
      <c r="AA29" s="20">
        <v>-5588.35</v>
      </c>
      <c r="AB29" s="20">
        <v>-7060.75</v>
      </c>
      <c r="AC29" s="20">
        <v>-5533.84</v>
      </c>
      <c r="AD29" s="20">
        <v>-13859.82</v>
      </c>
      <c r="AE29" s="20">
        <v>-7253.99</v>
      </c>
      <c r="AF29" s="20">
        <v>-6301.35</v>
      </c>
      <c r="AG29" s="20">
        <v>-33307.29</v>
      </c>
      <c r="AH29" s="20">
        <v>-37182.519999999997</v>
      </c>
      <c r="AI29" s="20">
        <v>-44157.21</v>
      </c>
      <c r="AJ29" s="20">
        <v>-9865.9399999999987</v>
      </c>
      <c r="AK29" s="20">
        <v>-42236.34</v>
      </c>
      <c r="AL29" s="20">
        <v>-41696.36</v>
      </c>
      <c r="AM29" s="20">
        <v>-39940.329999999994</v>
      </c>
      <c r="AN29" s="20">
        <v>-41261.850000000006</v>
      </c>
      <c r="AO29" s="20">
        <v>-39014.810000000005</v>
      </c>
      <c r="AP29" s="20">
        <v>-36927.440000000002</v>
      </c>
      <c r="AQ29" s="20">
        <v>-38481.96</v>
      </c>
      <c r="AR29" s="20">
        <v>-40705.67</v>
      </c>
      <c r="AS29" s="20">
        <v>-36264.51</v>
      </c>
      <c r="AT29" s="20">
        <v>-38809.89</v>
      </c>
      <c r="AU29" s="20">
        <v>-42458.36</v>
      </c>
      <c r="AV29" s="20">
        <v>-38432.78</v>
      </c>
      <c r="AW29" s="20">
        <v>-36426.07</v>
      </c>
      <c r="AX29" s="20">
        <v>-38023.339999999997</v>
      </c>
      <c r="AY29" s="20">
        <v>-36037.01</v>
      </c>
      <c r="AZ29" s="20">
        <v>-41881.33</v>
      </c>
      <c r="BA29" s="20">
        <v>-41602.089999999997</v>
      </c>
      <c r="BB29" s="20">
        <v>-39946.42</v>
      </c>
      <c r="BC29" s="20">
        <v>-37781.25</v>
      </c>
      <c r="BD29" s="20">
        <v>-37288.980000000003</v>
      </c>
      <c r="BE29" s="20">
        <v>-36548.94</v>
      </c>
      <c r="BF29" s="20">
        <v>-36646.020000000004</v>
      </c>
      <c r="BG29" s="103">
        <v>-39582.32</v>
      </c>
      <c r="BH29" s="103">
        <v>-40008.920000000006</v>
      </c>
      <c r="BI29" s="103">
        <v>-11278.929999999998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-0.7180896160156286</v>
      </c>
      <c r="BT29" s="103">
        <f t="shared" si="40"/>
        <v>-463072.58999999997</v>
      </c>
      <c r="BU29" s="103">
        <f t="shared" si="35"/>
        <v>-90870.17</v>
      </c>
      <c r="BV29" s="103">
        <f t="shared" si="41"/>
        <v>-38589.3825</v>
      </c>
      <c r="BW29" s="103">
        <f t="shared" si="37"/>
        <v>-30290.056666666667</v>
      </c>
      <c r="BX29" s="105">
        <f t="shared" si="38"/>
        <v>-0.62763588975348017</v>
      </c>
      <c r="CA29">
        <f t="shared" si="21"/>
        <v>3</v>
      </c>
    </row>
    <row r="30" spans="1:79" ht="15" x14ac:dyDescent="0.2">
      <c r="A30" s="2" t="s">
        <v>107</v>
      </c>
      <c r="B30" s="2">
        <v>29</v>
      </c>
      <c r="C30" s="2" t="s">
        <v>214</v>
      </c>
      <c r="D30" s="99" t="s">
        <v>197</v>
      </c>
      <c r="E30" s="99" t="s">
        <v>3</v>
      </c>
      <c r="F30" s="231" t="s">
        <v>354</v>
      </c>
      <c r="H30" s="20" t="str">
        <f t="shared" si="39"/>
        <v>1 - TOTALPRESTADOR DE SERVIÇOS</v>
      </c>
      <c r="I30" s="20">
        <v>-8584.1</v>
      </c>
      <c r="J30" s="20">
        <v>-9611.9499999999989</v>
      </c>
      <c r="K30" s="20">
        <v>-9356.2900000000009</v>
      </c>
      <c r="L30" s="20">
        <v>-10617.25</v>
      </c>
      <c r="M30" s="20">
        <v>-7933.1</v>
      </c>
      <c r="N30" s="20">
        <v>-8609.6</v>
      </c>
      <c r="O30" s="20">
        <v>-10748.95</v>
      </c>
      <c r="P30" s="20">
        <v>-11127.85</v>
      </c>
      <c r="Q30" s="20">
        <v>-12663.15</v>
      </c>
      <c r="R30" s="20">
        <v>-16410.87</v>
      </c>
      <c r="S30" s="20">
        <v>-15622.789999999999</v>
      </c>
      <c r="T30" s="20">
        <v>-11907.449999999999</v>
      </c>
      <c r="U30" s="20">
        <v>-11907.449999999999</v>
      </c>
      <c r="V30" s="20">
        <v>-9261.6999999999989</v>
      </c>
      <c r="W30" s="20">
        <v>-9261.6999999999989</v>
      </c>
      <c r="X30" s="20">
        <v>-12969.25</v>
      </c>
      <c r="Y30" s="20">
        <v>-12465.85</v>
      </c>
      <c r="Z30" s="20">
        <v>-12192.7</v>
      </c>
      <c r="AA30" s="20">
        <v>-13459.07</v>
      </c>
      <c r="AB30" s="20">
        <v>-14436.199999999999</v>
      </c>
      <c r="AC30" s="20">
        <v>-10987.55</v>
      </c>
      <c r="AD30" s="20">
        <v>-11335.55</v>
      </c>
      <c r="AE30" s="20">
        <v>-11590.929999999998</v>
      </c>
      <c r="AF30" s="20">
        <v>-11916.75</v>
      </c>
      <c r="AG30" s="20">
        <v>-11427.9</v>
      </c>
      <c r="AH30" s="20">
        <v>-10313.949999999999</v>
      </c>
      <c r="AI30" s="20">
        <v>-8982.75</v>
      </c>
      <c r="AJ30" s="20">
        <v>-14654.349999999999</v>
      </c>
      <c r="AK30" s="20">
        <v>-12107.78</v>
      </c>
      <c r="AL30" s="20">
        <v>-11537.650000000001</v>
      </c>
      <c r="AM30" s="20">
        <v>-10315.900000000001</v>
      </c>
      <c r="AN30" s="20">
        <v>-13038.650000000001</v>
      </c>
      <c r="AO30" s="20">
        <v>-10309.630000000001</v>
      </c>
      <c r="AP30" s="20">
        <v>-11794.29</v>
      </c>
      <c r="AQ30" s="20">
        <v>-12022.210000000001</v>
      </c>
      <c r="AR30" s="20">
        <v>-11246.39</v>
      </c>
      <c r="AS30" s="20">
        <v>-10753.45</v>
      </c>
      <c r="AT30" s="20">
        <v>-11501.27</v>
      </c>
      <c r="AU30" s="20">
        <v>-12925.310000000001</v>
      </c>
      <c r="AV30" s="20">
        <v>-11966.44</v>
      </c>
      <c r="AW30" s="20">
        <v>-16126.769999999999</v>
      </c>
      <c r="AX30" s="20">
        <v>-14806.07</v>
      </c>
      <c r="AY30" s="20">
        <v>-14838.39</v>
      </c>
      <c r="AZ30" s="20">
        <v>-16577.12</v>
      </c>
      <c r="BA30" s="20">
        <v>-14969.66</v>
      </c>
      <c r="BB30" s="20">
        <v>-16296.039999999999</v>
      </c>
      <c r="BC30" s="20">
        <v>-16075.12</v>
      </c>
      <c r="BD30" s="20">
        <v>-14920.279999999999</v>
      </c>
      <c r="BE30" s="20">
        <v>-21074.07</v>
      </c>
      <c r="BF30" s="20">
        <v>-16864.98</v>
      </c>
      <c r="BG30" s="103">
        <v>-25622.38</v>
      </c>
      <c r="BH30" s="103">
        <v>-18288.399999999998</v>
      </c>
      <c r="BI30" s="103">
        <v>-15965.330000000002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-0.12702423394063977</v>
      </c>
      <c r="BT30" s="103">
        <f t="shared" si="40"/>
        <v>-187440.25</v>
      </c>
      <c r="BU30" s="103">
        <f t="shared" si="35"/>
        <v>-59876.11</v>
      </c>
      <c r="BV30" s="103">
        <f t="shared" si="41"/>
        <v>-15620.020833333334</v>
      </c>
      <c r="BW30" s="103">
        <f t="shared" si="37"/>
        <v>-19958.703333333335</v>
      </c>
      <c r="BX30" s="105">
        <f t="shared" si="38"/>
        <v>-0.20008180224132799</v>
      </c>
      <c r="CA30">
        <f t="shared" si="21"/>
        <v>3</v>
      </c>
    </row>
    <row r="31" spans="1:79" ht="15" x14ac:dyDescent="0.2">
      <c r="A31" s="2" t="s">
        <v>107</v>
      </c>
      <c r="B31" s="2">
        <v>30</v>
      </c>
      <c r="C31" s="2" t="s">
        <v>214</v>
      </c>
      <c r="D31" s="99" t="s">
        <v>195</v>
      </c>
      <c r="E31" s="99" t="s">
        <v>1</v>
      </c>
      <c r="F31" s="233" t="s">
        <v>355</v>
      </c>
      <c r="H31" s="20" t="str">
        <f t="shared" si="39"/>
        <v>1 - TOTALMARKETING</v>
      </c>
      <c r="I31" s="20">
        <v>-8938.76</v>
      </c>
      <c r="J31" s="20">
        <v>-24521.260000000002</v>
      </c>
      <c r="K31" s="20">
        <v>-16015.72</v>
      </c>
      <c r="L31" s="20">
        <v>-16403.04</v>
      </c>
      <c r="M31" s="20">
        <v>-12781.599999999999</v>
      </c>
      <c r="N31" s="20">
        <v>-15084.35</v>
      </c>
      <c r="O31" s="20">
        <v>-10436.14</v>
      </c>
      <c r="P31" s="20">
        <v>-15993.010000000002</v>
      </c>
      <c r="Q31" s="20">
        <v>-16442.919999999998</v>
      </c>
      <c r="R31" s="20">
        <v>-16798.71</v>
      </c>
      <c r="S31" s="20">
        <v>-17525.61</v>
      </c>
      <c r="T31" s="20">
        <v>-56840.340000000004</v>
      </c>
      <c r="U31" s="20">
        <v>-56840.340000000004</v>
      </c>
      <c r="V31" s="20">
        <v>-11746.779999999999</v>
      </c>
      <c r="W31" s="20">
        <v>-11746.779999999999</v>
      </c>
      <c r="X31" s="20">
        <v>-16802.29</v>
      </c>
      <c r="Y31" s="20">
        <v>-16988.91</v>
      </c>
      <c r="Z31" s="20">
        <v>-16240.01</v>
      </c>
      <c r="AA31" s="20">
        <v>-25298.12</v>
      </c>
      <c r="AB31" s="20">
        <v>-15454.98</v>
      </c>
      <c r="AC31" s="20">
        <v>-24927.32</v>
      </c>
      <c r="AD31" s="20">
        <v>-24708.97</v>
      </c>
      <c r="AE31" s="20">
        <v>-15439.849999999999</v>
      </c>
      <c r="AF31" s="20">
        <v>-18526.689999999999</v>
      </c>
      <c r="AG31" s="20">
        <v>-17625.309999999998</v>
      </c>
      <c r="AH31" s="20">
        <v>-78854.02</v>
      </c>
      <c r="AI31" s="20">
        <v>-21324.11</v>
      </c>
      <c r="AJ31" s="20">
        <v>-23700.14</v>
      </c>
      <c r="AK31" s="20">
        <v>-27967.100000000002</v>
      </c>
      <c r="AL31" s="20">
        <v>-11070.64</v>
      </c>
      <c r="AM31" s="20">
        <v>-12646.36</v>
      </c>
      <c r="AN31" s="20">
        <v>-10357.08</v>
      </c>
      <c r="AO31" s="20">
        <v>-12971.63</v>
      </c>
      <c r="AP31" s="20">
        <v>-17551.77</v>
      </c>
      <c r="AQ31" s="20">
        <v>-17005.850000000002</v>
      </c>
      <c r="AR31" s="20">
        <v>-16092.84</v>
      </c>
      <c r="AS31" s="20">
        <v>-23222.239999999998</v>
      </c>
      <c r="AT31" s="20">
        <v>-38138.080000000002</v>
      </c>
      <c r="AU31" s="20">
        <v>-11299.330000000002</v>
      </c>
      <c r="AV31" s="20">
        <v>-12768.529999999999</v>
      </c>
      <c r="AW31" s="20">
        <v>-27150.76</v>
      </c>
      <c r="AX31" s="20">
        <v>-27120.400000000001</v>
      </c>
      <c r="AY31" s="20">
        <v>-39287.97</v>
      </c>
      <c r="AZ31" s="20">
        <v>-27851.040000000001</v>
      </c>
      <c r="BA31" s="20">
        <v>-36538.65</v>
      </c>
      <c r="BB31" s="20">
        <v>-21511.030000000002</v>
      </c>
      <c r="BC31" s="20">
        <v>-19656.64</v>
      </c>
      <c r="BD31" s="20">
        <v>-100841.05000000002</v>
      </c>
      <c r="BE31" s="20">
        <v>-123823.53</v>
      </c>
      <c r="BF31" s="20">
        <v>-45861.49</v>
      </c>
      <c r="BG31" s="103">
        <v>-33674.729999999996</v>
      </c>
      <c r="BH31" s="103">
        <v>-39027.770000000004</v>
      </c>
      <c r="BI31" s="103">
        <v>-39498.36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1.2057824467039735E-2</v>
      </c>
      <c r="BT31" s="103">
        <f t="shared" si="40"/>
        <v>-493710.42000000004</v>
      </c>
      <c r="BU31" s="103">
        <f t="shared" si="35"/>
        <v>-112200.86</v>
      </c>
      <c r="BV31" s="103">
        <f t="shared" si="41"/>
        <v>-41142.535000000003</v>
      </c>
      <c r="BW31" s="103">
        <f t="shared" si="37"/>
        <v>-37400.286666666667</v>
      </c>
      <c r="BX31" s="105">
        <f t="shared" si="38"/>
        <v>5.6097787485764439E-2</v>
      </c>
      <c r="CA31">
        <f t="shared" si="21"/>
        <v>3</v>
      </c>
    </row>
    <row r="32" spans="1:79" ht="15" x14ac:dyDescent="0.2">
      <c r="A32" s="2" t="s">
        <v>107</v>
      </c>
      <c r="B32" s="2">
        <v>31</v>
      </c>
      <c r="C32" s="2" t="s">
        <v>214</v>
      </c>
      <c r="D32" s="228" t="s">
        <v>193</v>
      </c>
      <c r="E32" s="228" t="s">
        <v>102</v>
      </c>
      <c r="F32" s="235" t="s">
        <v>356</v>
      </c>
      <c r="G32">
        <v>1</v>
      </c>
      <c r="H32" s="20" t="str">
        <f t="shared" si="14"/>
        <v>1 - TOTALPESSOAL CLT ADM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-65475.9</v>
      </c>
      <c r="AJ32" s="20">
        <v>-64418.12</v>
      </c>
      <c r="AK32" s="20">
        <v>-120448.56999999999</v>
      </c>
      <c r="AL32" s="20">
        <v>-90168.99</v>
      </c>
      <c r="AM32" s="20">
        <v>-86438.089999999982</v>
      </c>
      <c r="AN32" s="20">
        <v>-93507.150000000009</v>
      </c>
      <c r="AO32" s="20">
        <v>-104152.05</v>
      </c>
      <c r="AP32" s="20">
        <v>-96105.25</v>
      </c>
      <c r="AQ32" s="20">
        <v>-89412.34</v>
      </c>
      <c r="AR32" s="20">
        <v>-91598.840000000011</v>
      </c>
      <c r="AS32" s="20">
        <v>-111812.43</v>
      </c>
      <c r="AT32" s="20">
        <v>-123440.34</v>
      </c>
      <c r="AU32" s="20">
        <v>-97062.75</v>
      </c>
      <c r="AV32" s="20">
        <v>-81862</v>
      </c>
      <c r="AW32" s="20">
        <v>-97480.540000000037</v>
      </c>
      <c r="AX32" s="20">
        <v>-98796.819999999992</v>
      </c>
      <c r="AY32" s="20">
        <v>-102362.58</v>
      </c>
      <c r="AZ32" s="20">
        <v>-90156.05</v>
      </c>
      <c r="BA32" s="20">
        <v>-99985.45</v>
      </c>
      <c r="BB32" s="20">
        <v>-112456.84000000001</v>
      </c>
      <c r="BC32" s="20">
        <v>-93218.23</v>
      </c>
      <c r="BD32" s="20">
        <v>-101842.58</v>
      </c>
      <c r="BE32" s="20">
        <v>-119822.87</v>
      </c>
      <c r="BF32" s="20">
        <v>-131615.29999999999</v>
      </c>
      <c r="BG32" s="103">
        <v>-114095</v>
      </c>
      <c r="BH32" s="103">
        <v>-92193.12999999999</v>
      </c>
      <c r="BI32" s="103">
        <v>-112093.44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0.21585458699579907</v>
      </c>
      <c r="BT32" s="103">
        <f t="shared" si="16"/>
        <v>-1226662.01</v>
      </c>
      <c r="BU32" s="103">
        <f t="shared" si="17"/>
        <v>-318381.57</v>
      </c>
      <c r="BV32" s="103">
        <f t="shared" si="18"/>
        <v>-102221.83416666667</v>
      </c>
      <c r="BW32" s="103">
        <f t="shared" si="19"/>
        <v>-106127.19</v>
      </c>
      <c r="BX32" s="105">
        <f t="shared" si="20"/>
        <v>5.6217921156680006E-2</v>
      </c>
      <c r="CA32">
        <f t="shared" si="21"/>
        <v>3</v>
      </c>
    </row>
    <row r="33" spans="1:79" ht="15" x14ac:dyDescent="0.2">
      <c r="A33" s="2"/>
      <c r="B33" s="2">
        <v>32</v>
      </c>
      <c r="C33" s="2"/>
      <c r="D33" s="99"/>
      <c r="E33" s="99"/>
      <c r="F33" s="233" t="s">
        <v>357</v>
      </c>
      <c r="H33" s="20"/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/>
      <c r="BT33" s="103"/>
      <c r="BU33" s="103"/>
      <c r="BV33" s="103"/>
      <c r="BW33" s="103"/>
      <c r="BX33" s="105"/>
    </row>
    <row r="34" spans="1:79" ht="15" x14ac:dyDescent="0.2">
      <c r="A34" s="2" t="s">
        <v>107</v>
      </c>
      <c r="B34" s="2">
        <v>33</v>
      </c>
      <c r="C34" s="2"/>
      <c r="D34" s="98" t="s">
        <v>264</v>
      </c>
      <c r="E34" s="98"/>
      <c r="F34" s="237" t="s">
        <v>358</v>
      </c>
      <c r="G34" s="90"/>
      <c r="H34" s="20" t="str">
        <f t="shared" si="14"/>
        <v>1 - TOTAL</v>
      </c>
      <c r="I34" s="87">
        <f>I22+I23</f>
        <v>856780.96488876024</v>
      </c>
      <c r="J34" s="87">
        <f t="shared" ref="J34:BI34" si="42">J22+J23</f>
        <v>374206.63287180167</v>
      </c>
      <c r="K34" s="87">
        <f t="shared" si="42"/>
        <v>1317859.1320024114</v>
      </c>
      <c r="L34" s="87">
        <f t="shared" si="42"/>
        <v>885099.44299995014</v>
      </c>
      <c r="M34" s="87">
        <f t="shared" si="42"/>
        <v>925883.02999995113</v>
      </c>
      <c r="N34" s="87">
        <f t="shared" si="42"/>
        <v>912166.84999999986</v>
      </c>
      <c r="O34" s="87">
        <f t="shared" si="42"/>
        <v>1403034.5100000002</v>
      </c>
      <c r="P34" s="87">
        <f t="shared" si="42"/>
        <v>680293.26</v>
      </c>
      <c r="Q34" s="87">
        <f t="shared" si="42"/>
        <v>1643022.6499999997</v>
      </c>
      <c r="R34" s="87">
        <f t="shared" si="42"/>
        <v>841096.22999999975</v>
      </c>
      <c r="S34" s="87">
        <f t="shared" si="42"/>
        <v>1664768.97</v>
      </c>
      <c r="T34" s="87">
        <f t="shared" si="42"/>
        <v>1044213.8599999999</v>
      </c>
      <c r="U34" s="87">
        <f t="shared" si="42"/>
        <v>1467999.8599999996</v>
      </c>
      <c r="V34" s="87">
        <f t="shared" si="42"/>
        <v>1095067.78</v>
      </c>
      <c r="W34" s="87">
        <f t="shared" si="42"/>
        <v>1518853.78</v>
      </c>
      <c r="X34" s="87">
        <f t="shared" si="42"/>
        <v>645040.16000000015</v>
      </c>
      <c r="Y34" s="87">
        <f t="shared" si="42"/>
        <v>274261.33999999979</v>
      </c>
      <c r="Z34" s="87">
        <f t="shared" si="42"/>
        <v>1010708.5200000001</v>
      </c>
      <c r="AA34" s="87">
        <f t="shared" si="42"/>
        <v>1481546.68</v>
      </c>
      <c r="AB34" s="87">
        <f t="shared" si="42"/>
        <v>1025032.8900000004</v>
      </c>
      <c r="AC34" s="87">
        <f t="shared" si="42"/>
        <v>1080667.1800000002</v>
      </c>
      <c r="AD34" s="87">
        <f t="shared" si="42"/>
        <v>804197.65409999934</v>
      </c>
      <c r="AE34" s="87">
        <f t="shared" si="42"/>
        <v>969138.83000000031</v>
      </c>
      <c r="AF34" s="87">
        <f t="shared" si="42"/>
        <v>1233021.2099999997</v>
      </c>
      <c r="AG34" s="87">
        <f t="shared" si="42"/>
        <v>1154988.7108000002</v>
      </c>
      <c r="AH34" s="87">
        <f t="shared" si="42"/>
        <v>1492816</v>
      </c>
      <c r="AI34" s="87">
        <f t="shared" si="42"/>
        <v>859730.03000000026</v>
      </c>
      <c r="AJ34" s="87">
        <f t="shared" si="42"/>
        <v>114711.28000000003</v>
      </c>
      <c r="AK34" s="87">
        <f t="shared" si="42"/>
        <v>637712.05719032278</v>
      </c>
      <c r="AL34" s="87">
        <f t="shared" si="42"/>
        <v>1259564.1200000001</v>
      </c>
      <c r="AM34" s="87">
        <f t="shared" si="42"/>
        <v>1612695.1400000001</v>
      </c>
      <c r="AN34" s="87">
        <f t="shared" si="42"/>
        <v>1064926.7095999999</v>
      </c>
      <c r="AO34" s="87">
        <f t="shared" si="42"/>
        <v>1024371.6302000004</v>
      </c>
      <c r="AP34" s="87">
        <f t="shared" si="42"/>
        <v>782207.20839999965</v>
      </c>
      <c r="AQ34" s="87">
        <f t="shared" si="42"/>
        <v>1150805.2050322576</v>
      </c>
      <c r="AR34" s="87">
        <f t="shared" si="42"/>
        <v>1224482.4564111002</v>
      </c>
      <c r="AS34" s="87">
        <f t="shared" si="42"/>
        <v>921754.99159999983</v>
      </c>
      <c r="AT34" s="87">
        <f t="shared" si="42"/>
        <v>997459.85459999996</v>
      </c>
      <c r="AU34" s="87">
        <f t="shared" si="42"/>
        <v>1311235.7100000002</v>
      </c>
      <c r="AV34" s="87">
        <f t="shared" si="42"/>
        <v>629703.38449999993</v>
      </c>
      <c r="AW34" s="87">
        <f t="shared" si="42"/>
        <v>573222.85439999984</v>
      </c>
      <c r="AX34" s="87">
        <f t="shared" si="42"/>
        <v>1631777.4399999997</v>
      </c>
      <c r="AY34" s="87">
        <f t="shared" si="42"/>
        <v>1025040.9800000004</v>
      </c>
      <c r="AZ34" s="87">
        <f t="shared" si="42"/>
        <v>962920.76780000015</v>
      </c>
      <c r="BA34" s="87">
        <f t="shared" si="42"/>
        <v>1125229.0329999998</v>
      </c>
      <c r="BB34" s="87">
        <f t="shared" si="42"/>
        <v>2042507.0816000002</v>
      </c>
      <c r="BC34" s="87">
        <f t="shared" si="42"/>
        <v>1512846.1585999995</v>
      </c>
      <c r="BD34" s="87">
        <f t="shared" si="42"/>
        <v>1190175.4996000002</v>
      </c>
      <c r="BE34" s="87">
        <f t="shared" si="42"/>
        <v>1615601.5131999997</v>
      </c>
      <c r="BF34" s="87">
        <f t="shared" si="42"/>
        <v>2694977.3895</v>
      </c>
      <c r="BG34" s="109">
        <f t="shared" si="42"/>
        <v>1052807.3577000001</v>
      </c>
      <c r="BH34" s="109">
        <f t="shared" si="42"/>
        <v>1295126.6499999994</v>
      </c>
      <c r="BI34" s="109">
        <f t="shared" si="42"/>
        <v>616630.38000000082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>
        <f>IFERROR((BI34/BH34-1),"")</f>
        <v>-0.5238841081681076</v>
      </c>
      <c r="BT34" s="103">
        <f t="shared" si="16"/>
        <v>16315237.812199999</v>
      </c>
      <c r="BU34" s="103">
        <f t="shared" si="17"/>
        <v>2964564.3877000003</v>
      </c>
      <c r="BV34" s="103">
        <f t="shared" si="18"/>
        <v>1359603.1510166666</v>
      </c>
      <c r="BW34" s="103">
        <f t="shared" si="19"/>
        <v>988188.1292333334</v>
      </c>
      <c r="BX34" s="105">
        <f t="shared" si="20"/>
        <v>-0.37599900083964621</v>
      </c>
      <c r="BY34">
        <v>3</v>
      </c>
      <c r="CA34">
        <f t="shared" si="21"/>
        <v>3</v>
      </c>
    </row>
    <row r="35" spans="1:79" ht="15" x14ac:dyDescent="0.2">
      <c r="A35" s="2" t="s">
        <v>107</v>
      </c>
      <c r="B35" s="2">
        <v>34</v>
      </c>
      <c r="C35" s="2" t="s">
        <v>216</v>
      </c>
      <c r="D35" s="99" t="s">
        <v>77</v>
      </c>
      <c r="E35" s="99" t="s">
        <v>89</v>
      </c>
      <c r="F35" s="233" t="s">
        <v>362</v>
      </c>
      <c r="H35" s="20" t="str">
        <f t="shared" si="14"/>
        <v>1 - TOTALRESULTADO FINANCEIRO</v>
      </c>
      <c r="I35" s="20">
        <f>I36+I37+I38</f>
        <v>-18529.150000000001</v>
      </c>
      <c r="J35" s="20">
        <f t="shared" ref="J35:BI35" si="43">J36+J37+J38</f>
        <v>-23934.07</v>
      </c>
      <c r="K35" s="20">
        <f t="shared" si="43"/>
        <v>-15688.44</v>
      </c>
      <c r="L35" s="20">
        <f t="shared" si="43"/>
        <v>-20428.98</v>
      </c>
      <c r="M35" s="20">
        <f t="shared" si="43"/>
        <v>-5697.78</v>
      </c>
      <c r="N35" s="20">
        <f t="shared" si="43"/>
        <v>-4862.558</v>
      </c>
      <c r="O35" s="20">
        <f t="shared" si="43"/>
        <v>-4891.7299999999996</v>
      </c>
      <c r="P35" s="20">
        <f t="shared" si="43"/>
        <v>-4375.26</v>
      </c>
      <c r="Q35" s="20">
        <f t="shared" si="43"/>
        <v>4349.13</v>
      </c>
      <c r="R35" s="20">
        <f t="shared" si="43"/>
        <v>-6890.98</v>
      </c>
      <c r="S35" s="20">
        <f t="shared" si="43"/>
        <v>-3775.71</v>
      </c>
      <c r="T35" s="20">
        <f t="shared" si="43"/>
        <v>5791.63</v>
      </c>
      <c r="U35" s="20">
        <f t="shared" si="43"/>
        <v>5791.63</v>
      </c>
      <c r="V35" s="20">
        <f t="shared" si="43"/>
        <v>5300.41</v>
      </c>
      <c r="W35" s="20">
        <f t="shared" si="43"/>
        <v>5300.41</v>
      </c>
      <c r="X35" s="20">
        <f t="shared" si="43"/>
        <v>2342.11</v>
      </c>
      <c r="Y35" s="20">
        <f t="shared" si="43"/>
        <v>-29047.31</v>
      </c>
      <c r="Z35" s="20">
        <f t="shared" si="43"/>
        <v>-30708.85</v>
      </c>
      <c r="AA35" s="20">
        <f t="shared" si="43"/>
        <v>-28590.850000000002</v>
      </c>
      <c r="AB35" s="20">
        <f t="shared" si="43"/>
        <v>-11454.329999999998</v>
      </c>
      <c r="AC35" s="20">
        <f t="shared" si="43"/>
        <v>-4807.05</v>
      </c>
      <c r="AD35" s="20">
        <f t="shared" si="43"/>
        <v>-11096</v>
      </c>
      <c r="AE35" s="20">
        <f t="shared" si="43"/>
        <v>-7849.26</v>
      </c>
      <c r="AF35" s="20">
        <f t="shared" si="43"/>
        <v>4181.6899999999996</v>
      </c>
      <c r="AG35" s="20">
        <f t="shared" si="43"/>
        <v>-14377.59</v>
      </c>
      <c r="AH35" s="20">
        <f t="shared" si="43"/>
        <v>540.7600000000001</v>
      </c>
      <c r="AI35" s="20">
        <f t="shared" si="43"/>
        <v>-640.33000000000004</v>
      </c>
      <c r="AJ35" s="20">
        <f t="shared" si="43"/>
        <v>727.52</v>
      </c>
      <c r="AK35" s="20">
        <f t="shared" si="43"/>
        <v>-21976.489999999998</v>
      </c>
      <c r="AL35" s="20">
        <f t="shared" si="43"/>
        <v>-6348.1600000000008</v>
      </c>
      <c r="AM35" s="20">
        <f t="shared" si="43"/>
        <v>697.08220000000006</v>
      </c>
      <c r="AN35" s="20">
        <f t="shared" si="43"/>
        <v>6374.1</v>
      </c>
      <c r="AO35" s="20">
        <f t="shared" si="43"/>
        <v>2771.7099999999996</v>
      </c>
      <c r="AP35" s="20">
        <f t="shared" si="43"/>
        <v>217.71999999999952</v>
      </c>
      <c r="AQ35" s="20">
        <f t="shared" si="43"/>
        <v>-3270.28</v>
      </c>
      <c r="AR35" s="20">
        <f t="shared" si="43"/>
        <v>1429.54</v>
      </c>
      <c r="AS35" s="20">
        <f t="shared" si="43"/>
        <v>-8980.02</v>
      </c>
      <c r="AT35" s="20">
        <f t="shared" si="43"/>
        <v>-15232.190000000002</v>
      </c>
      <c r="AU35" s="20">
        <f t="shared" si="43"/>
        <v>-8453.9800000000014</v>
      </c>
      <c r="AV35" s="20">
        <f t="shared" si="43"/>
        <v>-16305.02</v>
      </c>
      <c r="AW35" s="20">
        <f t="shared" si="43"/>
        <v>-18668.810000000001</v>
      </c>
      <c r="AX35" s="20">
        <f t="shared" si="43"/>
        <v>-23236.469999999998</v>
      </c>
      <c r="AY35" s="20">
        <f t="shared" si="43"/>
        <v>-12815.999999999998</v>
      </c>
      <c r="AZ35" s="20">
        <f t="shared" si="43"/>
        <v>-102.9200000000007</v>
      </c>
      <c r="BA35" s="20">
        <f t="shared" si="43"/>
        <v>-16731.14</v>
      </c>
      <c r="BB35" s="20">
        <f t="shared" si="43"/>
        <v>-14389.54</v>
      </c>
      <c r="BC35" s="20">
        <f t="shared" si="43"/>
        <v>-13265.6</v>
      </c>
      <c r="BD35" s="20">
        <f t="shared" si="43"/>
        <v>-8767.65</v>
      </c>
      <c r="BE35" s="20">
        <f t="shared" si="43"/>
        <v>-3058.3299999999986</v>
      </c>
      <c r="BF35" s="20">
        <f t="shared" si="43"/>
        <v>-12135.7</v>
      </c>
      <c r="BG35" s="109">
        <f t="shared" si="43"/>
        <v>7983.579999999999</v>
      </c>
      <c r="BH35" s="109">
        <f t="shared" si="43"/>
        <v>-25071.649999999998</v>
      </c>
      <c r="BI35" s="109">
        <f t="shared" si="43"/>
        <v>-14997.789999999999</v>
      </c>
      <c r="BJ35" s="103"/>
      <c r="BK35" s="103"/>
      <c r="BL35" s="103"/>
      <c r="BM35" s="103"/>
      <c r="BN35" s="103"/>
      <c r="BO35" s="103"/>
      <c r="BP35" s="103"/>
      <c r="BQ35" s="103"/>
      <c r="BR35" s="103"/>
      <c r="BS35" s="105">
        <f t="shared" ref="BS35" si="44">IFERROR((BI35/BH35-1),"")</f>
        <v>-0.40180283308039155</v>
      </c>
      <c r="BT35" s="103">
        <f t="shared" ref="BT35" si="45">SUM(AU35:BF35)</f>
        <v>-147931.16</v>
      </c>
      <c r="BU35" s="103">
        <f t="shared" ref="BU35" si="46">SUM(BG35:BR35)</f>
        <v>-32085.86</v>
      </c>
      <c r="BV35" s="103">
        <f t="shared" si="18"/>
        <v>-12327.596666666666</v>
      </c>
      <c r="BW35" s="103">
        <f t="shared" si="19"/>
        <v>-10695.286666666667</v>
      </c>
      <c r="BX35" s="105">
        <f t="shared" si="20"/>
        <v>0.40228031911876427</v>
      </c>
      <c r="CA35">
        <f t="shared" si="21"/>
        <v>3</v>
      </c>
    </row>
    <row r="36" spans="1:79" ht="15" x14ac:dyDescent="0.2">
      <c r="A36" s="2"/>
      <c r="B36" s="2">
        <v>35</v>
      </c>
      <c r="C36" s="2"/>
      <c r="D36" s="99"/>
      <c r="E36" s="99"/>
      <c r="F36" s="220" t="s">
        <v>359</v>
      </c>
      <c r="H36" s="20"/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/>
      <c r="BT36" s="103"/>
      <c r="BU36" s="103"/>
      <c r="BV36" s="103"/>
      <c r="BW36" s="103"/>
      <c r="BX36" s="105"/>
    </row>
    <row r="37" spans="1:79" ht="15" x14ac:dyDescent="0.2">
      <c r="A37" s="2"/>
      <c r="B37" s="2">
        <v>36</v>
      </c>
      <c r="C37" s="2"/>
      <c r="D37" s="99"/>
      <c r="E37" s="99"/>
      <c r="F37" s="220" t="s">
        <v>360</v>
      </c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/>
      <c r="BT37" s="103"/>
      <c r="BU37" s="103"/>
      <c r="BV37" s="103"/>
      <c r="BW37" s="103"/>
      <c r="BX37" s="105"/>
    </row>
    <row r="38" spans="1:79" ht="15" x14ac:dyDescent="0.2">
      <c r="A38" s="2"/>
      <c r="B38" s="2">
        <v>37</v>
      </c>
      <c r="C38" s="2"/>
      <c r="D38" s="99"/>
      <c r="E38" s="99"/>
      <c r="F38" s="239" t="s">
        <v>361</v>
      </c>
      <c r="H38" s="20"/>
      <c r="I38" s="20">
        <v>-18529.150000000001</v>
      </c>
      <c r="J38" s="20">
        <v>-23934.07</v>
      </c>
      <c r="K38" s="20">
        <v>-15688.44</v>
      </c>
      <c r="L38" s="20">
        <v>-20428.98</v>
      </c>
      <c r="M38" s="20">
        <v>-5697.78</v>
      </c>
      <c r="N38" s="20">
        <v>-4862.558</v>
      </c>
      <c r="O38" s="20">
        <v>-4891.7299999999996</v>
      </c>
      <c r="P38" s="20">
        <v>-4375.26</v>
      </c>
      <c r="Q38" s="20">
        <v>4349.13</v>
      </c>
      <c r="R38" s="20">
        <v>-6890.98</v>
      </c>
      <c r="S38" s="20">
        <v>-3775.71</v>
      </c>
      <c r="T38" s="20">
        <v>5791.63</v>
      </c>
      <c r="U38" s="20">
        <v>5791.63</v>
      </c>
      <c r="V38" s="20">
        <v>5300.41</v>
      </c>
      <c r="W38" s="20">
        <v>5300.41</v>
      </c>
      <c r="X38" s="20">
        <v>2342.11</v>
      </c>
      <c r="Y38" s="20">
        <v>-29047.31</v>
      </c>
      <c r="Z38" s="20">
        <v>-30708.85</v>
      </c>
      <c r="AA38" s="20">
        <v>-28590.850000000002</v>
      </c>
      <c r="AB38" s="20">
        <v>-11454.329999999998</v>
      </c>
      <c r="AC38" s="20">
        <v>-4807.05</v>
      </c>
      <c r="AD38" s="20">
        <v>-11096</v>
      </c>
      <c r="AE38" s="20">
        <v>-7849.26</v>
      </c>
      <c r="AF38" s="20">
        <v>4181.6899999999996</v>
      </c>
      <c r="AG38" s="20">
        <v>-14377.59</v>
      </c>
      <c r="AH38" s="20">
        <v>540.7600000000001</v>
      </c>
      <c r="AI38" s="20">
        <v>-640.33000000000004</v>
      </c>
      <c r="AJ38" s="20">
        <v>727.52</v>
      </c>
      <c r="AK38" s="20">
        <v>-21976.489999999998</v>
      </c>
      <c r="AL38" s="20">
        <v>-6348.1600000000008</v>
      </c>
      <c r="AM38" s="20">
        <v>697.08220000000006</v>
      </c>
      <c r="AN38" s="20">
        <v>6374.1</v>
      </c>
      <c r="AO38" s="20">
        <v>2771.7099999999996</v>
      </c>
      <c r="AP38" s="20">
        <v>217.71999999999952</v>
      </c>
      <c r="AQ38" s="20">
        <v>-3270.28</v>
      </c>
      <c r="AR38" s="20">
        <v>1429.54</v>
      </c>
      <c r="AS38" s="20">
        <v>-8980.02</v>
      </c>
      <c r="AT38" s="20">
        <v>-15232.190000000002</v>
      </c>
      <c r="AU38" s="20">
        <v>-8453.9800000000014</v>
      </c>
      <c r="AV38" s="20">
        <v>-16305.02</v>
      </c>
      <c r="AW38" s="20">
        <v>-18668.810000000001</v>
      </c>
      <c r="AX38" s="20">
        <v>-23236.469999999998</v>
      </c>
      <c r="AY38" s="20">
        <v>-12815.999999999998</v>
      </c>
      <c r="AZ38" s="20">
        <v>-102.9200000000007</v>
      </c>
      <c r="BA38" s="20">
        <v>-16731.14</v>
      </c>
      <c r="BB38" s="20">
        <v>-14389.54</v>
      </c>
      <c r="BC38" s="20">
        <v>-13265.6</v>
      </c>
      <c r="BD38" s="20">
        <v>-8767.65</v>
      </c>
      <c r="BE38" s="20">
        <v>-3058.3299999999986</v>
      </c>
      <c r="BF38" s="20">
        <v>-12135.7</v>
      </c>
      <c r="BG38" s="103">
        <v>7983.579999999999</v>
      </c>
      <c r="BH38" s="103">
        <v>-25071.649999999998</v>
      </c>
      <c r="BI38" s="103">
        <v>-14997.789999999999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/>
      <c r="BT38" s="103"/>
      <c r="BU38" s="103"/>
      <c r="BV38" s="103"/>
      <c r="BW38" s="103"/>
      <c r="BX38" s="105"/>
    </row>
    <row r="39" spans="1:79" ht="15" x14ac:dyDescent="0.2">
      <c r="A39" s="2" t="s">
        <v>107</v>
      </c>
      <c r="B39" s="2">
        <v>38</v>
      </c>
      <c r="C39" s="2" t="s">
        <v>217</v>
      </c>
      <c r="D39" s="99" t="s">
        <v>201</v>
      </c>
      <c r="E39" s="99" t="s">
        <v>222</v>
      </c>
      <c r="F39" s="233" t="s">
        <v>363</v>
      </c>
      <c r="H39" s="20" t="str">
        <f t="shared" ref="H39" si="47">CONCATENATE(A39,E39)</f>
        <v>1 - TOTALIMPOSTOS (IRPJ+CSLL+PIS+COFINS+ISS)</v>
      </c>
      <c r="I39" s="20">
        <v>-364001.81</v>
      </c>
      <c r="J39" s="20">
        <v>-303660.18642999901</v>
      </c>
      <c r="K39" s="20">
        <v>-221595.28</v>
      </c>
      <c r="L39" s="20">
        <v>-126168.38</v>
      </c>
      <c r="M39" s="20">
        <v>-120385.37999999999</v>
      </c>
      <c r="N39" s="20">
        <v>-126306.72900000001</v>
      </c>
      <c r="O39" s="20">
        <v>-381529.06</v>
      </c>
      <c r="P39" s="20">
        <v>-346410.26</v>
      </c>
      <c r="Q39" s="20">
        <v>-395880.94</v>
      </c>
      <c r="R39" s="20">
        <v>-416896.06</v>
      </c>
      <c r="S39" s="20">
        <v>-490234.93300000002</v>
      </c>
      <c r="T39" s="20">
        <v>-463268.19449999998</v>
      </c>
      <c r="U39" s="20">
        <v>-463268.19449999998</v>
      </c>
      <c r="V39" s="20">
        <v>-406850.41</v>
      </c>
      <c r="W39" s="20">
        <v>-406850.41</v>
      </c>
      <c r="X39" s="20">
        <v>-384163.24</v>
      </c>
      <c r="Y39" s="20">
        <v>-368741.87999999902</v>
      </c>
      <c r="Z39" s="20">
        <v>-322620.16000000003</v>
      </c>
      <c r="AA39" s="20">
        <v>-348880.01</v>
      </c>
      <c r="AB39" s="20">
        <v>-313180.91000000003</v>
      </c>
      <c r="AC39" s="20">
        <v>-420139.04000000202</v>
      </c>
      <c r="AD39" s="20">
        <v>-420311.94000000099</v>
      </c>
      <c r="AE39" s="20">
        <v>-450126.74000000005</v>
      </c>
      <c r="AF39" s="20">
        <v>-481226.12</v>
      </c>
      <c r="AG39" s="20">
        <v>-477684.99</v>
      </c>
      <c r="AH39" s="20">
        <v>-498271.37</v>
      </c>
      <c r="AI39" s="20">
        <v>-424835.29</v>
      </c>
      <c r="AJ39" s="20">
        <v>-397431.11</v>
      </c>
      <c r="AK39" s="20">
        <v>-419485.03</v>
      </c>
      <c r="AL39" s="20">
        <v>-426728.05999999994</v>
      </c>
      <c r="AM39" s="20">
        <v>-479311.70022200001</v>
      </c>
      <c r="AN39" s="20">
        <v>-424364.24</v>
      </c>
      <c r="AO39" s="20">
        <v>-465557.04</v>
      </c>
      <c r="AP39" s="20">
        <v>-446303.08</v>
      </c>
      <c r="AQ39" s="20">
        <v>-476472.28</v>
      </c>
      <c r="AR39" s="20">
        <v>-463963.06000000006</v>
      </c>
      <c r="AS39" s="20">
        <v>-468396.2</v>
      </c>
      <c r="AT39" s="20">
        <v>-483555.57000000199</v>
      </c>
      <c r="AU39" s="20">
        <v>-325617.00999999995</v>
      </c>
      <c r="AV39" s="20">
        <v>-258237.14</v>
      </c>
      <c r="AW39" s="20">
        <v>-305293.15999999997</v>
      </c>
      <c r="AX39" s="20">
        <v>-510784.45999999996</v>
      </c>
      <c r="AY39" s="20">
        <v>-498930.06</v>
      </c>
      <c r="AZ39" s="20">
        <v>-472692.22</v>
      </c>
      <c r="BA39" s="20">
        <v>-583325.94000000006</v>
      </c>
      <c r="BB39" s="20">
        <v>-598087.77</v>
      </c>
      <c r="BC39" s="20">
        <v>-545440.62</v>
      </c>
      <c r="BD39" s="20">
        <v>-632881.12</v>
      </c>
      <c r="BE39" s="20">
        <v>-644321.16999999993</v>
      </c>
      <c r="BF39" s="20">
        <v>-719990.36</v>
      </c>
      <c r="BG39" s="103">
        <v>-680191.5</v>
      </c>
      <c r="BH39" s="103">
        <v>-631999.10000000009</v>
      </c>
      <c r="BI39" s="103">
        <v>-650151.32999999996</v>
      </c>
      <c r="BJ39" s="103"/>
      <c r="BK39" s="103"/>
      <c r="BL39" s="103"/>
      <c r="BM39" s="103"/>
      <c r="BN39" s="103"/>
      <c r="BO39" s="103"/>
      <c r="BP39" s="103"/>
      <c r="BQ39" s="103"/>
      <c r="BR39" s="103"/>
      <c r="BS39" s="105">
        <f t="shared" ref="BS39:BS53" si="48">IFERROR((BI39/BH39-1),"")</f>
        <v>2.8721923812865979E-2</v>
      </c>
      <c r="BT39" s="103">
        <f t="shared" ref="BT39" si="49">SUM(AU39:BF39)</f>
        <v>-6095601.0300000003</v>
      </c>
      <c r="BU39" s="103">
        <f t="shared" ref="BU39" si="50">SUM(BG39:BR39)</f>
        <v>-1962341.9300000002</v>
      </c>
      <c r="BV39" s="103">
        <f t="shared" ref="BV39" si="51">AVERAGE(AU39:BF39)</f>
        <v>-507966.7525</v>
      </c>
      <c r="BW39" s="103">
        <f t="shared" ref="BW39" si="52">AVERAGE(BG39:BR39)</f>
        <v>-654113.97666666668</v>
      </c>
      <c r="BX39" s="105">
        <f t="shared" ref="BX39" si="53">BI39/BW39-1</f>
        <v>-6.0580369905259834E-3</v>
      </c>
      <c r="CA39">
        <f t="shared" si="21"/>
        <v>3</v>
      </c>
    </row>
    <row r="40" spans="1:79" ht="15" x14ac:dyDescent="0.2">
      <c r="A40" s="2" t="s">
        <v>107</v>
      </c>
      <c r="B40" s="2">
        <v>39</v>
      </c>
      <c r="C40" s="2" t="s">
        <v>215</v>
      </c>
      <c r="D40" s="99" t="s">
        <v>200</v>
      </c>
      <c r="E40" s="99" t="s">
        <v>221</v>
      </c>
      <c r="F40" s="233" t="s">
        <v>364</v>
      </c>
      <c r="H40" s="20" t="str">
        <f t="shared" si="14"/>
        <v>1 - TOTALDEPRECIAÇÃO / AMORTIZAÇÃO</v>
      </c>
      <c r="I40" s="20">
        <v>-4320.99</v>
      </c>
      <c r="J40" s="20">
        <v>-4828.1752504655497</v>
      </c>
      <c r="K40" s="20">
        <v>-5157.12</v>
      </c>
      <c r="L40" s="20">
        <v>-5386.1445004655498</v>
      </c>
      <c r="M40" s="20">
        <v>-5618.8994171322202</v>
      </c>
      <c r="N40" s="20">
        <v>-5814.518</v>
      </c>
      <c r="O40" s="20">
        <v>-6009.59</v>
      </c>
      <c r="P40" s="20">
        <v>-6165.0915837988796</v>
      </c>
      <c r="Q40" s="20">
        <v>-6418.85</v>
      </c>
      <c r="R40" s="20">
        <v>-6707.3530004655504</v>
      </c>
      <c r="S40" s="20">
        <v>-6836.39891713222</v>
      </c>
      <c r="T40" s="20">
        <v>-7002.56</v>
      </c>
      <c r="U40" s="20">
        <v>-7002.56</v>
      </c>
      <c r="V40" s="20">
        <v>-6388.8099999999995</v>
      </c>
      <c r="W40" s="20">
        <v>-6388.8099999999995</v>
      </c>
      <c r="X40" s="20">
        <v>-6896.0018333333301</v>
      </c>
      <c r="Y40" s="20">
        <v>-7224.9482500000004</v>
      </c>
      <c r="Z40" s="20">
        <v>-7453.9710833333302</v>
      </c>
      <c r="AA40" s="20">
        <v>-7686.7259999999997</v>
      </c>
      <c r="AB40" s="20">
        <v>-7882.35</v>
      </c>
      <c r="AC40" s="20">
        <v>-8077.42</v>
      </c>
      <c r="AD40" s="20">
        <v>-8232.9191666666702</v>
      </c>
      <c r="AE40" s="20">
        <v>-8486.6768333333293</v>
      </c>
      <c r="AF40" s="20">
        <v>-8775.1784166666694</v>
      </c>
      <c r="AG40" s="20">
        <v>-8904.2255000000005</v>
      </c>
      <c r="AH40" s="20">
        <v>-9070.3816666666698</v>
      </c>
      <c r="AI40" s="20">
        <v>-7202.8725322500004</v>
      </c>
      <c r="AJ40" s="20">
        <v>-7448.4570802500002</v>
      </c>
      <c r="AK40" s="20">
        <v>-7448.4557665000002</v>
      </c>
      <c r="AL40" s="20">
        <v>-7259.89</v>
      </c>
      <c r="AM40" s="20">
        <v>-7246.5</v>
      </c>
      <c r="AN40" s="20">
        <v>-7202.87</v>
      </c>
      <c r="AO40" s="20">
        <v>-7220.38</v>
      </c>
      <c r="AP40" s="20">
        <v>-7219.1622802499996</v>
      </c>
      <c r="AQ40" s="20">
        <v>-7219.1609664999996</v>
      </c>
      <c r="AR40" s="20">
        <v>-38127.54</v>
      </c>
      <c r="AS40" s="20">
        <v>-38127.54</v>
      </c>
      <c r="AT40" s="20">
        <v>-38127.54</v>
      </c>
      <c r="AU40" s="20">
        <v>-79549.09</v>
      </c>
      <c r="AV40" s="20">
        <v>-79549.09</v>
      </c>
      <c r="AW40" s="20">
        <v>-79549.09</v>
      </c>
      <c r="AX40" s="20">
        <v>-79549.09</v>
      </c>
      <c r="AY40" s="20">
        <v>-79549.09</v>
      </c>
      <c r="AZ40" s="20">
        <v>-32092.97</v>
      </c>
      <c r="BA40" s="20">
        <v>-32092.969666666701</v>
      </c>
      <c r="BB40" s="20">
        <v>-32092.969666666701</v>
      </c>
      <c r="BC40" s="20">
        <v>-32092.969666666701</v>
      </c>
      <c r="BD40" s="20">
        <v>-32092.969666666701</v>
      </c>
      <c r="BE40" s="20">
        <v>-32092.969666666701</v>
      </c>
      <c r="BF40" s="20">
        <v>-32092.969666666701</v>
      </c>
      <c r="BG40" s="103">
        <v>-32092.9664204</v>
      </c>
      <c r="BH40" s="103">
        <v>-32092.9664204</v>
      </c>
      <c r="BI40" s="103">
        <v>-32092.9664204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48"/>
        <v>0</v>
      </c>
      <c r="BT40" s="103">
        <f t="shared" si="16"/>
        <v>-622396.23800000013</v>
      </c>
      <c r="BU40" s="103">
        <f t="shared" si="17"/>
        <v>-96278.8992612</v>
      </c>
      <c r="BV40" s="103">
        <f t="shared" si="18"/>
        <v>-51866.353166666675</v>
      </c>
      <c r="BW40" s="103">
        <f t="shared" si="19"/>
        <v>-32092.9664204</v>
      </c>
      <c r="BX40" s="105">
        <f t="shared" si="20"/>
        <v>0</v>
      </c>
      <c r="CA40">
        <f t="shared" si="21"/>
        <v>3</v>
      </c>
    </row>
    <row r="41" spans="1:79" ht="15" x14ac:dyDescent="0.2">
      <c r="A41" s="2"/>
      <c r="B41" s="2"/>
      <c r="C41" s="2"/>
      <c r="D41" s="99"/>
      <c r="F41" s="234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5"/>
      <c r="BT41" s="103"/>
      <c r="BU41" s="103"/>
      <c r="BV41" s="103"/>
      <c r="BW41" s="103"/>
      <c r="BX41" s="105"/>
    </row>
    <row r="42" spans="1:79" ht="15" x14ac:dyDescent="0.2">
      <c r="A42" s="2"/>
      <c r="B42" s="2">
        <v>40</v>
      </c>
      <c r="C42" s="2"/>
      <c r="D42" s="99"/>
      <c r="F42" s="237" t="s">
        <v>365</v>
      </c>
      <c r="H42" s="20"/>
      <c r="I42" s="20">
        <f t="shared" ref="I42:BF42" si="54">I3+I16+I23+I35+I39+I40+I45</f>
        <v>-1659023.7761111998</v>
      </c>
      <c r="J42" s="20">
        <f t="shared" si="54"/>
        <v>-1531487.888808663</v>
      </c>
      <c r="K42" s="20">
        <f t="shared" si="54"/>
        <v>-1401543.1499974886</v>
      </c>
      <c r="L42" s="20">
        <f t="shared" si="54"/>
        <v>-1353369.9995004656</v>
      </c>
      <c r="M42" s="20">
        <f t="shared" si="54"/>
        <v>-1243928.0894171319</v>
      </c>
      <c r="N42" s="20">
        <f t="shared" si="54"/>
        <v>-1184904.7050000001</v>
      </c>
      <c r="O42" s="20">
        <f t="shared" si="54"/>
        <v>-1438974.26</v>
      </c>
      <c r="P42" s="20">
        <f t="shared" si="54"/>
        <v>-1428062.0715837989</v>
      </c>
      <c r="Q42" s="20">
        <f t="shared" si="54"/>
        <v>-1391032.9200000002</v>
      </c>
      <c r="R42" s="20">
        <f t="shared" si="54"/>
        <v>-1580455.5330004657</v>
      </c>
      <c r="S42" s="20">
        <f t="shared" si="54"/>
        <v>-1726555.3019171322</v>
      </c>
      <c r="T42" s="20">
        <f t="shared" si="54"/>
        <v>-2092807.6245000002</v>
      </c>
      <c r="U42" s="20">
        <f t="shared" si="54"/>
        <v>-1669021.6245000004</v>
      </c>
      <c r="V42" s="20">
        <f t="shared" si="54"/>
        <v>-1473146.2000000002</v>
      </c>
      <c r="W42" s="20">
        <f t="shared" si="54"/>
        <v>-1049360.2</v>
      </c>
      <c r="X42" s="20">
        <f t="shared" si="54"/>
        <v>-1472847.5318333332</v>
      </c>
      <c r="Y42" s="20">
        <f t="shared" si="54"/>
        <v>-1538870.978249999</v>
      </c>
      <c r="Z42" s="20">
        <f t="shared" si="54"/>
        <v>-1544378.5510833333</v>
      </c>
      <c r="AA42" s="20">
        <f t="shared" si="54"/>
        <v>-1553989.7160000002</v>
      </c>
      <c r="AB42" s="20">
        <f t="shared" si="54"/>
        <v>-1516900.1799999997</v>
      </c>
      <c r="AC42" s="20">
        <f t="shared" si="54"/>
        <v>-1684912.2400000021</v>
      </c>
      <c r="AD42" s="20">
        <f t="shared" si="54"/>
        <v>-1816313.2750666675</v>
      </c>
      <c r="AE42" s="20">
        <f t="shared" si="54"/>
        <v>-1771571.2868333333</v>
      </c>
      <c r="AF42" s="20">
        <f t="shared" si="54"/>
        <v>-1841559.1184166665</v>
      </c>
      <c r="AG42" s="20">
        <f t="shared" si="54"/>
        <v>-1927259.1946999999</v>
      </c>
      <c r="AH42" s="20">
        <f t="shared" si="54"/>
        <v>-2016762.1316666666</v>
      </c>
      <c r="AI42" s="20">
        <f t="shared" si="54"/>
        <v>-1809723.8125322498</v>
      </c>
      <c r="AJ42" s="20">
        <f t="shared" si="54"/>
        <v>-1722095.9970802499</v>
      </c>
      <c r="AK42" s="20">
        <f t="shared" si="54"/>
        <v>-1822556.8485761771</v>
      </c>
      <c r="AL42" s="20">
        <f t="shared" si="54"/>
        <v>-1839802.9699999995</v>
      </c>
      <c r="AM42" s="20">
        <f t="shared" si="54"/>
        <v>-1879745.7280219998</v>
      </c>
      <c r="AN42" s="20">
        <f t="shared" si="54"/>
        <v>-1825167.6603999999</v>
      </c>
      <c r="AO42" s="20">
        <f t="shared" si="54"/>
        <v>-1947016.1397999995</v>
      </c>
      <c r="AP42" s="20">
        <f t="shared" si="54"/>
        <v>-1875957.3638802504</v>
      </c>
      <c r="AQ42" s="20">
        <f t="shared" si="54"/>
        <v>-1893052.5459342422</v>
      </c>
      <c r="AR42" s="20">
        <f t="shared" si="54"/>
        <v>-1983876.0435888998</v>
      </c>
      <c r="AS42" s="20">
        <f t="shared" si="54"/>
        <v>-2009631.3084000002</v>
      </c>
      <c r="AT42" s="20">
        <f t="shared" si="54"/>
        <v>-2232240.0854000021</v>
      </c>
      <c r="AU42" s="20">
        <f t="shared" si="54"/>
        <v>-1985060.25</v>
      </c>
      <c r="AV42" s="20">
        <f t="shared" si="54"/>
        <v>-2042296.5200000003</v>
      </c>
      <c r="AW42" s="20">
        <f t="shared" si="54"/>
        <v>-2189715.3800000004</v>
      </c>
      <c r="AX42" s="20">
        <f t="shared" si="54"/>
        <v>-2222276.65</v>
      </c>
      <c r="AY42" s="20">
        <f t="shared" si="54"/>
        <v>-2326415.1799999997</v>
      </c>
      <c r="AZ42" s="20">
        <f t="shared" si="54"/>
        <v>-2414882.0024999999</v>
      </c>
      <c r="BA42" s="20">
        <f t="shared" si="54"/>
        <v>-2373783.9796666671</v>
      </c>
      <c r="BB42" s="20">
        <f t="shared" si="54"/>
        <v>-2434688.439666667</v>
      </c>
      <c r="BC42" s="20">
        <f t="shared" si="54"/>
        <v>-2457278.9796666671</v>
      </c>
      <c r="BD42" s="20">
        <f t="shared" si="54"/>
        <v>-2896298.1696666665</v>
      </c>
      <c r="BE42" s="20">
        <f t="shared" si="54"/>
        <v>-2641111.9594666664</v>
      </c>
      <c r="BF42" s="20">
        <f t="shared" si="54"/>
        <v>-3029528.4857666674</v>
      </c>
      <c r="BG42" s="109">
        <f>BG3+BG16+BG23+BG35+BG39+BG40</f>
        <v>-2861248.7887203996</v>
      </c>
      <c r="BH42" s="109">
        <f>BH3+BH16+BH23+BH35+BH39+BH40</f>
        <v>-2650974.7364204004</v>
      </c>
      <c r="BI42" s="109">
        <f>BI3+BI16+BI23+BI35+BI39+BI40</f>
        <v>-2685804.1864203997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/>
      <c r="BT42" s="103"/>
      <c r="BU42" s="103"/>
      <c r="BV42" s="103"/>
      <c r="BW42" s="103"/>
      <c r="BX42" s="105"/>
    </row>
    <row r="43" spans="1:79" ht="15" x14ac:dyDescent="0.2">
      <c r="A43" s="2"/>
      <c r="B43" s="2"/>
      <c r="C43" s="2"/>
      <c r="D43" s="99"/>
      <c r="F43" s="238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5"/>
      <c r="BT43" s="103"/>
      <c r="BU43" s="103"/>
      <c r="BV43" s="103"/>
      <c r="BW43" s="103"/>
      <c r="BX43" s="105"/>
    </row>
    <row r="44" spans="1:79" ht="15" x14ac:dyDescent="0.2">
      <c r="A44" s="2"/>
      <c r="B44" s="2"/>
      <c r="C44" s="2"/>
      <c r="D44" s="99"/>
      <c r="F44" s="238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5"/>
      <c r="BT44" s="103"/>
      <c r="BU44" s="103"/>
      <c r="BV44" s="103"/>
      <c r="BW44" s="103"/>
      <c r="BX44" s="105"/>
    </row>
    <row r="45" spans="1:79" ht="15.75" thickBot="1" x14ac:dyDescent="0.25">
      <c r="A45" s="2" t="s">
        <v>107</v>
      </c>
      <c r="B45" s="2">
        <v>41</v>
      </c>
      <c r="C45" s="2"/>
      <c r="D45" s="100" t="s">
        <v>211</v>
      </c>
      <c r="E45" s="20"/>
      <c r="F45" s="221" t="s">
        <v>36</v>
      </c>
      <c r="G45" s="20"/>
      <c r="H45" s="20" t="str">
        <f t="shared" ref="H45" si="55">CONCATENATE(A45,E45)</f>
        <v>1 - TOTAL</v>
      </c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20">
        <v>-23090.57</v>
      </c>
      <c r="AV45" s="20">
        <v>-27405.034500000002</v>
      </c>
      <c r="AW45" s="20">
        <v>-100663.3843999997</v>
      </c>
      <c r="AX45" s="20">
        <v>-14118.84</v>
      </c>
      <c r="AY45" s="20">
        <v>-530.29000000000008</v>
      </c>
      <c r="AZ45" s="20">
        <v>-108418.3103</v>
      </c>
      <c r="BA45" s="20">
        <v>-27673.953000000012</v>
      </c>
      <c r="BB45" s="20">
        <v>-31050.391600000003</v>
      </c>
      <c r="BC45" s="20">
        <v>-32531.1486</v>
      </c>
      <c r="BD45" s="20">
        <v>-167025.80960000001</v>
      </c>
      <c r="BE45" s="20">
        <v>-97792.312999999995</v>
      </c>
      <c r="BF45" s="20">
        <v>-37037.925600000002</v>
      </c>
      <c r="BG45" s="103">
        <v>-90187.142100000259</v>
      </c>
      <c r="BH45" s="103">
        <v>-232008.01</v>
      </c>
      <c r="BI45" s="103">
        <v>-51179.24</v>
      </c>
      <c r="BJ45" s="103"/>
      <c r="BK45" s="103"/>
      <c r="BL45" s="103"/>
      <c r="BM45" s="103"/>
      <c r="BN45" s="103"/>
      <c r="BO45" s="103"/>
      <c r="BP45" s="103"/>
      <c r="BQ45" s="103"/>
      <c r="BR45" s="103"/>
      <c r="BS45" s="105">
        <f t="shared" ref="BS45" si="56">IFERROR((BI45/BH45-1),"")</f>
        <v>-0.77940744373437798</v>
      </c>
      <c r="BT45" s="103">
        <f t="shared" ref="BT45" si="57">SUM(AU45:BF45)</f>
        <v>-667337.97059999965</v>
      </c>
      <c r="BU45" s="103">
        <f>SUM(BG45:BR45)</f>
        <v>-373374.39210000029</v>
      </c>
      <c r="BV45" s="103">
        <f t="shared" ref="BV45" si="58">AVERAGE(AU45:BF45)</f>
        <v>-55611.497549999971</v>
      </c>
      <c r="BW45" s="103">
        <f>AVERAGE(BG45:BR45)</f>
        <v>-124458.1307000001</v>
      </c>
      <c r="BX45" s="105">
        <f t="shared" ref="BX45" si="59">BI45/BW45-1</f>
        <v>-0.58878347511610218</v>
      </c>
      <c r="CA45">
        <f t="shared" si="21"/>
        <v>3</v>
      </c>
    </row>
    <row r="46" spans="1:79" ht="15" x14ac:dyDescent="0.2">
      <c r="A46" s="2"/>
      <c r="B46" s="2"/>
      <c r="C46" s="2"/>
      <c r="D46" s="99"/>
      <c r="E46" s="20"/>
      <c r="F46" s="223"/>
      <c r="G46" s="20"/>
      <c r="H46" s="20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5"/>
      <c r="BT46" s="103"/>
      <c r="BU46" s="103"/>
      <c r="BV46" s="103"/>
      <c r="BW46" s="103"/>
      <c r="BX46" s="105"/>
    </row>
    <row r="47" spans="1:79" ht="15" x14ac:dyDescent="0.2">
      <c r="A47" s="2"/>
      <c r="B47" s="2">
        <v>42</v>
      </c>
      <c r="C47" s="2"/>
      <c r="D47" s="99"/>
      <c r="E47" s="20"/>
      <c r="F47" s="241" t="s">
        <v>366</v>
      </c>
      <c r="G47" s="20"/>
      <c r="H47" s="20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42">
        <f>BG2+BG42</f>
        <v>348506.47127960017</v>
      </c>
      <c r="BH47" s="242">
        <f>BH2+BH42</f>
        <v>605962.93357959948</v>
      </c>
      <c r="BI47" s="242">
        <f>BI2+BI42</f>
        <v>-80611.706420399249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/>
      <c r="BT47" s="103"/>
      <c r="BU47" s="103"/>
      <c r="BV47" s="103"/>
      <c r="BW47" s="103"/>
      <c r="BX47" s="105"/>
    </row>
    <row r="48" spans="1:79" ht="15" x14ac:dyDescent="0.2">
      <c r="A48" s="2"/>
      <c r="B48" s="2"/>
      <c r="C48" s="2"/>
      <c r="D48" s="99"/>
      <c r="E48" s="20"/>
      <c r="F48" s="241" t="s">
        <v>367</v>
      </c>
      <c r="G48" s="20"/>
      <c r="H48" s="20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103"/>
      <c r="BH48" s="103"/>
      <c r="BI48" s="103"/>
      <c r="BJ48" s="103"/>
      <c r="BK48" s="103"/>
      <c r="BL48" s="103"/>
      <c r="BM48" s="103"/>
      <c r="BN48" s="103"/>
      <c r="BO48" s="103"/>
      <c r="BP48" s="103"/>
      <c r="BQ48" s="103"/>
      <c r="BR48" s="103"/>
      <c r="BS48" s="105"/>
      <c r="BT48" s="103"/>
      <c r="BU48" s="103"/>
      <c r="BV48" s="103"/>
      <c r="BW48" s="103"/>
      <c r="BX48" s="105"/>
    </row>
    <row r="49" spans="1:79" ht="15" x14ac:dyDescent="0.2">
      <c r="A49" s="2"/>
      <c r="B49" s="2"/>
      <c r="C49" s="2"/>
      <c r="D49" s="99"/>
      <c r="E49" s="20"/>
      <c r="F49" s="20"/>
      <c r="G49" s="20"/>
      <c r="H49" s="20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103"/>
      <c r="BH49" s="103"/>
      <c r="BI49" s="103"/>
      <c r="BJ49" s="103"/>
      <c r="BK49" s="103"/>
      <c r="BL49" s="103"/>
      <c r="BM49" s="103"/>
      <c r="BN49" s="103"/>
      <c r="BO49" s="103"/>
      <c r="BP49" s="103"/>
      <c r="BQ49" s="103"/>
      <c r="BR49" s="103"/>
      <c r="BS49" s="105"/>
      <c r="BT49" s="103"/>
      <c r="BU49" s="103"/>
      <c r="BV49" s="103"/>
      <c r="BW49" s="103"/>
      <c r="BX49" s="105"/>
    </row>
    <row r="50" spans="1:79" ht="15" x14ac:dyDescent="0.2">
      <c r="A50" s="2"/>
      <c r="B50" s="2">
        <v>43</v>
      </c>
      <c r="C50" s="2"/>
      <c r="D50" s="99"/>
      <c r="E50" s="20"/>
      <c r="F50" s="240" t="s">
        <v>368</v>
      </c>
      <c r="G50" s="20"/>
      <c r="H50" s="20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3"/>
      <c r="BH50" s="103"/>
      <c r="BI50" s="103"/>
      <c r="BJ50" s="103"/>
      <c r="BK50" s="103"/>
      <c r="BL50" s="103"/>
      <c r="BM50" s="103"/>
      <c r="BN50" s="103"/>
      <c r="BO50" s="103"/>
      <c r="BP50" s="103"/>
      <c r="BQ50" s="103"/>
      <c r="BR50" s="103"/>
      <c r="BS50" s="105"/>
      <c r="BT50" s="103"/>
      <c r="BU50" s="103"/>
      <c r="BV50" s="103"/>
      <c r="BW50" s="103"/>
      <c r="BX50" s="105"/>
    </row>
    <row r="51" spans="1:79" ht="15" x14ac:dyDescent="0.2">
      <c r="A51" s="2" t="s">
        <v>107</v>
      </c>
      <c r="B51" s="2">
        <v>44</v>
      </c>
      <c r="C51" s="2"/>
      <c r="D51" s="99" t="s">
        <v>208</v>
      </c>
      <c r="E51" s="80"/>
      <c r="F51" s="239" t="s">
        <v>370</v>
      </c>
      <c r="G51" s="80"/>
      <c r="H51" s="20" t="str">
        <f t="shared" si="14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20">
        <v>-80213.36</v>
      </c>
      <c r="AV51" s="20">
        <v>-81593.86</v>
      </c>
      <c r="AW51" s="20">
        <v>-82351.89</v>
      </c>
      <c r="AX51" s="20">
        <v>-81651.520000000004</v>
      </c>
      <c r="AY51" s="20">
        <v>-82655.31</v>
      </c>
      <c r="AZ51" s="20">
        <v>-83031.83</v>
      </c>
      <c r="BA51" s="20">
        <v>-81344.25</v>
      </c>
      <c r="BB51" s="20">
        <v>-81832.36</v>
      </c>
      <c r="BC51" s="20">
        <v>-82171.59</v>
      </c>
      <c r="BD51" s="20">
        <v>-383857.86</v>
      </c>
      <c r="BE51" s="20">
        <v>-54765.37</v>
      </c>
      <c r="BF51" s="20">
        <v>-54921.58</v>
      </c>
      <c r="BG51" s="103">
        <v>-67178.67</v>
      </c>
      <c r="BH51" s="103">
        <v>-55046.55</v>
      </c>
      <c r="BI51" s="103">
        <v>-55419.35</v>
      </c>
      <c r="BJ51" s="103"/>
      <c r="BK51" s="103"/>
      <c r="BL51" s="103"/>
      <c r="BM51" s="103"/>
      <c r="BN51" s="103"/>
      <c r="BO51" s="103"/>
      <c r="BP51" s="103"/>
      <c r="BQ51" s="103"/>
      <c r="BR51" s="103"/>
      <c r="BS51" s="105">
        <f t="shared" si="48"/>
        <v>6.7724498628887186E-3</v>
      </c>
      <c r="BT51" s="103">
        <f t="shared" si="16"/>
        <v>-1230390.7800000003</v>
      </c>
      <c r="BU51" s="103">
        <f t="shared" si="17"/>
        <v>-177644.57</v>
      </c>
      <c r="BV51" s="103">
        <f t="shared" si="18"/>
        <v>-102532.56500000002</v>
      </c>
      <c r="BW51" s="103">
        <f t="shared" si="19"/>
        <v>-59214.856666666667</v>
      </c>
      <c r="BX51" s="105">
        <f t="shared" si="20"/>
        <v>-6.4097202633325634E-2</v>
      </c>
      <c r="CA51">
        <f t="shared" si="21"/>
        <v>3</v>
      </c>
    </row>
    <row r="52" spans="1:79" ht="15" x14ac:dyDescent="0.2">
      <c r="A52" s="2" t="s">
        <v>107</v>
      </c>
      <c r="B52" s="2">
        <v>45</v>
      </c>
      <c r="C52" s="2"/>
      <c r="D52" s="99" t="s">
        <v>209</v>
      </c>
      <c r="E52" s="20"/>
      <c r="F52" s="239" t="s">
        <v>371</v>
      </c>
      <c r="G52" s="20"/>
      <c r="H52" s="20" t="str">
        <f t="shared" si="14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-10724.36</v>
      </c>
      <c r="AV52" s="20">
        <v>-19305.18</v>
      </c>
      <c r="AW52" s="20">
        <v>-8638.8700000000008</v>
      </c>
      <c r="AX52" s="20">
        <v>-20260.13</v>
      </c>
      <c r="AY52" s="20">
        <v>-20681.330000000002</v>
      </c>
      <c r="AZ52" s="20">
        <v>-10674.23</v>
      </c>
      <c r="BA52" s="20">
        <v>-20584.98</v>
      </c>
      <c r="BB52" s="20">
        <v>-14517.68</v>
      </c>
      <c r="BC52" s="20">
        <v>-19874.509999999998</v>
      </c>
      <c r="BD52" s="20">
        <v>-13966.44</v>
      </c>
      <c r="BE52" s="20">
        <v>-10838.52</v>
      </c>
      <c r="BF52" s="20">
        <v>-22641.94</v>
      </c>
      <c r="BG52" s="103">
        <v>-9859.9699999999993</v>
      </c>
      <c r="BH52" s="103">
        <v>-9377.1299999999992</v>
      </c>
      <c r="BI52" s="103">
        <v>-8973.6299999999992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48"/>
        <v>-4.3030223533213285E-2</v>
      </c>
      <c r="BT52" s="103">
        <f t="shared" si="16"/>
        <v>-192708.17</v>
      </c>
      <c r="BU52" s="103">
        <f>SUM(BG52:BR52)</f>
        <v>-28210.729999999996</v>
      </c>
      <c r="BV52" s="103">
        <f t="shared" si="18"/>
        <v>-16059.014166666668</v>
      </c>
      <c r="BW52" s="103">
        <f>AVERAGE(BG52:BR52)</f>
        <v>-9403.5766666666659</v>
      </c>
      <c r="BX52" s="105">
        <f t="shared" si="20"/>
        <v>-4.5721610181657879E-2</v>
      </c>
      <c r="CA52">
        <f t="shared" si="21"/>
        <v>3</v>
      </c>
    </row>
    <row r="53" spans="1:79" ht="15" x14ac:dyDescent="0.2">
      <c r="A53" s="2" t="s">
        <v>107</v>
      </c>
      <c r="B53" s="2">
        <v>46</v>
      </c>
      <c r="C53" s="2"/>
      <c r="D53" s="99" t="s">
        <v>210</v>
      </c>
      <c r="E53" s="20"/>
      <c r="F53" s="239" t="s">
        <v>372</v>
      </c>
      <c r="G53" s="20"/>
      <c r="H53" s="20" t="str">
        <f t="shared" si="14"/>
        <v>1 - TOTAL</v>
      </c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7">
        <f>'[8]FLUXO CAIXA'!TC6</f>
        <v>2950365.4299999988</v>
      </c>
      <c r="AV53" s="107">
        <f>'[8]FLUXO CAIXA'!TU6</f>
        <v>2229619.5699999994</v>
      </c>
      <c r="AW53" s="107">
        <f>'[8]FLUXO CAIXA'!UR6</f>
        <v>1388648.28</v>
      </c>
      <c r="AX53" s="107">
        <f>'[8]FLUXO CAIXA'!VJ6</f>
        <v>2275974.4100000006</v>
      </c>
      <c r="AY53" s="107">
        <f>'[8]FLUXO CAIXA'!WF6</f>
        <v>2686195.6500000008</v>
      </c>
      <c r="AZ53" s="107">
        <f>'[8]FLUXO CAIXA'!XA6</f>
        <v>2200371.2799999989</v>
      </c>
      <c r="BA53" s="107">
        <f>'[8]FLUXO CAIXA'!XV6</f>
        <v>2219483.4099999992</v>
      </c>
      <c r="BB53" s="107">
        <f>'[8]FLUXO CAIXA'!YS6</f>
        <v>2969217.99</v>
      </c>
      <c r="BC53" s="107">
        <f>'[8]FLUXO CAIXA'!ZM6</f>
        <v>2643189.7600000016</v>
      </c>
      <c r="BD53" s="107">
        <f>'[8]FLUXO CAIXA'!AAH6</f>
        <v>4159359.5899999989</v>
      </c>
      <c r="BE53" s="107">
        <f>'[8]FLUXO CAIXA'!ABA6</f>
        <v>4224591.8899999987</v>
      </c>
      <c r="BF53" s="107">
        <f>'[8]FLUXO CAIXA'!ABU6</f>
        <v>4377668.6399999987</v>
      </c>
      <c r="BG53" s="107">
        <f>'[8]FLUXO CAIXA'!ACQ6</f>
        <v>5082042.0500000017</v>
      </c>
      <c r="BH53" s="107">
        <f>'[8]FLUXO CAIXA'!ADJ6</f>
        <v>2468403.7200000007</v>
      </c>
      <c r="BI53" s="213"/>
      <c r="BJ53" s="142"/>
      <c r="BK53" s="142"/>
      <c r="BL53" s="142"/>
      <c r="BM53" s="142"/>
      <c r="BN53" s="142"/>
      <c r="BO53" s="142"/>
      <c r="BP53" s="142"/>
      <c r="BQ53" s="142"/>
      <c r="BR53" s="142"/>
      <c r="BS53" s="105">
        <f t="shared" si="48"/>
        <v>-1</v>
      </c>
      <c r="BT53" s="103"/>
      <c r="BU53" s="103"/>
      <c r="BV53" s="103"/>
      <c r="BW53" s="103"/>
      <c r="BX53" s="105"/>
      <c r="CA53">
        <f t="shared" si="21"/>
        <v>3</v>
      </c>
    </row>
    <row r="54" spans="1:79" ht="15" x14ac:dyDescent="0.2">
      <c r="A54" s="2" t="s">
        <v>107</v>
      </c>
      <c r="B54" s="2">
        <v>47</v>
      </c>
      <c r="C54" s="2"/>
      <c r="D54" s="99" t="s">
        <v>234</v>
      </c>
      <c r="E54" s="20"/>
      <c r="F54" s="239" t="s">
        <v>373</v>
      </c>
      <c r="G54" s="20"/>
      <c r="H54" s="20" t="s">
        <v>107</v>
      </c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7">
        <v>-164361.96999999997</v>
      </c>
      <c r="AV54" s="107">
        <v>-35905.670000000042</v>
      </c>
      <c r="AW54" s="107">
        <v>-442902.98000000004</v>
      </c>
      <c r="AX54" s="107">
        <v>-423843.37999999867</v>
      </c>
      <c r="AY54" s="107">
        <v>16644.629999991099</v>
      </c>
      <c r="AZ54" s="107">
        <v>-351338.60000002082</v>
      </c>
      <c r="BA54" s="107">
        <v>-306852.30000000075</v>
      </c>
      <c r="BB54" s="107">
        <v>-433871.62000003591</v>
      </c>
      <c r="BC54" s="107">
        <v>-887368.55000005034</v>
      </c>
      <c r="BD54" s="107">
        <v>156795.67999993952</v>
      </c>
      <c r="BE54" s="107">
        <v>-155926.54000005894</v>
      </c>
      <c r="BF54" s="107">
        <v>-544648.96000008867</v>
      </c>
      <c r="BG54" s="107">
        <v>0</v>
      </c>
      <c r="BH54" s="107">
        <v>0</v>
      </c>
      <c r="BI54" s="107">
        <v>0</v>
      </c>
      <c r="BJ54" s="142"/>
      <c r="BK54" s="142"/>
      <c r="BL54" s="142"/>
      <c r="BM54" s="142"/>
      <c r="BN54" s="142"/>
      <c r="BO54" s="142"/>
      <c r="BP54" s="142"/>
      <c r="BQ54" s="142"/>
      <c r="BR54" s="142"/>
      <c r="BS54" s="105" t="s">
        <v>369</v>
      </c>
      <c r="BT54" s="103"/>
      <c r="BU54" s="103"/>
      <c r="BV54" s="103"/>
      <c r="BW54" s="103"/>
      <c r="BX54" s="105"/>
      <c r="CA54">
        <v>3</v>
      </c>
    </row>
    <row r="55" spans="1:79" ht="15" x14ac:dyDescent="0.2">
      <c r="A55" s="2" t="s">
        <v>104</v>
      </c>
      <c r="B55" s="2">
        <v>1</v>
      </c>
      <c r="C55" s="2"/>
      <c r="D55" s="108" t="s">
        <v>183</v>
      </c>
      <c r="E55" s="20"/>
      <c r="F55" s="20"/>
      <c r="G55" s="20"/>
      <c r="H55" s="20" t="str">
        <f t="shared" si="14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1943702.4300000002</v>
      </c>
      <c r="AJ55">
        <v>1278609.17</v>
      </c>
      <c r="AK55">
        <v>1748984.21</v>
      </c>
      <c r="AL55">
        <v>2442005.48</v>
      </c>
      <c r="AM55">
        <v>2683096.94</v>
      </c>
      <c r="AN55">
        <v>2076825.6699999997</v>
      </c>
      <c r="AO55">
        <v>2168864.44</v>
      </c>
      <c r="AP55">
        <v>1878740.4199999997</v>
      </c>
      <c r="AQ55">
        <v>2160109.86</v>
      </c>
      <c r="AR55">
        <v>2229593.1</v>
      </c>
      <c r="AS55">
        <v>2156433.66</v>
      </c>
      <c r="AT55">
        <v>2348347.66</v>
      </c>
      <c r="BJ55" s="103"/>
      <c r="CA55">
        <f t="shared" si="21"/>
        <v>3</v>
      </c>
    </row>
    <row r="56" spans="1:79" ht="15" x14ac:dyDescent="0.2">
      <c r="A56" s="2" t="s">
        <v>104</v>
      </c>
      <c r="B56" s="2">
        <v>2</v>
      </c>
      <c r="C56" s="2"/>
      <c r="D56" s="99" t="s">
        <v>184</v>
      </c>
      <c r="E56" s="20"/>
      <c r="F56" s="20"/>
      <c r="G56" s="20"/>
      <c r="H56" s="20" t="str">
        <f t="shared" si="14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1913955.8</v>
      </c>
      <c r="AJ56">
        <v>1259667.4099999999</v>
      </c>
      <c r="AK56">
        <v>1716069.05</v>
      </c>
      <c r="AL56">
        <v>2335937.7599999998</v>
      </c>
      <c r="AM56">
        <v>2618977.5299999998</v>
      </c>
      <c r="AN56">
        <v>1965819.1999999997</v>
      </c>
      <c r="AO56">
        <v>2157312.59</v>
      </c>
      <c r="AP56">
        <v>1748361.7799999998</v>
      </c>
      <c r="AQ56">
        <v>2093881.92</v>
      </c>
      <c r="AR56">
        <v>2149574.25</v>
      </c>
      <c r="AS56">
        <v>1973799.4700000002</v>
      </c>
      <c r="AT56">
        <v>2214970.91</v>
      </c>
      <c r="BJ56" s="103"/>
      <c r="CA56">
        <f t="shared" si="21"/>
        <v>3</v>
      </c>
    </row>
    <row r="57" spans="1:79" ht="15" x14ac:dyDescent="0.2">
      <c r="A57" s="2" t="s">
        <v>104</v>
      </c>
      <c r="B57" s="2">
        <v>3</v>
      </c>
      <c r="C57" s="2"/>
      <c r="D57" s="99" t="s">
        <v>185</v>
      </c>
      <c r="E57" s="20"/>
      <c r="F57" s="20"/>
      <c r="G57" s="20"/>
      <c r="H57" s="20" t="str">
        <f t="shared" si="14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>
        <v>29746.630000000005</v>
      </c>
      <c r="AJ57">
        <v>18941.760000000002</v>
      </c>
      <c r="AK57">
        <v>32915.160000000003</v>
      </c>
      <c r="AL57">
        <v>106067.72</v>
      </c>
      <c r="AM57">
        <v>64119.41</v>
      </c>
      <c r="AN57">
        <v>111006.47</v>
      </c>
      <c r="AO57">
        <v>11551.849999999999</v>
      </c>
      <c r="AP57">
        <v>130378.63999999998</v>
      </c>
      <c r="AQ57">
        <v>66227.94</v>
      </c>
      <c r="AR57">
        <v>80018.850000000006</v>
      </c>
      <c r="AS57">
        <v>182634.19</v>
      </c>
      <c r="AT57">
        <v>133376.75</v>
      </c>
      <c r="BJ57" s="103"/>
      <c r="CA57">
        <f t="shared" si="21"/>
        <v>3</v>
      </c>
    </row>
    <row r="58" spans="1:79" ht="15" x14ac:dyDescent="0.2">
      <c r="A58" s="2" t="s">
        <v>104</v>
      </c>
      <c r="B58" s="2">
        <v>4</v>
      </c>
      <c r="C58" s="2"/>
      <c r="D58" s="99" t="s">
        <v>186</v>
      </c>
      <c r="E58" s="20"/>
      <c r="F58" s="20"/>
      <c r="G58" s="20"/>
      <c r="H58" s="20" t="str">
        <f t="shared" si="14"/>
        <v>2 - GAN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1943702.4300000002</v>
      </c>
      <c r="AJ58">
        <v>1278609.17</v>
      </c>
      <c r="AK58">
        <v>1748984.21</v>
      </c>
      <c r="AL58">
        <v>2442005.48</v>
      </c>
      <c r="AM58">
        <v>2683096.94</v>
      </c>
      <c r="AN58">
        <v>2076825.6699999997</v>
      </c>
      <c r="AO58">
        <v>2168864.44</v>
      </c>
      <c r="AP58">
        <v>1878740.4199999997</v>
      </c>
      <c r="AQ58">
        <v>2160109.86</v>
      </c>
      <c r="AR58">
        <v>2229593.1</v>
      </c>
      <c r="AS58">
        <v>2156433.66</v>
      </c>
      <c r="AT58">
        <v>2348347.66</v>
      </c>
      <c r="CA58">
        <f t="shared" si="21"/>
        <v>3</v>
      </c>
    </row>
    <row r="59" spans="1:79" ht="15" x14ac:dyDescent="0.2">
      <c r="A59" s="2" t="s">
        <v>104</v>
      </c>
      <c r="B59" s="2">
        <v>5</v>
      </c>
      <c r="C59" s="2"/>
      <c r="D59" s="101" t="s">
        <v>32</v>
      </c>
      <c r="E59" s="20"/>
      <c r="F59" s="20"/>
      <c r="G59" s="20"/>
      <c r="H59" s="20" t="str">
        <f t="shared" si="14"/>
        <v>2 - GAN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87">
        <f t="shared" ref="AI59:AT59" si="60">AI60+AI61+AI62+AI63+AI64+AI65</f>
        <v>-182474.15</v>
      </c>
      <c r="AJ59" s="87">
        <f t="shared" si="60"/>
        <v>-103547.46999999999</v>
      </c>
      <c r="AK59" s="87">
        <f t="shared" si="60"/>
        <v>-69216.59</v>
      </c>
      <c r="AL59" s="87">
        <f t="shared" si="60"/>
        <v>-120092.13999999998</v>
      </c>
      <c r="AM59" s="87">
        <f t="shared" si="60"/>
        <v>-154442.19</v>
      </c>
      <c r="AN59" s="87">
        <f t="shared" si="60"/>
        <v>-197578.41999999998</v>
      </c>
      <c r="AO59" s="87">
        <f t="shared" si="60"/>
        <v>-239809.90999999997</v>
      </c>
      <c r="AP59" s="87">
        <f t="shared" si="60"/>
        <v>-192940.47</v>
      </c>
      <c r="AQ59" s="87">
        <f t="shared" si="60"/>
        <v>-211742.53</v>
      </c>
      <c r="AR59" s="87">
        <f t="shared" si="60"/>
        <v>-196483.48</v>
      </c>
      <c r="AS59" s="87">
        <f t="shared" si="60"/>
        <v>-217534.9</v>
      </c>
      <c r="AT59" s="87">
        <f t="shared" si="60"/>
        <v>-377334.15</v>
      </c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CA59">
        <f t="shared" si="21"/>
        <v>3</v>
      </c>
    </row>
    <row r="60" spans="1:79" ht="15" x14ac:dyDescent="0.2">
      <c r="A60" s="2" t="s">
        <v>104</v>
      </c>
      <c r="B60" s="2">
        <v>6</v>
      </c>
      <c r="C60" t="s">
        <v>213</v>
      </c>
      <c r="D60" t="s">
        <v>187</v>
      </c>
      <c r="E60" t="s">
        <v>219</v>
      </c>
      <c r="G60">
        <v>1</v>
      </c>
      <c r="H60" s="20" t="str">
        <f t="shared" si="14"/>
        <v>2 - GANPESSOAL CLT (BO / ASSIS JURÍD / NEGOC)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-193.12</v>
      </c>
      <c r="AJ60">
        <v>0</v>
      </c>
      <c r="AK60">
        <v>-138.19999999999999</v>
      </c>
      <c r="AL60">
        <v>0</v>
      </c>
      <c r="AM60">
        <v>0</v>
      </c>
      <c r="AN60">
        <v>0</v>
      </c>
      <c r="AO60">
        <v>-32171.75</v>
      </c>
      <c r="AP60">
        <v>0</v>
      </c>
      <c r="AQ60">
        <v>0</v>
      </c>
      <c r="AR60">
        <v>0</v>
      </c>
      <c r="AS60">
        <v>0</v>
      </c>
      <c r="AT60">
        <v>0</v>
      </c>
      <c r="CA60">
        <f t="shared" si="21"/>
        <v>3</v>
      </c>
    </row>
    <row r="61" spans="1:79" ht="15" x14ac:dyDescent="0.2">
      <c r="A61" s="2" t="s">
        <v>104</v>
      </c>
      <c r="B61" s="2">
        <v>7</v>
      </c>
      <c r="C61" t="s">
        <v>213</v>
      </c>
      <c r="D61" s="99" t="s">
        <v>188</v>
      </c>
      <c r="E61" s="99" t="s">
        <v>28</v>
      </c>
      <c r="H61" s="20" t="str">
        <f t="shared" si="14"/>
        <v>2 - GANCORRESPONDENTES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-109533.53</v>
      </c>
      <c r="AJ61">
        <v>-74020.899999999994</v>
      </c>
      <c r="AK61">
        <v>-39068.36</v>
      </c>
      <c r="AL61">
        <v>-88815.599999999991</v>
      </c>
      <c r="AM61">
        <v>-102471.2</v>
      </c>
      <c r="AN61">
        <v>-88645.099999999991</v>
      </c>
      <c r="AO61">
        <v>-94878.15</v>
      </c>
      <c r="AP61">
        <v>-95849.9</v>
      </c>
      <c r="AQ61">
        <v>-84653</v>
      </c>
      <c r="AR61">
        <v>-115922.8</v>
      </c>
      <c r="AS61">
        <v>-115353.28</v>
      </c>
      <c r="AT61">
        <v>-128208.49</v>
      </c>
      <c r="CA61">
        <f t="shared" si="21"/>
        <v>3</v>
      </c>
    </row>
    <row r="62" spans="1:79" ht="15" x14ac:dyDescent="0.2">
      <c r="A62" s="2" t="s">
        <v>104</v>
      </c>
      <c r="B62" s="2">
        <v>8</v>
      </c>
      <c r="C62" t="s">
        <v>213</v>
      </c>
      <c r="D62" s="99" t="s">
        <v>189</v>
      </c>
      <c r="E62" s="99" t="s">
        <v>29</v>
      </c>
      <c r="H62" s="20" t="str">
        <f t="shared" si="14"/>
        <v>2 - GANVALORES RESCISÓRIOS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-1238.7</v>
      </c>
      <c r="AJ62">
        <v>0</v>
      </c>
      <c r="AK62">
        <v>0</v>
      </c>
      <c r="AL62">
        <v>0</v>
      </c>
      <c r="AM62">
        <v>0</v>
      </c>
      <c r="AN62">
        <v>-5530.49</v>
      </c>
      <c r="AO62">
        <v>-2379.0100000000002</v>
      </c>
      <c r="AP62">
        <v>-13114</v>
      </c>
      <c r="AQ62">
        <v>-5105.45</v>
      </c>
      <c r="AR62">
        <v>-3009.92</v>
      </c>
      <c r="AS62">
        <v>-2896.87</v>
      </c>
      <c r="AT62">
        <v>-2896.87</v>
      </c>
      <c r="CA62">
        <f t="shared" si="21"/>
        <v>3</v>
      </c>
    </row>
    <row r="63" spans="1:79" ht="15" x14ac:dyDescent="0.2">
      <c r="A63" s="2" t="s">
        <v>104</v>
      </c>
      <c r="B63" s="2">
        <v>9</v>
      </c>
      <c r="C63" t="s">
        <v>213</v>
      </c>
      <c r="D63" s="99" t="s">
        <v>190</v>
      </c>
      <c r="E63" s="99" t="s">
        <v>30</v>
      </c>
      <c r="H63" s="20" t="str">
        <f t="shared" si="14"/>
        <v>2 - GANPENALIDADES E GLOSAS DE CLIENTES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-11747.12</v>
      </c>
      <c r="AJ63">
        <v>-5696.73</v>
      </c>
      <c r="AK63">
        <v>-5693.35</v>
      </c>
      <c r="AL63">
        <v>-7446.7</v>
      </c>
      <c r="AM63">
        <v>-14391.15</v>
      </c>
      <c r="AN63">
        <v>-14336.19</v>
      </c>
      <c r="AO63">
        <v>-2040.76</v>
      </c>
      <c r="AP63">
        <v>-5100.3500000000004</v>
      </c>
      <c r="AQ63">
        <v>-6902.78</v>
      </c>
      <c r="AR63">
        <v>-14970.919999999998</v>
      </c>
      <c r="AS63">
        <v>-13723.560000000001</v>
      </c>
      <c r="AT63">
        <v>-176797.66</v>
      </c>
      <c r="CA63">
        <f t="shared" si="21"/>
        <v>3</v>
      </c>
    </row>
    <row r="64" spans="1:79" ht="15" x14ac:dyDescent="0.2">
      <c r="A64" s="2" t="s">
        <v>104</v>
      </c>
      <c r="B64" s="2">
        <v>10</v>
      </c>
      <c r="C64" t="s">
        <v>213</v>
      </c>
      <c r="D64" s="99" t="s">
        <v>191</v>
      </c>
      <c r="E64" s="99" t="s">
        <v>31</v>
      </c>
      <c r="H64" s="20" t="str">
        <f t="shared" si="14"/>
        <v>2 - GANPROCESSOS TRABALHISTAS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-59761.68</v>
      </c>
      <c r="AJ64">
        <v>-23829.84</v>
      </c>
      <c r="AK64">
        <v>-24316.68</v>
      </c>
      <c r="AL64">
        <v>-23829.84</v>
      </c>
      <c r="AM64">
        <v>-37579.839999999997</v>
      </c>
      <c r="AN64">
        <v>-89066.64</v>
      </c>
      <c r="AO64">
        <v>-108340.24</v>
      </c>
      <c r="AP64">
        <v>-78876.22</v>
      </c>
      <c r="AQ64">
        <v>-115081.3</v>
      </c>
      <c r="AR64">
        <v>-62579.839999999997</v>
      </c>
      <c r="AS64">
        <v>-85561.19</v>
      </c>
      <c r="AT64">
        <v>-69431.13</v>
      </c>
      <c r="CA64">
        <f t="shared" si="21"/>
        <v>3</v>
      </c>
    </row>
    <row r="65" spans="1:79" ht="15" x14ac:dyDescent="0.2">
      <c r="A65" s="2" t="s">
        <v>104</v>
      </c>
      <c r="B65" s="2">
        <v>11</v>
      </c>
      <c r="C65" t="s">
        <v>213</v>
      </c>
      <c r="D65" s="99" t="s">
        <v>192</v>
      </c>
      <c r="E65" s="99" t="s">
        <v>172</v>
      </c>
      <c r="H65" s="20" t="str">
        <f t="shared" si="14"/>
        <v>2 - GANDESCONTO PAGAMENTOS EM DUPLICIDADE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CA65">
        <f t="shared" si="21"/>
        <v>3</v>
      </c>
    </row>
    <row r="66" spans="1:79" ht="15" x14ac:dyDescent="0.2">
      <c r="A66" s="2" t="s">
        <v>104</v>
      </c>
      <c r="B66" s="2">
        <v>12</v>
      </c>
      <c r="C66" s="2"/>
      <c r="D66" s="98" t="s">
        <v>63</v>
      </c>
      <c r="E66" s="98"/>
      <c r="F66" s="90"/>
      <c r="G66" s="90"/>
      <c r="H66" s="20" t="str">
        <f t="shared" si="14"/>
        <v>2 - GAN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819707.23000000021</v>
      </c>
      <c r="AJ66">
        <v>236727.46999999997</v>
      </c>
      <c r="AK66">
        <v>718432.62819032278</v>
      </c>
      <c r="AL66">
        <v>1381663.4800000002</v>
      </c>
      <c r="AM66">
        <v>1578130.7000000002</v>
      </c>
      <c r="AN66">
        <v>955158.07959999982</v>
      </c>
      <c r="AO66">
        <v>973702.34000000032</v>
      </c>
      <c r="AP66">
        <v>748821.66399999964</v>
      </c>
      <c r="AQ66">
        <v>1034752.8525322578</v>
      </c>
      <c r="AR66">
        <v>1061178.0064111</v>
      </c>
      <c r="AS66">
        <v>980961.76059999992</v>
      </c>
      <c r="AT66">
        <v>1001330.2746000001</v>
      </c>
      <c r="CA66">
        <f t="shared" si="21"/>
        <v>3</v>
      </c>
    </row>
    <row r="67" spans="1:79" ht="15" x14ac:dyDescent="0.2">
      <c r="A67" s="2" t="s">
        <v>104</v>
      </c>
      <c r="B67" s="2">
        <v>13</v>
      </c>
      <c r="C67" s="2"/>
      <c r="D67" s="101" t="s">
        <v>62</v>
      </c>
      <c r="E67" s="101"/>
      <c r="F67" s="111"/>
      <c r="G67" s="111"/>
      <c r="H67" s="20" t="str">
        <f t="shared" si="14"/>
        <v>2 - GAN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87">
        <f t="shared" ref="AI67:AT67" si="61">AI68+AI69+AI70+AI71+AI72+AI73+AI74+AI75</f>
        <v>-116188.9</v>
      </c>
      <c r="AJ67" s="87">
        <f t="shared" si="61"/>
        <v>-109355.41</v>
      </c>
      <c r="AK67" s="87">
        <f t="shared" si="61"/>
        <v>-179189.47</v>
      </c>
      <c r="AL67" s="87">
        <f t="shared" si="61"/>
        <v>-166856.40999999997</v>
      </c>
      <c r="AM67" s="87">
        <f t="shared" si="61"/>
        <v>-125343.01</v>
      </c>
      <c r="AN67" s="87">
        <f t="shared" si="61"/>
        <v>-107935.72000000002</v>
      </c>
      <c r="AO67" s="87">
        <f t="shared" si="61"/>
        <v>-145234.44</v>
      </c>
      <c r="AP67" s="87">
        <f t="shared" si="61"/>
        <v>-115146.83000000002</v>
      </c>
      <c r="AQ67" s="87">
        <f t="shared" si="61"/>
        <v>-124283.82000000002</v>
      </c>
      <c r="AR67" s="87">
        <f t="shared" si="61"/>
        <v>-123603.35999999999</v>
      </c>
      <c r="AS67" s="87">
        <f t="shared" si="61"/>
        <v>-127307.81999999999</v>
      </c>
      <c r="AT67" s="87">
        <f t="shared" si="61"/>
        <v>-143672.31000000003</v>
      </c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CA67">
        <f t="shared" si="21"/>
        <v>3</v>
      </c>
    </row>
    <row r="68" spans="1:79" ht="15" x14ac:dyDescent="0.2">
      <c r="A68" s="2" t="s">
        <v>104</v>
      </c>
      <c r="B68" s="2">
        <v>14</v>
      </c>
      <c r="C68" s="2" t="s">
        <v>214</v>
      </c>
      <c r="D68" s="99" t="s">
        <v>193</v>
      </c>
      <c r="E68" s="99" t="s">
        <v>102</v>
      </c>
      <c r="G68">
        <v>1</v>
      </c>
      <c r="H68" s="20" t="str">
        <f t="shared" si="14"/>
        <v>2 - GANPESSOAL CLT ADM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0</v>
      </c>
      <c r="AJ68">
        <v>-358.12</v>
      </c>
      <c r="AK68">
        <v>-40481.58</v>
      </c>
      <c r="AL68">
        <v>-382.55</v>
      </c>
      <c r="AM68">
        <v>-358.12</v>
      </c>
      <c r="AN68">
        <v>-358.12</v>
      </c>
      <c r="AO68">
        <v>-14737.720000000001</v>
      </c>
      <c r="AP68">
        <v>-358.12</v>
      </c>
      <c r="AQ68">
        <v>-1244.57</v>
      </c>
      <c r="AR68">
        <v>0</v>
      </c>
      <c r="AS68">
        <v>0</v>
      </c>
      <c r="AT68">
        <v>0</v>
      </c>
      <c r="CA68">
        <f t="shared" si="21"/>
        <v>3</v>
      </c>
    </row>
    <row r="69" spans="1:79" ht="15" x14ac:dyDescent="0.2">
      <c r="A69" s="2" t="s">
        <v>104</v>
      </c>
      <c r="B69" s="2">
        <v>15</v>
      </c>
      <c r="C69" s="2" t="s">
        <v>214</v>
      </c>
      <c r="D69" s="99" t="s">
        <v>194</v>
      </c>
      <c r="E69" s="99" t="s">
        <v>0</v>
      </c>
      <c r="H69" s="20" t="str">
        <f t="shared" si="14"/>
        <v>2 - GANLOCALIZAÇÃO (ALUGUEL, COND, LUZ, IPTU)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-44157.21</v>
      </c>
      <c r="AJ69">
        <v>-9865.9399999999987</v>
      </c>
      <c r="AK69">
        <v>-42236.34</v>
      </c>
      <c r="AL69">
        <v>-41696.36</v>
      </c>
      <c r="AM69">
        <v>-39940.329999999994</v>
      </c>
      <c r="AN69">
        <v>-41261.850000000006</v>
      </c>
      <c r="AO69">
        <v>-39014.810000000005</v>
      </c>
      <c r="AP69">
        <v>-36927.440000000002</v>
      </c>
      <c r="AQ69">
        <v>-38481.96</v>
      </c>
      <c r="AR69">
        <v>-40705.67</v>
      </c>
      <c r="AS69">
        <v>-36264.51</v>
      </c>
      <c r="AT69">
        <v>-38809.89</v>
      </c>
      <c r="CA69">
        <f t="shared" si="21"/>
        <v>3</v>
      </c>
    </row>
    <row r="70" spans="1:79" ht="15" x14ac:dyDescent="0.2">
      <c r="A70" s="2" t="s">
        <v>104</v>
      </c>
      <c r="B70" s="2">
        <v>16</v>
      </c>
      <c r="C70" s="2" t="s">
        <v>214</v>
      </c>
      <c r="D70" s="99" t="s">
        <v>195</v>
      </c>
      <c r="E70" s="99" t="s">
        <v>1</v>
      </c>
      <c r="H70" s="20" t="str">
        <f t="shared" si="14"/>
        <v>2 - GANMARKETING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-19667.11</v>
      </c>
      <c r="AJ70">
        <v>-21913.34</v>
      </c>
      <c r="AK70">
        <v>-26080.400000000001</v>
      </c>
      <c r="AL70">
        <v>-11070.64</v>
      </c>
      <c r="AM70">
        <v>-12646.36</v>
      </c>
      <c r="AN70">
        <v>-10357.08</v>
      </c>
      <c r="AO70">
        <v>-12971.63</v>
      </c>
      <c r="AP70">
        <v>-17551.77</v>
      </c>
      <c r="AQ70">
        <v>-17005.850000000002</v>
      </c>
      <c r="AR70">
        <v>-16092.84</v>
      </c>
      <c r="AS70">
        <v>-20659.189999999999</v>
      </c>
      <c r="AT70">
        <v>-38138.080000000002</v>
      </c>
      <c r="CA70">
        <f t="shared" si="21"/>
        <v>3</v>
      </c>
    </row>
    <row r="71" spans="1:79" ht="15" x14ac:dyDescent="0.2">
      <c r="A71" s="2" t="s">
        <v>104</v>
      </c>
      <c r="B71" s="2">
        <v>17</v>
      </c>
      <c r="C71" s="2" t="s">
        <v>214</v>
      </c>
      <c r="D71" s="99" t="s">
        <v>196</v>
      </c>
      <c r="E71" s="99" t="s">
        <v>2</v>
      </c>
      <c r="H71" s="20" t="str">
        <f t="shared" si="14"/>
        <v>2 - GANCOMUNICAÇÃO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-19144.97</v>
      </c>
      <c r="AJ71">
        <v>-19837.999999999996</v>
      </c>
      <c r="AK71">
        <v>-11823.37</v>
      </c>
      <c r="AL71">
        <v>-21505.200000000001</v>
      </c>
      <c r="AM71">
        <v>-21236.73</v>
      </c>
      <c r="AN71">
        <v>-17852.379999999997</v>
      </c>
      <c r="AO71">
        <v>-17522.560000000001</v>
      </c>
      <c r="AP71">
        <v>-17728.010000000002</v>
      </c>
      <c r="AQ71">
        <v>-18922.02</v>
      </c>
      <c r="AR71">
        <v>-19003.29</v>
      </c>
      <c r="AS71">
        <v>-19918.32</v>
      </c>
      <c r="AT71">
        <v>-20349</v>
      </c>
      <c r="CA71">
        <f t="shared" si="21"/>
        <v>3</v>
      </c>
    </row>
    <row r="72" spans="1:79" ht="15" x14ac:dyDescent="0.2">
      <c r="A72" s="2" t="s">
        <v>104</v>
      </c>
      <c r="B72" s="2">
        <v>18</v>
      </c>
      <c r="C72" s="2" t="s">
        <v>214</v>
      </c>
      <c r="D72" s="99" t="s">
        <v>197</v>
      </c>
      <c r="E72" s="99" t="s">
        <v>3</v>
      </c>
      <c r="H72" s="20" t="str">
        <f t="shared" si="14"/>
        <v>2 - GANPRESTADOR DE SERVIÇOS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-8982.75</v>
      </c>
      <c r="AJ72">
        <v>-14654.349999999999</v>
      </c>
      <c r="AK72">
        <v>-12107.78</v>
      </c>
      <c r="AL72">
        <v>-11537.650000000001</v>
      </c>
      <c r="AM72">
        <v>-10315.900000000001</v>
      </c>
      <c r="AN72">
        <v>-13038.650000000001</v>
      </c>
      <c r="AO72">
        <v>-10309.630000000001</v>
      </c>
      <c r="AP72">
        <v>-11794.29</v>
      </c>
      <c r="AQ72">
        <v>-12022.210000000001</v>
      </c>
      <c r="AR72">
        <v>-11246.39</v>
      </c>
      <c r="AS72">
        <v>-10753.45</v>
      </c>
      <c r="AT72">
        <v>-11501.27</v>
      </c>
      <c r="CA72">
        <f t="shared" si="21"/>
        <v>3</v>
      </c>
    </row>
    <row r="73" spans="1:79" ht="15" x14ac:dyDescent="0.2">
      <c r="A73" s="2" t="s">
        <v>104</v>
      </c>
      <c r="B73" s="2">
        <v>19</v>
      </c>
      <c r="C73" s="2" t="s">
        <v>214</v>
      </c>
      <c r="D73" s="99" t="s">
        <v>198</v>
      </c>
      <c r="E73" s="99" t="s">
        <v>220</v>
      </c>
      <c r="H73" s="20" t="str">
        <f t="shared" si="14"/>
        <v>2 - GANALUGUEL DE EQUIPAM / MANUT MÁQ EQUIPAM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-7236.11</v>
      </c>
      <c r="AJ73">
        <v>-7795</v>
      </c>
      <c r="AK73">
        <v>-6435</v>
      </c>
      <c r="AL73">
        <v>-6985</v>
      </c>
      <c r="AM73">
        <v>-7372.9</v>
      </c>
      <c r="AN73">
        <v>-5280</v>
      </c>
      <c r="AO73">
        <v>-6602.2699999999995</v>
      </c>
      <c r="AP73">
        <v>-5653.4699999999993</v>
      </c>
      <c r="AQ73">
        <v>-6323.4699999999993</v>
      </c>
      <c r="AR73">
        <v>-5728.0499999999993</v>
      </c>
      <c r="AS73">
        <v>-5653.4699999999993</v>
      </c>
      <c r="AT73">
        <v>-5480.52</v>
      </c>
      <c r="CA73">
        <f t="shared" si="21"/>
        <v>3</v>
      </c>
    </row>
    <row r="74" spans="1:79" ht="15" x14ac:dyDescent="0.2">
      <c r="A74" s="2" t="s">
        <v>104</v>
      </c>
      <c r="B74" s="2">
        <v>20</v>
      </c>
      <c r="C74" s="2" t="s">
        <v>214</v>
      </c>
      <c r="D74" s="99" t="s">
        <v>199</v>
      </c>
      <c r="E74" s="99" t="s">
        <v>5</v>
      </c>
      <c r="H74" s="20" t="str">
        <f t="shared" si="14"/>
        <v>2 - GANCONSUMO DE MATERIAL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>
        <v>-3281.43</v>
      </c>
      <c r="AJ74">
        <v>-526.66</v>
      </c>
      <c r="AK74">
        <v>-4215.25</v>
      </c>
      <c r="AL74">
        <v>-6418.93</v>
      </c>
      <c r="AM74">
        <v>-7943.6900000000005</v>
      </c>
      <c r="AN74">
        <v>-4054.55</v>
      </c>
      <c r="AO74">
        <v>-3208.18</v>
      </c>
      <c r="AP74">
        <v>-6997.66</v>
      </c>
      <c r="AQ74">
        <v>-9790.36</v>
      </c>
      <c r="AR74">
        <v>-7749.96</v>
      </c>
      <c r="AS74">
        <v>-7804.1900000000005</v>
      </c>
      <c r="AT74">
        <v>-6227.85</v>
      </c>
      <c r="CA74">
        <f t="shared" si="21"/>
        <v>3</v>
      </c>
    </row>
    <row r="75" spans="1:79" ht="15" x14ac:dyDescent="0.2">
      <c r="A75" s="2" t="s">
        <v>104</v>
      </c>
      <c r="B75" s="2">
        <v>21</v>
      </c>
      <c r="C75" s="2" t="s">
        <v>214</v>
      </c>
      <c r="D75" s="99" t="s">
        <v>231</v>
      </c>
      <c r="E75" s="99" t="s">
        <v>230</v>
      </c>
      <c r="H75" s="20" t="str">
        <f t="shared" si="14"/>
        <v>2 - GANDESPESAS GERAIS / INVESTIMENTOS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>
        <v>-13719.32</v>
      </c>
      <c r="AJ75">
        <v>-34404</v>
      </c>
      <c r="AK75">
        <v>-35809.749999999993</v>
      </c>
      <c r="AL75">
        <v>-67260.08</v>
      </c>
      <c r="AM75">
        <v>-25528.98</v>
      </c>
      <c r="AN75">
        <v>-15733.09</v>
      </c>
      <c r="AO75">
        <v>-40867.64</v>
      </c>
      <c r="AP75">
        <v>-18136.07</v>
      </c>
      <c r="AQ75">
        <v>-20493.38</v>
      </c>
      <c r="AR75">
        <v>-23077.159999999996</v>
      </c>
      <c r="AS75">
        <v>-26254.69</v>
      </c>
      <c r="AT75">
        <v>-23165.7</v>
      </c>
      <c r="CA75">
        <f t="shared" si="21"/>
        <v>3</v>
      </c>
    </row>
    <row r="76" spans="1:79" ht="15" x14ac:dyDescent="0.2">
      <c r="A76" s="2" t="s">
        <v>104</v>
      </c>
      <c r="B76" s="2">
        <v>22</v>
      </c>
      <c r="C76" s="2" t="s">
        <v>214</v>
      </c>
      <c r="D76" s="99" t="s">
        <v>228</v>
      </c>
      <c r="E76" s="99" t="s">
        <v>229</v>
      </c>
      <c r="H76" s="20" t="str">
        <f t="shared" si="14"/>
        <v>2 - GANDESPESAS INTERCOMPANY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CA76">
        <f t="shared" si="21"/>
        <v>3</v>
      </c>
    </row>
    <row r="77" spans="1:79" ht="15" x14ac:dyDescent="0.2">
      <c r="A77" s="2" t="s">
        <v>104</v>
      </c>
      <c r="B77" s="2">
        <v>23</v>
      </c>
      <c r="C77" s="2"/>
      <c r="D77" s="98" t="s">
        <v>178</v>
      </c>
      <c r="E77" s="98"/>
      <c r="F77" s="90"/>
      <c r="G77" s="90"/>
      <c r="H77" s="20" t="str">
        <f t="shared" si="14"/>
        <v>2 - GAN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87">
        <f t="shared" ref="AI77:AT77" si="62">AI66+AI67</f>
        <v>703518.33000000019</v>
      </c>
      <c r="AJ77" s="87">
        <f t="shared" si="62"/>
        <v>127372.05999999997</v>
      </c>
      <c r="AK77" s="87">
        <f t="shared" si="62"/>
        <v>539243.15819032281</v>
      </c>
      <c r="AL77" s="87">
        <f t="shared" si="62"/>
        <v>1214807.0700000003</v>
      </c>
      <c r="AM77" s="87">
        <f t="shared" si="62"/>
        <v>1452787.6900000002</v>
      </c>
      <c r="AN77" s="87">
        <f t="shared" si="62"/>
        <v>847222.35959999985</v>
      </c>
      <c r="AO77" s="87">
        <f t="shared" si="62"/>
        <v>828467.90000000037</v>
      </c>
      <c r="AP77" s="87">
        <f t="shared" si="62"/>
        <v>633674.83399999957</v>
      </c>
      <c r="AQ77" s="87">
        <f t="shared" si="62"/>
        <v>910469.03253225773</v>
      </c>
      <c r="AR77" s="87">
        <f t="shared" si="62"/>
        <v>937574.64641110005</v>
      </c>
      <c r="AS77" s="87">
        <f t="shared" si="62"/>
        <v>853653.94059999997</v>
      </c>
      <c r="AT77" s="87">
        <f t="shared" si="62"/>
        <v>857657.96460000006</v>
      </c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CA77">
        <f t="shared" si="21"/>
        <v>3</v>
      </c>
    </row>
    <row r="78" spans="1:79" ht="15" x14ac:dyDescent="0.2">
      <c r="A78" s="2" t="s">
        <v>104</v>
      </c>
      <c r="B78" s="2">
        <v>24</v>
      </c>
      <c r="C78" s="2" t="s">
        <v>215</v>
      </c>
      <c r="D78" s="99" t="s">
        <v>200</v>
      </c>
      <c r="E78" s="99" t="s">
        <v>221</v>
      </c>
      <c r="H78" s="20" t="str">
        <f t="shared" si="14"/>
        <v>2 - GANDEPRECIAÇÃO / AMORTIZAÇÃO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-7202.8725322500004</v>
      </c>
      <c r="AJ78">
        <v>-7448.4570802500002</v>
      </c>
      <c r="AK78">
        <v>-7448.4557665000002</v>
      </c>
      <c r="AL78">
        <v>-7259.89</v>
      </c>
      <c r="AM78">
        <v>-7246.5</v>
      </c>
      <c r="AN78">
        <v>-7202.87</v>
      </c>
      <c r="AO78">
        <v>-7220.38</v>
      </c>
      <c r="AP78">
        <v>-7219.1622802499996</v>
      </c>
      <c r="AQ78">
        <v>-7219.1609664999996</v>
      </c>
      <c r="AR78">
        <v>-38127.54</v>
      </c>
      <c r="AS78">
        <v>-38127.54</v>
      </c>
      <c r="AT78">
        <v>-38127.54</v>
      </c>
      <c r="CA78">
        <f t="shared" si="21"/>
        <v>3</v>
      </c>
    </row>
    <row r="79" spans="1:79" ht="15" x14ac:dyDescent="0.2">
      <c r="A79" s="2" t="s">
        <v>104</v>
      </c>
      <c r="B79" s="2">
        <v>25</v>
      </c>
      <c r="C79" s="2" t="s">
        <v>216</v>
      </c>
      <c r="D79" s="99" t="s">
        <v>77</v>
      </c>
      <c r="E79" s="99" t="s">
        <v>89</v>
      </c>
      <c r="H79" s="20" t="str">
        <f t="shared" si="14"/>
        <v>2 - GANRESULTADO FINANCEIRO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>
        <v>-475.92000000000007</v>
      </c>
      <c r="AJ79">
        <v>917</v>
      </c>
      <c r="AK79">
        <v>-21509.449999999997</v>
      </c>
      <c r="AL79">
        <v>-5633.6</v>
      </c>
      <c r="AM79">
        <v>1038.3222000000001</v>
      </c>
      <c r="AN79">
        <v>7211.2800000000007</v>
      </c>
      <c r="AO79">
        <v>3440.16</v>
      </c>
      <c r="AP79">
        <v>763.30999999999949</v>
      </c>
      <c r="AQ79">
        <v>-2612.67</v>
      </c>
      <c r="AR79">
        <v>2081.91</v>
      </c>
      <c r="AS79">
        <v>-8337.5300000000007</v>
      </c>
      <c r="AT79">
        <v>-14540.010000000002</v>
      </c>
      <c r="CA79">
        <f t="shared" si="21"/>
        <v>3</v>
      </c>
    </row>
    <row r="80" spans="1:79" ht="15" x14ac:dyDescent="0.2">
      <c r="A80" s="2" t="s">
        <v>104</v>
      </c>
      <c r="B80" s="2">
        <v>26</v>
      </c>
      <c r="C80" s="2" t="s">
        <v>217</v>
      </c>
      <c r="D80" s="99" t="s">
        <v>201</v>
      </c>
      <c r="E80" s="99" t="s">
        <v>222</v>
      </c>
      <c r="H80" s="20" t="str">
        <f t="shared" ref="H80:H143" si="63">CONCATENATE(A80,E80)</f>
        <v>2 - GANIMPOSTOS (IRPJ+CSLL+PIS+COFINS+ISS)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-378156.05</v>
      </c>
      <c r="AJ80">
        <v>-350718.22</v>
      </c>
      <c r="AK80">
        <v>-374686.25</v>
      </c>
      <c r="AL80">
        <v>-385876.47</v>
      </c>
      <c r="AM80">
        <v>-417806.500222</v>
      </c>
      <c r="AN80">
        <v>-369817.74</v>
      </c>
      <c r="AO80">
        <v>-406605.57999999996</v>
      </c>
      <c r="AP80">
        <v>-387777.37</v>
      </c>
      <c r="AQ80">
        <v>-416300.75</v>
      </c>
      <c r="AR80">
        <v>-403730.58</v>
      </c>
      <c r="AS80">
        <v>-409069.34</v>
      </c>
      <c r="AT80">
        <v>-416419.03000000201</v>
      </c>
      <c r="CA80">
        <f t="shared" si="21"/>
        <v>3</v>
      </c>
    </row>
    <row r="81" spans="1:79" ht="15" x14ac:dyDescent="0.2">
      <c r="A81" s="2" t="s">
        <v>104</v>
      </c>
      <c r="B81" s="2">
        <v>27</v>
      </c>
      <c r="C81" s="2"/>
      <c r="D81" s="104" t="s">
        <v>202</v>
      </c>
      <c r="E81" s="104"/>
      <c r="F81" s="112"/>
      <c r="G81" s="112"/>
      <c r="H81" s="20" t="str">
        <f t="shared" si="63"/>
        <v>2 - GAN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87">
        <f t="shared" ref="AI81:AT81" si="64">AI66+AI67+AI78+AI79+AI80</f>
        <v>317683.48746775015</v>
      </c>
      <c r="AJ81" s="87">
        <f t="shared" si="64"/>
        <v>-229877.61708025</v>
      </c>
      <c r="AK81" s="87">
        <f t="shared" si="64"/>
        <v>135599.00242382282</v>
      </c>
      <c r="AL81" s="87">
        <f t="shared" si="64"/>
        <v>816037.11000000034</v>
      </c>
      <c r="AM81" s="87">
        <f t="shared" si="64"/>
        <v>1028773.0119780002</v>
      </c>
      <c r="AN81" s="87">
        <f t="shared" si="64"/>
        <v>477413.02959999989</v>
      </c>
      <c r="AO81" s="87">
        <f t="shared" si="64"/>
        <v>418082.10000000044</v>
      </c>
      <c r="AP81" s="87">
        <f t="shared" si="64"/>
        <v>239441.61171974964</v>
      </c>
      <c r="AQ81" s="87">
        <f t="shared" si="64"/>
        <v>484336.45156575774</v>
      </c>
      <c r="AR81" s="87">
        <f t="shared" si="64"/>
        <v>497798.43641110003</v>
      </c>
      <c r="AS81" s="87">
        <f t="shared" si="64"/>
        <v>398119.53059999988</v>
      </c>
      <c r="AT81" s="87">
        <f t="shared" si="64"/>
        <v>388571.38459999801</v>
      </c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CA81">
        <f t="shared" si="21"/>
        <v>3</v>
      </c>
    </row>
    <row r="82" spans="1:79" ht="15" x14ac:dyDescent="0.2">
      <c r="A82" s="2" t="s">
        <v>104</v>
      </c>
      <c r="B82" s="2">
        <v>28</v>
      </c>
      <c r="C82" s="2" t="s">
        <v>218</v>
      </c>
      <c r="D82" s="99" t="s">
        <v>203</v>
      </c>
      <c r="E82" s="99" t="s">
        <v>98</v>
      </c>
      <c r="G82">
        <v>1</v>
      </c>
      <c r="H82" s="20" t="str">
        <f t="shared" si="63"/>
        <v>2 - GANDISTR LUCROS E DESPESAS SS (JURÍDICO)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-847898.45</v>
      </c>
      <c r="AJ82">
        <v>-843620.84</v>
      </c>
      <c r="AK82">
        <v>-875677.44180967717</v>
      </c>
      <c r="AL82">
        <v>-855509.10999999987</v>
      </c>
      <c r="AM82">
        <v>-856237.37999999977</v>
      </c>
      <c r="AN82">
        <v>-828360.95039999997</v>
      </c>
      <c r="AO82">
        <v>-858332.99999999965</v>
      </c>
      <c r="AP82">
        <v>-843550.576</v>
      </c>
      <c r="AQ82">
        <v>-823273.71746774204</v>
      </c>
      <c r="AR82">
        <v>-876122.20358890004</v>
      </c>
      <c r="AS82">
        <v>-860272.84940000006</v>
      </c>
      <c r="AT82">
        <v>-868044.27540000004</v>
      </c>
      <c r="CA82">
        <f t="shared" si="21"/>
        <v>3</v>
      </c>
    </row>
    <row r="83" spans="1:79" ht="15" x14ac:dyDescent="0.2">
      <c r="A83" s="2" t="s">
        <v>104</v>
      </c>
      <c r="B83" s="2">
        <v>29</v>
      </c>
      <c r="C83" s="2" t="s">
        <v>218</v>
      </c>
      <c r="D83" s="99" t="s">
        <v>204</v>
      </c>
      <c r="E83" s="99" t="s">
        <v>223</v>
      </c>
      <c r="G83">
        <v>1</v>
      </c>
      <c r="H83" s="20" t="str">
        <f t="shared" si="63"/>
        <v>2 - GANDISTR LUCROS E DESPESAS SC (3)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>
        <v>-93622.6</v>
      </c>
      <c r="AJ83">
        <v>-94713.39</v>
      </c>
      <c r="AK83">
        <v>-85657.55</v>
      </c>
      <c r="AL83">
        <v>-84740.75</v>
      </c>
      <c r="AM83">
        <v>-94286.67</v>
      </c>
      <c r="AN83">
        <v>-95728.22</v>
      </c>
      <c r="AO83">
        <v>-97019.19</v>
      </c>
      <c r="AP83">
        <v>-93427.71</v>
      </c>
      <c r="AQ83">
        <v>-90340.760000000009</v>
      </c>
      <c r="AR83">
        <v>-95809.409999999989</v>
      </c>
      <c r="AS83">
        <v>-97664.15</v>
      </c>
      <c r="AT83">
        <v>-101638.96</v>
      </c>
      <c r="CA83">
        <f t="shared" si="21"/>
        <v>3</v>
      </c>
    </row>
    <row r="84" spans="1:79" ht="15" x14ac:dyDescent="0.2">
      <c r="A84" s="2" t="s">
        <v>104</v>
      </c>
      <c r="B84" s="2">
        <v>30</v>
      </c>
      <c r="C84" s="2" t="s">
        <v>218</v>
      </c>
      <c r="D84" s="99" t="s">
        <v>205</v>
      </c>
      <c r="E84" s="99" t="s">
        <v>224</v>
      </c>
      <c r="G84">
        <v>1</v>
      </c>
      <c r="H84" s="20" t="str">
        <f t="shared" si="63"/>
        <v>2 - GANDISTR LUCROS E DESPESAS SS GESTÃO ADM (11)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>
        <v>-51742.820000000007</v>
      </c>
      <c r="AJ84">
        <v>-9827.76</v>
      </c>
      <c r="AK84">
        <v>-10130.959999999999</v>
      </c>
      <c r="AL84">
        <v>-11722.3</v>
      </c>
      <c r="AM84">
        <v>-299</v>
      </c>
      <c r="AN84">
        <v>6808.64</v>
      </c>
      <c r="AO84">
        <v>-6216.47</v>
      </c>
      <c r="AP84">
        <v>-2917.44</v>
      </c>
      <c r="AQ84">
        <v>-3687.93</v>
      </c>
      <c r="AR84">
        <v>-5037.4399999999996</v>
      </c>
      <c r="AS84">
        <v>-4917.4400000000005</v>
      </c>
      <c r="AT84">
        <v>-3887.93</v>
      </c>
      <c r="CA84">
        <f t="shared" ref="CA84:CA152" si="65">MONTH($BZ$2)</f>
        <v>3</v>
      </c>
    </row>
    <row r="85" spans="1:79" ht="15" x14ac:dyDescent="0.2">
      <c r="A85" s="2" t="s">
        <v>104</v>
      </c>
      <c r="B85" s="2">
        <v>31</v>
      </c>
      <c r="C85" s="2"/>
      <c r="D85" s="99" t="s">
        <v>206</v>
      </c>
      <c r="E85" s="20"/>
      <c r="F85" s="20"/>
      <c r="G85" s="20"/>
      <c r="H85" s="20" t="str">
        <f t="shared" si="63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 t="shared" ref="AI85:AT85" si="66">AI82+AI83+AI84</f>
        <v>-993263.86999999988</v>
      </c>
      <c r="AJ85" s="87">
        <f t="shared" si="66"/>
        <v>-948161.99</v>
      </c>
      <c r="AK85" s="87">
        <f t="shared" si="66"/>
        <v>-971465.95180967718</v>
      </c>
      <c r="AL85" s="87">
        <f t="shared" si="66"/>
        <v>-951972.15999999992</v>
      </c>
      <c r="AM85" s="87">
        <f t="shared" si="66"/>
        <v>-950823.04999999981</v>
      </c>
      <c r="AN85" s="87">
        <f t="shared" si="66"/>
        <v>-917280.53039999993</v>
      </c>
      <c r="AO85" s="87">
        <f t="shared" si="66"/>
        <v>-961568.65999999968</v>
      </c>
      <c r="AP85" s="87">
        <f t="shared" si="66"/>
        <v>-939895.72599999991</v>
      </c>
      <c r="AQ85" s="87">
        <f t="shared" si="66"/>
        <v>-917302.4074677421</v>
      </c>
      <c r="AR85" s="87">
        <f t="shared" si="66"/>
        <v>-976969.05358890002</v>
      </c>
      <c r="AS85" s="87">
        <f t="shared" si="66"/>
        <v>-962854.43940000003</v>
      </c>
      <c r="AT85" s="87">
        <f t="shared" si="66"/>
        <v>-973571.16540000006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65"/>
        <v>3</v>
      </c>
    </row>
    <row r="86" spans="1:79" ht="15" x14ac:dyDescent="0.2">
      <c r="A86" s="2" t="s">
        <v>104</v>
      </c>
      <c r="B86" s="2">
        <v>32</v>
      </c>
      <c r="C86" s="2"/>
      <c r="D86" s="99" t="s">
        <v>207</v>
      </c>
      <c r="E86" s="20"/>
      <c r="F86" s="20"/>
      <c r="G86" s="20"/>
      <c r="H86" s="20" t="str">
        <f t="shared" si="63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87">
        <f t="shared" ref="AI86:AT86" si="67">AI59+AI67+AI78+AI79+AI80+AI85</f>
        <v>-1677761.7625322498</v>
      </c>
      <c r="AJ86" s="87">
        <f t="shared" si="67"/>
        <v>-1518314.54708025</v>
      </c>
      <c r="AK86" s="87">
        <f t="shared" si="67"/>
        <v>-1623516.167576177</v>
      </c>
      <c r="AL86" s="87">
        <f t="shared" si="67"/>
        <v>-1637690.67</v>
      </c>
      <c r="AM86" s="87">
        <f t="shared" si="67"/>
        <v>-1654622.9280219998</v>
      </c>
      <c r="AN86" s="87">
        <f t="shared" si="67"/>
        <v>-1592604.0003999998</v>
      </c>
      <c r="AO86" s="87">
        <f t="shared" si="67"/>
        <v>-1756998.8099999996</v>
      </c>
      <c r="AP86" s="87">
        <f t="shared" si="67"/>
        <v>-1642216.24828025</v>
      </c>
      <c r="AQ86" s="87">
        <f t="shared" si="67"/>
        <v>-1679461.3384342422</v>
      </c>
      <c r="AR86" s="87">
        <f t="shared" si="67"/>
        <v>-1736832.1035889001</v>
      </c>
      <c r="AS86" s="87">
        <f t="shared" si="67"/>
        <v>-1763231.5693999999</v>
      </c>
      <c r="AT86" s="87">
        <f t="shared" si="67"/>
        <v>-1963664.2054000022</v>
      </c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CA86">
        <f t="shared" si="65"/>
        <v>3</v>
      </c>
    </row>
    <row r="87" spans="1:79" ht="15" x14ac:dyDescent="0.2">
      <c r="A87" s="2" t="s">
        <v>104</v>
      </c>
      <c r="B87" s="2">
        <v>33</v>
      </c>
      <c r="C87" s="2"/>
      <c r="D87" s="104" t="s">
        <v>212</v>
      </c>
      <c r="E87" s="87"/>
      <c r="F87" s="87"/>
      <c r="G87" s="87"/>
      <c r="H87" s="20" t="str">
        <f t="shared" si="63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87">
        <f>AI55+AI86</f>
        <v>265940.66746775038</v>
      </c>
      <c r="AJ87" s="87">
        <f t="shared" ref="AJ87:AT87" si="68">AJ55+AJ86</f>
        <v>-239705.37708025007</v>
      </c>
      <c r="AK87" s="87">
        <f t="shared" si="68"/>
        <v>125468.04242382292</v>
      </c>
      <c r="AL87" s="87">
        <f t="shared" si="68"/>
        <v>804314.81</v>
      </c>
      <c r="AM87" s="87">
        <f t="shared" si="68"/>
        <v>1028474.0119780002</v>
      </c>
      <c r="AN87" s="87">
        <f t="shared" si="68"/>
        <v>484221.66959999991</v>
      </c>
      <c r="AO87" s="87">
        <f t="shared" si="68"/>
        <v>411865.63000000035</v>
      </c>
      <c r="AP87" s="87">
        <f t="shared" si="68"/>
        <v>236524.17171974969</v>
      </c>
      <c r="AQ87" s="87">
        <f t="shared" si="68"/>
        <v>480648.52156575769</v>
      </c>
      <c r="AR87" s="87">
        <f t="shared" si="68"/>
        <v>492760.99641110003</v>
      </c>
      <c r="AS87" s="87">
        <f t="shared" si="68"/>
        <v>393202.09060000023</v>
      </c>
      <c r="AT87" s="87">
        <f t="shared" si="68"/>
        <v>384683.45459999796</v>
      </c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R87" s="67"/>
      <c r="CA87">
        <f t="shared" si="65"/>
        <v>3</v>
      </c>
    </row>
    <row r="88" spans="1:79" ht="15" x14ac:dyDescent="0.2">
      <c r="A88" s="2" t="s">
        <v>104</v>
      </c>
      <c r="B88" s="2">
        <v>34</v>
      </c>
      <c r="C88" s="2"/>
      <c r="D88" s="99" t="s">
        <v>208</v>
      </c>
      <c r="E88" s="80"/>
      <c r="F88" s="80"/>
      <c r="G88" s="80"/>
      <c r="H88" s="20" t="str">
        <f t="shared" si="63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CA88">
        <f t="shared" si="65"/>
        <v>3</v>
      </c>
    </row>
    <row r="89" spans="1:79" ht="15" x14ac:dyDescent="0.2">
      <c r="A89" s="2" t="s">
        <v>104</v>
      </c>
      <c r="B89" s="2">
        <v>35</v>
      </c>
      <c r="C89" s="2"/>
      <c r="D89" s="99" t="s">
        <v>209</v>
      </c>
      <c r="E89" s="20"/>
      <c r="F89" s="20"/>
      <c r="G89" s="20"/>
      <c r="H89" s="20" t="str">
        <f t="shared" si="63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CA89">
        <f t="shared" si="65"/>
        <v>3</v>
      </c>
    </row>
    <row r="90" spans="1:79" ht="15" x14ac:dyDescent="0.2">
      <c r="A90" s="2" t="s">
        <v>104</v>
      </c>
      <c r="B90" s="2">
        <v>36</v>
      </c>
      <c r="C90" s="2"/>
      <c r="D90" s="99" t="s">
        <v>210</v>
      </c>
      <c r="E90" s="20"/>
      <c r="F90" s="20"/>
      <c r="G90" s="20"/>
      <c r="H90" s="20" t="str">
        <f t="shared" si="63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  <c r="CA90">
        <f t="shared" si="65"/>
        <v>3</v>
      </c>
    </row>
    <row r="91" spans="1:79" ht="15" x14ac:dyDescent="0.2">
      <c r="A91" s="2" t="s">
        <v>104</v>
      </c>
      <c r="B91" s="2">
        <v>37</v>
      </c>
      <c r="C91" s="2"/>
      <c r="D91" s="99" t="s">
        <v>233</v>
      </c>
      <c r="E91" s="20"/>
      <c r="F91" s="20"/>
      <c r="G91" s="20"/>
      <c r="H91" s="20" t="str">
        <f t="shared" si="63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  <c r="CA91">
        <f t="shared" si="65"/>
        <v>3</v>
      </c>
    </row>
    <row r="92" spans="1:79" ht="15" x14ac:dyDescent="0.2">
      <c r="A92" s="2" t="s">
        <v>104</v>
      </c>
      <c r="B92" s="2">
        <v>38</v>
      </c>
      <c r="C92" s="2"/>
      <c r="D92" s="99" t="s">
        <v>232</v>
      </c>
      <c r="E92" s="20"/>
      <c r="F92" s="20"/>
      <c r="G92" s="20"/>
      <c r="H92" s="20" t="str">
        <f t="shared" si="63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67"/>
      <c r="BP92" s="67"/>
      <c r="BQ92" s="67"/>
      <c r="BR92" s="67"/>
    </row>
    <row r="93" spans="1:79" ht="15" x14ac:dyDescent="0.2">
      <c r="A93" s="2" t="s">
        <v>104</v>
      </c>
      <c r="B93" s="2">
        <v>39</v>
      </c>
      <c r="C93" s="2"/>
      <c r="D93" s="99" t="s">
        <v>234</v>
      </c>
      <c r="E93" s="20"/>
      <c r="F93" s="20"/>
      <c r="G93" s="20"/>
      <c r="H93" s="20" t="str">
        <f t="shared" si="63"/>
        <v>2 - GAN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</row>
    <row r="94" spans="1:79" ht="15.75" thickBot="1" x14ac:dyDescent="0.25">
      <c r="A94" s="2" t="s">
        <v>104</v>
      </c>
      <c r="B94" s="2">
        <v>40</v>
      </c>
      <c r="C94" s="2"/>
      <c r="D94" s="100" t="s">
        <v>211</v>
      </c>
      <c r="E94" s="20"/>
      <c r="F94" s="20"/>
      <c r="G94" s="20"/>
      <c r="H94" s="20" t="str">
        <f t="shared" si="63"/>
        <v>2 - GAN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CA94">
        <f t="shared" si="65"/>
        <v>3</v>
      </c>
    </row>
    <row r="95" spans="1:79" ht="15" x14ac:dyDescent="0.2">
      <c r="A95" s="2" t="s">
        <v>105</v>
      </c>
      <c r="B95" s="2">
        <v>1</v>
      </c>
      <c r="C95" s="2"/>
      <c r="D95" s="108" t="s">
        <v>183</v>
      </c>
      <c r="E95" s="20"/>
      <c r="F95" s="20"/>
      <c r="G95" s="20"/>
      <c r="H95" s="20" t="str">
        <f t="shared" si="63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293072.92</v>
      </c>
      <c r="AJ95">
        <v>154046.06</v>
      </c>
      <c r="AK95">
        <v>262374.71999999997</v>
      </c>
      <c r="AL95">
        <v>217025.5</v>
      </c>
      <c r="AM95">
        <v>323482.81</v>
      </c>
      <c r="AN95">
        <v>307417.69</v>
      </c>
      <c r="AO95">
        <v>247192.62</v>
      </c>
      <c r="AP95">
        <v>267102.63</v>
      </c>
      <c r="AQ95">
        <v>306993.67</v>
      </c>
      <c r="AR95">
        <v>417896.84</v>
      </c>
      <c r="AS95">
        <v>184448.88</v>
      </c>
      <c r="AT95">
        <v>194841.48</v>
      </c>
      <c r="CA95">
        <f t="shared" si="65"/>
        <v>3</v>
      </c>
    </row>
    <row r="96" spans="1:79" ht="15" x14ac:dyDescent="0.2">
      <c r="A96" s="2" t="s">
        <v>105</v>
      </c>
      <c r="B96" s="2">
        <v>2</v>
      </c>
      <c r="C96" s="2"/>
      <c r="D96" s="99" t="s">
        <v>184</v>
      </c>
      <c r="E96" s="20"/>
      <c r="F96" s="20"/>
      <c r="G96" s="20"/>
      <c r="H96" s="20" t="str">
        <f t="shared" si="63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65"/>
        <v>3</v>
      </c>
    </row>
    <row r="97" spans="1:79" ht="15" x14ac:dyDescent="0.2">
      <c r="A97" s="2" t="s">
        <v>105</v>
      </c>
      <c r="B97" s="2">
        <v>3</v>
      </c>
      <c r="C97" s="2"/>
      <c r="D97" s="99" t="s">
        <v>185</v>
      </c>
      <c r="E97" s="20"/>
      <c r="F97" s="20"/>
      <c r="G97" s="20"/>
      <c r="H97" s="20" t="str">
        <f t="shared" si="63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CA97">
        <f t="shared" si="65"/>
        <v>3</v>
      </c>
    </row>
    <row r="98" spans="1:79" ht="15" x14ac:dyDescent="0.2">
      <c r="A98" s="2" t="s">
        <v>105</v>
      </c>
      <c r="B98" s="2">
        <v>4</v>
      </c>
      <c r="C98" s="2"/>
      <c r="D98" s="99" t="s">
        <v>186</v>
      </c>
      <c r="E98" s="20"/>
      <c r="F98" s="20"/>
      <c r="G98" s="20"/>
      <c r="H98" s="20" t="str">
        <f t="shared" si="63"/>
        <v>3 - GAA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293072.92</v>
      </c>
      <c r="AJ98">
        <v>154046.06</v>
      </c>
      <c r="AK98">
        <v>262374.71999999997</v>
      </c>
      <c r="AL98">
        <v>217025.5</v>
      </c>
      <c r="AM98">
        <v>323482.81</v>
      </c>
      <c r="AN98">
        <v>307417.69</v>
      </c>
      <c r="AO98">
        <v>247192.62</v>
      </c>
      <c r="AP98">
        <v>267102.63</v>
      </c>
      <c r="AQ98">
        <v>306993.67</v>
      </c>
      <c r="AR98">
        <v>417896.84</v>
      </c>
      <c r="AS98">
        <v>184448.88</v>
      </c>
      <c r="AT98">
        <v>194841.48</v>
      </c>
      <c r="CA98">
        <f t="shared" si="65"/>
        <v>3</v>
      </c>
    </row>
    <row r="99" spans="1:79" ht="15" x14ac:dyDescent="0.2">
      <c r="A99" s="2" t="s">
        <v>105</v>
      </c>
      <c r="B99" s="2">
        <v>5</v>
      </c>
      <c r="C99" s="2"/>
      <c r="D99" s="101" t="s">
        <v>32</v>
      </c>
      <c r="E99" s="20"/>
      <c r="F99" s="20"/>
      <c r="G99" s="20"/>
      <c r="H99" s="20" t="str">
        <f t="shared" si="63"/>
        <v>3 - GAA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87">
        <f t="shared" ref="AI99:AT99" si="69">AI100+AI101+AI102+AI103+AI104+AI105</f>
        <v>-139182.28</v>
      </c>
      <c r="AJ99" s="87">
        <f t="shared" si="69"/>
        <v>-135132.07</v>
      </c>
      <c r="AK99" s="87">
        <f t="shared" si="69"/>
        <v>-173236.63000000003</v>
      </c>
      <c r="AL99" s="87">
        <f t="shared" si="69"/>
        <v>-129682.89000000001</v>
      </c>
      <c r="AM99" s="87">
        <f t="shared" si="69"/>
        <v>-105391.50000000001</v>
      </c>
      <c r="AN99" s="87">
        <f t="shared" si="69"/>
        <v>-90024.62</v>
      </c>
      <c r="AO99" s="87">
        <f t="shared" si="69"/>
        <v>-96767.71</v>
      </c>
      <c r="AP99" s="87">
        <f t="shared" si="69"/>
        <v>-102489.19999999998</v>
      </c>
      <c r="AQ99" s="87">
        <f t="shared" si="69"/>
        <v>-108262</v>
      </c>
      <c r="AR99" s="87">
        <f t="shared" si="69"/>
        <v>-127124.38999999998</v>
      </c>
      <c r="AS99" s="87">
        <f t="shared" si="69"/>
        <v>-141063.03600000002</v>
      </c>
      <c r="AT99" s="87">
        <f t="shared" si="69"/>
        <v>-168073.67000000004</v>
      </c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67"/>
      <c r="BP99" s="67"/>
      <c r="BQ99" s="67"/>
      <c r="BR99" s="67"/>
      <c r="CA99">
        <f t="shared" si="65"/>
        <v>3</v>
      </c>
    </row>
    <row r="100" spans="1:79" ht="15" x14ac:dyDescent="0.2">
      <c r="A100" s="2" t="s">
        <v>105</v>
      </c>
      <c r="B100" s="2">
        <v>6</v>
      </c>
      <c r="C100" t="s">
        <v>213</v>
      </c>
      <c r="D100" t="s">
        <v>187</v>
      </c>
      <c r="E100" t="s">
        <v>219</v>
      </c>
      <c r="G100">
        <v>1</v>
      </c>
      <c r="H100" s="20" t="str">
        <f t="shared" si="63"/>
        <v>3 - GAAPESSOAL CLT (BO / ASSIS JURÍD / NEGOC)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-139182.28</v>
      </c>
      <c r="AJ100">
        <v>-135132.07</v>
      </c>
      <c r="AK100">
        <v>-173236.63000000003</v>
      </c>
      <c r="AL100">
        <v>-127638.90000000001</v>
      </c>
      <c r="AM100">
        <v>-105391.50000000001</v>
      </c>
      <c r="AN100">
        <v>-90024.62</v>
      </c>
      <c r="AO100">
        <v>-92444.420000000013</v>
      </c>
      <c r="AP100">
        <v>-102489.19999999998</v>
      </c>
      <c r="AQ100">
        <v>-108262</v>
      </c>
      <c r="AR100">
        <v>-112873.59999999999</v>
      </c>
      <c r="AS100">
        <v>-141063.03600000002</v>
      </c>
      <c r="AT100">
        <v>-168073.67000000004</v>
      </c>
      <c r="CA100">
        <f t="shared" si="65"/>
        <v>3</v>
      </c>
    </row>
    <row r="101" spans="1:79" ht="15" x14ac:dyDescent="0.2">
      <c r="A101" s="2" t="s">
        <v>105</v>
      </c>
      <c r="B101" s="2">
        <v>7</v>
      </c>
      <c r="C101" t="s">
        <v>213</v>
      </c>
      <c r="D101" s="99" t="s">
        <v>188</v>
      </c>
      <c r="E101" s="99" t="s">
        <v>28</v>
      </c>
      <c r="H101" s="20" t="str">
        <f t="shared" si="63"/>
        <v>3 - GAACORRESPONDENTES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65"/>
        <v>3</v>
      </c>
    </row>
    <row r="102" spans="1:79" ht="15" x14ac:dyDescent="0.2">
      <c r="A102" s="2" t="s">
        <v>105</v>
      </c>
      <c r="B102" s="2">
        <v>8</v>
      </c>
      <c r="C102" t="s">
        <v>213</v>
      </c>
      <c r="D102" s="99" t="s">
        <v>189</v>
      </c>
      <c r="E102" s="99" t="s">
        <v>29</v>
      </c>
      <c r="H102" s="20" t="str">
        <f t="shared" si="63"/>
        <v>3 - GAAVALORES RESCISÓRIOS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-2043.99</v>
      </c>
      <c r="AM102">
        <v>0</v>
      </c>
      <c r="AN102">
        <v>0</v>
      </c>
      <c r="AO102">
        <v>-4323.29</v>
      </c>
      <c r="AP102">
        <v>0</v>
      </c>
      <c r="AQ102">
        <v>0</v>
      </c>
      <c r="AR102">
        <v>0</v>
      </c>
      <c r="AS102">
        <v>0</v>
      </c>
      <c r="AT102">
        <v>0</v>
      </c>
      <c r="CA102">
        <f t="shared" si="65"/>
        <v>3</v>
      </c>
    </row>
    <row r="103" spans="1:79" ht="15" x14ac:dyDescent="0.2">
      <c r="A103" s="2" t="s">
        <v>105</v>
      </c>
      <c r="B103" s="2">
        <v>9</v>
      </c>
      <c r="C103" t="s">
        <v>213</v>
      </c>
      <c r="D103" s="99" t="s">
        <v>190</v>
      </c>
      <c r="E103" s="99" t="s">
        <v>30</v>
      </c>
      <c r="H103" s="20" t="str">
        <f t="shared" si="63"/>
        <v>3 - GAAPENALIDADES E GLOSAS DE CLIENTES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65"/>
        <v>3</v>
      </c>
    </row>
    <row r="104" spans="1:79" ht="15" x14ac:dyDescent="0.2">
      <c r="A104" s="2" t="s">
        <v>105</v>
      </c>
      <c r="B104" s="2">
        <v>10</v>
      </c>
      <c r="C104" t="s">
        <v>213</v>
      </c>
      <c r="D104" s="99" t="s">
        <v>191</v>
      </c>
      <c r="E104" s="99" t="s">
        <v>31</v>
      </c>
      <c r="H104" s="20" t="str">
        <f t="shared" si="63"/>
        <v>3 - GAAPROCESSOS TRABALHISTAS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-14250.79</v>
      </c>
      <c r="AS104">
        <v>0</v>
      </c>
      <c r="AT104">
        <v>0</v>
      </c>
      <c r="CA104">
        <f t="shared" si="65"/>
        <v>3</v>
      </c>
    </row>
    <row r="105" spans="1:79" ht="15" x14ac:dyDescent="0.2">
      <c r="A105" s="2" t="s">
        <v>105</v>
      </c>
      <c r="B105" s="2">
        <v>11</v>
      </c>
      <c r="C105" t="s">
        <v>213</v>
      </c>
      <c r="D105" s="99" t="s">
        <v>192</v>
      </c>
      <c r="E105" s="99" t="s">
        <v>172</v>
      </c>
      <c r="H105" s="20" t="str">
        <f t="shared" si="63"/>
        <v>3 - GAADESCONTO PAGAMENTOS EM DUPLICIDADE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CA105">
        <f t="shared" si="65"/>
        <v>3</v>
      </c>
    </row>
    <row r="106" spans="1:79" ht="15" x14ac:dyDescent="0.2">
      <c r="A106" s="2" t="s">
        <v>105</v>
      </c>
      <c r="B106" s="2">
        <v>12</v>
      </c>
      <c r="C106" s="2"/>
      <c r="D106" s="98" t="s">
        <v>63</v>
      </c>
      <c r="E106" s="98"/>
      <c r="F106" s="90"/>
      <c r="G106" s="90"/>
      <c r="H106" s="20" t="str">
        <f t="shared" si="63"/>
        <v>3 - GAA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135712.01999999999</v>
      </c>
      <c r="AJ106">
        <v>2300.1999999999825</v>
      </c>
      <c r="AK106">
        <v>72763.459999999934</v>
      </c>
      <c r="AL106">
        <v>70967.98000000001</v>
      </c>
      <c r="AM106">
        <v>201295.08</v>
      </c>
      <c r="AN106">
        <v>201018.44</v>
      </c>
      <c r="AO106">
        <v>133567.65999999997</v>
      </c>
      <c r="AP106">
        <v>147461.39000000001</v>
      </c>
      <c r="AQ106">
        <v>182128.18</v>
      </c>
      <c r="AR106">
        <v>273896.29000000004</v>
      </c>
      <c r="AS106">
        <v>26538.063999999984</v>
      </c>
      <c r="AT106">
        <v>9920.6599999999744</v>
      </c>
      <c r="CA106">
        <f t="shared" si="65"/>
        <v>3</v>
      </c>
    </row>
    <row r="107" spans="1:79" ht="15" x14ac:dyDescent="0.2">
      <c r="A107" s="2" t="s">
        <v>105</v>
      </c>
      <c r="B107" s="2">
        <v>13</v>
      </c>
      <c r="C107" s="2"/>
      <c r="D107" s="101" t="s">
        <v>62</v>
      </c>
      <c r="E107" s="101"/>
      <c r="F107" s="111"/>
      <c r="G107" s="111"/>
      <c r="H107" s="20" t="str">
        <f t="shared" si="63"/>
        <v>3 - GAA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87">
        <f t="shared" ref="AI107:AT107" si="70">AI108+AI109+AI110+AI111+AI112+AI113+AI114+AI115</f>
        <v>-67132.899999999994</v>
      </c>
      <c r="AJ107" s="87">
        <f t="shared" si="70"/>
        <v>-65846.8</v>
      </c>
      <c r="AK107" s="87">
        <f t="shared" si="70"/>
        <v>-81101.87999999999</v>
      </c>
      <c r="AL107" s="87">
        <f t="shared" si="70"/>
        <v>-79421.100000000006</v>
      </c>
      <c r="AM107" s="87">
        <f t="shared" si="70"/>
        <v>-75088.549999999988</v>
      </c>
      <c r="AN107" s="87">
        <f t="shared" si="70"/>
        <v>-76521.610000000015</v>
      </c>
      <c r="AO107" s="87">
        <f t="shared" si="70"/>
        <v>-69046.460000000006</v>
      </c>
      <c r="AP107" s="87">
        <f t="shared" si="70"/>
        <v>-79206.319999999992</v>
      </c>
      <c r="AQ107" s="87">
        <f t="shared" si="70"/>
        <v>-75428.479999999981</v>
      </c>
      <c r="AR107" s="87">
        <f t="shared" si="70"/>
        <v>-78498.780000000013</v>
      </c>
      <c r="AS107" s="87">
        <f t="shared" si="70"/>
        <v>-90212.45</v>
      </c>
      <c r="AT107" s="87">
        <f t="shared" si="70"/>
        <v>-104169.61</v>
      </c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67"/>
      <c r="BP107" s="67"/>
      <c r="BQ107" s="67"/>
      <c r="BR107" s="67"/>
      <c r="CA107">
        <f t="shared" si="65"/>
        <v>3</v>
      </c>
    </row>
    <row r="108" spans="1:79" ht="15" x14ac:dyDescent="0.2">
      <c r="A108" s="2" t="s">
        <v>105</v>
      </c>
      <c r="B108" s="2">
        <v>14</v>
      </c>
      <c r="C108" s="2" t="s">
        <v>214</v>
      </c>
      <c r="D108" s="99" t="s">
        <v>193</v>
      </c>
      <c r="E108" s="99" t="s">
        <v>102</v>
      </c>
      <c r="G108">
        <v>1</v>
      </c>
      <c r="H108" s="20" t="str">
        <f t="shared" si="63"/>
        <v>3 - GAAPESSOAL CLT ADM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-65475.9</v>
      </c>
      <c r="AJ108">
        <v>-64060</v>
      </c>
      <c r="AK108">
        <v>-79215.179999999993</v>
      </c>
      <c r="AL108">
        <v>-79421.100000000006</v>
      </c>
      <c r="AM108">
        <v>-74296.51999999999</v>
      </c>
      <c r="AN108">
        <v>-76521.610000000015</v>
      </c>
      <c r="AO108">
        <v>-69031.86</v>
      </c>
      <c r="AP108">
        <v>-79031.42</v>
      </c>
      <c r="AQ108">
        <v>-75428.479999999981</v>
      </c>
      <c r="AR108">
        <v>-78498.780000000013</v>
      </c>
      <c r="AS108">
        <v>-88654.92</v>
      </c>
      <c r="AT108">
        <v>-103994.71</v>
      </c>
      <c r="CA108">
        <f t="shared" si="65"/>
        <v>3</v>
      </c>
    </row>
    <row r="109" spans="1:79" ht="15" x14ac:dyDescent="0.2">
      <c r="A109" s="2" t="s">
        <v>105</v>
      </c>
      <c r="B109" s="2">
        <v>15</v>
      </c>
      <c r="C109" s="2" t="s">
        <v>214</v>
      </c>
      <c r="D109" s="99" t="s">
        <v>194</v>
      </c>
      <c r="E109" s="99" t="s">
        <v>0</v>
      </c>
      <c r="H109" s="20" t="str">
        <f t="shared" si="63"/>
        <v>3 - GAALOCALIZAÇÃO (ALUGUEL, COND, LUZ, IPTU)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65"/>
        <v>3</v>
      </c>
    </row>
    <row r="110" spans="1:79" ht="15" x14ac:dyDescent="0.2">
      <c r="A110" s="2" t="s">
        <v>105</v>
      </c>
      <c r="B110" s="2">
        <v>16</v>
      </c>
      <c r="C110" s="2" t="s">
        <v>214</v>
      </c>
      <c r="D110" s="99" t="s">
        <v>195</v>
      </c>
      <c r="E110" s="99" t="s">
        <v>1</v>
      </c>
      <c r="H110" s="20" t="str">
        <f t="shared" si="63"/>
        <v>3 - GAAMARKETING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-1657</v>
      </c>
      <c r="AJ110">
        <v>-1786.8</v>
      </c>
      <c r="AK110">
        <v>-1886.7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-1507.53</v>
      </c>
      <c r="AT110">
        <v>0</v>
      </c>
      <c r="CA110">
        <f t="shared" si="65"/>
        <v>3</v>
      </c>
    </row>
    <row r="111" spans="1:79" ht="15" x14ac:dyDescent="0.2">
      <c r="A111" s="2" t="s">
        <v>105</v>
      </c>
      <c r="B111" s="2">
        <v>17</v>
      </c>
      <c r="C111" s="2" t="s">
        <v>214</v>
      </c>
      <c r="D111" s="99" t="s">
        <v>196</v>
      </c>
      <c r="E111" s="99" t="s">
        <v>2</v>
      </c>
      <c r="H111" s="20" t="str">
        <f t="shared" si="63"/>
        <v>3 - GAACOMUNICAÇÃO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-453.03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CA111">
        <f t="shared" si="65"/>
        <v>3</v>
      </c>
    </row>
    <row r="112" spans="1:79" ht="15" x14ac:dyDescent="0.2">
      <c r="A112" s="2" t="s">
        <v>105</v>
      </c>
      <c r="B112" s="2">
        <v>18</v>
      </c>
      <c r="C112" s="2" t="s">
        <v>214</v>
      </c>
      <c r="D112" s="99" t="s">
        <v>197</v>
      </c>
      <c r="E112" s="99" t="s">
        <v>3</v>
      </c>
      <c r="H112" s="20" t="str">
        <f t="shared" si="63"/>
        <v>3 - GAAPRESTADOR DE SERVIÇOS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65"/>
        <v>3</v>
      </c>
    </row>
    <row r="113" spans="1:79" ht="15" x14ac:dyDescent="0.2">
      <c r="A113" s="2" t="s">
        <v>105</v>
      </c>
      <c r="B113" s="2">
        <v>19</v>
      </c>
      <c r="C113" s="2" t="s">
        <v>214</v>
      </c>
      <c r="D113" s="99" t="s">
        <v>198</v>
      </c>
      <c r="E113" s="99" t="s">
        <v>220</v>
      </c>
      <c r="H113" s="20" t="str">
        <f t="shared" si="63"/>
        <v>3 - GAAALUGUEL DE EQUIPAM / MANUT MÁQ EQUIPAM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-174.9</v>
      </c>
      <c r="AQ113">
        <v>0</v>
      </c>
      <c r="AR113">
        <v>0</v>
      </c>
      <c r="AS113">
        <v>0</v>
      </c>
      <c r="AT113">
        <v>-174.9</v>
      </c>
      <c r="CA113">
        <f t="shared" si="65"/>
        <v>3</v>
      </c>
    </row>
    <row r="114" spans="1:79" ht="15" x14ac:dyDescent="0.2">
      <c r="A114" s="2" t="s">
        <v>105</v>
      </c>
      <c r="B114" s="2">
        <v>20</v>
      </c>
      <c r="C114" s="2" t="s">
        <v>214</v>
      </c>
      <c r="D114" s="99" t="s">
        <v>199</v>
      </c>
      <c r="E114" s="99" t="s">
        <v>5</v>
      </c>
      <c r="H114" s="20" t="str">
        <f t="shared" si="63"/>
        <v>3 - GAACONSUMO DE MATERIAL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CA114">
        <f t="shared" si="65"/>
        <v>3</v>
      </c>
    </row>
    <row r="115" spans="1:79" ht="15" x14ac:dyDescent="0.2">
      <c r="A115" s="2" t="s">
        <v>105</v>
      </c>
      <c r="B115" s="2">
        <v>21</v>
      </c>
      <c r="C115" s="2" t="s">
        <v>214</v>
      </c>
      <c r="D115" s="99" t="s">
        <v>231</v>
      </c>
      <c r="E115" s="99" t="s">
        <v>230</v>
      </c>
      <c r="H115" s="20" t="str">
        <f t="shared" si="63"/>
        <v>3 - GAADESPESAS GERAIS / INVESTIMENTOS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>
        <v>0</v>
      </c>
      <c r="AJ115">
        <v>0</v>
      </c>
      <c r="AK115">
        <v>0</v>
      </c>
      <c r="AL115">
        <v>0</v>
      </c>
      <c r="AM115">
        <v>-339</v>
      </c>
      <c r="AN115">
        <v>0</v>
      </c>
      <c r="AO115">
        <v>-14.6</v>
      </c>
      <c r="AP115">
        <v>0</v>
      </c>
      <c r="AQ115">
        <v>0</v>
      </c>
      <c r="AR115">
        <v>0</v>
      </c>
      <c r="AS115">
        <v>-50</v>
      </c>
      <c r="AT115">
        <v>0</v>
      </c>
      <c r="CA115">
        <f t="shared" si="65"/>
        <v>3</v>
      </c>
    </row>
    <row r="116" spans="1:79" ht="15" x14ac:dyDescent="0.2">
      <c r="A116" s="2" t="s">
        <v>105</v>
      </c>
      <c r="B116" s="2">
        <v>22</v>
      </c>
      <c r="C116" s="2" t="s">
        <v>214</v>
      </c>
      <c r="D116" s="99" t="s">
        <v>228</v>
      </c>
      <c r="E116" s="99" t="s">
        <v>229</v>
      </c>
      <c r="H116" s="20" t="str">
        <f t="shared" si="63"/>
        <v>3 - GAADESPESAS INTERCOMPANY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CA116">
        <f t="shared" si="65"/>
        <v>3</v>
      </c>
    </row>
    <row r="117" spans="1:79" ht="15" x14ac:dyDescent="0.2">
      <c r="A117" s="2" t="s">
        <v>105</v>
      </c>
      <c r="B117" s="2">
        <v>23</v>
      </c>
      <c r="C117" s="2"/>
      <c r="D117" s="98" t="s">
        <v>178</v>
      </c>
      <c r="E117" s="98"/>
      <c r="F117" s="90"/>
      <c r="G117" s="90"/>
      <c r="H117" s="20" t="str">
        <f t="shared" si="63"/>
        <v>3 - GAA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87">
        <f t="shared" ref="AI117:AT117" si="71">AI106+AI107</f>
        <v>68579.12</v>
      </c>
      <c r="AJ117" s="87">
        <f t="shared" si="71"/>
        <v>-63546.60000000002</v>
      </c>
      <c r="AK117" s="87">
        <f t="shared" si="71"/>
        <v>-8338.4200000000565</v>
      </c>
      <c r="AL117" s="87">
        <f t="shared" si="71"/>
        <v>-8453.1199999999953</v>
      </c>
      <c r="AM117" s="87">
        <f t="shared" si="71"/>
        <v>126206.53</v>
      </c>
      <c r="AN117" s="87">
        <f t="shared" si="71"/>
        <v>124496.82999999999</v>
      </c>
      <c r="AO117" s="87">
        <f t="shared" si="71"/>
        <v>64521.199999999968</v>
      </c>
      <c r="AP117" s="87">
        <f t="shared" si="71"/>
        <v>68255.070000000022</v>
      </c>
      <c r="AQ117" s="87">
        <f t="shared" si="71"/>
        <v>106699.70000000001</v>
      </c>
      <c r="AR117" s="87">
        <f t="shared" si="71"/>
        <v>195397.51</v>
      </c>
      <c r="AS117" s="87">
        <f t="shared" si="71"/>
        <v>-63674.386000000013</v>
      </c>
      <c r="AT117" s="87">
        <f t="shared" si="71"/>
        <v>-94248.950000000026</v>
      </c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CA117">
        <f t="shared" si="65"/>
        <v>3</v>
      </c>
    </row>
    <row r="118" spans="1:79" ht="15" x14ac:dyDescent="0.2">
      <c r="A118" s="2" t="s">
        <v>105</v>
      </c>
      <c r="B118" s="2">
        <v>24</v>
      </c>
      <c r="C118" s="2" t="s">
        <v>215</v>
      </c>
      <c r="D118" s="99" t="s">
        <v>200</v>
      </c>
      <c r="E118" s="99" t="s">
        <v>221</v>
      </c>
      <c r="H118" s="20" t="str">
        <f t="shared" si="63"/>
        <v>3 - GAADEPRECIAÇÃO / AMORTIZAÇÃO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CA118">
        <f t="shared" si="65"/>
        <v>3</v>
      </c>
    </row>
    <row r="119" spans="1:79" ht="15" x14ac:dyDescent="0.2">
      <c r="A119" s="2" t="s">
        <v>105</v>
      </c>
      <c r="B119" s="2">
        <v>25</v>
      </c>
      <c r="C119" s="2" t="s">
        <v>216</v>
      </c>
      <c r="D119" s="99" t="s">
        <v>77</v>
      </c>
      <c r="E119" s="99" t="s">
        <v>89</v>
      </c>
      <c r="H119" s="20" t="str">
        <f t="shared" si="63"/>
        <v>3 - GAARESULTADO FINANCEIRO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>
        <v>-164.41</v>
      </c>
      <c r="AJ119">
        <v>-167.41</v>
      </c>
      <c r="AK119">
        <v>-268.03999999999996</v>
      </c>
      <c r="AL119">
        <v>-349.54999999999995</v>
      </c>
      <c r="AM119">
        <v>-353.24</v>
      </c>
      <c r="AN119">
        <v>-416.54999999999995</v>
      </c>
      <c r="AO119">
        <v>-355.51</v>
      </c>
      <c r="AP119">
        <v>-250</v>
      </c>
      <c r="AQ119">
        <v>-411.41999999999996</v>
      </c>
      <c r="AR119">
        <v>-360.28</v>
      </c>
      <c r="AS119">
        <v>-350.4</v>
      </c>
      <c r="AT119">
        <v>-358.03999999999996</v>
      </c>
      <c r="CA119">
        <f t="shared" si="65"/>
        <v>3</v>
      </c>
    </row>
    <row r="120" spans="1:79" ht="15" x14ac:dyDescent="0.2">
      <c r="A120" s="2" t="s">
        <v>105</v>
      </c>
      <c r="B120" s="2">
        <v>26</v>
      </c>
      <c r="C120" s="2" t="s">
        <v>217</v>
      </c>
      <c r="D120" s="99" t="s">
        <v>201</v>
      </c>
      <c r="E120" s="99" t="s">
        <v>222</v>
      </c>
      <c r="H120" s="20" t="str">
        <f t="shared" si="63"/>
        <v>3 - GAAIMPOSTOS (IRPJ+CSLL+PIS+COFINS+ISS)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-46679.24</v>
      </c>
      <c r="AJ120">
        <v>-46712.89</v>
      </c>
      <c r="AK120">
        <v>-44798.78</v>
      </c>
      <c r="AL120">
        <v>-40851.589999999997</v>
      </c>
      <c r="AM120">
        <v>-57005.2</v>
      </c>
      <c r="AN120">
        <v>-49446.5</v>
      </c>
      <c r="AO120">
        <v>-51917.71</v>
      </c>
      <c r="AP120">
        <v>-51550.7</v>
      </c>
      <c r="AQ120">
        <v>-51820.28</v>
      </c>
      <c r="AR120">
        <v>-51534.15</v>
      </c>
      <c r="AS120">
        <v>-50401.85</v>
      </c>
      <c r="AT120">
        <v>-58051.88</v>
      </c>
      <c r="CA120">
        <f t="shared" si="65"/>
        <v>3</v>
      </c>
    </row>
    <row r="121" spans="1:79" ht="15" x14ac:dyDescent="0.2">
      <c r="A121" s="2" t="s">
        <v>105</v>
      </c>
      <c r="B121" s="2">
        <v>27</v>
      </c>
      <c r="C121" s="2"/>
      <c r="D121" s="104" t="s">
        <v>202</v>
      </c>
      <c r="E121" s="104"/>
      <c r="F121" s="112"/>
      <c r="G121" s="112"/>
      <c r="H121" s="20" t="str">
        <f t="shared" si="63"/>
        <v>3 - GAA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87">
        <f t="shared" ref="AI121:AT121" si="72">AI106+AI107+AI118+AI119+AI120</f>
        <v>21735.469999999994</v>
      </c>
      <c r="AJ121" s="87">
        <f t="shared" si="72"/>
        <v>-110426.90000000002</v>
      </c>
      <c r="AK121" s="87">
        <f t="shared" si="72"/>
        <v>-53405.240000000056</v>
      </c>
      <c r="AL121" s="87">
        <f t="shared" si="72"/>
        <v>-49654.259999999995</v>
      </c>
      <c r="AM121" s="87">
        <f t="shared" si="72"/>
        <v>68848.09</v>
      </c>
      <c r="AN121" s="87">
        <f t="shared" si="72"/>
        <v>74633.779999999984</v>
      </c>
      <c r="AO121" s="87">
        <f t="shared" si="72"/>
        <v>12247.979999999967</v>
      </c>
      <c r="AP121" s="87">
        <f t="shared" si="72"/>
        <v>16454.370000000024</v>
      </c>
      <c r="AQ121" s="87">
        <f t="shared" si="72"/>
        <v>54468.000000000015</v>
      </c>
      <c r="AR121" s="87">
        <f t="shared" si="72"/>
        <v>143503.08000000002</v>
      </c>
      <c r="AS121" s="87">
        <f t="shared" si="72"/>
        <v>-114426.63600000001</v>
      </c>
      <c r="AT121" s="87">
        <f t="shared" si="72"/>
        <v>-152658.87000000002</v>
      </c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CA121">
        <f t="shared" si="65"/>
        <v>3</v>
      </c>
    </row>
    <row r="122" spans="1:79" ht="15" x14ac:dyDescent="0.2">
      <c r="A122" s="2" t="s">
        <v>105</v>
      </c>
      <c r="B122" s="2">
        <v>28</v>
      </c>
      <c r="C122" s="2" t="s">
        <v>218</v>
      </c>
      <c r="D122" s="99" t="s">
        <v>203</v>
      </c>
      <c r="E122" s="99" t="s">
        <v>98</v>
      </c>
      <c r="G122">
        <v>1</v>
      </c>
      <c r="H122" s="20" t="str">
        <f t="shared" si="63"/>
        <v>3 - GAADISTR LUCROS E DESPESAS SS (JURÍDICO)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CA122">
        <f t="shared" si="65"/>
        <v>3</v>
      </c>
    </row>
    <row r="123" spans="1:79" ht="15" x14ac:dyDescent="0.2">
      <c r="A123" s="2" t="s">
        <v>105</v>
      </c>
      <c r="B123" s="2">
        <v>29</v>
      </c>
      <c r="C123" s="2" t="s">
        <v>218</v>
      </c>
      <c r="D123" s="99" t="s">
        <v>204</v>
      </c>
      <c r="E123" s="99" t="s">
        <v>223</v>
      </c>
      <c r="G123">
        <v>1</v>
      </c>
      <c r="H123" s="20" t="str">
        <f t="shared" si="63"/>
        <v>3 - GAADISTR LUCROS E DESPESAS SC (3)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>
        <v>-18178.620000000003</v>
      </c>
      <c r="AJ123">
        <v>-16613.79</v>
      </c>
      <c r="AK123">
        <v>-16374.63</v>
      </c>
      <c r="AL123">
        <v>-16374.63</v>
      </c>
      <c r="AM123">
        <v>-16796.23</v>
      </c>
      <c r="AN123">
        <v>-16374.63</v>
      </c>
      <c r="AO123">
        <v>-16857.25</v>
      </c>
      <c r="AP123">
        <v>-17152.04</v>
      </c>
      <c r="AQ123">
        <v>-16603.489999999998</v>
      </c>
      <c r="AR123">
        <v>-16876.16</v>
      </c>
      <c r="AS123">
        <v>-16847.78</v>
      </c>
      <c r="AT123">
        <v>-16847.149999999998</v>
      </c>
      <c r="CA123">
        <f t="shared" si="65"/>
        <v>3</v>
      </c>
    </row>
    <row r="124" spans="1:79" ht="15" x14ac:dyDescent="0.2">
      <c r="A124" s="2" t="s">
        <v>105</v>
      </c>
      <c r="B124" s="2">
        <v>30</v>
      </c>
      <c r="C124" s="2" t="s">
        <v>218</v>
      </c>
      <c r="D124" s="99" t="s">
        <v>205</v>
      </c>
      <c r="E124" s="99" t="s">
        <v>224</v>
      </c>
      <c r="G124">
        <v>1</v>
      </c>
      <c r="H124" s="20" t="str">
        <f t="shared" si="63"/>
        <v>3 - GAADISTR LUCROS E DESPESAS SS GESTÃO ADM (11)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>
        <v>0</v>
      </c>
      <c r="AJ124">
        <v>-26124.86</v>
      </c>
      <c r="AK124">
        <v>-27093.530699999996</v>
      </c>
      <c r="AL124">
        <v>-25762.009999999995</v>
      </c>
      <c r="AM124">
        <v>-28380.919999999995</v>
      </c>
      <c r="AN124">
        <v>-26029.38</v>
      </c>
      <c r="AO124">
        <v>-26879.778299999998</v>
      </c>
      <c r="AP124">
        <v>-28953.275600000001</v>
      </c>
      <c r="AQ124">
        <v>-29673.309999999998</v>
      </c>
      <c r="AR124">
        <v>-29557.47</v>
      </c>
      <c r="AS124">
        <v>-30589.7</v>
      </c>
      <c r="AT124">
        <v>-29275.990000000005</v>
      </c>
      <c r="CA124">
        <f t="shared" si="65"/>
        <v>3</v>
      </c>
    </row>
    <row r="125" spans="1:79" ht="15" x14ac:dyDescent="0.2">
      <c r="A125" s="2" t="s">
        <v>105</v>
      </c>
      <c r="B125" s="2">
        <v>31</v>
      </c>
      <c r="C125" s="2"/>
      <c r="D125" s="99" t="s">
        <v>206</v>
      </c>
      <c r="E125" s="20"/>
      <c r="F125" s="20"/>
      <c r="G125" s="20"/>
      <c r="H125" s="20" t="str">
        <f t="shared" si="63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 t="shared" ref="AI125:AT125" si="73">AI122+AI123+AI124</f>
        <v>-18178.620000000003</v>
      </c>
      <c r="AJ125" s="87">
        <f t="shared" si="73"/>
        <v>-42738.65</v>
      </c>
      <c r="AK125" s="87">
        <f t="shared" si="73"/>
        <v>-43468.160699999993</v>
      </c>
      <c r="AL125" s="87">
        <f t="shared" si="73"/>
        <v>-42136.639999999992</v>
      </c>
      <c r="AM125" s="87">
        <f t="shared" si="73"/>
        <v>-45177.149999999994</v>
      </c>
      <c r="AN125" s="87">
        <f t="shared" si="73"/>
        <v>-42404.01</v>
      </c>
      <c r="AO125" s="87">
        <f t="shared" si="73"/>
        <v>-43737.028299999998</v>
      </c>
      <c r="AP125" s="87">
        <f t="shared" si="73"/>
        <v>-46105.315600000002</v>
      </c>
      <c r="AQ125" s="87">
        <f t="shared" si="73"/>
        <v>-46276.799999999996</v>
      </c>
      <c r="AR125" s="87">
        <f t="shared" si="73"/>
        <v>-46433.630000000005</v>
      </c>
      <c r="AS125" s="87">
        <f t="shared" si="73"/>
        <v>-47437.479999999996</v>
      </c>
      <c r="AT125" s="87">
        <f t="shared" si="73"/>
        <v>-46123.14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65"/>
        <v>3</v>
      </c>
    </row>
    <row r="126" spans="1:79" ht="15" x14ac:dyDescent="0.2">
      <c r="A126" s="2" t="s">
        <v>105</v>
      </c>
      <c r="B126" s="2">
        <v>32</v>
      </c>
      <c r="C126" s="2"/>
      <c r="D126" s="99" t="s">
        <v>207</v>
      </c>
      <c r="E126" s="20"/>
      <c r="F126" s="20"/>
      <c r="G126" s="20"/>
      <c r="H126" s="20" t="str">
        <f t="shared" si="63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87">
        <f t="shared" ref="AI126:AT126" si="74">AI99+AI107+AI118+AI119+AI120+AI125</f>
        <v>-271337.45</v>
      </c>
      <c r="AJ126" s="87">
        <f t="shared" si="74"/>
        <v>-290597.82</v>
      </c>
      <c r="AK126" s="87">
        <f t="shared" si="74"/>
        <v>-342873.49070000002</v>
      </c>
      <c r="AL126" s="87">
        <f t="shared" si="74"/>
        <v>-292441.77</v>
      </c>
      <c r="AM126" s="87">
        <f t="shared" si="74"/>
        <v>-283015.64</v>
      </c>
      <c r="AN126" s="87">
        <f t="shared" si="74"/>
        <v>-258813.29</v>
      </c>
      <c r="AO126" s="87">
        <f t="shared" si="74"/>
        <v>-261824.41830000002</v>
      </c>
      <c r="AP126" s="87">
        <f t="shared" si="74"/>
        <v>-279601.53559999994</v>
      </c>
      <c r="AQ126" s="87">
        <f t="shared" si="74"/>
        <v>-282198.98</v>
      </c>
      <c r="AR126" s="87">
        <f t="shared" si="74"/>
        <v>-303951.23</v>
      </c>
      <c r="AS126" s="87">
        <f t="shared" si="74"/>
        <v>-329465.21600000001</v>
      </c>
      <c r="AT126" s="87">
        <f t="shared" si="74"/>
        <v>-376776.34</v>
      </c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CA126">
        <f t="shared" si="65"/>
        <v>3</v>
      </c>
    </row>
    <row r="127" spans="1:79" ht="15" x14ac:dyDescent="0.2">
      <c r="A127" s="2" t="s">
        <v>105</v>
      </c>
      <c r="B127" s="2">
        <v>33</v>
      </c>
      <c r="C127" s="2"/>
      <c r="D127" s="104" t="s">
        <v>212</v>
      </c>
      <c r="E127" s="87"/>
      <c r="F127" s="87"/>
      <c r="G127" s="87"/>
      <c r="H127" s="20" t="str">
        <f t="shared" si="63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87">
        <f>AI95+AI126</f>
        <v>21735.469999999972</v>
      </c>
      <c r="AJ127" s="87">
        <f t="shared" ref="AJ127:AT127" si="75">AJ95+AJ126</f>
        <v>-136551.76</v>
      </c>
      <c r="AK127" s="87">
        <f t="shared" si="75"/>
        <v>-80498.770700000052</v>
      </c>
      <c r="AL127" s="87">
        <f t="shared" si="75"/>
        <v>-75416.270000000019</v>
      </c>
      <c r="AM127" s="87">
        <f t="shared" si="75"/>
        <v>40467.169999999984</v>
      </c>
      <c r="AN127" s="87">
        <f t="shared" si="75"/>
        <v>48604.399999999994</v>
      </c>
      <c r="AO127" s="87">
        <f t="shared" si="75"/>
        <v>-14631.798300000024</v>
      </c>
      <c r="AP127" s="87">
        <f t="shared" si="75"/>
        <v>-12498.90559999994</v>
      </c>
      <c r="AQ127" s="87">
        <f t="shared" si="75"/>
        <v>24794.690000000002</v>
      </c>
      <c r="AR127" s="87">
        <f t="shared" si="75"/>
        <v>113945.61000000004</v>
      </c>
      <c r="AS127" s="87">
        <f t="shared" si="75"/>
        <v>-145016.33600000001</v>
      </c>
      <c r="AT127" s="87">
        <f t="shared" si="75"/>
        <v>-181934.86000000002</v>
      </c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CA127">
        <f t="shared" si="65"/>
        <v>3</v>
      </c>
    </row>
    <row r="128" spans="1:79" ht="15" x14ac:dyDescent="0.2">
      <c r="A128" s="2" t="s">
        <v>105</v>
      </c>
      <c r="B128" s="2">
        <v>34</v>
      </c>
      <c r="C128" s="2"/>
      <c r="D128" s="99" t="s">
        <v>208</v>
      </c>
      <c r="E128" s="80"/>
      <c r="F128" s="80"/>
      <c r="G128" s="80"/>
      <c r="H128" s="20" t="str">
        <f t="shared" si="63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65"/>
        <v>3</v>
      </c>
    </row>
    <row r="129" spans="1:79" ht="15" x14ac:dyDescent="0.2">
      <c r="A129" s="2" t="s">
        <v>105</v>
      </c>
      <c r="B129" s="2">
        <v>35</v>
      </c>
      <c r="C129" s="2"/>
      <c r="D129" s="99" t="s">
        <v>209</v>
      </c>
      <c r="E129" s="20"/>
      <c r="F129" s="20"/>
      <c r="G129" s="20"/>
      <c r="H129" s="20" t="str">
        <f t="shared" si="63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65"/>
        <v>3</v>
      </c>
    </row>
    <row r="130" spans="1:79" ht="15" x14ac:dyDescent="0.2">
      <c r="A130" s="2" t="s">
        <v>105</v>
      </c>
      <c r="B130" s="2">
        <v>36</v>
      </c>
      <c r="C130" s="2"/>
      <c r="D130" s="99" t="s">
        <v>210</v>
      </c>
      <c r="E130" s="20"/>
      <c r="F130" s="20"/>
      <c r="G130" s="20"/>
      <c r="H130" s="20" t="str">
        <f t="shared" si="63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CA130">
        <f t="shared" si="65"/>
        <v>3</v>
      </c>
    </row>
    <row r="131" spans="1:79" ht="15" x14ac:dyDescent="0.2">
      <c r="A131" s="2" t="s">
        <v>105</v>
      </c>
      <c r="B131" s="2">
        <v>37</v>
      </c>
      <c r="C131" s="2"/>
      <c r="D131" s="99" t="s">
        <v>233</v>
      </c>
      <c r="E131" s="20"/>
      <c r="F131" s="20"/>
      <c r="G131" s="20"/>
      <c r="H131" s="20" t="str">
        <f t="shared" si="63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CA131">
        <f t="shared" si="65"/>
        <v>3</v>
      </c>
    </row>
    <row r="132" spans="1:79" ht="15" x14ac:dyDescent="0.2">
      <c r="A132" s="2" t="s">
        <v>105</v>
      </c>
      <c r="B132" s="2">
        <v>38</v>
      </c>
      <c r="C132" s="2"/>
      <c r="D132" s="99" t="s">
        <v>232</v>
      </c>
      <c r="E132" s="20"/>
      <c r="F132" s="20"/>
      <c r="G132" s="20"/>
      <c r="H132" s="20" t="str">
        <f t="shared" si="63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</row>
    <row r="133" spans="1:79" ht="15" x14ac:dyDescent="0.2">
      <c r="A133" s="2" t="s">
        <v>105</v>
      </c>
      <c r="B133" s="2">
        <v>39</v>
      </c>
      <c r="C133" s="2"/>
      <c r="D133" s="99" t="s">
        <v>234</v>
      </c>
      <c r="E133" s="20"/>
      <c r="F133" s="20"/>
      <c r="G133" s="20"/>
      <c r="H133" s="20" t="str">
        <f t="shared" si="63"/>
        <v>3 - GAA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</row>
    <row r="134" spans="1:79" ht="15.75" thickBot="1" x14ac:dyDescent="0.25">
      <c r="A134" s="2" t="s">
        <v>105</v>
      </c>
      <c r="B134" s="2">
        <v>40</v>
      </c>
      <c r="C134" s="2"/>
      <c r="D134" s="100" t="s">
        <v>211</v>
      </c>
      <c r="E134" s="20"/>
      <c r="F134" s="20"/>
      <c r="G134" s="20"/>
      <c r="H134" s="20" t="str">
        <f t="shared" si="63"/>
        <v>3 - GAA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CA134">
        <f t="shared" si="65"/>
        <v>3</v>
      </c>
    </row>
    <row r="135" spans="1:79" ht="15" x14ac:dyDescent="0.2">
      <c r="A135" s="2" t="s">
        <v>106</v>
      </c>
      <c r="B135" s="2">
        <v>1</v>
      </c>
      <c r="C135" s="2"/>
      <c r="D135" s="108" t="s">
        <v>183</v>
      </c>
      <c r="E135" s="20"/>
      <c r="F135" s="20"/>
      <c r="G135" s="20"/>
      <c r="H135" s="20" t="str">
        <f t="shared" si="63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80658</v>
      </c>
      <c r="AO135">
        <v>85325</v>
      </c>
      <c r="AP135">
        <v>59017</v>
      </c>
      <c r="AQ135">
        <v>89792.5</v>
      </c>
      <c r="AR135">
        <v>60207.5</v>
      </c>
      <c r="AS135">
        <v>75000</v>
      </c>
      <c r="AT135">
        <v>149595.5</v>
      </c>
      <c r="CA135">
        <f t="shared" si="65"/>
        <v>3</v>
      </c>
    </row>
    <row r="136" spans="1:79" ht="15" x14ac:dyDescent="0.2">
      <c r="A136" s="2" t="s">
        <v>106</v>
      </c>
      <c r="B136" s="2">
        <v>2</v>
      </c>
      <c r="C136" s="2"/>
      <c r="D136" s="99" t="s">
        <v>184</v>
      </c>
      <c r="E136" s="20"/>
      <c r="F136" s="20"/>
      <c r="G136" s="20"/>
      <c r="H136" s="20" t="str">
        <f t="shared" si="63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65"/>
        <v>3</v>
      </c>
    </row>
    <row r="137" spans="1:79" ht="15" x14ac:dyDescent="0.2">
      <c r="A137" s="2" t="s">
        <v>106</v>
      </c>
      <c r="B137" s="2">
        <v>3</v>
      </c>
      <c r="C137" s="2"/>
      <c r="D137" s="99" t="s">
        <v>185</v>
      </c>
      <c r="E137" s="20"/>
      <c r="F137" s="20"/>
      <c r="G137" s="20"/>
      <c r="H137" s="20" t="str">
        <f t="shared" si="63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CA137">
        <f t="shared" si="65"/>
        <v>3</v>
      </c>
    </row>
    <row r="138" spans="1:79" ht="15" x14ac:dyDescent="0.2">
      <c r="A138" s="2" t="s">
        <v>106</v>
      </c>
      <c r="B138" s="2">
        <v>4</v>
      </c>
      <c r="C138" s="2"/>
      <c r="D138" s="99" t="s">
        <v>186</v>
      </c>
      <c r="E138" s="20"/>
      <c r="F138" s="20"/>
      <c r="G138" s="20"/>
      <c r="H138" s="20" t="str">
        <f t="shared" si="63"/>
        <v>4 - GAT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0</v>
      </c>
      <c r="AL138">
        <v>0</v>
      </c>
      <c r="AM138">
        <v>0</v>
      </c>
      <c r="AN138">
        <v>80658</v>
      </c>
      <c r="AO138">
        <v>85325</v>
      </c>
      <c r="AP138">
        <v>59017</v>
      </c>
      <c r="AQ138">
        <v>89792.5</v>
      </c>
      <c r="AR138">
        <v>60207.5</v>
      </c>
      <c r="AS138">
        <v>75000</v>
      </c>
      <c r="AT138">
        <v>149595.5</v>
      </c>
      <c r="CA138">
        <f t="shared" si="65"/>
        <v>3</v>
      </c>
    </row>
    <row r="139" spans="1:79" ht="15" x14ac:dyDescent="0.2">
      <c r="A139" s="2" t="s">
        <v>106</v>
      </c>
      <c r="B139" s="2">
        <v>5</v>
      </c>
      <c r="C139" s="2"/>
      <c r="D139" s="101" t="s">
        <v>32</v>
      </c>
      <c r="E139" s="20"/>
      <c r="F139" s="20"/>
      <c r="G139" s="20"/>
      <c r="H139" s="20" t="str">
        <f t="shared" si="63"/>
        <v>4 - GAT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87">
        <f t="shared" ref="AI139:AT139" si="76">AI140+AI141+AI142+AI143+AI144+AI145</f>
        <v>0</v>
      </c>
      <c r="AJ139" s="87">
        <f t="shared" si="76"/>
        <v>0</v>
      </c>
      <c r="AK139" s="87">
        <f t="shared" si="76"/>
        <v>-6441.98</v>
      </c>
      <c r="AL139" s="87">
        <f t="shared" si="76"/>
        <v>-43372.73</v>
      </c>
      <c r="AM139" s="87">
        <f t="shared" si="76"/>
        <v>-56961.71</v>
      </c>
      <c r="AN139" s="87">
        <f t="shared" si="76"/>
        <v>-67015.509999999995</v>
      </c>
      <c r="AO139" s="87">
        <f t="shared" si="76"/>
        <v>-63655.360000000008</v>
      </c>
      <c r="AP139" s="87">
        <f t="shared" si="76"/>
        <v>-71419.039999999994</v>
      </c>
      <c r="AQ139" s="87">
        <f t="shared" si="76"/>
        <v>-75277.680000000008</v>
      </c>
      <c r="AR139" s="87">
        <f t="shared" si="76"/>
        <v>-75309.16</v>
      </c>
      <c r="AS139" s="87">
        <f t="shared" si="76"/>
        <v>-102764.25</v>
      </c>
      <c r="AT139" s="87">
        <f t="shared" si="76"/>
        <v>-104662.91</v>
      </c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CA139">
        <f t="shared" si="65"/>
        <v>3</v>
      </c>
    </row>
    <row r="140" spans="1:79" ht="15" x14ac:dyDescent="0.2">
      <c r="A140" s="2" t="s">
        <v>106</v>
      </c>
      <c r="B140" s="2">
        <v>6</v>
      </c>
      <c r="C140" t="s">
        <v>213</v>
      </c>
      <c r="D140" t="s">
        <v>187</v>
      </c>
      <c r="E140" t="s">
        <v>219</v>
      </c>
      <c r="G140">
        <v>1</v>
      </c>
      <c r="H140" s="20" t="str">
        <f t="shared" si="63"/>
        <v>4 - GATPESSOAL CLT (BO / ASSIS JURÍD / NEGOC)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-6441.98</v>
      </c>
      <c r="AL140">
        <v>-43372.73</v>
      </c>
      <c r="AM140">
        <v>-56961.71</v>
      </c>
      <c r="AN140">
        <v>-67015.509999999995</v>
      </c>
      <c r="AO140">
        <v>-63655.360000000008</v>
      </c>
      <c r="AP140">
        <v>-71419.039999999994</v>
      </c>
      <c r="AQ140">
        <v>-75277.680000000008</v>
      </c>
      <c r="AR140">
        <v>-75309.16</v>
      </c>
      <c r="AS140">
        <v>-102764.25</v>
      </c>
      <c r="AT140">
        <v>-104662.91</v>
      </c>
      <c r="CA140">
        <f t="shared" si="65"/>
        <v>3</v>
      </c>
    </row>
    <row r="141" spans="1:79" ht="15" x14ac:dyDescent="0.2">
      <c r="A141" s="2" t="s">
        <v>106</v>
      </c>
      <c r="B141" s="2">
        <v>7</v>
      </c>
      <c r="C141" t="s">
        <v>213</v>
      </c>
      <c r="D141" s="99" t="s">
        <v>188</v>
      </c>
      <c r="E141" s="99" t="s">
        <v>28</v>
      </c>
      <c r="H141" s="20" t="str">
        <f t="shared" si="63"/>
        <v>4 - GATCORRESPONDENTES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65"/>
        <v>3</v>
      </c>
    </row>
    <row r="142" spans="1:79" ht="15" x14ac:dyDescent="0.2">
      <c r="A142" s="2" t="s">
        <v>106</v>
      </c>
      <c r="B142" s="2">
        <v>8</v>
      </c>
      <c r="C142" t="s">
        <v>213</v>
      </c>
      <c r="D142" s="99" t="s">
        <v>189</v>
      </c>
      <c r="E142" s="99" t="s">
        <v>29</v>
      </c>
      <c r="H142" s="20" t="str">
        <f t="shared" si="63"/>
        <v>4 - GATVALORES RESCISÓRIOS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65"/>
        <v>3</v>
      </c>
    </row>
    <row r="143" spans="1:79" ht="15" x14ac:dyDescent="0.2">
      <c r="A143" s="2" t="s">
        <v>106</v>
      </c>
      <c r="B143" s="2">
        <v>9</v>
      </c>
      <c r="C143" t="s">
        <v>213</v>
      </c>
      <c r="D143" s="99" t="s">
        <v>190</v>
      </c>
      <c r="E143" s="99" t="s">
        <v>30</v>
      </c>
      <c r="H143" s="20" t="str">
        <f t="shared" si="63"/>
        <v>4 - GATPENALIDADES E GLOSAS DE CLIENTES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65"/>
        <v>3</v>
      </c>
    </row>
    <row r="144" spans="1:79" ht="15" x14ac:dyDescent="0.2">
      <c r="A144" s="2" t="s">
        <v>106</v>
      </c>
      <c r="B144" s="2">
        <v>10</v>
      </c>
      <c r="C144" t="s">
        <v>213</v>
      </c>
      <c r="D144" s="99" t="s">
        <v>191</v>
      </c>
      <c r="E144" s="99" t="s">
        <v>31</v>
      </c>
      <c r="H144" s="20" t="str">
        <f t="shared" ref="H144:H174" si="77">CONCATENATE(A144,E144)</f>
        <v>4 - GATPROCESSOS TRABALHISTAS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CA144">
        <f t="shared" si="65"/>
        <v>3</v>
      </c>
    </row>
    <row r="145" spans="1:79" ht="15" x14ac:dyDescent="0.2">
      <c r="A145" s="2" t="s">
        <v>106</v>
      </c>
      <c r="B145" s="2">
        <v>11</v>
      </c>
      <c r="C145" t="s">
        <v>213</v>
      </c>
      <c r="D145" s="99" t="s">
        <v>192</v>
      </c>
      <c r="E145" s="99" t="s">
        <v>172</v>
      </c>
      <c r="H145" s="20" t="str">
        <f t="shared" si="77"/>
        <v>4 - GATDESCONTO PAGAMENTOS EM DUPLICIDADE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CA145">
        <f t="shared" si="65"/>
        <v>3</v>
      </c>
    </row>
    <row r="146" spans="1:79" ht="15" x14ac:dyDescent="0.2">
      <c r="A146" s="2" t="s">
        <v>106</v>
      </c>
      <c r="B146" s="2">
        <v>12</v>
      </c>
      <c r="C146" s="2"/>
      <c r="D146" s="98" t="s">
        <v>63</v>
      </c>
      <c r="E146" s="98"/>
      <c r="F146" s="90"/>
      <c r="G146" s="90"/>
      <c r="H146" s="20" t="str">
        <f t="shared" si="77"/>
        <v>4 - GAT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-6441.98</v>
      </c>
      <c r="AL146">
        <v>-43372.73</v>
      </c>
      <c r="AM146">
        <v>-56961.71</v>
      </c>
      <c r="AN146">
        <v>13642.490000000005</v>
      </c>
      <c r="AO146">
        <v>21669.639999999992</v>
      </c>
      <c r="AP146">
        <v>-12402.039999999994</v>
      </c>
      <c r="AQ146">
        <v>14514.819999999992</v>
      </c>
      <c r="AR146">
        <v>-15101.660000000003</v>
      </c>
      <c r="AS146">
        <v>-27764.25</v>
      </c>
      <c r="AT146">
        <v>44932.59</v>
      </c>
      <c r="CA146">
        <f t="shared" si="65"/>
        <v>3</v>
      </c>
    </row>
    <row r="147" spans="1:79" ht="15" x14ac:dyDescent="0.2">
      <c r="A147" s="2" t="s">
        <v>106</v>
      </c>
      <c r="B147" s="2">
        <v>13</v>
      </c>
      <c r="C147" s="2"/>
      <c r="D147" s="101" t="s">
        <v>62</v>
      </c>
      <c r="E147" s="101"/>
      <c r="F147" s="111"/>
      <c r="G147" s="111"/>
      <c r="H147" s="20" t="str">
        <f t="shared" si="77"/>
        <v>4 - GAT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87">
        <f t="shared" ref="AI147:AT147" si="78">AI148+AI149+AI150+AI151+AI152+AI153+AI154+AI155</f>
        <v>0</v>
      </c>
      <c r="AJ147" s="87">
        <f t="shared" si="78"/>
        <v>-224.28</v>
      </c>
      <c r="AK147" s="87">
        <f t="shared" si="78"/>
        <v>-1264.9299999999998</v>
      </c>
      <c r="AL147" s="87">
        <f t="shared" si="78"/>
        <v>-10365.34</v>
      </c>
      <c r="AM147" s="87">
        <f t="shared" si="78"/>
        <v>-11783.45</v>
      </c>
      <c r="AN147" s="87">
        <f t="shared" si="78"/>
        <v>-16627.419999999998</v>
      </c>
      <c r="AO147" s="87">
        <f t="shared" si="78"/>
        <v>-20382.47</v>
      </c>
      <c r="AP147" s="87">
        <f t="shared" si="78"/>
        <v>-18575.140000000003</v>
      </c>
      <c r="AQ147" s="87">
        <f t="shared" si="78"/>
        <v>-12739.29</v>
      </c>
      <c r="AR147" s="87">
        <f t="shared" si="78"/>
        <v>-13100.06</v>
      </c>
      <c r="AS147" s="87">
        <f t="shared" si="78"/>
        <v>-24213.03</v>
      </c>
      <c r="AT147" s="87">
        <f t="shared" si="78"/>
        <v>-19677.629999999997</v>
      </c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CA147">
        <f t="shared" si="65"/>
        <v>3</v>
      </c>
    </row>
    <row r="148" spans="1:79" ht="15" x14ac:dyDescent="0.2">
      <c r="A148" s="2" t="s">
        <v>106</v>
      </c>
      <c r="B148" s="2">
        <v>14</v>
      </c>
      <c r="C148" s="2" t="s">
        <v>214</v>
      </c>
      <c r="D148" s="99" t="s">
        <v>193</v>
      </c>
      <c r="E148" s="99" t="s">
        <v>102</v>
      </c>
      <c r="G148">
        <v>1</v>
      </c>
      <c r="H148" s="20" t="str">
        <f t="shared" si="77"/>
        <v>4 - GATPESSOAL CLT ADM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-751.81</v>
      </c>
      <c r="AL148">
        <v>-10365.34</v>
      </c>
      <c r="AM148">
        <v>-11783.45</v>
      </c>
      <c r="AN148">
        <v>-16627.419999999998</v>
      </c>
      <c r="AO148">
        <v>-20382.47</v>
      </c>
      <c r="AP148">
        <v>-16715.710000000003</v>
      </c>
      <c r="AQ148">
        <v>-12739.29</v>
      </c>
      <c r="AR148">
        <v>-13100.06</v>
      </c>
      <c r="AS148">
        <v>-23157.51</v>
      </c>
      <c r="AT148">
        <v>-19445.629999999997</v>
      </c>
      <c r="CA148">
        <f t="shared" si="65"/>
        <v>3</v>
      </c>
    </row>
    <row r="149" spans="1:79" ht="15" x14ac:dyDescent="0.2">
      <c r="A149" s="2" t="s">
        <v>106</v>
      </c>
      <c r="B149" s="2">
        <v>15</v>
      </c>
      <c r="C149" s="2" t="s">
        <v>214</v>
      </c>
      <c r="D149" s="99" t="s">
        <v>194</v>
      </c>
      <c r="E149" s="99" t="s">
        <v>0</v>
      </c>
      <c r="H149" s="20" t="str">
        <f t="shared" si="77"/>
        <v>4 - GATLOCALIZAÇÃO (ALUGUEL, COND, LUZ, IPTU)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65"/>
        <v>3</v>
      </c>
    </row>
    <row r="150" spans="1:79" ht="15" x14ac:dyDescent="0.2">
      <c r="A150" s="2" t="s">
        <v>106</v>
      </c>
      <c r="B150" s="2">
        <v>16</v>
      </c>
      <c r="C150" s="2" t="s">
        <v>214</v>
      </c>
      <c r="D150" s="99" t="s">
        <v>195</v>
      </c>
      <c r="E150" s="99" t="s">
        <v>1</v>
      </c>
      <c r="H150" s="20" t="str">
        <f t="shared" si="77"/>
        <v>4 - GATMARKETING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-1055.52</v>
      </c>
      <c r="AT150">
        <v>0</v>
      </c>
      <c r="CA150">
        <f t="shared" si="65"/>
        <v>3</v>
      </c>
    </row>
    <row r="151" spans="1:79" ht="15" x14ac:dyDescent="0.2">
      <c r="A151" s="2" t="s">
        <v>106</v>
      </c>
      <c r="B151" s="2">
        <v>17</v>
      </c>
      <c r="C151" s="2" t="s">
        <v>214</v>
      </c>
      <c r="D151" s="99" t="s">
        <v>196</v>
      </c>
      <c r="E151" s="99" t="s">
        <v>2</v>
      </c>
      <c r="H151" s="20" t="str">
        <f t="shared" si="77"/>
        <v>4 - GATCOMUNICAÇÃO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si="65"/>
        <v>3</v>
      </c>
    </row>
    <row r="152" spans="1:79" ht="15" x14ac:dyDescent="0.2">
      <c r="A152" s="2" t="s">
        <v>106</v>
      </c>
      <c r="B152" s="2">
        <v>18</v>
      </c>
      <c r="C152" s="2" t="s">
        <v>214</v>
      </c>
      <c r="D152" s="99" t="s">
        <v>197</v>
      </c>
      <c r="E152" s="99" t="s">
        <v>3</v>
      </c>
      <c r="H152" s="20" t="str">
        <f t="shared" si="77"/>
        <v>4 - GATPRESTADOR DE SERVIÇOS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65"/>
        <v>3</v>
      </c>
    </row>
    <row r="153" spans="1:79" ht="15" x14ac:dyDescent="0.2">
      <c r="A153" s="2" t="s">
        <v>106</v>
      </c>
      <c r="B153" s="2">
        <v>19</v>
      </c>
      <c r="C153" s="2" t="s">
        <v>214</v>
      </c>
      <c r="D153" s="99" t="s">
        <v>198</v>
      </c>
      <c r="E153" s="99" t="s">
        <v>220</v>
      </c>
      <c r="H153" s="20" t="str">
        <f t="shared" si="77"/>
        <v>4 - GATALUGUEL DE EQUIPAM / MANUT MÁQ EQUIPAM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CA153">
        <f t="shared" ref="CA153:CA174" si="79">MONTH($BZ$2)</f>
        <v>3</v>
      </c>
    </row>
    <row r="154" spans="1:79" ht="15" x14ac:dyDescent="0.2">
      <c r="A154" s="2" t="s">
        <v>106</v>
      </c>
      <c r="B154" s="2">
        <v>20</v>
      </c>
      <c r="C154" s="2" t="s">
        <v>214</v>
      </c>
      <c r="D154" s="99" t="s">
        <v>199</v>
      </c>
      <c r="E154" s="99" t="s">
        <v>5</v>
      </c>
      <c r="H154" s="20" t="str">
        <f t="shared" si="77"/>
        <v>4 - GATCONSUMO DE MATERIAL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CA154">
        <f t="shared" si="79"/>
        <v>3</v>
      </c>
    </row>
    <row r="155" spans="1:79" ht="15" x14ac:dyDescent="0.2">
      <c r="A155" s="2" t="s">
        <v>106</v>
      </c>
      <c r="B155" s="2">
        <v>21</v>
      </c>
      <c r="C155" s="2" t="s">
        <v>214</v>
      </c>
      <c r="D155" s="99" t="s">
        <v>231</v>
      </c>
      <c r="E155" s="99" t="s">
        <v>230</v>
      </c>
      <c r="H155" s="20" t="str">
        <f t="shared" si="77"/>
        <v>4 - GATDESPESAS GERAIS / INVESTIMENTOS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>
        <v>0</v>
      </c>
      <c r="AJ155">
        <v>-224.28</v>
      </c>
      <c r="AK155">
        <v>-513.12</v>
      </c>
      <c r="AL155">
        <v>0</v>
      </c>
      <c r="AM155">
        <v>0</v>
      </c>
      <c r="AN155">
        <v>0</v>
      </c>
      <c r="AO155">
        <v>0</v>
      </c>
      <c r="AP155">
        <v>-1859.43</v>
      </c>
      <c r="AQ155">
        <v>0</v>
      </c>
      <c r="AR155">
        <v>0</v>
      </c>
      <c r="AS155">
        <v>0</v>
      </c>
      <c r="AT155">
        <v>-232</v>
      </c>
      <c r="CA155">
        <f t="shared" si="79"/>
        <v>3</v>
      </c>
    </row>
    <row r="156" spans="1:79" ht="15" x14ac:dyDescent="0.2">
      <c r="A156" s="2" t="s">
        <v>106</v>
      </c>
      <c r="B156" s="2">
        <v>22</v>
      </c>
      <c r="C156" s="2" t="s">
        <v>214</v>
      </c>
      <c r="D156" s="99" t="s">
        <v>228</v>
      </c>
      <c r="E156" s="99" t="s">
        <v>229</v>
      </c>
      <c r="H156" s="20" t="str">
        <f t="shared" si="77"/>
        <v>4 - GATDESPESAS INTERCOMPANY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CA156">
        <f t="shared" si="79"/>
        <v>3</v>
      </c>
    </row>
    <row r="157" spans="1:79" ht="15" x14ac:dyDescent="0.2">
      <c r="A157" s="2" t="s">
        <v>106</v>
      </c>
      <c r="B157" s="2">
        <v>23</v>
      </c>
      <c r="C157" s="2"/>
      <c r="D157" s="98" t="s">
        <v>178</v>
      </c>
      <c r="E157" s="98"/>
      <c r="F157" s="90"/>
      <c r="G157" s="90"/>
      <c r="H157" s="20" t="str">
        <f t="shared" si="77"/>
        <v>4 - GAT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87">
        <f t="shared" ref="AI157:AT157" si="80">AI146+AI147</f>
        <v>0</v>
      </c>
      <c r="AJ157" s="87">
        <f t="shared" si="80"/>
        <v>-224.28</v>
      </c>
      <c r="AK157" s="87">
        <f t="shared" si="80"/>
        <v>-7706.91</v>
      </c>
      <c r="AL157" s="87">
        <f t="shared" si="80"/>
        <v>-53738.070000000007</v>
      </c>
      <c r="AM157" s="87">
        <f t="shared" si="80"/>
        <v>-68745.16</v>
      </c>
      <c r="AN157" s="87">
        <f t="shared" si="80"/>
        <v>-2984.929999999993</v>
      </c>
      <c r="AO157" s="87">
        <f t="shared" si="80"/>
        <v>1287.169999999991</v>
      </c>
      <c r="AP157" s="87">
        <f t="shared" si="80"/>
        <v>-30977.179999999997</v>
      </c>
      <c r="AQ157" s="87">
        <f t="shared" si="80"/>
        <v>1775.5299999999916</v>
      </c>
      <c r="AR157" s="87">
        <f t="shared" si="80"/>
        <v>-28201.72</v>
      </c>
      <c r="AS157" s="87">
        <f t="shared" si="80"/>
        <v>-51977.279999999999</v>
      </c>
      <c r="AT157" s="87">
        <f t="shared" si="80"/>
        <v>25254.959999999999</v>
      </c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CA157">
        <f t="shared" si="79"/>
        <v>3</v>
      </c>
    </row>
    <row r="158" spans="1:79" ht="15" x14ac:dyDescent="0.2">
      <c r="A158" s="2" t="s">
        <v>106</v>
      </c>
      <c r="B158" s="2">
        <v>24</v>
      </c>
      <c r="C158" s="2" t="s">
        <v>215</v>
      </c>
      <c r="D158" s="99" t="s">
        <v>200</v>
      </c>
      <c r="E158" s="99" t="s">
        <v>221</v>
      </c>
      <c r="H158" s="20" t="str">
        <f t="shared" si="77"/>
        <v>4 - GATDEPRECIAÇÃO / AMORTIZAÇÃO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CA158">
        <f t="shared" si="79"/>
        <v>3</v>
      </c>
    </row>
    <row r="159" spans="1:79" ht="15" x14ac:dyDescent="0.2">
      <c r="A159" s="2" t="s">
        <v>106</v>
      </c>
      <c r="B159" s="2">
        <v>25</v>
      </c>
      <c r="C159" s="2" t="s">
        <v>216</v>
      </c>
      <c r="D159" s="99" t="s">
        <v>77</v>
      </c>
      <c r="E159" s="99" t="s">
        <v>89</v>
      </c>
      <c r="H159" s="20" t="str">
        <f t="shared" si="77"/>
        <v>4 - GATRESULTADO FINANCEIRO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>
        <v>0</v>
      </c>
      <c r="AJ159">
        <v>-22.07</v>
      </c>
      <c r="AK159">
        <v>-199</v>
      </c>
      <c r="AL159">
        <v>-365.01</v>
      </c>
      <c r="AM159">
        <v>12</v>
      </c>
      <c r="AN159">
        <v>-420.63</v>
      </c>
      <c r="AO159">
        <v>-312.94</v>
      </c>
      <c r="AP159">
        <v>-295.58999999999997</v>
      </c>
      <c r="AQ159">
        <v>-246.19</v>
      </c>
      <c r="AR159">
        <v>-292.08999999999997</v>
      </c>
      <c r="AS159">
        <v>-292.08999999999997</v>
      </c>
      <c r="AT159">
        <v>-334.14</v>
      </c>
      <c r="CA159">
        <f t="shared" si="79"/>
        <v>3</v>
      </c>
    </row>
    <row r="160" spans="1:79" ht="15" x14ac:dyDescent="0.2">
      <c r="A160" s="2" t="s">
        <v>106</v>
      </c>
      <c r="B160" s="2">
        <v>26</v>
      </c>
      <c r="C160" s="2" t="s">
        <v>217</v>
      </c>
      <c r="D160" s="99" t="s">
        <v>201</v>
      </c>
      <c r="E160" s="99" t="s">
        <v>222</v>
      </c>
      <c r="H160" s="20" t="str">
        <f t="shared" si="77"/>
        <v>4 - GATIMPOSTOS (IRPJ+CSLL+PIS+COFINS+ISS)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-4500</v>
      </c>
      <c r="AN160">
        <v>-5100</v>
      </c>
      <c r="AO160">
        <v>-7033.75</v>
      </c>
      <c r="AP160">
        <v>-6975.01</v>
      </c>
      <c r="AQ160">
        <v>-8351.25</v>
      </c>
      <c r="AR160">
        <v>-8698.33</v>
      </c>
      <c r="AS160">
        <v>-8925.01</v>
      </c>
      <c r="AT160">
        <v>-9084.66</v>
      </c>
      <c r="CA160">
        <f t="shared" si="79"/>
        <v>3</v>
      </c>
    </row>
    <row r="161" spans="1:79" ht="15" x14ac:dyDescent="0.2">
      <c r="A161" s="2" t="s">
        <v>106</v>
      </c>
      <c r="B161" s="2">
        <v>27</v>
      </c>
      <c r="C161" s="2"/>
      <c r="D161" s="104" t="s">
        <v>202</v>
      </c>
      <c r="E161" s="104"/>
      <c r="F161" s="112"/>
      <c r="G161" s="112"/>
      <c r="H161" s="20" t="str">
        <f t="shared" si="77"/>
        <v>4 - GAT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87">
        <f t="shared" ref="AI161:AT161" si="81">AI146+AI147+AI158+AI159+AI160</f>
        <v>0</v>
      </c>
      <c r="AJ161" s="87">
        <f t="shared" si="81"/>
        <v>-246.35</v>
      </c>
      <c r="AK161" s="87">
        <f t="shared" si="81"/>
        <v>-7905.91</v>
      </c>
      <c r="AL161" s="87">
        <f t="shared" si="81"/>
        <v>-54103.080000000009</v>
      </c>
      <c r="AM161" s="87">
        <f t="shared" si="81"/>
        <v>-73233.16</v>
      </c>
      <c r="AN161" s="87">
        <f t="shared" si="81"/>
        <v>-8505.559999999994</v>
      </c>
      <c r="AO161" s="87">
        <f t="shared" si="81"/>
        <v>-6059.5200000000095</v>
      </c>
      <c r="AP161" s="87">
        <f t="shared" si="81"/>
        <v>-38247.78</v>
      </c>
      <c r="AQ161" s="87">
        <f t="shared" si="81"/>
        <v>-6821.9100000000089</v>
      </c>
      <c r="AR161" s="87">
        <f t="shared" si="81"/>
        <v>-37192.14</v>
      </c>
      <c r="AS161" s="87">
        <f t="shared" si="81"/>
        <v>-61194.38</v>
      </c>
      <c r="AT161" s="87">
        <f t="shared" si="81"/>
        <v>15836.16</v>
      </c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CA161">
        <f t="shared" si="79"/>
        <v>3</v>
      </c>
    </row>
    <row r="162" spans="1:79" ht="15" x14ac:dyDescent="0.2">
      <c r="A162" s="2" t="s">
        <v>106</v>
      </c>
      <c r="B162" s="2">
        <v>28</v>
      </c>
      <c r="C162" s="2" t="s">
        <v>218</v>
      </c>
      <c r="D162" s="99" t="s">
        <v>203</v>
      </c>
      <c r="E162" s="99" t="s">
        <v>98</v>
      </c>
      <c r="G162">
        <v>1</v>
      </c>
      <c r="H162" s="20" t="str">
        <f t="shared" si="77"/>
        <v>4 - GATDISTR LUCROS E DESPESAS SS (JURÍDICO)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CA162">
        <f t="shared" si="79"/>
        <v>3</v>
      </c>
    </row>
    <row r="163" spans="1:79" ht="15" x14ac:dyDescent="0.2">
      <c r="A163" s="2" t="s">
        <v>106</v>
      </c>
      <c r="B163" s="2">
        <v>29</v>
      </c>
      <c r="C163" s="2" t="s">
        <v>218</v>
      </c>
      <c r="D163" s="99" t="s">
        <v>204</v>
      </c>
      <c r="E163" s="99" t="s">
        <v>223</v>
      </c>
      <c r="G163">
        <v>1</v>
      </c>
      <c r="H163" s="20" t="str">
        <f t="shared" si="77"/>
        <v>4 - GATDISTR LUCROS E DESPESAS SC (3)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CA163">
        <f t="shared" si="79"/>
        <v>3</v>
      </c>
    </row>
    <row r="164" spans="1:79" ht="15" x14ac:dyDescent="0.2">
      <c r="A164" s="2" t="s">
        <v>106</v>
      </c>
      <c r="B164" s="2">
        <v>30</v>
      </c>
      <c r="C164" s="2" t="s">
        <v>218</v>
      </c>
      <c r="D164" s="99" t="s">
        <v>205</v>
      </c>
      <c r="E164" s="99" t="s">
        <v>224</v>
      </c>
      <c r="G164">
        <v>1</v>
      </c>
      <c r="H164" s="20" t="str">
        <f t="shared" si="77"/>
        <v>4 - GATDISTR LUCROS E DESPESAS SS GESTÃO ADM (11)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>
        <v>0</v>
      </c>
      <c r="AJ164">
        <v>-48069.350000000006</v>
      </c>
      <c r="AK164">
        <v>-28078.090299999996</v>
      </c>
      <c r="AL164">
        <v>-26579.079999999994</v>
      </c>
      <c r="AM164">
        <v>-31227.21</v>
      </c>
      <c r="AN164">
        <v>-41626.94</v>
      </c>
      <c r="AO164">
        <v>-25079.921499999997</v>
      </c>
      <c r="AP164">
        <v>-30783.040000000001</v>
      </c>
      <c r="AQ164">
        <v>-18317.497499999998</v>
      </c>
      <c r="AR164">
        <v>-33875.83</v>
      </c>
      <c r="AS164">
        <v>-24567.429</v>
      </c>
      <c r="AT164">
        <v>-30776.78</v>
      </c>
      <c r="CA164">
        <f t="shared" si="79"/>
        <v>3</v>
      </c>
    </row>
    <row r="165" spans="1:79" ht="15" x14ac:dyDescent="0.2">
      <c r="A165" s="2" t="s">
        <v>106</v>
      </c>
      <c r="B165" s="2">
        <v>31</v>
      </c>
      <c r="C165" s="2"/>
      <c r="D165" s="99" t="s">
        <v>206</v>
      </c>
      <c r="E165" s="20"/>
      <c r="F165" s="20"/>
      <c r="G165" s="20"/>
      <c r="H165" s="20" t="str">
        <f t="shared" si="77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 t="shared" ref="AI165:AT165" si="82">AI162+AI163+AI164</f>
        <v>0</v>
      </c>
      <c r="AJ165" s="87">
        <f t="shared" si="82"/>
        <v>-48069.350000000006</v>
      </c>
      <c r="AK165" s="87">
        <f t="shared" si="82"/>
        <v>-28078.090299999996</v>
      </c>
      <c r="AL165" s="87">
        <f t="shared" si="82"/>
        <v>-26579.079999999994</v>
      </c>
      <c r="AM165" s="87">
        <f t="shared" si="82"/>
        <v>-31227.21</v>
      </c>
      <c r="AN165" s="87">
        <f t="shared" si="82"/>
        <v>-41626.94</v>
      </c>
      <c r="AO165" s="87">
        <f t="shared" si="82"/>
        <v>-25079.921499999997</v>
      </c>
      <c r="AP165" s="87">
        <f t="shared" si="82"/>
        <v>-30783.040000000001</v>
      </c>
      <c r="AQ165" s="87">
        <f t="shared" si="82"/>
        <v>-18317.497499999998</v>
      </c>
      <c r="AR165" s="87">
        <f t="shared" si="82"/>
        <v>-33875.83</v>
      </c>
      <c r="AS165" s="87">
        <f t="shared" si="82"/>
        <v>-24567.429</v>
      </c>
      <c r="AT165" s="87">
        <f t="shared" si="82"/>
        <v>-30776.78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79"/>
        <v>3</v>
      </c>
    </row>
    <row r="166" spans="1:79" ht="15" x14ac:dyDescent="0.2">
      <c r="A166" s="2" t="s">
        <v>106</v>
      </c>
      <c r="B166" s="2">
        <v>32</v>
      </c>
      <c r="C166" s="2"/>
      <c r="D166" s="99" t="s">
        <v>207</v>
      </c>
      <c r="E166" s="20"/>
      <c r="F166" s="20"/>
      <c r="G166" s="20"/>
      <c r="H166" s="20" t="str">
        <f t="shared" si="77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87">
        <f t="shared" ref="AI166:AT166" si="83">AI139+AI147+AI158+AI159+AI160+AI165</f>
        <v>0</v>
      </c>
      <c r="AJ166" s="87">
        <f t="shared" si="83"/>
        <v>-48315.700000000004</v>
      </c>
      <c r="AK166" s="87">
        <f t="shared" si="83"/>
        <v>-35984.0003</v>
      </c>
      <c r="AL166" s="87">
        <f t="shared" si="83"/>
        <v>-80682.16</v>
      </c>
      <c r="AM166" s="87">
        <f t="shared" si="83"/>
        <v>-104460.37</v>
      </c>
      <c r="AN166" s="87">
        <f t="shared" si="83"/>
        <v>-130790.5</v>
      </c>
      <c r="AO166" s="87">
        <f t="shared" si="83"/>
        <v>-116464.44150000002</v>
      </c>
      <c r="AP166" s="87">
        <f t="shared" si="83"/>
        <v>-128047.81999999998</v>
      </c>
      <c r="AQ166" s="87">
        <f t="shared" si="83"/>
        <v>-114931.9075</v>
      </c>
      <c r="AR166" s="87">
        <f t="shared" si="83"/>
        <v>-131275.47</v>
      </c>
      <c r="AS166" s="87">
        <f t="shared" si="83"/>
        <v>-160761.80900000001</v>
      </c>
      <c r="AT166" s="87">
        <f t="shared" si="83"/>
        <v>-164536.12</v>
      </c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CA166">
        <f t="shared" si="79"/>
        <v>3</v>
      </c>
    </row>
    <row r="167" spans="1:79" ht="15" x14ac:dyDescent="0.2">
      <c r="A167" s="2" t="s">
        <v>106</v>
      </c>
      <c r="B167" s="2">
        <v>33</v>
      </c>
      <c r="C167" s="2"/>
      <c r="D167" s="104" t="s">
        <v>212</v>
      </c>
      <c r="E167" s="87"/>
      <c r="F167" s="87"/>
      <c r="G167" s="87"/>
      <c r="H167" s="20" t="str">
        <f t="shared" si="77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87">
        <f>AI135+AI166</f>
        <v>0</v>
      </c>
      <c r="AJ167" s="87">
        <f t="shared" ref="AJ167:AT167" si="84">AJ135+AJ166</f>
        <v>-48315.700000000004</v>
      </c>
      <c r="AK167" s="87">
        <f t="shared" si="84"/>
        <v>-35984.0003</v>
      </c>
      <c r="AL167" s="87">
        <f t="shared" si="84"/>
        <v>-80682.16</v>
      </c>
      <c r="AM167" s="87">
        <f t="shared" si="84"/>
        <v>-104460.37</v>
      </c>
      <c r="AN167" s="87">
        <f t="shared" si="84"/>
        <v>-50132.5</v>
      </c>
      <c r="AO167" s="87">
        <f t="shared" si="84"/>
        <v>-31139.441500000015</v>
      </c>
      <c r="AP167" s="87">
        <f t="shared" si="84"/>
        <v>-69030.819999999978</v>
      </c>
      <c r="AQ167" s="87">
        <f t="shared" si="84"/>
        <v>-25139.407500000001</v>
      </c>
      <c r="AR167" s="87">
        <f t="shared" si="84"/>
        <v>-71067.97</v>
      </c>
      <c r="AS167" s="87">
        <f t="shared" si="84"/>
        <v>-85761.809000000008</v>
      </c>
      <c r="AT167" s="87">
        <f t="shared" si="84"/>
        <v>-14940.619999999995</v>
      </c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CA167">
        <f t="shared" si="79"/>
        <v>3</v>
      </c>
    </row>
    <row r="168" spans="1:79" ht="15" x14ac:dyDescent="0.2">
      <c r="A168" s="2" t="s">
        <v>106</v>
      </c>
      <c r="B168" s="2">
        <v>34</v>
      </c>
      <c r="C168" s="2"/>
      <c r="D168" s="99" t="s">
        <v>208</v>
      </c>
      <c r="E168" s="80"/>
      <c r="F168" s="80"/>
      <c r="G168" s="80"/>
      <c r="H168" s="20" t="str">
        <f t="shared" si="77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79"/>
        <v>3</v>
      </c>
    </row>
    <row r="169" spans="1:79" ht="15" x14ac:dyDescent="0.2">
      <c r="A169" s="2" t="s">
        <v>106</v>
      </c>
      <c r="B169" s="2">
        <v>35</v>
      </c>
      <c r="C169" s="2"/>
      <c r="D169" s="99" t="s">
        <v>209</v>
      </c>
      <c r="E169" s="20"/>
      <c r="F169" s="20"/>
      <c r="G169" s="20"/>
      <c r="H169" s="20" t="str">
        <f t="shared" si="77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79"/>
        <v>3</v>
      </c>
    </row>
    <row r="170" spans="1:79" ht="15" x14ac:dyDescent="0.2">
      <c r="A170" s="2" t="s">
        <v>106</v>
      </c>
      <c r="B170" s="2">
        <v>36</v>
      </c>
      <c r="C170" s="2"/>
      <c r="D170" s="99" t="s">
        <v>210</v>
      </c>
      <c r="E170" s="20"/>
      <c r="F170" s="20"/>
      <c r="G170" s="20"/>
      <c r="H170" s="20" t="str">
        <f t="shared" si="77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CA170">
        <f t="shared" si="79"/>
        <v>3</v>
      </c>
    </row>
    <row r="171" spans="1:79" ht="15" x14ac:dyDescent="0.2">
      <c r="A171" s="2" t="s">
        <v>106</v>
      </c>
      <c r="B171" s="2">
        <v>37</v>
      </c>
      <c r="C171" s="2"/>
      <c r="D171" s="99" t="s">
        <v>233</v>
      </c>
      <c r="E171" s="20"/>
      <c r="F171" s="20"/>
      <c r="G171" s="20"/>
      <c r="H171" s="20" t="str">
        <f t="shared" si="77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CA171">
        <f t="shared" si="79"/>
        <v>3</v>
      </c>
    </row>
    <row r="172" spans="1:79" ht="15" x14ac:dyDescent="0.2">
      <c r="A172" s="2" t="s">
        <v>106</v>
      </c>
      <c r="B172" s="2">
        <v>38</v>
      </c>
      <c r="C172" s="2"/>
      <c r="D172" s="99" t="s">
        <v>232</v>
      </c>
      <c r="E172" s="20"/>
      <c r="F172" s="20"/>
      <c r="G172" s="20"/>
      <c r="H172" s="20" t="str">
        <f t="shared" si="77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</row>
    <row r="173" spans="1:79" ht="15" x14ac:dyDescent="0.2">
      <c r="A173" s="2" t="s">
        <v>106</v>
      </c>
      <c r="B173" s="2">
        <v>39</v>
      </c>
      <c r="C173" s="2"/>
      <c r="D173" s="99" t="s">
        <v>234</v>
      </c>
      <c r="E173" s="20"/>
      <c r="F173" s="20"/>
      <c r="G173" s="20"/>
      <c r="H173" s="20" t="str">
        <f t="shared" si="77"/>
        <v>4 - GAT</v>
      </c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</row>
    <row r="174" spans="1:79" ht="15.75" thickBot="1" x14ac:dyDescent="0.25">
      <c r="A174" s="2" t="s">
        <v>106</v>
      </c>
      <c r="B174" s="2">
        <v>40</v>
      </c>
      <c r="C174" s="2"/>
      <c r="D174" s="100" t="s">
        <v>211</v>
      </c>
      <c r="E174" s="20"/>
      <c r="F174" s="20"/>
      <c r="G174" s="20"/>
      <c r="H174" s="20" t="str">
        <f t="shared" si="77"/>
        <v>4 - GAT</v>
      </c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CA174">
        <f t="shared" si="79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83FA-78A4-4332-87C9-398A0D90077E}">
  <sheetPr>
    <tabColor rgb="FFC00000"/>
  </sheetPr>
  <dimension ref="A1:CB172"/>
  <sheetViews>
    <sheetView workbookViewId="0">
      <pane xSplit="6" ySplit="1" topLeftCell="BG2" activePane="bottomRight" state="frozen"/>
      <selection activeCell="D49" sqref="D49:D50"/>
      <selection pane="topRight" activeCell="D49" sqref="D49:D50"/>
      <selection pane="bottomLeft" activeCell="D49" sqref="D49:D50"/>
      <selection pane="bottomRight" activeCell="D49" sqref="D49:D50"/>
    </sheetView>
  </sheetViews>
  <sheetFormatPr defaultRowHeight="12.75" x14ac:dyDescent="0.2"/>
  <cols>
    <col min="1" max="1" width="0" hidden="1" customWidth="1"/>
    <col min="2" max="2" width="9.140625" customWidth="1"/>
    <col min="3" max="3" width="8.5703125" hidden="1" customWidth="1"/>
    <col min="4" max="4" width="50.7109375" bestFit="1" customWidth="1"/>
    <col min="5" max="5" width="48.28515625" hidden="1" customWidth="1"/>
    <col min="6" max="6" width="36.140625" customWidth="1"/>
    <col min="7" max="7" width="6.42578125" customWidth="1"/>
    <col min="8" max="8" width="48.42578125" customWidth="1"/>
    <col min="9" max="22" width="8.5703125" customWidth="1"/>
    <col min="23" max="34" width="12" customWidth="1"/>
    <col min="35" max="46" width="10.42578125" customWidth="1"/>
    <col min="47" max="47" width="11.7109375" bestFit="1" customWidth="1"/>
    <col min="48" max="48" width="11.28515625" bestFit="1" customWidth="1"/>
    <col min="49" max="49" width="11.85546875" bestFit="1" customWidth="1"/>
    <col min="50" max="50" width="11.28515625" bestFit="1" customWidth="1"/>
    <col min="51" max="51" width="11.7109375" bestFit="1" customWidth="1"/>
    <col min="52" max="52" width="11.28515625" bestFit="1" customWidth="1"/>
    <col min="53" max="53" width="10.7109375" bestFit="1" customWidth="1"/>
    <col min="54" max="54" width="11.5703125" bestFit="1" customWidth="1"/>
    <col min="55" max="55" width="11.140625" bestFit="1" customWidth="1"/>
    <col min="56" max="56" width="11.42578125" bestFit="1" customWidth="1"/>
    <col min="57" max="57" width="11.7109375" bestFit="1" customWidth="1"/>
    <col min="58" max="58" width="11.5703125" bestFit="1" customWidth="1"/>
    <col min="59" max="70" width="11.5703125" customWidth="1"/>
    <col min="71" max="71" width="23.42578125" bestFit="1" customWidth="1"/>
    <col min="72" max="72" width="11" bestFit="1" customWidth="1"/>
    <col min="73" max="73" width="11" customWidth="1"/>
    <col min="74" max="74" width="11.140625" bestFit="1" customWidth="1"/>
    <col min="75" max="75" width="11.140625" customWidth="1"/>
    <col min="76" max="76" width="17.28515625" bestFit="1" customWidth="1"/>
    <col min="78" max="78" width="11" bestFit="1" customWidth="1"/>
  </cols>
  <sheetData>
    <row r="1" spans="1:80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323</v>
      </c>
      <c r="G1" s="17" t="s">
        <v>227</v>
      </c>
      <c r="H1" s="17" t="s">
        <v>173</v>
      </c>
      <c r="I1" s="18">
        <v>43831</v>
      </c>
      <c r="J1" s="18">
        <v>43862</v>
      </c>
      <c r="K1" s="18">
        <v>43891</v>
      </c>
      <c r="L1" s="18">
        <v>43922</v>
      </c>
      <c r="M1" s="18">
        <v>43952</v>
      </c>
      <c r="N1" s="18">
        <v>43983</v>
      </c>
      <c r="O1" s="18">
        <v>44013</v>
      </c>
      <c r="P1" s="18">
        <v>44044</v>
      </c>
      <c r="Q1" s="18">
        <v>44075</v>
      </c>
      <c r="R1" s="18">
        <v>44105</v>
      </c>
      <c r="S1" s="18">
        <v>44136</v>
      </c>
      <c r="T1" s="18">
        <v>44166</v>
      </c>
      <c r="U1" s="18">
        <v>44167</v>
      </c>
      <c r="V1" s="18">
        <v>44198</v>
      </c>
      <c r="W1" s="18">
        <v>44197</v>
      </c>
      <c r="X1" s="18">
        <v>44228</v>
      </c>
      <c r="Y1" s="18">
        <v>44256</v>
      </c>
      <c r="Z1" s="18">
        <v>44287</v>
      </c>
      <c r="AA1" s="18">
        <v>44317</v>
      </c>
      <c r="AB1" s="18">
        <v>44348</v>
      </c>
      <c r="AC1" s="18">
        <v>44378</v>
      </c>
      <c r="AD1" s="18">
        <v>44409</v>
      </c>
      <c r="AE1" s="18">
        <v>44440</v>
      </c>
      <c r="AF1" s="18">
        <v>44470</v>
      </c>
      <c r="AG1" s="18">
        <v>44501</v>
      </c>
      <c r="AH1" s="18">
        <v>44531</v>
      </c>
      <c r="AI1" s="18">
        <v>44562</v>
      </c>
      <c r="AJ1" s="18">
        <v>44593</v>
      </c>
      <c r="AK1" s="18">
        <v>44621</v>
      </c>
      <c r="AL1" s="18">
        <v>44652</v>
      </c>
      <c r="AM1" s="18">
        <v>44682</v>
      </c>
      <c r="AN1" s="18">
        <v>44713</v>
      </c>
      <c r="AO1" s="18">
        <v>44743</v>
      </c>
      <c r="AP1" s="18">
        <v>44774</v>
      </c>
      <c r="AQ1" s="18">
        <v>44805</v>
      </c>
      <c r="AR1" s="18">
        <v>44835</v>
      </c>
      <c r="AS1" s="18">
        <v>44866</v>
      </c>
      <c r="AT1" s="18">
        <v>44896</v>
      </c>
      <c r="AU1" s="18">
        <v>44927</v>
      </c>
      <c r="AV1" s="18">
        <v>44958</v>
      </c>
      <c r="AW1" s="18">
        <v>44986</v>
      </c>
      <c r="AX1" s="18">
        <v>45017</v>
      </c>
      <c r="AY1" s="18">
        <v>45047</v>
      </c>
      <c r="AZ1" s="18">
        <v>45078</v>
      </c>
      <c r="BA1" s="18">
        <v>45108</v>
      </c>
      <c r="BB1" s="18">
        <v>45139</v>
      </c>
      <c r="BC1" s="18">
        <v>45170</v>
      </c>
      <c r="BD1" s="18">
        <v>45200</v>
      </c>
      <c r="BE1" s="18">
        <v>45231</v>
      </c>
      <c r="BF1" s="18">
        <v>45261</v>
      </c>
      <c r="BG1" s="102">
        <v>45292</v>
      </c>
      <c r="BH1" s="102">
        <v>45323</v>
      </c>
      <c r="BI1" s="102">
        <v>45352</v>
      </c>
      <c r="BJ1" s="102">
        <v>45383</v>
      </c>
      <c r="BK1" s="102">
        <v>45413</v>
      </c>
      <c r="BL1" s="102">
        <v>45444</v>
      </c>
      <c r="BM1" s="102">
        <v>45474</v>
      </c>
      <c r="BN1" s="102">
        <v>45505</v>
      </c>
      <c r="BO1" s="102">
        <v>45536</v>
      </c>
      <c r="BP1" s="102">
        <v>45566</v>
      </c>
      <c r="BQ1" s="102">
        <v>45597</v>
      </c>
      <c r="BR1" s="102">
        <v>45627</v>
      </c>
      <c r="BS1" s="106" t="s">
        <v>179</v>
      </c>
      <c r="BT1" s="102" t="s">
        <v>182</v>
      </c>
      <c r="BU1" s="102" t="s">
        <v>311</v>
      </c>
      <c r="BV1" s="102" t="s">
        <v>180</v>
      </c>
      <c r="BW1" s="102" t="s">
        <v>312</v>
      </c>
      <c r="BX1" s="106" t="s">
        <v>181</v>
      </c>
      <c r="BY1" t="s">
        <v>177</v>
      </c>
      <c r="BZ1" t="s">
        <v>225</v>
      </c>
      <c r="CA1" s="2" t="s">
        <v>226</v>
      </c>
      <c r="CB1" s="2" t="s">
        <v>122</v>
      </c>
    </row>
    <row r="2" spans="1:80" ht="15" x14ac:dyDescent="0.2">
      <c r="A2" s="2" t="s">
        <v>107</v>
      </c>
      <c r="B2" s="2">
        <v>1</v>
      </c>
      <c r="C2" s="2"/>
      <c r="D2" s="108" t="s">
        <v>183</v>
      </c>
      <c r="E2" s="20"/>
      <c r="F2" s="219" t="s">
        <v>324</v>
      </c>
      <c r="G2" s="20"/>
      <c r="H2" s="20" t="str">
        <f>CONCATENATE(A2,E2)</f>
        <v>1 - TOTAL</v>
      </c>
      <c r="I2" s="20">
        <v>2128952.7909999602</v>
      </c>
      <c r="J2" s="20">
        <v>1573272.09</v>
      </c>
      <c r="K2" s="20">
        <v>2476961.4419999002</v>
      </c>
      <c r="L2" s="20">
        <v>2086485.9379999503</v>
      </c>
      <c r="M2" s="20">
        <v>2038109.0599999509</v>
      </c>
      <c r="N2" s="20">
        <v>1960087.75</v>
      </c>
      <c r="O2" s="20">
        <v>2449578.39</v>
      </c>
      <c r="P2" s="20">
        <v>1751404.72</v>
      </c>
      <c r="Q2" s="20">
        <v>2636104.9099999997</v>
      </c>
      <c r="R2" s="20">
        <v>1991057.3699999999</v>
      </c>
      <c r="S2" s="20">
        <v>2890477.23</v>
      </c>
      <c r="T2" s="20">
        <v>2672542.36</v>
      </c>
      <c r="U2" s="20">
        <v>2672542.36</v>
      </c>
      <c r="V2" s="20">
        <v>2160275.17</v>
      </c>
      <c r="W2" s="20">
        <v>2160275.17</v>
      </c>
      <c r="X2" s="20">
        <v>1729170.56</v>
      </c>
      <c r="Y2" s="20">
        <v>1408118.18</v>
      </c>
      <c r="Z2" s="20">
        <v>2194304.09</v>
      </c>
      <c r="AA2" s="20">
        <v>2650378.81</v>
      </c>
      <c r="AB2" s="20">
        <v>2209415.48</v>
      </c>
      <c r="AC2" s="20">
        <v>2332555.91</v>
      </c>
      <c r="AD2" s="20">
        <v>2180870.0699999994</v>
      </c>
      <c r="AE2" s="20">
        <v>2274247.4400000004</v>
      </c>
      <c r="AF2" s="20">
        <v>2588760.7199999997</v>
      </c>
      <c r="AG2" s="20">
        <v>2581281.1</v>
      </c>
      <c r="AH2" s="20">
        <v>3002777.14</v>
      </c>
      <c r="AI2" s="20">
        <v>2236775.35</v>
      </c>
      <c r="AJ2" s="20">
        <v>1432655.23</v>
      </c>
      <c r="AK2" s="20">
        <v>2011358.93</v>
      </c>
      <c r="AL2" s="20">
        <v>2659030.98</v>
      </c>
      <c r="AM2" s="20">
        <v>3006579.75</v>
      </c>
      <c r="AN2" s="20">
        <v>2464901.36</v>
      </c>
      <c r="AO2" s="20">
        <v>2501382.06</v>
      </c>
      <c r="AP2" s="20">
        <v>2204860.0499999998</v>
      </c>
      <c r="AQ2" s="20">
        <v>2556896.0299999998</v>
      </c>
      <c r="AR2" s="20">
        <v>2707697.44</v>
      </c>
      <c r="AS2" s="20">
        <v>2415882.54</v>
      </c>
      <c r="AT2" s="20">
        <v>2692784.64</v>
      </c>
      <c r="AU2" s="20">
        <v>2859585.31</v>
      </c>
      <c r="AV2" s="20">
        <v>2290503.62</v>
      </c>
      <c r="AW2" s="20">
        <v>2258763.79</v>
      </c>
      <c r="AX2" s="20">
        <v>3226365.23</v>
      </c>
      <c r="AY2" s="20">
        <v>2759630.72</v>
      </c>
      <c r="AZ2" s="20">
        <v>2764496.35</v>
      </c>
      <c r="BA2" s="20">
        <v>2839189.01</v>
      </c>
      <c r="BB2" s="20">
        <v>3801574.8500000006</v>
      </c>
      <c r="BC2" s="20">
        <v>3346794.8</v>
      </c>
      <c r="BD2" s="20">
        <v>3245706.12</v>
      </c>
      <c r="BE2" s="20">
        <v>3479448.6899999995</v>
      </c>
      <c r="BF2" s="20">
        <v>4923248.92</v>
      </c>
      <c r="BG2" s="103">
        <v>3209755.26</v>
      </c>
      <c r="BH2" s="103">
        <v>3256937.67</v>
      </c>
      <c r="BI2" s="103">
        <v>2605192.4800000004</v>
      </c>
      <c r="BJ2" s="103"/>
      <c r="BK2" s="103"/>
      <c r="BL2" s="103"/>
      <c r="BM2" s="103"/>
      <c r="BN2" s="103"/>
      <c r="BO2" s="103"/>
      <c r="BP2" s="103"/>
      <c r="BQ2" s="103"/>
      <c r="BR2" s="103"/>
      <c r="BS2" s="105">
        <v>1.4699690841849522E-2</v>
      </c>
      <c r="BT2" s="103">
        <f t="shared" ref="BT2" si="0">SUM(AU2:BF2)</f>
        <v>37795307.410000004</v>
      </c>
      <c r="BU2" s="103">
        <f t="shared" ref="BU2" si="1">SUM(BG2:BR2)</f>
        <v>9071885.4100000001</v>
      </c>
      <c r="BV2" s="103">
        <f t="shared" ref="BV2" si="2">AVERAGE(AU2:BF2)</f>
        <v>3149608.9508333337</v>
      </c>
      <c r="BW2" s="103">
        <f t="shared" ref="BW2" si="3">AVERAGE(BG2:BR2)</f>
        <v>3023961.8033333332</v>
      </c>
      <c r="BX2" s="105">
        <f>BI2/BW2-1</f>
        <v>-0.13848366830286041</v>
      </c>
      <c r="BY2">
        <v>1</v>
      </c>
      <c r="BZ2" s="32">
        <f t="array" ref="BZ2">MAX(IF(BG2:BR2&gt;0,BG1:BR1))</f>
        <v>45352</v>
      </c>
      <c r="CA2">
        <f>MONTH($BZ$2)</f>
        <v>3</v>
      </c>
    </row>
    <row r="3" spans="1:80" ht="15" x14ac:dyDescent="0.2">
      <c r="A3" s="2"/>
      <c r="B3" s="2"/>
      <c r="C3" s="2"/>
      <c r="D3" s="99"/>
      <c r="E3" s="20"/>
      <c r="F3" s="216" t="s">
        <v>325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3"/>
      <c r="BR3" s="103"/>
      <c r="BS3" s="105"/>
      <c r="BT3" s="103"/>
      <c r="BU3" s="103"/>
      <c r="BV3" s="103"/>
      <c r="BW3" s="103"/>
      <c r="BX3" s="105"/>
      <c r="BZ3" s="32"/>
    </row>
    <row r="4" spans="1:80" ht="15" x14ac:dyDescent="0.2">
      <c r="A4" s="2"/>
      <c r="B4" s="2"/>
      <c r="C4" s="2"/>
      <c r="D4" s="99"/>
      <c r="E4" s="20"/>
      <c r="F4" s="218" t="s">
        <v>326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3"/>
      <c r="BR4" s="103"/>
      <c r="BS4" s="105"/>
      <c r="BT4" s="103"/>
      <c r="BU4" s="103"/>
      <c r="BV4" s="103"/>
      <c r="BW4" s="103"/>
      <c r="BX4" s="105"/>
      <c r="BZ4" s="32"/>
    </row>
    <row r="5" spans="1:80" ht="15" x14ac:dyDescent="0.2">
      <c r="A5" s="2"/>
      <c r="B5" s="2"/>
      <c r="C5" s="2"/>
      <c r="D5" s="99"/>
      <c r="E5" s="20"/>
      <c r="F5" s="218" t="s">
        <v>327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5"/>
      <c r="BT5" s="103"/>
      <c r="BU5" s="103"/>
      <c r="BV5" s="103"/>
      <c r="BW5" s="103"/>
      <c r="BX5" s="105"/>
      <c r="BZ5" s="32"/>
    </row>
    <row r="6" spans="1:80" ht="15" x14ac:dyDescent="0.2">
      <c r="A6" s="2"/>
      <c r="B6" s="2"/>
      <c r="C6" s="2"/>
      <c r="D6" s="99"/>
      <c r="E6" s="20"/>
      <c r="F6" s="217" t="s">
        <v>328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5"/>
      <c r="BT6" s="103"/>
      <c r="BU6" s="103"/>
      <c r="BV6" s="103"/>
      <c r="BW6" s="103"/>
      <c r="BX6" s="105"/>
      <c r="BZ6" s="32"/>
    </row>
    <row r="7" spans="1:80" ht="15" x14ac:dyDescent="0.2">
      <c r="A7" s="2" t="s">
        <v>107</v>
      </c>
      <c r="B7" s="2">
        <v>11</v>
      </c>
      <c r="C7" t="s">
        <v>213</v>
      </c>
      <c r="D7" s="99" t="s">
        <v>192</v>
      </c>
      <c r="E7" s="99" t="s">
        <v>172</v>
      </c>
      <c r="F7" s="217" t="s">
        <v>329</v>
      </c>
      <c r="H7" s="20" t="str">
        <f t="shared" ref="H7" si="4">CONCATENATE(A7,E7)</f>
        <v>1 - TOTALDESCONTO PAGAMENTOS EM DUPLICIDADE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-7800</v>
      </c>
      <c r="AV7" s="20">
        <v>0</v>
      </c>
      <c r="AW7" s="20">
        <v>-18049.05</v>
      </c>
      <c r="AX7" s="20">
        <v>0</v>
      </c>
      <c r="AY7" s="20">
        <v>0</v>
      </c>
      <c r="AZ7" s="20">
        <v>-3754.01</v>
      </c>
      <c r="BA7" s="20">
        <v>-30733.65</v>
      </c>
      <c r="BB7" s="20">
        <v>-30733.63</v>
      </c>
      <c r="BC7" s="20">
        <v>-40441.49</v>
      </c>
      <c r="BD7" s="20">
        <v>-33171.86</v>
      </c>
      <c r="BE7" s="20">
        <v>-32088.69</v>
      </c>
      <c r="BF7" s="20">
        <v>-31547.81</v>
      </c>
      <c r="BG7" s="103">
        <v>-31712.15</v>
      </c>
      <c r="BH7" s="103">
        <v>-30890.400000000001</v>
      </c>
      <c r="BI7" s="103">
        <v>-30740.65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5">
        <v>-4.8477844249346091E-3</v>
      </c>
      <c r="BT7" s="103">
        <f t="shared" ref="BT7" si="5">SUM(AU7:BF7)</f>
        <v>-228320.19</v>
      </c>
      <c r="BU7" s="103">
        <f t="shared" ref="BU7" si="6">SUM(BG7:BR7)</f>
        <v>-93343.200000000012</v>
      </c>
      <c r="BV7" s="103">
        <f t="shared" ref="BV7" si="7">AVERAGE(AU7:BF7)</f>
        <v>-19026.682499999999</v>
      </c>
      <c r="BW7" s="103">
        <f t="shared" ref="BW7" si="8">AVERAGE(BG7:BR7)</f>
        <v>-31114.400000000005</v>
      </c>
      <c r="BX7" s="105">
        <f t="shared" ref="BX7" si="9">BI7/BW7-1</f>
        <v>-1.2012123004139674E-2</v>
      </c>
      <c r="CA7">
        <f t="shared" ref="CA7" si="10">MONTH($BZ$2)</f>
        <v>3</v>
      </c>
    </row>
    <row r="8" spans="1:80" ht="15" x14ac:dyDescent="0.2">
      <c r="A8" s="2"/>
      <c r="B8" s="2"/>
      <c r="C8" s="2"/>
      <c r="D8" s="99"/>
      <c r="E8" s="20"/>
      <c r="F8" s="217" t="s">
        <v>330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5"/>
      <c r="BT8" s="103"/>
      <c r="BU8" s="103"/>
      <c r="BV8" s="103"/>
      <c r="BW8" s="103"/>
      <c r="BX8" s="105"/>
      <c r="BZ8" s="32"/>
    </row>
    <row r="9" spans="1:80" ht="15" x14ac:dyDescent="0.2">
      <c r="A9" s="2"/>
      <c r="B9" s="2"/>
      <c r="C9" s="2"/>
      <c r="D9" s="99"/>
      <c r="E9" s="20"/>
      <c r="F9" s="217" t="s">
        <v>331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5"/>
      <c r="BT9" s="103"/>
      <c r="BU9" s="103"/>
      <c r="BV9" s="103"/>
      <c r="BW9" s="103"/>
      <c r="BX9" s="105"/>
      <c r="BZ9" s="32"/>
    </row>
    <row r="10" spans="1:80" ht="15" x14ac:dyDescent="0.2">
      <c r="A10" s="2"/>
      <c r="B10" s="2"/>
      <c r="C10" s="2"/>
      <c r="D10" s="99"/>
      <c r="E10" s="20"/>
      <c r="F10" s="216" t="s">
        <v>332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5"/>
      <c r="BT10" s="103"/>
      <c r="BU10" s="103"/>
      <c r="BV10" s="103"/>
      <c r="BW10" s="103"/>
      <c r="BX10" s="105"/>
      <c r="BZ10" s="32"/>
    </row>
    <row r="11" spans="1:80" ht="15" x14ac:dyDescent="0.2">
      <c r="A11" s="2"/>
      <c r="B11" s="2"/>
      <c r="C11" s="2"/>
      <c r="D11" s="99"/>
      <c r="E11" s="20"/>
      <c r="F11" s="219" t="s">
        <v>333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5"/>
      <c r="BT11" s="103"/>
      <c r="BU11" s="103"/>
      <c r="BV11" s="103"/>
      <c r="BW11" s="103"/>
      <c r="BX11" s="105"/>
      <c r="BZ11" s="32"/>
    </row>
    <row r="12" spans="1:80" ht="15" x14ac:dyDescent="0.2">
      <c r="A12" s="2" t="s">
        <v>107</v>
      </c>
      <c r="B12" s="2">
        <v>2</v>
      </c>
      <c r="C12" s="2"/>
      <c r="D12" s="99" t="s">
        <v>184</v>
      </c>
      <c r="E12" s="20"/>
      <c r="F12" s="217" t="s">
        <v>334</v>
      </c>
      <c r="G12" s="20"/>
      <c r="H12" s="20" t="str">
        <f t="shared" ref="H12:H77" si="11">CONCATENATE(A12,E12)</f>
        <v>1 - TOTAL</v>
      </c>
      <c r="I12" s="20">
        <v>2080493.1609999603</v>
      </c>
      <c r="J12" s="20">
        <v>1557878.36</v>
      </c>
      <c r="K12" s="20">
        <v>2467867.0219999002</v>
      </c>
      <c r="L12" s="20">
        <v>2077416.3179999501</v>
      </c>
      <c r="M12" s="20">
        <v>2023994.409999951</v>
      </c>
      <c r="N12" s="20">
        <v>1893787.87</v>
      </c>
      <c r="O12" s="20">
        <v>2432703.7400000002</v>
      </c>
      <c r="P12" s="20">
        <v>1729132.8599999999</v>
      </c>
      <c r="Q12" s="20">
        <v>2626606.65</v>
      </c>
      <c r="R12" s="20">
        <v>1944716.39</v>
      </c>
      <c r="S12" s="20">
        <v>2879198.23</v>
      </c>
      <c r="T12" s="20">
        <v>2636964.1199999996</v>
      </c>
      <c r="U12" s="20">
        <v>2636964.1199999996</v>
      </c>
      <c r="V12" s="20">
        <v>2148686.1799999997</v>
      </c>
      <c r="W12" s="20">
        <v>2148686.1799999997</v>
      </c>
      <c r="X12" s="20">
        <v>1696947.3800000001</v>
      </c>
      <c r="Y12" s="20">
        <v>1392808.22</v>
      </c>
      <c r="Z12" s="20">
        <v>2148581.48</v>
      </c>
      <c r="AA12" s="20">
        <v>2615876.56</v>
      </c>
      <c r="AB12" s="20">
        <v>2171635.73</v>
      </c>
      <c r="AC12" s="20">
        <v>2290461.33</v>
      </c>
      <c r="AD12" s="20">
        <v>2137745.8699999992</v>
      </c>
      <c r="AE12" s="20">
        <v>2227187.0300000003</v>
      </c>
      <c r="AF12" s="20">
        <v>2548910.1399999997</v>
      </c>
      <c r="AG12" s="20">
        <v>2497815.87</v>
      </c>
      <c r="AH12" s="20">
        <v>2915902.69</v>
      </c>
      <c r="AI12" s="20">
        <v>2207028.7200000002</v>
      </c>
      <c r="AJ12" s="20">
        <v>1413713.47</v>
      </c>
      <c r="AK12" s="20">
        <v>1978443.77</v>
      </c>
      <c r="AL12" s="20">
        <v>2552963.2599999998</v>
      </c>
      <c r="AM12" s="20">
        <v>2942460.34</v>
      </c>
      <c r="AN12" s="20">
        <v>2353894.8899999997</v>
      </c>
      <c r="AO12" s="20">
        <v>2489830.21</v>
      </c>
      <c r="AP12" s="20">
        <v>2074481.4099999997</v>
      </c>
      <c r="AQ12" s="20">
        <v>2490668.09</v>
      </c>
      <c r="AR12" s="20">
        <v>2627678.59</v>
      </c>
      <c r="AS12" s="20">
        <v>2233248.35</v>
      </c>
      <c r="AT12" s="20">
        <v>2559407.89</v>
      </c>
      <c r="AU12" s="20">
        <v>2841862.91</v>
      </c>
      <c r="AV12" s="20">
        <v>2252640.1800000002</v>
      </c>
      <c r="AW12" s="20">
        <v>2240985.7600000002</v>
      </c>
      <c r="AX12" s="20">
        <v>3189129.54</v>
      </c>
      <c r="AY12" s="20">
        <v>2720686.62</v>
      </c>
      <c r="AZ12" s="20">
        <v>2678221.29</v>
      </c>
      <c r="BA12" s="20">
        <v>2667305.7899999996</v>
      </c>
      <c r="BB12" s="20">
        <v>3723873.9900000007</v>
      </c>
      <c r="BC12" s="20">
        <v>3106188.94</v>
      </c>
      <c r="BD12" s="20">
        <v>3074373.54</v>
      </c>
      <c r="BE12" s="20">
        <v>3313483.4699999993</v>
      </c>
      <c r="BF12" s="20">
        <v>4583650.79</v>
      </c>
      <c r="BG12" s="103">
        <v>3164177.3099999996</v>
      </c>
      <c r="BH12" s="103">
        <v>2999203.63</v>
      </c>
      <c r="BI12" s="103">
        <v>2471644.5500000003</v>
      </c>
      <c r="BJ12" s="103"/>
      <c r="BK12" s="103"/>
      <c r="BL12" s="103"/>
      <c r="BM12" s="103"/>
      <c r="BN12" s="103"/>
      <c r="BO12" s="103"/>
      <c r="BP12" s="103"/>
      <c r="BQ12" s="103"/>
      <c r="BR12" s="103"/>
      <c r="BS12" s="105">
        <v>-0.17589972042011681</v>
      </c>
      <c r="BT12" s="103">
        <f t="shared" ref="BT12:BT52" si="12">SUM(AU12:BF12)</f>
        <v>36392402.82</v>
      </c>
      <c r="BU12" s="103">
        <f t="shared" ref="BU12:BU46" si="13">SUM(BG12:BR12)</f>
        <v>8635025.4900000002</v>
      </c>
      <c r="BV12" s="103">
        <f t="shared" ref="BV12:BV52" si="14">AVERAGE(AU12:BF12)</f>
        <v>3032700.2349999999</v>
      </c>
      <c r="BW12" s="103">
        <f t="shared" ref="BW12:BW46" si="15">AVERAGE(BG12:BR12)</f>
        <v>2878341.83</v>
      </c>
      <c r="BX12" s="105">
        <f t="shared" ref="BX12:BX47" si="16">BI12/BW12-1</f>
        <v>-0.14129568481447519</v>
      </c>
      <c r="CA12">
        <f t="shared" ref="CA12:CA81" si="17">MONTH($BZ$2)</f>
        <v>3</v>
      </c>
    </row>
    <row r="13" spans="1:80" ht="15" x14ac:dyDescent="0.2">
      <c r="A13" s="2" t="s">
        <v>107</v>
      </c>
      <c r="B13" s="2">
        <v>3</v>
      </c>
      <c r="C13" s="2"/>
      <c r="D13" s="99" t="s">
        <v>185</v>
      </c>
      <c r="E13" s="20"/>
      <c r="F13" s="217" t="s">
        <v>335</v>
      </c>
      <c r="G13" s="20"/>
      <c r="H13" s="20" t="str">
        <f t="shared" si="11"/>
        <v>1 - TOTAL</v>
      </c>
      <c r="I13" s="20">
        <v>48459.63</v>
      </c>
      <c r="J13" s="20">
        <v>15393.73</v>
      </c>
      <c r="K13" s="20">
        <v>9094.42</v>
      </c>
      <c r="L13" s="20">
        <v>9069.6200000000008</v>
      </c>
      <c r="M13" s="20">
        <v>14114.65</v>
      </c>
      <c r="N13" s="20">
        <v>66299.88</v>
      </c>
      <c r="O13" s="20">
        <v>16874.650000000001</v>
      </c>
      <c r="P13" s="20">
        <v>22271.86</v>
      </c>
      <c r="Q13" s="20">
        <v>9498.26</v>
      </c>
      <c r="R13" s="20">
        <v>46340.98</v>
      </c>
      <c r="S13" s="20">
        <v>11278.999999999998</v>
      </c>
      <c r="T13" s="20">
        <v>35578.239999999998</v>
      </c>
      <c r="U13" s="20">
        <v>35578.239999999998</v>
      </c>
      <c r="V13" s="20">
        <v>11588.989999999998</v>
      </c>
      <c r="W13" s="20">
        <v>11588.989999999998</v>
      </c>
      <c r="X13" s="20">
        <v>32223.180000000004</v>
      </c>
      <c r="Y13" s="20">
        <v>15309.960000000001</v>
      </c>
      <c r="Z13" s="20">
        <v>45722.61</v>
      </c>
      <c r="AA13" s="20">
        <v>34502.25</v>
      </c>
      <c r="AB13" s="20">
        <v>37779.75</v>
      </c>
      <c r="AC13" s="20">
        <v>42094.58</v>
      </c>
      <c r="AD13" s="20">
        <v>43124.200000000004</v>
      </c>
      <c r="AE13" s="20">
        <v>47060.409999999989</v>
      </c>
      <c r="AF13" s="20">
        <v>39850.58</v>
      </c>
      <c r="AG13" s="20">
        <v>83465.23</v>
      </c>
      <c r="AH13" s="20">
        <v>86874.45</v>
      </c>
      <c r="AI13" s="20">
        <v>29746.630000000005</v>
      </c>
      <c r="AJ13" s="20">
        <v>18941.760000000002</v>
      </c>
      <c r="AK13" s="20">
        <v>32915.160000000003</v>
      </c>
      <c r="AL13" s="20">
        <v>106067.72</v>
      </c>
      <c r="AM13" s="20">
        <v>64119.41</v>
      </c>
      <c r="AN13" s="20">
        <v>111006.47</v>
      </c>
      <c r="AO13" s="20">
        <v>11551.849999999999</v>
      </c>
      <c r="AP13" s="20">
        <v>130378.63999999998</v>
      </c>
      <c r="AQ13" s="20">
        <v>66227.94</v>
      </c>
      <c r="AR13" s="20">
        <v>80018.850000000006</v>
      </c>
      <c r="AS13" s="20">
        <v>182634.19</v>
      </c>
      <c r="AT13" s="20">
        <v>133376.75</v>
      </c>
      <c r="AU13" s="20">
        <v>17722.400000000001</v>
      </c>
      <c r="AV13" s="20">
        <v>37863.440000000002</v>
      </c>
      <c r="AW13" s="20">
        <v>17778.030000000002</v>
      </c>
      <c r="AX13" s="20">
        <v>37235.69</v>
      </c>
      <c r="AY13" s="20">
        <v>38944.1</v>
      </c>
      <c r="AZ13" s="20">
        <v>86275.060000000012</v>
      </c>
      <c r="BA13" s="20">
        <v>171883.22</v>
      </c>
      <c r="BB13" s="20">
        <v>77700.86</v>
      </c>
      <c r="BC13" s="20">
        <v>240605.86</v>
      </c>
      <c r="BD13" s="20">
        <v>171332.58</v>
      </c>
      <c r="BE13" s="20">
        <v>165965.22</v>
      </c>
      <c r="BF13" s="20">
        <v>339598.12999999995</v>
      </c>
      <c r="BG13" s="103">
        <v>45577.950000000004</v>
      </c>
      <c r="BH13" s="103">
        <v>257734.04</v>
      </c>
      <c r="BI13" s="103">
        <v>133547.93</v>
      </c>
      <c r="BJ13" s="103"/>
      <c r="BK13" s="103"/>
      <c r="BL13" s="103"/>
      <c r="BM13" s="103"/>
      <c r="BN13" s="103"/>
      <c r="BO13" s="103"/>
      <c r="BP13" s="103"/>
      <c r="BQ13" s="103"/>
      <c r="BR13" s="103"/>
      <c r="BS13" s="105">
        <v>-0.48183821586003928</v>
      </c>
      <c r="BT13" s="103">
        <f t="shared" si="12"/>
        <v>1402904.5899999999</v>
      </c>
      <c r="BU13" s="103">
        <f t="shared" si="13"/>
        <v>436859.92</v>
      </c>
      <c r="BV13" s="103">
        <f t="shared" si="14"/>
        <v>116908.71583333332</v>
      </c>
      <c r="BW13" s="103">
        <f t="shared" si="15"/>
        <v>145619.97333333333</v>
      </c>
      <c r="BX13" s="105">
        <f t="shared" si="16"/>
        <v>-8.2901013212656416E-2</v>
      </c>
      <c r="CA13">
        <f t="shared" si="17"/>
        <v>3</v>
      </c>
    </row>
    <row r="14" spans="1:80" ht="15" x14ac:dyDescent="0.2">
      <c r="A14" s="2"/>
      <c r="B14" s="2"/>
      <c r="C14" s="2"/>
      <c r="D14" s="99"/>
      <c r="E14" s="20"/>
      <c r="F14" s="217" t="s">
        <v>336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5"/>
      <c r="BT14" s="103"/>
      <c r="BU14" s="103"/>
      <c r="BV14" s="103"/>
      <c r="BW14" s="103"/>
      <c r="BX14" s="105"/>
    </row>
    <row r="15" spans="1:80" ht="15" x14ac:dyDescent="0.2">
      <c r="A15" s="2"/>
      <c r="B15" s="2"/>
      <c r="C15" s="2"/>
      <c r="D15" s="99"/>
      <c r="E15" s="20"/>
      <c r="F15" s="217" t="s">
        <v>337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5"/>
      <c r="BT15" s="103"/>
      <c r="BU15" s="103"/>
      <c r="BV15" s="103"/>
      <c r="BW15" s="103"/>
      <c r="BX15" s="105"/>
    </row>
    <row r="16" spans="1:80" ht="15" x14ac:dyDescent="0.2">
      <c r="A16" s="2" t="s">
        <v>107</v>
      </c>
      <c r="B16" s="2">
        <v>4</v>
      </c>
      <c r="C16" s="2"/>
      <c r="D16" s="222" t="s">
        <v>186</v>
      </c>
      <c r="E16" s="20"/>
      <c r="F16" s="20"/>
      <c r="G16" s="20"/>
      <c r="H16" s="20" t="str">
        <f t="shared" si="11"/>
        <v>1 - TOTAL</v>
      </c>
      <c r="I16" s="20">
        <v>2128952.7909999602</v>
      </c>
      <c r="J16" s="20">
        <v>1573272.09</v>
      </c>
      <c r="K16" s="20">
        <v>2476961.4419999002</v>
      </c>
      <c r="L16" s="20">
        <v>2086485.9379999503</v>
      </c>
      <c r="M16" s="20">
        <v>2038109.0599999509</v>
      </c>
      <c r="N16" s="20">
        <v>1960087.75</v>
      </c>
      <c r="O16" s="20">
        <v>2449578.39</v>
      </c>
      <c r="P16" s="20">
        <v>1751404.72</v>
      </c>
      <c r="Q16" s="20">
        <v>2636104.9099999997</v>
      </c>
      <c r="R16" s="20">
        <v>1991057.3699999999</v>
      </c>
      <c r="S16" s="20">
        <v>2890477.23</v>
      </c>
      <c r="T16" s="20">
        <v>2672542.36</v>
      </c>
      <c r="U16" s="20">
        <v>2672542.36</v>
      </c>
      <c r="V16" s="20">
        <v>2160275.17</v>
      </c>
      <c r="W16" s="20">
        <v>2160275.17</v>
      </c>
      <c r="X16" s="20">
        <v>1729170.56</v>
      </c>
      <c r="Y16" s="20">
        <v>1408118.18</v>
      </c>
      <c r="Z16" s="20">
        <v>2194304.09</v>
      </c>
      <c r="AA16" s="20">
        <v>2650378.81</v>
      </c>
      <c r="AB16" s="20">
        <v>2209415.48</v>
      </c>
      <c r="AC16" s="20">
        <v>2332555.91</v>
      </c>
      <c r="AD16" s="20">
        <v>2180870.0699999994</v>
      </c>
      <c r="AE16" s="20">
        <v>2274247.4400000004</v>
      </c>
      <c r="AF16" s="20">
        <v>2588760.7199999997</v>
      </c>
      <c r="AG16" s="20">
        <v>2581281.1</v>
      </c>
      <c r="AH16" s="20">
        <v>3002777.14</v>
      </c>
      <c r="AI16" s="20">
        <v>2236775.35</v>
      </c>
      <c r="AJ16" s="20">
        <v>1432655.23</v>
      </c>
      <c r="AK16" s="20">
        <v>2011358.93</v>
      </c>
      <c r="AL16" s="20">
        <v>2659030.98</v>
      </c>
      <c r="AM16" s="20">
        <v>3006579.75</v>
      </c>
      <c r="AN16" s="20">
        <v>2464901.36</v>
      </c>
      <c r="AO16" s="20">
        <v>2501382.06</v>
      </c>
      <c r="AP16" s="20">
        <v>2204860.0499999998</v>
      </c>
      <c r="AQ16" s="20">
        <v>2556896.0299999998</v>
      </c>
      <c r="AR16" s="20">
        <v>2707697.44</v>
      </c>
      <c r="AS16" s="20">
        <v>2415882.54</v>
      </c>
      <c r="AT16" s="20">
        <v>2692784.64</v>
      </c>
      <c r="AU16" s="20">
        <v>2859585.31</v>
      </c>
      <c r="AV16" s="20">
        <v>2290503.62</v>
      </c>
      <c r="AW16" s="20">
        <v>2258763.79</v>
      </c>
      <c r="AX16" s="20">
        <v>3226365.23</v>
      </c>
      <c r="AY16" s="20">
        <v>2759630.72</v>
      </c>
      <c r="AZ16" s="20">
        <v>2764496.35</v>
      </c>
      <c r="BA16" s="20">
        <v>2839189.01</v>
      </c>
      <c r="BB16" s="20">
        <v>3801574.8500000006</v>
      </c>
      <c r="BC16" s="20">
        <v>3346794.8</v>
      </c>
      <c r="BD16" s="20">
        <v>3245706.12</v>
      </c>
      <c r="BE16" s="20">
        <v>3479448.6899999995</v>
      </c>
      <c r="BF16" s="20">
        <v>4923248.92</v>
      </c>
      <c r="BG16" s="103">
        <v>3209755.26</v>
      </c>
      <c r="BH16" s="103">
        <v>3256937.67</v>
      </c>
      <c r="BI16" s="103">
        <v>2605192.4800000004</v>
      </c>
      <c r="BJ16" s="103"/>
      <c r="BK16" s="103"/>
      <c r="BL16" s="103"/>
      <c r="BM16" s="103"/>
      <c r="BN16" s="103"/>
      <c r="BO16" s="103"/>
      <c r="BP16" s="103"/>
      <c r="BQ16" s="103"/>
      <c r="BR16" s="103"/>
      <c r="BS16" s="105"/>
      <c r="BT16" s="103">
        <f t="shared" si="12"/>
        <v>37795307.410000004</v>
      </c>
      <c r="BU16" s="103">
        <f t="shared" si="13"/>
        <v>9071885.4100000001</v>
      </c>
      <c r="BV16" s="103">
        <f t="shared" si="14"/>
        <v>3149608.9508333337</v>
      </c>
      <c r="BW16" s="103">
        <f t="shared" si="15"/>
        <v>3023961.8033333332</v>
      </c>
      <c r="BX16" s="105">
        <f t="shared" si="16"/>
        <v>-0.13848366830286041</v>
      </c>
      <c r="CA16">
        <f t="shared" si="17"/>
        <v>3</v>
      </c>
    </row>
    <row r="17" spans="1:79" ht="15" x14ac:dyDescent="0.2">
      <c r="A17" s="2" t="s">
        <v>107</v>
      </c>
      <c r="B17" s="2">
        <v>5</v>
      </c>
      <c r="C17" s="2"/>
      <c r="D17" s="101" t="s">
        <v>32</v>
      </c>
      <c r="E17" s="20"/>
      <c r="F17" s="221" t="s">
        <v>338</v>
      </c>
      <c r="G17" s="20"/>
      <c r="H17" s="20" t="str">
        <f t="shared" si="11"/>
        <v>1 - TOTAL</v>
      </c>
      <c r="I17" s="87" t="e">
        <f>I18+I20+#REF!+I21+I22+#REF!</f>
        <v>#REF!</v>
      </c>
      <c r="J17" s="87" t="e">
        <f>J18+J20+#REF!+J21+J22+#REF!</f>
        <v>#REF!</v>
      </c>
      <c r="K17" s="87" t="e">
        <f>K18+K20+#REF!+K21+K22+#REF!</f>
        <v>#REF!</v>
      </c>
      <c r="L17" s="87" t="e">
        <f>L18+L20+#REF!+L21+L22+#REF!</f>
        <v>#REF!</v>
      </c>
      <c r="M17" s="87" t="e">
        <f>M18+M20+#REF!+M21+M22+#REF!</f>
        <v>#REF!</v>
      </c>
      <c r="N17" s="87" t="e">
        <f>N18+N20+#REF!+N21+N22+#REF!</f>
        <v>#REF!</v>
      </c>
      <c r="O17" s="87" t="e">
        <f>O18+O20+#REF!+O21+O22+#REF!</f>
        <v>#REF!</v>
      </c>
      <c r="P17" s="87" t="e">
        <f>P18+P20+#REF!+P21+P22+#REF!</f>
        <v>#REF!</v>
      </c>
      <c r="Q17" s="87" t="e">
        <f>Q18+Q20+#REF!+Q21+Q22+#REF!</f>
        <v>#REF!</v>
      </c>
      <c r="R17" s="87" t="e">
        <f>R18+R20+#REF!+R21+R22+#REF!</f>
        <v>#REF!</v>
      </c>
      <c r="S17" s="87" t="e">
        <f>S18+S20+#REF!+S21+S22+#REF!</f>
        <v>#REF!</v>
      </c>
      <c r="T17" s="87" t="e">
        <f>T18+T20+#REF!+T21+T22+#REF!</f>
        <v>#REF!</v>
      </c>
      <c r="U17" s="87" t="e">
        <f>U18+U20+#REF!+U21+U22+#REF!</f>
        <v>#REF!</v>
      </c>
      <c r="V17" s="87" t="e">
        <f>V18+V20+#REF!+V21+V22+#REF!</f>
        <v>#REF!</v>
      </c>
      <c r="W17" s="87" t="e">
        <f>W18+W20+#REF!+W21+W22+#REF!</f>
        <v>#REF!</v>
      </c>
      <c r="X17" s="87" t="e">
        <f>X18+X20+#REF!+X21+X22+#REF!</f>
        <v>#REF!</v>
      </c>
      <c r="Y17" s="87" t="e">
        <f>Y18+Y20+#REF!+Y21+Y22+#REF!</f>
        <v>#REF!</v>
      </c>
      <c r="Z17" s="87" t="e">
        <f>Z18+Z20+#REF!+Z21+Z22+#REF!</f>
        <v>#REF!</v>
      </c>
      <c r="AA17" s="87" t="e">
        <f>AA18+AA20+#REF!+AA21+AA22+#REF!</f>
        <v>#REF!</v>
      </c>
      <c r="AB17" s="87" t="e">
        <f>AB18+AB20+#REF!+AB21+AB22+#REF!</f>
        <v>#REF!</v>
      </c>
      <c r="AC17" s="87" t="e">
        <f>AC18+AC20+#REF!+AC21+AC22+#REF!</f>
        <v>#REF!</v>
      </c>
      <c r="AD17" s="87" t="e">
        <f>AD18+AD20+#REF!+AD21+AD22+#REF!</f>
        <v>#REF!</v>
      </c>
      <c r="AE17" s="87" t="e">
        <f>AE18+AE20+#REF!+AE21+AE22+#REF!</f>
        <v>#REF!</v>
      </c>
      <c r="AF17" s="87" t="e">
        <f>AF18+AF20+#REF!+AF21+AF22+#REF!</f>
        <v>#REF!</v>
      </c>
      <c r="AG17" s="87" t="e">
        <f>AG18+AG20+#REF!+AG21+AG22+#REF!</f>
        <v>#REF!</v>
      </c>
      <c r="AH17" s="87" t="e">
        <f>AH18+AH20+#REF!+AH21+AH22+#REF!</f>
        <v>#REF!</v>
      </c>
      <c r="AI17" s="87" t="e">
        <f>AI18+AI20+#REF!+AI21+AI22+#REF!</f>
        <v>#REF!</v>
      </c>
      <c r="AJ17" s="87" t="e">
        <f>AJ18+AJ20+#REF!+AJ21+AJ22+#REF!</f>
        <v>#REF!</v>
      </c>
      <c r="AK17" s="87" t="e">
        <f>AK18+AK20+#REF!+AK21+AK22+#REF!</f>
        <v>#REF!</v>
      </c>
      <c r="AL17" s="87" t="e">
        <f>AL18+AL20+#REF!+AL21+AL22+#REF!</f>
        <v>#REF!</v>
      </c>
      <c r="AM17" s="87" t="e">
        <f>AM18+AM20+#REF!+AM21+AM22+#REF!</f>
        <v>#REF!</v>
      </c>
      <c r="AN17" s="87" t="e">
        <f>AN18+AN20+#REF!+AN21+AN22+#REF!</f>
        <v>#REF!</v>
      </c>
      <c r="AO17" s="87" t="e">
        <f>AO18+AO20+#REF!+AO21+AO22+#REF!</f>
        <v>#REF!</v>
      </c>
      <c r="AP17" s="87" t="e">
        <f>AP18+AP20+#REF!+AP21+AP22+#REF!</f>
        <v>#REF!</v>
      </c>
      <c r="AQ17" s="87" t="e">
        <f>AQ18+AQ20+#REF!+AQ21+AQ22+#REF!</f>
        <v>#REF!</v>
      </c>
      <c r="AR17" s="87" t="e">
        <f>AR18+AR20+#REF!+AR21+AR22+#REF!</f>
        <v>#REF!</v>
      </c>
      <c r="AS17" s="87" t="e">
        <f>AS18+AS20+#REF!+AS21+AS22+#REF!</f>
        <v>#REF!</v>
      </c>
      <c r="AT17" s="87" t="e">
        <f>AT18+AT20+#REF!+AT21+AT22+#REF!</f>
        <v>#REF!</v>
      </c>
      <c r="AU17" s="87" t="e">
        <f>AU18+AU20+#REF!+AU21+AU22+#REF!</f>
        <v>#REF!</v>
      </c>
      <c r="AV17" s="87" t="e">
        <f>AV18+AV20+#REF!+AV21+AV22+#REF!</f>
        <v>#REF!</v>
      </c>
      <c r="AW17" s="87" t="e">
        <f>AW18+AW20+#REF!+AW21+AW22+#REF!</f>
        <v>#REF!</v>
      </c>
      <c r="AX17" s="87" t="e">
        <f>AX18+AX20+#REF!+AX21+AX22+#REF!</f>
        <v>#REF!</v>
      </c>
      <c r="AY17" s="87" t="e">
        <f>AY18+AY20+#REF!+AY21+AY22+#REF!</f>
        <v>#REF!</v>
      </c>
      <c r="AZ17" s="87" t="e">
        <f>AZ18+AZ20+#REF!+AZ21+AZ22+#REF!</f>
        <v>#REF!</v>
      </c>
      <c r="BA17" s="87" t="e">
        <f>BA18+BA20+#REF!+BA21+BA22+#REF!</f>
        <v>#REF!</v>
      </c>
      <c r="BB17" s="87" t="e">
        <f>BB18+BB20+#REF!+BB21+BB22+#REF!</f>
        <v>#REF!</v>
      </c>
      <c r="BC17" s="87" t="e">
        <f>BC18+BC20+#REF!+BC21+BC22+#REF!</f>
        <v>#REF!</v>
      </c>
      <c r="BD17" s="87" t="e">
        <f>BD18+BD20+#REF!+BD21+BD22+#REF!</f>
        <v>#REF!</v>
      </c>
      <c r="BE17" s="87" t="e">
        <f>BE18+BE20+#REF!+BE21+BE22+#REF!</f>
        <v>#REF!</v>
      </c>
      <c r="BF17" s="87" t="e">
        <f>BF18+BF20+#REF!+BF21+BF22+#REF!</f>
        <v>#REF!</v>
      </c>
      <c r="BG17" s="87" t="e">
        <f>BG18+BG20+#REF!+BG21+BG22+#REF!</f>
        <v>#REF!</v>
      </c>
      <c r="BH17" s="87" t="e">
        <f>BH18+BH20+#REF!+BH21+BH22+#REF!</f>
        <v>#REF!</v>
      </c>
      <c r="BI17" s="87" t="e">
        <f>BI18+BI20+#REF!+BI21+BI22+#REF!</f>
        <v>#REF!</v>
      </c>
      <c r="BJ17" s="141"/>
      <c r="BK17" s="141"/>
      <c r="BL17" s="141"/>
      <c r="BM17" s="141"/>
      <c r="BN17" s="141"/>
      <c r="BO17" s="141"/>
      <c r="BP17" s="141"/>
      <c r="BQ17" s="141"/>
      <c r="BR17" s="141"/>
      <c r="BS17" s="105">
        <v>-4.0697983558053208E-2</v>
      </c>
      <c r="BT17" s="103" t="e">
        <f t="shared" si="12"/>
        <v>#REF!</v>
      </c>
      <c r="BU17" s="103" t="e">
        <f t="shared" si="13"/>
        <v>#REF!</v>
      </c>
      <c r="BV17" s="103" t="e">
        <f t="shared" si="14"/>
        <v>#REF!</v>
      </c>
      <c r="BW17" s="103" t="e">
        <f t="shared" si="15"/>
        <v>#REF!</v>
      </c>
      <c r="BX17" s="105" t="e">
        <f t="shared" si="16"/>
        <v>#REF!</v>
      </c>
      <c r="BY17">
        <v>2</v>
      </c>
      <c r="CA17">
        <f t="shared" si="17"/>
        <v>3</v>
      </c>
    </row>
    <row r="18" spans="1:79" ht="15" x14ac:dyDescent="0.2">
      <c r="A18" s="2" t="s">
        <v>107</v>
      </c>
      <c r="B18" s="2">
        <v>9</v>
      </c>
      <c r="C18" t="s">
        <v>213</v>
      </c>
      <c r="D18" s="99" t="s">
        <v>190</v>
      </c>
      <c r="E18" s="99" t="s">
        <v>30</v>
      </c>
      <c r="H18" s="20" t="str">
        <f t="shared" si="11"/>
        <v>1 - TOTALPENALIDADES E GLOSAS DE CLIENTES</v>
      </c>
      <c r="I18" s="20">
        <v>-15818.665000000001</v>
      </c>
      <c r="J18" s="20">
        <v>-19856.419999999998</v>
      </c>
      <c r="K18" s="20">
        <v>-27171.63</v>
      </c>
      <c r="L18" s="20">
        <v>-300</v>
      </c>
      <c r="M18" s="20">
        <v>-5304.8</v>
      </c>
      <c r="N18" s="20">
        <v>-72183.34</v>
      </c>
      <c r="O18" s="20">
        <v>-8208.94</v>
      </c>
      <c r="P18" s="20">
        <v>-608.23</v>
      </c>
      <c r="Q18" s="20">
        <v>-4276.55</v>
      </c>
      <c r="R18" s="20">
        <v>-7719.49</v>
      </c>
      <c r="S18" s="20">
        <v>-61920.46</v>
      </c>
      <c r="T18" s="20">
        <v>-5694.13</v>
      </c>
      <c r="U18" s="20">
        <v>-5694.13</v>
      </c>
      <c r="V18" s="20">
        <v>0</v>
      </c>
      <c r="W18" s="20">
        <v>0</v>
      </c>
      <c r="X18" s="20">
        <v>0</v>
      </c>
      <c r="Y18" s="20">
        <v>0</v>
      </c>
      <c r="Z18" s="20">
        <v>-3331.13</v>
      </c>
      <c r="AA18" s="20">
        <v>-5311.54</v>
      </c>
      <c r="AB18" s="20">
        <v>-6512.89</v>
      </c>
      <c r="AC18" s="20">
        <v>-3779.88</v>
      </c>
      <c r="AD18" s="20">
        <v>-35269.800000000003</v>
      </c>
      <c r="AE18" s="20">
        <v>-25874.19</v>
      </c>
      <c r="AF18" s="20">
        <v>-21889.69</v>
      </c>
      <c r="AG18" s="20">
        <v>-4940</v>
      </c>
      <c r="AH18" s="20">
        <v>-34669.870000000003</v>
      </c>
      <c r="AI18" s="20">
        <v>-11747.12</v>
      </c>
      <c r="AJ18" s="20">
        <v>-5696.73</v>
      </c>
      <c r="AK18" s="20">
        <v>-5693.35</v>
      </c>
      <c r="AL18" s="20">
        <v>-7446.7</v>
      </c>
      <c r="AM18" s="20">
        <v>-14391.15</v>
      </c>
      <c r="AN18" s="20">
        <v>-14336.19</v>
      </c>
      <c r="AO18" s="20">
        <v>-2040.76</v>
      </c>
      <c r="AP18" s="20">
        <v>-5100.3500000000004</v>
      </c>
      <c r="AQ18" s="20">
        <v>-6902.78</v>
      </c>
      <c r="AR18" s="20">
        <v>-14970.919999999998</v>
      </c>
      <c r="AS18" s="20">
        <v>-13723.560000000001</v>
      </c>
      <c r="AT18" s="20">
        <v>-176797.66</v>
      </c>
      <c r="AU18" s="20">
        <v>-17170.8</v>
      </c>
      <c r="AV18" s="20">
        <v>-22510</v>
      </c>
      <c r="AW18" s="20">
        <v>-32443.95</v>
      </c>
      <c r="AX18" s="20">
        <v>-17170.8</v>
      </c>
      <c r="AY18" s="20">
        <v>-28040.83</v>
      </c>
      <c r="AZ18" s="20">
        <v>-65037.659999999996</v>
      </c>
      <c r="BA18" s="20">
        <v>-21614.62</v>
      </c>
      <c r="BB18" s="20">
        <v>-21523.99</v>
      </c>
      <c r="BC18" s="20">
        <v>-23943.87</v>
      </c>
      <c r="BD18" s="20">
        <v>-32073.5</v>
      </c>
      <c r="BE18" s="20">
        <v>-41254.85</v>
      </c>
      <c r="BF18" s="20">
        <v>-32755.25</v>
      </c>
      <c r="BG18" s="103">
        <v>-22436.78</v>
      </c>
      <c r="BH18" s="103">
        <v>-37827.72</v>
      </c>
      <c r="BI18" s="103">
        <v>-13762.51</v>
      </c>
      <c r="BJ18" s="103"/>
      <c r="BK18" s="103"/>
      <c r="BL18" s="103"/>
      <c r="BM18" s="103"/>
      <c r="BN18" s="103"/>
      <c r="BO18" s="103"/>
      <c r="BP18" s="103"/>
      <c r="BQ18" s="103"/>
      <c r="BR18" s="103"/>
      <c r="BS18" s="105">
        <v>-0.6361792357562126</v>
      </c>
      <c r="BT18" s="103">
        <f t="shared" si="12"/>
        <v>-355540.12</v>
      </c>
      <c r="BU18" s="103">
        <f t="shared" si="13"/>
        <v>-74027.009999999995</v>
      </c>
      <c r="BV18" s="103">
        <f t="shared" si="14"/>
        <v>-29628.343333333334</v>
      </c>
      <c r="BW18" s="103">
        <f t="shared" si="15"/>
        <v>-24675.67</v>
      </c>
      <c r="BX18" s="105">
        <f t="shared" si="16"/>
        <v>-0.44226397905305104</v>
      </c>
      <c r="CA18">
        <f t="shared" si="17"/>
        <v>3</v>
      </c>
    </row>
    <row r="19" spans="1:79" ht="15" x14ac:dyDescent="0.2">
      <c r="A19" s="2" t="s">
        <v>107</v>
      </c>
      <c r="B19" s="2">
        <v>7</v>
      </c>
      <c r="C19" t="s">
        <v>213</v>
      </c>
      <c r="D19" s="99" t="s">
        <v>188</v>
      </c>
      <c r="E19" s="99" t="s">
        <v>28</v>
      </c>
      <c r="H19" s="20" t="str">
        <f t="shared" si="11"/>
        <v>1 - TOTALCORRESPONDENTES</v>
      </c>
      <c r="I19" s="20">
        <v>-273919.21000000002</v>
      </c>
      <c r="J19" s="20">
        <v>-186320.77</v>
      </c>
      <c r="K19" s="20">
        <v>-127114.1</v>
      </c>
      <c r="L19" s="20">
        <v>-222005.01</v>
      </c>
      <c r="M19" s="20">
        <v>-147818.02000000002</v>
      </c>
      <c r="N19" s="20">
        <v>-3860.57</v>
      </c>
      <c r="O19" s="20">
        <v>-2179.5</v>
      </c>
      <c r="P19" s="20">
        <v>-6759</v>
      </c>
      <c r="Q19" s="20">
        <v>-15398.2</v>
      </c>
      <c r="R19" s="20">
        <v>-46710.1</v>
      </c>
      <c r="S19" s="20">
        <v>-48512.3</v>
      </c>
      <c r="T19" s="20">
        <v>-59034.78</v>
      </c>
      <c r="U19" s="20">
        <v>-59034.78</v>
      </c>
      <c r="V19" s="20">
        <v>-60263.38</v>
      </c>
      <c r="W19" s="20">
        <v>-60263.38</v>
      </c>
      <c r="X19" s="20">
        <v>-57234.29</v>
      </c>
      <c r="Y19" s="20">
        <v>-36914.800000000003</v>
      </c>
      <c r="Z19" s="20">
        <v>-58909.63</v>
      </c>
      <c r="AA19" s="20">
        <v>-53236</v>
      </c>
      <c r="AB19" s="20">
        <v>-58115.5</v>
      </c>
      <c r="AC19" s="20">
        <v>-79664.5</v>
      </c>
      <c r="AD19" s="20">
        <v>-113411.71</v>
      </c>
      <c r="AE19" s="20">
        <v>-91956.4</v>
      </c>
      <c r="AF19" s="20">
        <v>-99161.75</v>
      </c>
      <c r="AG19" s="20">
        <v>-112917.75</v>
      </c>
      <c r="AH19" s="20">
        <v>-105076</v>
      </c>
      <c r="AI19" s="20">
        <v>-109533.53</v>
      </c>
      <c r="AJ19" s="20">
        <v>-74020.899999999994</v>
      </c>
      <c r="AK19" s="20">
        <v>-39068.36</v>
      </c>
      <c r="AL19" s="20">
        <v>-88815.599999999991</v>
      </c>
      <c r="AM19" s="20">
        <v>-102471.2</v>
      </c>
      <c r="AN19" s="20">
        <v>-88645.099999999991</v>
      </c>
      <c r="AO19" s="20">
        <v>-94878.15</v>
      </c>
      <c r="AP19" s="20">
        <v>-95849.9</v>
      </c>
      <c r="AQ19" s="20">
        <v>-84653</v>
      </c>
      <c r="AR19" s="20">
        <v>-115922.8</v>
      </c>
      <c r="AS19" s="20">
        <v>-115353.28</v>
      </c>
      <c r="AT19" s="20">
        <v>-128208.49</v>
      </c>
      <c r="AU19" s="20">
        <v>-152113.22</v>
      </c>
      <c r="AV19" s="20">
        <v>-84044.34</v>
      </c>
      <c r="AW19" s="20">
        <v>-77671.58</v>
      </c>
      <c r="AX19" s="20">
        <v>-149305.76999999999</v>
      </c>
      <c r="AY19" s="20">
        <v>-207336.53</v>
      </c>
      <c r="AZ19" s="20">
        <v>-165789.44</v>
      </c>
      <c r="BA19" s="20">
        <v>-171627.07</v>
      </c>
      <c r="BB19" s="20">
        <v>-141341.79</v>
      </c>
      <c r="BC19" s="20">
        <v>-131152.94</v>
      </c>
      <c r="BD19" s="20">
        <v>-153845.26999999999</v>
      </c>
      <c r="BE19" s="20">
        <v>-144088.12</v>
      </c>
      <c r="BF19" s="20">
        <v>-145016.31</v>
      </c>
      <c r="BG19" s="103">
        <v>-141836.54999999999</v>
      </c>
      <c r="BH19" s="103">
        <v>-85576.06</v>
      </c>
      <c r="BI19" s="103">
        <v>-70716.88</v>
      </c>
      <c r="BJ19" s="103"/>
      <c r="BK19" s="103"/>
      <c r="BL19" s="103"/>
      <c r="BM19" s="103"/>
      <c r="BN19" s="103"/>
      <c r="BO19" s="103"/>
      <c r="BP19" s="103"/>
      <c r="BQ19" s="103"/>
      <c r="BR19" s="103"/>
      <c r="BS19" s="105">
        <v>-0.17363711299632156</v>
      </c>
      <c r="BT19" s="103">
        <f t="shared" si="12"/>
        <v>-1723332.3800000004</v>
      </c>
      <c r="BU19" s="103">
        <f t="shared" si="13"/>
        <v>-298129.49</v>
      </c>
      <c r="BV19" s="103">
        <f t="shared" si="14"/>
        <v>-143611.03166666671</v>
      </c>
      <c r="BW19" s="103">
        <f t="shared" si="15"/>
        <v>-99376.496666666659</v>
      </c>
      <c r="BX19" s="105">
        <f t="shared" si="16"/>
        <v>-0.28839431483279288</v>
      </c>
      <c r="CA19">
        <f t="shared" si="17"/>
        <v>3</v>
      </c>
    </row>
    <row r="20" spans="1:79" ht="15" x14ac:dyDescent="0.2">
      <c r="A20" s="2" t="s">
        <v>107</v>
      </c>
      <c r="B20" s="2">
        <v>6</v>
      </c>
      <c r="C20" t="s">
        <v>213</v>
      </c>
      <c r="D20" t="s">
        <v>187</v>
      </c>
      <c r="E20" t="s">
        <v>219</v>
      </c>
      <c r="G20">
        <v>1</v>
      </c>
      <c r="H20" s="20" t="str">
        <f t="shared" si="11"/>
        <v>1 - TOTALPESSOAL CLT (BO / ASSIS JURÍD / NEGOC)</v>
      </c>
      <c r="I20" s="20">
        <v>-104501.43999999999</v>
      </c>
      <c r="J20" s="20">
        <v>-86111.952871801637</v>
      </c>
      <c r="K20" s="20">
        <v>-86174.750002511282</v>
      </c>
      <c r="L20" s="20">
        <v>-75503.38</v>
      </c>
      <c r="M20" s="20">
        <v>-82724.5</v>
      </c>
      <c r="N20" s="20">
        <v>-87885.7</v>
      </c>
      <c r="O20" s="20">
        <v>-96030.49</v>
      </c>
      <c r="P20" s="20">
        <v>-91969.450000000012</v>
      </c>
      <c r="Q20" s="20">
        <v>-74678.8</v>
      </c>
      <c r="R20" s="20">
        <v>-92014.180000000022</v>
      </c>
      <c r="S20" s="20">
        <v>-116597.48000000001</v>
      </c>
      <c r="T20" s="20">
        <v>-160090.70000000001</v>
      </c>
      <c r="U20" s="20">
        <v>-160090.70000000001</v>
      </c>
      <c r="V20" s="20">
        <v>-91269.450000000012</v>
      </c>
      <c r="W20" s="20">
        <v>-91269.450000000012</v>
      </c>
      <c r="X20" s="20">
        <v>-80297.290000000008</v>
      </c>
      <c r="Y20" s="20">
        <v>-105572</v>
      </c>
      <c r="Z20" s="20">
        <v>-106357.75999999999</v>
      </c>
      <c r="AA20" s="20">
        <v>-97677.78</v>
      </c>
      <c r="AB20" s="20">
        <v>-102818.37999999999</v>
      </c>
      <c r="AC20" s="20">
        <v>-125335.77000000002</v>
      </c>
      <c r="AD20" s="20">
        <v>-131738.43</v>
      </c>
      <c r="AE20" s="20">
        <v>-138663.00000000003</v>
      </c>
      <c r="AF20" s="20">
        <v>-144435.19999999998</v>
      </c>
      <c r="AG20" s="20">
        <v>-195564.41000000003</v>
      </c>
      <c r="AH20" s="20">
        <v>-219635.91</v>
      </c>
      <c r="AI20" s="20">
        <v>-139375.4</v>
      </c>
      <c r="AJ20" s="20">
        <v>-135132.07</v>
      </c>
      <c r="AK20" s="20">
        <v>-179816.81000000006</v>
      </c>
      <c r="AL20" s="20">
        <v>-171011.63</v>
      </c>
      <c r="AM20" s="20">
        <v>-162353.21000000002</v>
      </c>
      <c r="AN20" s="20">
        <v>-157040.13</v>
      </c>
      <c r="AO20" s="20">
        <v>-188271.53000000003</v>
      </c>
      <c r="AP20" s="20">
        <v>-173908.24</v>
      </c>
      <c r="AQ20" s="20">
        <v>-183539.68</v>
      </c>
      <c r="AR20" s="20">
        <v>-188182.76</v>
      </c>
      <c r="AS20" s="20">
        <v>-243827.28600000002</v>
      </c>
      <c r="AT20" s="20">
        <v>-272736.58000000007</v>
      </c>
      <c r="AU20" s="20">
        <v>-194927.13000000003</v>
      </c>
      <c r="AV20" s="20">
        <v>-186547.16999999998</v>
      </c>
      <c r="AW20" s="20">
        <v>-212071.30000000002</v>
      </c>
      <c r="AX20" s="20">
        <v>-239963.13</v>
      </c>
      <c r="AY20" s="20">
        <v>-242495.69</v>
      </c>
      <c r="AZ20" s="20">
        <v>-244560.45</v>
      </c>
      <c r="BA20" s="20">
        <v>-256831.39</v>
      </c>
      <c r="BB20" s="20">
        <v>-243450.10000000003</v>
      </c>
      <c r="BC20" s="20">
        <v>-241358.41999999998</v>
      </c>
      <c r="BD20" s="20">
        <v>-260532.21000000002</v>
      </c>
      <c r="BE20" s="20">
        <v>-311843.06999999995</v>
      </c>
      <c r="BF20" s="20">
        <v>-355173.53</v>
      </c>
      <c r="BG20" s="103">
        <v>-268888.25</v>
      </c>
      <c r="BH20" s="103">
        <v>-254349.29</v>
      </c>
      <c r="BI20" s="103">
        <v>-261151.34999999998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5">
        <v>2.6742987959588849E-2</v>
      </c>
      <c r="BT20" s="103">
        <f t="shared" si="12"/>
        <v>-2989753.59</v>
      </c>
      <c r="BU20" s="103">
        <f t="shared" si="13"/>
        <v>-784388.89</v>
      </c>
      <c r="BV20" s="103">
        <f t="shared" si="14"/>
        <v>-249146.13249999998</v>
      </c>
      <c r="BW20" s="103">
        <f t="shared" si="15"/>
        <v>-261462.96333333335</v>
      </c>
      <c r="BX20" s="105">
        <f t="shared" si="16"/>
        <v>-1.1918067834949531E-3</v>
      </c>
      <c r="CA20">
        <f t="shared" si="17"/>
        <v>3</v>
      </c>
    </row>
    <row r="21" spans="1:79" ht="15" x14ac:dyDescent="0.2">
      <c r="A21" s="2" t="s">
        <v>107</v>
      </c>
      <c r="B21" s="2">
        <v>8</v>
      </c>
      <c r="C21" t="s">
        <v>213</v>
      </c>
      <c r="D21" s="224" t="s">
        <v>189</v>
      </c>
      <c r="E21" s="99" t="s">
        <v>29</v>
      </c>
      <c r="H21" s="20" t="str">
        <f t="shared" si="11"/>
        <v>1 - TOTALVALORES RESCISÓRIOS</v>
      </c>
      <c r="I21" s="20">
        <v>0</v>
      </c>
      <c r="J21" s="20">
        <v>0</v>
      </c>
      <c r="K21" s="20">
        <v>-4880.58</v>
      </c>
      <c r="L21" s="20">
        <v>-2680</v>
      </c>
      <c r="M21" s="20">
        <v>0</v>
      </c>
      <c r="N21" s="20">
        <v>-1476.66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-75</v>
      </c>
      <c r="W21" s="20">
        <v>-75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-8987.630000000001</v>
      </c>
      <c r="AD21" s="20">
        <v>-730.65</v>
      </c>
      <c r="AE21" s="20">
        <v>0</v>
      </c>
      <c r="AF21" s="20">
        <v>0</v>
      </c>
      <c r="AG21" s="20">
        <v>0</v>
      </c>
      <c r="AH21" s="20">
        <v>-3161.7</v>
      </c>
      <c r="AI21" s="20">
        <v>-1238.7</v>
      </c>
      <c r="AJ21" s="20">
        <v>0</v>
      </c>
      <c r="AK21" s="20">
        <v>0</v>
      </c>
      <c r="AL21" s="20">
        <v>-2043.99</v>
      </c>
      <c r="AM21" s="20">
        <v>0</v>
      </c>
      <c r="AN21" s="20">
        <v>-5530.49</v>
      </c>
      <c r="AO21" s="20">
        <v>-6702.3</v>
      </c>
      <c r="AP21" s="20">
        <v>-13114</v>
      </c>
      <c r="AQ21" s="20">
        <v>-5105.45</v>
      </c>
      <c r="AR21" s="20">
        <v>-3009.92</v>
      </c>
      <c r="AS21" s="20">
        <v>-2896.87</v>
      </c>
      <c r="AT21" s="20">
        <v>-2896.87</v>
      </c>
      <c r="AU21" s="20">
        <v>-7592.9</v>
      </c>
      <c r="AV21" s="20">
        <v>-2896.87</v>
      </c>
      <c r="AW21" s="20">
        <v>-2896.87</v>
      </c>
      <c r="AX21" s="20">
        <v>-2896.87</v>
      </c>
      <c r="AY21" s="20">
        <v>-3561.16</v>
      </c>
      <c r="AZ21" s="20">
        <v>-2564.73</v>
      </c>
      <c r="BA21" s="20">
        <v>-2564.73</v>
      </c>
      <c r="BB21" s="20">
        <v>-2896.87</v>
      </c>
      <c r="BC21" s="20">
        <v>-2896.87</v>
      </c>
      <c r="BD21" s="20">
        <v>-20499.28</v>
      </c>
      <c r="BE21" s="20">
        <v>0</v>
      </c>
      <c r="BF21" s="20">
        <v>-2728.84</v>
      </c>
      <c r="BG21" s="103">
        <v>-5096.76</v>
      </c>
      <c r="BH21" s="103">
        <v>-5096.76</v>
      </c>
      <c r="BI21" s="103">
        <v>-5096.76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5">
        <v>0</v>
      </c>
      <c r="BT21" s="103">
        <f t="shared" si="12"/>
        <v>-53995.989999999991</v>
      </c>
      <c r="BU21" s="103">
        <f t="shared" si="13"/>
        <v>-15290.28</v>
      </c>
      <c r="BV21" s="103">
        <f t="shared" si="14"/>
        <v>-4499.6658333333326</v>
      </c>
      <c r="BW21" s="103">
        <f t="shared" si="15"/>
        <v>-5096.76</v>
      </c>
      <c r="BX21" s="105">
        <f t="shared" si="16"/>
        <v>0</v>
      </c>
      <c r="CA21">
        <f t="shared" si="17"/>
        <v>3</v>
      </c>
    </row>
    <row r="22" spans="1:79" ht="15" x14ac:dyDescent="0.2">
      <c r="A22" s="2" t="s">
        <v>107</v>
      </c>
      <c r="B22" s="2">
        <v>10</v>
      </c>
      <c r="C22" t="s">
        <v>213</v>
      </c>
      <c r="D22" s="99" t="s">
        <v>191</v>
      </c>
      <c r="E22" s="99" t="s">
        <v>31</v>
      </c>
      <c r="H22" s="20" t="str">
        <f t="shared" si="11"/>
        <v>1 - TOTALPROCESSOS TRABALHISTAS</v>
      </c>
      <c r="I22" s="20">
        <v>-21091</v>
      </c>
      <c r="J22" s="20">
        <v>-11262</v>
      </c>
      <c r="K22" s="20">
        <v>-25635.46</v>
      </c>
      <c r="L22" s="20">
        <v>-28792</v>
      </c>
      <c r="M22" s="20">
        <v>-23511.040000000001</v>
      </c>
      <c r="N22" s="20">
        <v>0</v>
      </c>
      <c r="O22" s="20">
        <v>-52787.57</v>
      </c>
      <c r="P22" s="20">
        <v>-52689.49</v>
      </c>
      <c r="Q22" s="20">
        <v>-30498.36</v>
      </c>
      <c r="R22" s="20">
        <v>-35700.67</v>
      </c>
      <c r="S22" s="20">
        <v>-119258.19</v>
      </c>
      <c r="T22" s="20">
        <v>-22813.41</v>
      </c>
      <c r="U22" s="20">
        <v>-22813.41</v>
      </c>
      <c r="V22" s="20">
        <v>-22359.83</v>
      </c>
      <c r="W22" s="20">
        <v>-22359.83</v>
      </c>
      <c r="X22" s="20">
        <v>-47927.7</v>
      </c>
      <c r="Y22" s="20">
        <v>-86507.28</v>
      </c>
      <c r="Z22" s="20">
        <v>-116208.52</v>
      </c>
      <c r="AA22" s="20">
        <v>-54643.57</v>
      </c>
      <c r="AB22" s="20">
        <v>-62031.88</v>
      </c>
      <c r="AC22" s="20">
        <v>-84531.88</v>
      </c>
      <c r="AD22" s="20">
        <v>-111467.9</v>
      </c>
      <c r="AE22" s="20">
        <v>-61367.78</v>
      </c>
      <c r="AF22" s="20">
        <v>-73684.960000000006</v>
      </c>
      <c r="AG22" s="20">
        <v>-65030.82</v>
      </c>
      <c r="AH22" s="20">
        <v>-73344</v>
      </c>
      <c r="AI22" s="20">
        <v>-59761.68</v>
      </c>
      <c r="AJ22" s="20">
        <v>-23829.84</v>
      </c>
      <c r="AK22" s="20">
        <v>-24316.68</v>
      </c>
      <c r="AL22" s="20">
        <v>-23829.84</v>
      </c>
      <c r="AM22" s="20">
        <v>-37579.839999999997</v>
      </c>
      <c r="AN22" s="20">
        <v>-89066.64</v>
      </c>
      <c r="AO22" s="20">
        <v>-108340.24</v>
      </c>
      <c r="AP22" s="20">
        <v>-78876.22</v>
      </c>
      <c r="AQ22" s="20">
        <v>-115081.3</v>
      </c>
      <c r="AR22" s="20">
        <v>-76830.63</v>
      </c>
      <c r="AS22" s="20">
        <v>-85561.19</v>
      </c>
      <c r="AT22" s="20">
        <v>-69431.13</v>
      </c>
      <c r="AU22" s="20">
        <v>-69499.64</v>
      </c>
      <c r="AV22" s="20">
        <v>-94173.27</v>
      </c>
      <c r="AW22" s="20">
        <v>-90171.21</v>
      </c>
      <c r="AX22" s="20">
        <v>-23135</v>
      </c>
      <c r="AY22" s="20">
        <v>-25907.79</v>
      </c>
      <c r="AZ22" s="20">
        <v>-75755.23</v>
      </c>
      <c r="BA22" s="20">
        <v>-29385</v>
      </c>
      <c r="BB22" s="20">
        <v>-94200.89</v>
      </c>
      <c r="BC22" s="20">
        <v>-113423.09</v>
      </c>
      <c r="BD22" s="20">
        <v>-48990.52</v>
      </c>
      <c r="BE22" s="20">
        <v>-49286.58</v>
      </c>
      <c r="BF22" s="20">
        <v>-43128.369999999995</v>
      </c>
      <c r="BG22" s="103">
        <v>-43365.81</v>
      </c>
      <c r="BH22" s="103">
        <v>-24272.38</v>
      </c>
      <c r="BI22" s="103">
        <v>-38718.230000000003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5">
        <v>0.59515589324161877</v>
      </c>
      <c r="BT22" s="103">
        <f t="shared" si="12"/>
        <v>-757056.59</v>
      </c>
      <c r="BU22" s="103">
        <f t="shared" si="13"/>
        <v>-106356.42000000001</v>
      </c>
      <c r="BV22" s="103">
        <f t="shared" si="14"/>
        <v>-63088.049166666664</v>
      </c>
      <c r="BW22" s="103">
        <f t="shared" si="15"/>
        <v>-35452.140000000007</v>
      </c>
      <c r="BX22" s="105">
        <f t="shared" si="16"/>
        <v>9.2126737624301347E-2</v>
      </c>
      <c r="CA22">
        <f t="shared" si="17"/>
        <v>3</v>
      </c>
    </row>
    <row r="23" spans="1:79" ht="15" x14ac:dyDescent="0.2">
      <c r="A23" s="2" t="s">
        <v>107</v>
      </c>
      <c r="B23" s="2">
        <v>12</v>
      </c>
      <c r="C23" s="2"/>
      <c r="D23" s="98" t="s">
        <v>63</v>
      </c>
      <c r="E23" s="98"/>
      <c r="F23" s="90"/>
      <c r="G23" s="90"/>
      <c r="H23" s="20" t="str">
        <f t="shared" si="11"/>
        <v>1 - TOTAL</v>
      </c>
      <c r="I23" s="20">
        <v>1033812.7059999602</v>
      </c>
      <c r="J23" s="20">
        <v>591406.94712819834</v>
      </c>
      <c r="K23" s="20">
        <v>1501899.6919973888</v>
      </c>
      <c r="L23" s="20">
        <v>1049901.4379999503</v>
      </c>
      <c r="M23" s="20">
        <v>1070974.089999951</v>
      </c>
      <c r="N23" s="20">
        <v>1046173.3</v>
      </c>
      <c r="O23" s="20">
        <v>1547353.1900000004</v>
      </c>
      <c r="P23" s="20">
        <v>840224.87999999989</v>
      </c>
      <c r="Q23" s="20">
        <v>1802350.8099999996</v>
      </c>
      <c r="R23" s="20">
        <v>1027223.0099999997</v>
      </c>
      <c r="S23" s="20">
        <v>1792993.05</v>
      </c>
      <c r="T23" s="20">
        <v>1207626.99</v>
      </c>
      <c r="U23" s="20">
        <v>1207626.99</v>
      </c>
      <c r="V23" s="20">
        <v>1663232.96</v>
      </c>
      <c r="W23" s="20">
        <v>1663232.96</v>
      </c>
      <c r="X23" s="20">
        <v>774227.33000000007</v>
      </c>
      <c r="Y23" s="20">
        <v>387588.94999999984</v>
      </c>
      <c r="Z23" s="20">
        <v>1118424.8500000001</v>
      </c>
      <c r="AA23" s="20">
        <v>1602487.09</v>
      </c>
      <c r="AB23" s="20">
        <v>1121917.6500000001</v>
      </c>
      <c r="AC23" s="20">
        <v>1152095.6500000004</v>
      </c>
      <c r="AD23" s="20">
        <v>878617.79409999959</v>
      </c>
      <c r="AE23" s="20">
        <v>1038085.2600000005</v>
      </c>
      <c r="AF23" s="20">
        <v>1305290.93</v>
      </c>
      <c r="AG23" s="20">
        <v>1239474.8907999999</v>
      </c>
      <c r="AH23" s="20">
        <v>1629464.78</v>
      </c>
      <c r="AI23" s="20">
        <v>955419.25000000023</v>
      </c>
      <c r="AJ23" s="20">
        <v>239027.66999999993</v>
      </c>
      <c r="AK23" s="20">
        <v>784754.10819032253</v>
      </c>
      <c r="AL23" s="20">
        <v>1409258.73</v>
      </c>
      <c r="AM23" s="20">
        <v>1722464.0700000003</v>
      </c>
      <c r="AN23" s="20">
        <v>1169819.0096</v>
      </c>
      <c r="AO23" s="20">
        <v>1128939.6400000004</v>
      </c>
      <c r="AP23" s="20">
        <v>883881.01399999973</v>
      </c>
      <c r="AQ23" s="20">
        <v>1231395.8525322578</v>
      </c>
      <c r="AR23" s="20">
        <v>1319972.6364110999</v>
      </c>
      <c r="AS23" s="20">
        <v>979735.57459999993</v>
      </c>
      <c r="AT23" s="20">
        <v>1056183.5246000001</v>
      </c>
      <c r="AU23" s="87" t="e">
        <f t="shared" ref="AU23:BI23" si="18">AU2+AU17</f>
        <v>#REF!</v>
      </c>
      <c r="AV23" s="87" t="e">
        <f t="shared" si="18"/>
        <v>#REF!</v>
      </c>
      <c r="AW23" s="87" t="e">
        <f t="shared" si="18"/>
        <v>#REF!</v>
      </c>
      <c r="AX23" s="87" t="e">
        <f t="shared" si="18"/>
        <v>#REF!</v>
      </c>
      <c r="AY23" s="87" t="e">
        <f t="shared" si="18"/>
        <v>#REF!</v>
      </c>
      <c r="AZ23" s="87" t="e">
        <f t="shared" si="18"/>
        <v>#REF!</v>
      </c>
      <c r="BA23" s="87" t="e">
        <f t="shared" si="18"/>
        <v>#REF!</v>
      </c>
      <c r="BB23" s="87" t="e">
        <f t="shared" si="18"/>
        <v>#REF!</v>
      </c>
      <c r="BC23" s="87" t="e">
        <f t="shared" si="18"/>
        <v>#REF!</v>
      </c>
      <c r="BD23" s="87" t="e">
        <f t="shared" si="18"/>
        <v>#REF!</v>
      </c>
      <c r="BE23" s="87" t="e">
        <f t="shared" si="18"/>
        <v>#REF!</v>
      </c>
      <c r="BF23" s="87" t="e">
        <f t="shared" si="18"/>
        <v>#REF!</v>
      </c>
      <c r="BG23" s="87" t="e">
        <f t="shared" si="18"/>
        <v>#REF!</v>
      </c>
      <c r="BH23" s="87" t="e">
        <f t="shared" si="18"/>
        <v>#REF!</v>
      </c>
      <c r="BI23" s="87" t="e">
        <f t="shared" si="18"/>
        <v>#REF!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05">
        <v>-0.22487967807132814</v>
      </c>
      <c r="BT23" s="103" t="e">
        <f t="shared" si="12"/>
        <v>#REF!</v>
      </c>
      <c r="BU23" s="103" t="e">
        <f t="shared" si="13"/>
        <v>#REF!</v>
      </c>
      <c r="BV23" s="103" t="e">
        <f t="shared" si="14"/>
        <v>#REF!</v>
      </c>
      <c r="BW23" s="103" t="e">
        <f t="shared" si="15"/>
        <v>#REF!</v>
      </c>
      <c r="BX23" s="105" t="e">
        <f t="shared" si="16"/>
        <v>#REF!</v>
      </c>
      <c r="BY23">
        <v>3</v>
      </c>
      <c r="CA23">
        <f t="shared" si="17"/>
        <v>3</v>
      </c>
    </row>
    <row r="24" spans="1:79" ht="15" x14ac:dyDescent="0.2">
      <c r="A24" s="2" t="s">
        <v>107</v>
      </c>
      <c r="B24" s="2">
        <v>13</v>
      </c>
      <c r="C24" s="2"/>
      <c r="D24" s="101" t="s">
        <v>62</v>
      </c>
      <c r="E24" s="101"/>
      <c r="F24" s="111"/>
      <c r="G24" s="111"/>
      <c r="H24" s="20" t="str">
        <f t="shared" si="11"/>
        <v>1 - TOTAL</v>
      </c>
      <c r="I24" s="87">
        <f t="shared" ref="I24:AS24" si="19">I25+I26+I27+I28+I29+I30+I31+I32</f>
        <v>-146271.4</v>
      </c>
      <c r="J24" s="87">
        <f t="shared" si="19"/>
        <v>-178086.69</v>
      </c>
      <c r="K24" s="87">
        <f t="shared" si="19"/>
        <v>-148831.05999999997</v>
      </c>
      <c r="L24" s="87">
        <f t="shared" si="19"/>
        <v>-115646.88499999999</v>
      </c>
      <c r="M24" s="87">
        <f t="shared" si="19"/>
        <v>-97550.99</v>
      </c>
      <c r="N24" s="87">
        <f t="shared" si="19"/>
        <v>-96746.880000000005</v>
      </c>
      <c r="O24" s="87">
        <f t="shared" si="19"/>
        <v>-96030.94</v>
      </c>
      <c r="P24" s="87">
        <f t="shared" si="19"/>
        <v>-103602.49</v>
      </c>
      <c r="Q24" s="87">
        <f t="shared" si="19"/>
        <v>-110411.83999999998</v>
      </c>
      <c r="R24" s="87">
        <f t="shared" si="19"/>
        <v>-116142.68</v>
      </c>
      <c r="S24" s="87">
        <f t="shared" si="19"/>
        <v>-102457.4</v>
      </c>
      <c r="T24" s="87">
        <f t="shared" si="19"/>
        <v>-155718.53</v>
      </c>
      <c r="U24" s="87">
        <f t="shared" si="19"/>
        <v>-155718.53</v>
      </c>
      <c r="V24" s="87">
        <f t="shared" si="19"/>
        <v>-101105.18</v>
      </c>
      <c r="W24" s="87">
        <f t="shared" si="19"/>
        <v>-101105.18</v>
      </c>
      <c r="X24" s="87">
        <f t="shared" si="19"/>
        <v>-61582.990000000005</v>
      </c>
      <c r="Y24" s="87">
        <f t="shared" si="19"/>
        <v>-63388.920000000006</v>
      </c>
      <c r="Z24" s="87">
        <f t="shared" si="19"/>
        <v>-65297.850000000006</v>
      </c>
      <c r="AA24" s="87">
        <f t="shared" si="19"/>
        <v>-72655.86</v>
      </c>
      <c r="AB24" s="87">
        <f t="shared" si="19"/>
        <v>-69488.19</v>
      </c>
      <c r="AC24" s="87">
        <f t="shared" si="19"/>
        <v>-69576.94</v>
      </c>
      <c r="AD24" s="87">
        <f t="shared" si="19"/>
        <v>-75511.900000000009</v>
      </c>
      <c r="AE24" s="87">
        <f t="shared" si="19"/>
        <v>-77161.48</v>
      </c>
      <c r="AF24" s="87">
        <f t="shared" si="19"/>
        <v>-71672.260000000009</v>
      </c>
      <c r="AG24" s="87">
        <f t="shared" si="19"/>
        <v>-116058.93999999999</v>
      </c>
      <c r="AH24" s="87">
        <f t="shared" si="19"/>
        <v>-170627.25000000003</v>
      </c>
      <c r="AI24" s="87">
        <f t="shared" si="19"/>
        <v>-183321.8</v>
      </c>
      <c r="AJ24" s="87">
        <f t="shared" si="19"/>
        <v>-175426.49</v>
      </c>
      <c r="AK24" s="87">
        <f t="shared" si="19"/>
        <v>-261556.27999999997</v>
      </c>
      <c r="AL24" s="87">
        <f t="shared" si="19"/>
        <v>-256642.84999999998</v>
      </c>
      <c r="AM24" s="87">
        <f t="shared" si="19"/>
        <v>-212215.00999999998</v>
      </c>
      <c r="AN24" s="87">
        <f t="shared" si="19"/>
        <v>-201084.74999999997</v>
      </c>
      <c r="AO24" s="87">
        <f t="shared" si="19"/>
        <v>-234663.37</v>
      </c>
      <c r="AP24" s="87">
        <f t="shared" si="19"/>
        <v>-212928.29</v>
      </c>
      <c r="AQ24" s="87">
        <f t="shared" si="19"/>
        <v>-212451.58999999997</v>
      </c>
      <c r="AR24" s="87">
        <f t="shared" si="19"/>
        <v>-215202.2</v>
      </c>
      <c r="AS24" s="87">
        <f t="shared" si="19"/>
        <v>-241733.30000000002</v>
      </c>
      <c r="AT24" s="87">
        <f>AT25+AT26+AT27+AT28+AT29+AT30+AT31+AT32</f>
        <v>-267519.55</v>
      </c>
      <c r="AU24" s="87">
        <f t="shared" ref="AU24:BI24" si="20">SUM(AU25:AU33)</f>
        <v>-217506.98</v>
      </c>
      <c r="AV24" s="87">
        <f t="shared" si="20"/>
        <v>-409657.98</v>
      </c>
      <c r="AW24" s="87">
        <f t="shared" si="20"/>
        <v>-365242.34000000008</v>
      </c>
      <c r="AX24" s="87">
        <f t="shared" si="20"/>
        <v>-313338.75</v>
      </c>
      <c r="AY24" s="87">
        <f t="shared" si="20"/>
        <v>-340498.92</v>
      </c>
      <c r="AZ24" s="87">
        <f t="shared" si="20"/>
        <v>-332115.12</v>
      </c>
      <c r="BA24" s="87">
        <f t="shared" si="20"/>
        <v>-270189.59999999998</v>
      </c>
      <c r="BB24" s="87">
        <f t="shared" si="20"/>
        <v>-264123.16000000003</v>
      </c>
      <c r="BC24" s="87">
        <f t="shared" si="20"/>
        <v>-332706.69</v>
      </c>
      <c r="BD24" s="87">
        <f t="shared" si="20"/>
        <v>-515159.56000000006</v>
      </c>
      <c r="BE24" s="87">
        <f t="shared" si="20"/>
        <v>-362823.26999999996</v>
      </c>
      <c r="BF24" s="87">
        <f t="shared" si="20"/>
        <v>-721141</v>
      </c>
      <c r="BG24" s="87">
        <f t="shared" si="20"/>
        <v>-351219.61</v>
      </c>
      <c r="BH24" s="87">
        <f t="shared" si="20"/>
        <v>-249445.58999999997</v>
      </c>
      <c r="BI24" s="87">
        <f t="shared" si="20"/>
        <v>-260955.97999999998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05">
        <v>1.4474736973379831</v>
      </c>
      <c r="BT24" s="103">
        <f t="shared" si="12"/>
        <v>-4444503.37</v>
      </c>
      <c r="BU24" s="103">
        <f t="shared" si="13"/>
        <v>-861621.17999999993</v>
      </c>
      <c r="BV24" s="103">
        <f t="shared" si="14"/>
        <v>-370375.28083333332</v>
      </c>
      <c r="BW24" s="103">
        <f t="shared" si="15"/>
        <v>-287207.06</v>
      </c>
      <c r="BX24" s="105">
        <f t="shared" si="16"/>
        <v>-9.1401235053205188E-2</v>
      </c>
      <c r="BY24">
        <v>2</v>
      </c>
      <c r="CA24">
        <f t="shared" si="17"/>
        <v>3</v>
      </c>
    </row>
    <row r="25" spans="1:79" ht="15" x14ac:dyDescent="0.2">
      <c r="A25" s="2" t="s">
        <v>107</v>
      </c>
      <c r="B25" s="2">
        <v>14</v>
      </c>
      <c r="C25" s="2" t="s">
        <v>214</v>
      </c>
      <c r="D25" s="99" t="s">
        <v>193</v>
      </c>
      <c r="E25" s="99" t="s">
        <v>102</v>
      </c>
      <c r="G25">
        <v>1</v>
      </c>
      <c r="H25" s="20" t="str">
        <f t="shared" si="11"/>
        <v>1 - TOTALPESSOAL CLT ADM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-65475.9</v>
      </c>
      <c r="AJ25" s="20">
        <v>-64418.12</v>
      </c>
      <c r="AK25" s="20">
        <v>-120448.56999999999</v>
      </c>
      <c r="AL25" s="20">
        <v>-90168.99</v>
      </c>
      <c r="AM25" s="20">
        <v>-86438.089999999982</v>
      </c>
      <c r="AN25" s="20">
        <v>-93507.150000000009</v>
      </c>
      <c r="AO25" s="20">
        <v>-104152.05</v>
      </c>
      <c r="AP25" s="20">
        <v>-96105.25</v>
      </c>
      <c r="AQ25" s="20">
        <v>-89412.34</v>
      </c>
      <c r="AR25" s="20">
        <v>-91598.840000000011</v>
      </c>
      <c r="AS25" s="20">
        <v>-111812.43</v>
      </c>
      <c r="AT25" s="20">
        <v>-123440.34</v>
      </c>
      <c r="AU25" s="20">
        <v>-97062.75</v>
      </c>
      <c r="AV25" s="20">
        <v>-81862</v>
      </c>
      <c r="AW25" s="20">
        <v>-97480.540000000037</v>
      </c>
      <c r="AX25" s="20">
        <v>-98796.819999999992</v>
      </c>
      <c r="AY25" s="20">
        <v>-102362.58</v>
      </c>
      <c r="AZ25" s="20">
        <v>-90156.05</v>
      </c>
      <c r="BA25" s="20">
        <v>-99985.45</v>
      </c>
      <c r="BB25" s="20">
        <v>-112456.84000000001</v>
      </c>
      <c r="BC25" s="20">
        <v>-93218.23</v>
      </c>
      <c r="BD25" s="20">
        <v>-101842.58</v>
      </c>
      <c r="BE25" s="20">
        <v>-119822.87</v>
      </c>
      <c r="BF25" s="20">
        <v>-131615.29999999999</v>
      </c>
      <c r="BG25" s="103">
        <v>-114095</v>
      </c>
      <c r="BH25" s="103">
        <v>-92193.12999999999</v>
      </c>
      <c r="BI25" s="103">
        <v>-112093.44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5">
        <v>0.21585458699579907</v>
      </c>
      <c r="BT25" s="103">
        <f t="shared" si="12"/>
        <v>-1226662.01</v>
      </c>
      <c r="BU25" s="103">
        <f t="shared" si="13"/>
        <v>-318381.57</v>
      </c>
      <c r="BV25" s="103">
        <f t="shared" si="14"/>
        <v>-102221.83416666667</v>
      </c>
      <c r="BW25" s="103">
        <f t="shared" si="15"/>
        <v>-106127.19</v>
      </c>
      <c r="BX25" s="105">
        <f t="shared" si="16"/>
        <v>5.6217921156680006E-2</v>
      </c>
      <c r="CA25">
        <f t="shared" si="17"/>
        <v>3</v>
      </c>
    </row>
    <row r="26" spans="1:79" ht="15" x14ac:dyDescent="0.2">
      <c r="A26" s="2" t="s">
        <v>107</v>
      </c>
      <c r="B26" s="2">
        <v>15</v>
      </c>
      <c r="C26" s="2" t="s">
        <v>214</v>
      </c>
      <c r="D26" s="99" t="s">
        <v>194</v>
      </c>
      <c r="E26" s="99" t="s">
        <v>0</v>
      </c>
      <c r="H26" s="20" t="str">
        <f t="shared" si="11"/>
        <v>1 - TOTALLOCALIZAÇÃO (ALUGUEL, COND, LUZ, IPTU)</v>
      </c>
      <c r="I26" s="20">
        <v>-79314.320000000007</v>
      </c>
      <c r="J26" s="20">
        <v>-88308.01</v>
      </c>
      <c r="K26" s="20">
        <v>-90640.859999999986</v>
      </c>
      <c r="L26" s="20">
        <v>-61440.7</v>
      </c>
      <c r="M26" s="20">
        <v>-56695.49</v>
      </c>
      <c r="N26" s="20">
        <v>-53603.11</v>
      </c>
      <c r="O26" s="20">
        <v>-50909.42</v>
      </c>
      <c r="P26" s="20">
        <v>-51874.04</v>
      </c>
      <c r="Q26" s="20">
        <v>-58560.259999999995</v>
      </c>
      <c r="R26" s="20">
        <v>-57607.939999999995</v>
      </c>
      <c r="S26" s="20">
        <v>-42400.800000000003</v>
      </c>
      <c r="T26" s="20">
        <v>-47784</v>
      </c>
      <c r="U26" s="20">
        <v>-47784</v>
      </c>
      <c r="V26" s="20">
        <v>-46595.87</v>
      </c>
      <c r="W26" s="20">
        <v>-46595.87</v>
      </c>
      <c r="X26" s="20">
        <v>-5273.15</v>
      </c>
      <c r="Y26" s="20">
        <v>-726.99</v>
      </c>
      <c r="Z26" s="20">
        <v>-8613.7900000000009</v>
      </c>
      <c r="AA26" s="20">
        <v>-5588.35</v>
      </c>
      <c r="AB26" s="20">
        <v>-7060.75</v>
      </c>
      <c r="AC26" s="20">
        <v>-5533.84</v>
      </c>
      <c r="AD26" s="20">
        <v>-13859.82</v>
      </c>
      <c r="AE26" s="20">
        <v>-7253.99</v>
      </c>
      <c r="AF26" s="20">
        <v>-6301.35</v>
      </c>
      <c r="AG26" s="20">
        <v>-33307.29</v>
      </c>
      <c r="AH26" s="20">
        <v>-37182.519999999997</v>
      </c>
      <c r="AI26" s="20">
        <v>-44157.21</v>
      </c>
      <c r="AJ26" s="20">
        <v>-9865.9399999999987</v>
      </c>
      <c r="AK26" s="20">
        <v>-42236.34</v>
      </c>
      <c r="AL26" s="20">
        <v>-41696.36</v>
      </c>
      <c r="AM26" s="20">
        <v>-39940.329999999994</v>
      </c>
      <c r="AN26" s="20">
        <v>-41261.850000000006</v>
      </c>
      <c r="AO26" s="20">
        <v>-39014.810000000005</v>
      </c>
      <c r="AP26" s="20">
        <v>-36927.440000000002</v>
      </c>
      <c r="AQ26" s="20">
        <v>-38481.96</v>
      </c>
      <c r="AR26" s="20">
        <v>-40705.67</v>
      </c>
      <c r="AS26" s="20">
        <v>-36264.51</v>
      </c>
      <c r="AT26" s="20">
        <v>-38809.89</v>
      </c>
      <c r="AU26" s="20">
        <v>-42458.36</v>
      </c>
      <c r="AV26" s="20">
        <v>-38432.78</v>
      </c>
      <c r="AW26" s="20">
        <v>-36426.07</v>
      </c>
      <c r="AX26" s="20">
        <v>-38023.339999999997</v>
      </c>
      <c r="AY26" s="20">
        <v>-36037.01</v>
      </c>
      <c r="AZ26" s="20">
        <v>-41881.33</v>
      </c>
      <c r="BA26" s="20">
        <v>-41602.089999999997</v>
      </c>
      <c r="BB26" s="20">
        <v>-39946.42</v>
      </c>
      <c r="BC26" s="20">
        <v>-37781.25</v>
      </c>
      <c r="BD26" s="20">
        <v>-37288.980000000003</v>
      </c>
      <c r="BE26" s="20">
        <v>-36548.94</v>
      </c>
      <c r="BF26" s="20">
        <v>-36646.020000000004</v>
      </c>
      <c r="BG26" s="103">
        <v>-39582.32</v>
      </c>
      <c r="BH26" s="103">
        <v>-40008.920000000006</v>
      </c>
      <c r="BI26" s="103">
        <v>-11278.929999999998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5">
        <v>-0.7180896160156286</v>
      </c>
      <c r="BT26" s="103">
        <f t="shared" si="12"/>
        <v>-463072.58999999997</v>
      </c>
      <c r="BU26" s="103">
        <f t="shared" si="13"/>
        <v>-90870.17</v>
      </c>
      <c r="BV26" s="103">
        <f t="shared" si="14"/>
        <v>-38589.3825</v>
      </c>
      <c r="BW26" s="103">
        <f t="shared" si="15"/>
        <v>-30290.056666666667</v>
      </c>
      <c r="BX26" s="105">
        <f t="shared" si="16"/>
        <v>-0.62763588975348017</v>
      </c>
      <c r="CA26">
        <f t="shared" si="17"/>
        <v>3</v>
      </c>
    </row>
    <row r="27" spans="1:79" ht="15" x14ac:dyDescent="0.2">
      <c r="A27" s="2" t="s">
        <v>107</v>
      </c>
      <c r="B27" s="2">
        <v>16</v>
      </c>
      <c r="C27" s="2" t="s">
        <v>214</v>
      </c>
      <c r="D27" s="99" t="s">
        <v>195</v>
      </c>
      <c r="E27" s="99" t="s">
        <v>1</v>
      </c>
      <c r="H27" s="20" t="str">
        <f t="shared" si="11"/>
        <v>1 - TOTALMARKETING</v>
      </c>
      <c r="I27" s="20">
        <v>-8938.76</v>
      </c>
      <c r="J27" s="20">
        <v>-24521.260000000002</v>
      </c>
      <c r="K27" s="20">
        <v>-16015.72</v>
      </c>
      <c r="L27" s="20">
        <v>-16403.04</v>
      </c>
      <c r="M27" s="20">
        <v>-12781.599999999999</v>
      </c>
      <c r="N27" s="20">
        <v>-15084.35</v>
      </c>
      <c r="O27" s="20">
        <v>-10436.14</v>
      </c>
      <c r="P27" s="20">
        <v>-15993.010000000002</v>
      </c>
      <c r="Q27" s="20">
        <v>-16442.919999999998</v>
      </c>
      <c r="R27" s="20">
        <v>-16798.71</v>
      </c>
      <c r="S27" s="20">
        <v>-17525.61</v>
      </c>
      <c r="T27" s="20">
        <v>-56840.340000000004</v>
      </c>
      <c r="U27" s="20">
        <v>-56840.340000000004</v>
      </c>
      <c r="V27" s="20">
        <v>-11746.779999999999</v>
      </c>
      <c r="W27" s="20">
        <v>-11746.779999999999</v>
      </c>
      <c r="X27" s="20">
        <v>-16802.29</v>
      </c>
      <c r="Y27" s="20">
        <v>-16988.91</v>
      </c>
      <c r="Z27" s="20">
        <v>-16240.01</v>
      </c>
      <c r="AA27" s="20">
        <v>-25298.12</v>
      </c>
      <c r="AB27" s="20">
        <v>-15454.98</v>
      </c>
      <c r="AC27" s="20">
        <v>-24927.32</v>
      </c>
      <c r="AD27" s="20">
        <v>-24708.97</v>
      </c>
      <c r="AE27" s="20">
        <v>-15439.849999999999</v>
      </c>
      <c r="AF27" s="20">
        <v>-18526.689999999999</v>
      </c>
      <c r="AG27" s="20">
        <v>-17625.309999999998</v>
      </c>
      <c r="AH27" s="20">
        <v>-78854.02</v>
      </c>
      <c r="AI27" s="20">
        <v>-21324.11</v>
      </c>
      <c r="AJ27" s="20">
        <v>-23700.14</v>
      </c>
      <c r="AK27" s="20">
        <v>-27967.100000000002</v>
      </c>
      <c r="AL27" s="20">
        <v>-11070.64</v>
      </c>
      <c r="AM27" s="20">
        <v>-12646.36</v>
      </c>
      <c r="AN27" s="20">
        <v>-10357.08</v>
      </c>
      <c r="AO27" s="20">
        <v>-12971.63</v>
      </c>
      <c r="AP27" s="20">
        <v>-17551.77</v>
      </c>
      <c r="AQ27" s="20">
        <v>-17005.850000000002</v>
      </c>
      <c r="AR27" s="20">
        <v>-16092.84</v>
      </c>
      <c r="AS27" s="20">
        <v>-23222.239999999998</v>
      </c>
      <c r="AT27" s="20">
        <v>-38138.080000000002</v>
      </c>
      <c r="AU27" s="20">
        <v>-11299.330000000002</v>
      </c>
      <c r="AV27" s="20">
        <v>-12768.529999999999</v>
      </c>
      <c r="AW27" s="20">
        <v>-27150.76</v>
      </c>
      <c r="AX27" s="20">
        <v>-27120.400000000001</v>
      </c>
      <c r="AY27" s="20">
        <v>-39287.97</v>
      </c>
      <c r="AZ27" s="20">
        <v>-27851.040000000001</v>
      </c>
      <c r="BA27" s="20">
        <v>-36538.65</v>
      </c>
      <c r="BB27" s="20">
        <v>-21511.030000000002</v>
      </c>
      <c r="BC27" s="20">
        <v>-19656.64</v>
      </c>
      <c r="BD27" s="20">
        <v>-100841.05000000002</v>
      </c>
      <c r="BE27" s="20">
        <v>-123823.53</v>
      </c>
      <c r="BF27" s="20">
        <v>-45861.49</v>
      </c>
      <c r="BG27" s="103">
        <v>-33674.729999999996</v>
      </c>
      <c r="BH27" s="103">
        <v>-39027.770000000004</v>
      </c>
      <c r="BI27" s="103">
        <v>-39498.36</v>
      </c>
      <c r="BJ27" s="103"/>
      <c r="BK27" s="103"/>
      <c r="BL27" s="103"/>
      <c r="BM27" s="103"/>
      <c r="BN27" s="103"/>
      <c r="BO27" s="103"/>
      <c r="BP27" s="103"/>
      <c r="BQ27" s="103"/>
      <c r="BR27" s="103"/>
      <c r="BS27" s="105">
        <v>1.2057824467039735E-2</v>
      </c>
      <c r="BT27" s="103">
        <f t="shared" si="12"/>
        <v>-493710.42000000004</v>
      </c>
      <c r="BU27" s="103">
        <f t="shared" si="13"/>
        <v>-112200.86</v>
      </c>
      <c r="BV27" s="103">
        <f t="shared" si="14"/>
        <v>-41142.535000000003</v>
      </c>
      <c r="BW27" s="103">
        <f t="shared" si="15"/>
        <v>-37400.286666666667</v>
      </c>
      <c r="BX27" s="105">
        <f t="shared" si="16"/>
        <v>5.6097787485764439E-2</v>
      </c>
      <c r="CA27">
        <f t="shared" si="17"/>
        <v>3</v>
      </c>
    </row>
    <row r="28" spans="1:79" ht="15" x14ac:dyDescent="0.2">
      <c r="A28" s="2" t="s">
        <v>107</v>
      </c>
      <c r="B28" s="2">
        <v>17</v>
      </c>
      <c r="C28" s="2" t="s">
        <v>214</v>
      </c>
      <c r="D28" s="99" t="s">
        <v>196</v>
      </c>
      <c r="E28" s="99" t="s">
        <v>2</v>
      </c>
      <c r="H28" s="20" t="str">
        <f t="shared" si="11"/>
        <v>1 - TOTALCOMUNICAÇÃO</v>
      </c>
      <c r="I28" s="20">
        <v>-17008.200000000004</v>
      </c>
      <c r="J28" s="20">
        <v>-18056.210000000003</v>
      </c>
      <c r="K28" s="20">
        <v>-18162.009999999998</v>
      </c>
      <c r="L28" s="20">
        <v>-16108.480000000001</v>
      </c>
      <c r="M28" s="20">
        <v>-16494.260000000002</v>
      </c>
      <c r="N28" s="20">
        <v>-15569.73</v>
      </c>
      <c r="O28" s="20">
        <v>-15908.69</v>
      </c>
      <c r="P28" s="20">
        <v>-16217.239999999998</v>
      </c>
      <c r="Q28" s="20">
        <v>-16015.3</v>
      </c>
      <c r="R28" s="20">
        <v>-15944.76</v>
      </c>
      <c r="S28" s="20">
        <v>-14632.27</v>
      </c>
      <c r="T28" s="20">
        <v>-16189.62</v>
      </c>
      <c r="U28" s="20">
        <v>-16189.62</v>
      </c>
      <c r="V28" s="20">
        <v>-22071.88</v>
      </c>
      <c r="W28" s="20">
        <v>-22071.88</v>
      </c>
      <c r="X28" s="20">
        <v>-17270.68</v>
      </c>
      <c r="Y28" s="20">
        <v>-20267.190000000002</v>
      </c>
      <c r="Z28" s="20">
        <v>-18171.439999999999</v>
      </c>
      <c r="AA28" s="20">
        <v>-18889.650000000001</v>
      </c>
      <c r="AB28" s="20">
        <v>-20371.68</v>
      </c>
      <c r="AC28" s="20">
        <v>-16534.3</v>
      </c>
      <c r="AD28" s="20">
        <v>-18303.09</v>
      </c>
      <c r="AE28" s="20">
        <v>-20185.46</v>
      </c>
      <c r="AF28" s="20">
        <v>-18022.3</v>
      </c>
      <c r="AG28" s="20">
        <v>-19087.189999999999</v>
      </c>
      <c r="AH28" s="20">
        <v>-18569.77</v>
      </c>
      <c r="AI28" s="20">
        <v>-19144.97</v>
      </c>
      <c r="AJ28" s="20">
        <v>-19837.999999999996</v>
      </c>
      <c r="AK28" s="20">
        <v>-11823.37</v>
      </c>
      <c r="AL28" s="20">
        <v>-21505.200000000001</v>
      </c>
      <c r="AM28" s="20">
        <v>-21689.759999999998</v>
      </c>
      <c r="AN28" s="20">
        <v>-17852.379999999997</v>
      </c>
      <c r="AO28" s="20">
        <v>-17522.560000000001</v>
      </c>
      <c r="AP28" s="20">
        <v>-17728.010000000002</v>
      </c>
      <c r="AQ28" s="20">
        <v>-18922.02</v>
      </c>
      <c r="AR28" s="20">
        <v>-19003.29</v>
      </c>
      <c r="AS28" s="20">
        <v>-19918.32</v>
      </c>
      <c r="AT28" s="20">
        <v>-20349</v>
      </c>
      <c r="AU28" s="20">
        <v>-19780</v>
      </c>
      <c r="AV28" s="20">
        <v>-19121.04</v>
      </c>
      <c r="AW28" s="20">
        <v>-47589.57</v>
      </c>
      <c r="AX28" s="20">
        <v>-20497.439999999999</v>
      </c>
      <c r="AY28" s="20">
        <v>-34217.72</v>
      </c>
      <c r="AZ28" s="20">
        <v>-33963.22</v>
      </c>
      <c r="BA28" s="20">
        <v>-44454.6</v>
      </c>
      <c r="BB28" s="20">
        <v>-30028.29</v>
      </c>
      <c r="BC28" s="20">
        <v>-13990.31</v>
      </c>
      <c r="BD28" s="20">
        <v>-42727.67</v>
      </c>
      <c r="BE28" s="20">
        <v>-12221.71</v>
      </c>
      <c r="BF28" s="20">
        <v>-45642.09</v>
      </c>
      <c r="BG28" s="103">
        <v>-30077.78</v>
      </c>
      <c r="BH28" s="103">
        <v>-13866.08</v>
      </c>
      <c r="BI28" s="103">
        <v>-27884.73</v>
      </c>
      <c r="BJ28" s="103"/>
      <c r="BK28" s="103"/>
      <c r="BL28" s="103"/>
      <c r="BM28" s="103"/>
      <c r="BN28" s="103"/>
      <c r="BO28" s="103"/>
      <c r="BP28" s="103"/>
      <c r="BQ28" s="103"/>
      <c r="BR28" s="103"/>
      <c r="BS28" s="105">
        <v>1.0110031097469507</v>
      </c>
      <c r="BT28" s="103">
        <f t="shared" si="12"/>
        <v>-364233.66000000003</v>
      </c>
      <c r="BU28" s="103">
        <f t="shared" si="13"/>
        <v>-71828.59</v>
      </c>
      <c r="BV28" s="103">
        <f t="shared" si="14"/>
        <v>-30352.805000000004</v>
      </c>
      <c r="BW28" s="103">
        <f t="shared" si="15"/>
        <v>-23942.863333333331</v>
      </c>
      <c r="BX28" s="105">
        <f t="shared" si="16"/>
        <v>0.16463639339154512</v>
      </c>
      <c r="CA28">
        <f t="shared" si="17"/>
        <v>3</v>
      </c>
    </row>
    <row r="29" spans="1:79" ht="15" x14ac:dyDescent="0.2">
      <c r="A29" s="2" t="s">
        <v>107</v>
      </c>
      <c r="B29" s="2">
        <v>18</v>
      </c>
      <c r="C29" s="2" t="s">
        <v>214</v>
      </c>
      <c r="D29" s="99" t="s">
        <v>197</v>
      </c>
      <c r="E29" s="99" t="s">
        <v>3</v>
      </c>
      <c r="H29" s="20" t="str">
        <f t="shared" si="11"/>
        <v>1 - TOTALPRESTADOR DE SERVIÇOS</v>
      </c>
      <c r="I29" s="20">
        <v>-8584.1</v>
      </c>
      <c r="J29" s="20">
        <v>-9611.9499999999989</v>
      </c>
      <c r="K29" s="20">
        <v>-9356.2900000000009</v>
      </c>
      <c r="L29" s="20">
        <v>-10617.25</v>
      </c>
      <c r="M29" s="20">
        <v>-7933.1</v>
      </c>
      <c r="N29" s="20">
        <v>-8609.6</v>
      </c>
      <c r="O29" s="20">
        <v>-10748.95</v>
      </c>
      <c r="P29" s="20">
        <v>-11127.85</v>
      </c>
      <c r="Q29" s="20">
        <v>-12663.15</v>
      </c>
      <c r="R29" s="20">
        <v>-16410.87</v>
      </c>
      <c r="S29" s="20">
        <v>-15622.789999999999</v>
      </c>
      <c r="T29" s="20">
        <v>-11907.449999999999</v>
      </c>
      <c r="U29" s="20">
        <v>-11907.449999999999</v>
      </c>
      <c r="V29" s="20">
        <v>-9261.6999999999989</v>
      </c>
      <c r="W29" s="20">
        <v>-9261.6999999999989</v>
      </c>
      <c r="X29" s="20">
        <v>-12969.25</v>
      </c>
      <c r="Y29" s="20">
        <v>-12465.85</v>
      </c>
      <c r="Z29" s="20">
        <v>-12192.7</v>
      </c>
      <c r="AA29" s="20">
        <v>-13459.07</v>
      </c>
      <c r="AB29" s="20">
        <v>-14436.199999999999</v>
      </c>
      <c r="AC29" s="20">
        <v>-10987.55</v>
      </c>
      <c r="AD29" s="20">
        <v>-11335.55</v>
      </c>
      <c r="AE29" s="20">
        <v>-11590.929999999998</v>
      </c>
      <c r="AF29" s="20">
        <v>-11916.75</v>
      </c>
      <c r="AG29" s="20">
        <v>-11427.9</v>
      </c>
      <c r="AH29" s="20">
        <v>-10313.949999999999</v>
      </c>
      <c r="AI29" s="20">
        <v>-8982.75</v>
      </c>
      <c r="AJ29" s="20">
        <v>-14654.349999999999</v>
      </c>
      <c r="AK29" s="20">
        <v>-12107.78</v>
      </c>
      <c r="AL29" s="20">
        <v>-11537.650000000001</v>
      </c>
      <c r="AM29" s="20">
        <v>-10315.900000000001</v>
      </c>
      <c r="AN29" s="20">
        <v>-13038.650000000001</v>
      </c>
      <c r="AO29" s="20">
        <v>-10309.630000000001</v>
      </c>
      <c r="AP29" s="20">
        <v>-11794.29</v>
      </c>
      <c r="AQ29" s="20">
        <v>-12022.210000000001</v>
      </c>
      <c r="AR29" s="20">
        <v>-11246.39</v>
      </c>
      <c r="AS29" s="20">
        <v>-10753.45</v>
      </c>
      <c r="AT29" s="20">
        <v>-11501.27</v>
      </c>
      <c r="AU29" s="20">
        <v>-12925.310000000001</v>
      </c>
      <c r="AV29" s="20">
        <v>-11966.44</v>
      </c>
      <c r="AW29" s="20">
        <v>-16126.769999999999</v>
      </c>
      <c r="AX29" s="20">
        <v>-14806.07</v>
      </c>
      <c r="AY29" s="20">
        <v>-14838.39</v>
      </c>
      <c r="AZ29" s="20">
        <v>-16577.12</v>
      </c>
      <c r="BA29" s="20">
        <v>-14969.66</v>
      </c>
      <c r="BB29" s="20">
        <v>-16296.039999999999</v>
      </c>
      <c r="BC29" s="20">
        <v>-16075.12</v>
      </c>
      <c r="BD29" s="20">
        <v>-14920.279999999999</v>
      </c>
      <c r="BE29" s="20">
        <v>-21074.07</v>
      </c>
      <c r="BF29" s="20">
        <v>-16864.98</v>
      </c>
      <c r="BG29" s="103">
        <v>-25622.38</v>
      </c>
      <c r="BH29" s="103">
        <v>-18288.399999999998</v>
      </c>
      <c r="BI29" s="103">
        <v>-15965.330000000002</v>
      </c>
      <c r="BJ29" s="103"/>
      <c r="BK29" s="103"/>
      <c r="BL29" s="103"/>
      <c r="BM29" s="103"/>
      <c r="BN29" s="103"/>
      <c r="BO29" s="103"/>
      <c r="BP29" s="103"/>
      <c r="BQ29" s="103"/>
      <c r="BR29" s="103"/>
      <c r="BS29" s="105">
        <v>-0.12702423394063977</v>
      </c>
      <c r="BT29" s="103">
        <f t="shared" si="12"/>
        <v>-187440.25</v>
      </c>
      <c r="BU29" s="103">
        <f t="shared" si="13"/>
        <v>-59876.11</v>
      </c>
      <c r="BV29" s="103">
        <f t="shared" si="14"/>
        <v>-15620.020833333334</v>
      </c>
      <c r="BW29" s="103">
        <f t="shared" si="15"/>
        <v>-19958.703333333335</v>
      </c>
      <c r="BX29" s="105">
        <f t="shared" si="16"/>
        <v>-0.20008180224132799</v>
      </c>
      <c r="CA29">
        <f t="shared" si="17"/>
        <v>3</v>
      </c>
    </row>
    <row r="30" spans="1:79" ht="15" x14ac:dyDescent="0.2">
      <c r="A30" s="2" t="s">
        <v>107</v>
      </c>
      <c r="B30" s="2">
        <v>19</v>
      </c>
      <c r="C30" s="2" t="s">
        <v>214</v>
      </c>
      <c r="D30" s="99" t="s">
        <v>198</v>
      </c>
      <c r="E30" s="99" t="s">
        <v>220</v>
      </c>
      <c r="H30" s="20" t="str">
        <f t="shared" si="11"/>
        <v>1 - TOTALALUGUEL DE EQUIPAM / MANUT MÁQ EQUIPAM</v>
      </c>
      <c r="I30" s="20">
        <v>-5050.1499999999996</v>
      </c>
      <c r="J30" s="20">
        <v>-4144.71</v>
      </c>
      <c r="K30" s="20">
        <v>-3848.66</v>
      </c>
      <c r="L30" s="20">
        <v>-3803.6099999999997</v>
      </c>
      <c r="M30" s="20">
        <v>-337.04</v>
      </c>
      <c r="N30" s="20">
        <v>-337.04</v>
      </c>
      <c r="O30" s="20">
        <v>-337.04</v>
      </c>
      <c r="P30" s="20">
        <v>-337.04</v>
      </c>
      <c r="Q30" s="20">
        <v>-1177.79</v>
      </c>
      <c r="R30" s="20">
        <v>-707.96</v>
      </c>
      <c r="S30" s="20">
        <v>-336.59</v>
      </c>
      <c r="T30" s="20">
        <v>-386.59</v>
      </c>
      <c r="U30" s="20">
        <v>-386.59</v>
      </c>
      <c r="V30" s="20">
        <v>-336.59</v>
      </c>
      <c r="W30" s="20">
        <v>-336.59</v>
      </c>
      <c r="X30" s="20">
        <v>-1682.93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-823.44</v>
      </c>
      <c r="AF30" s="20">
        <v>-2490</v>
      </c>
      <c r="AG30" s="20">
        <v>-2710</v>
      </c>
      <c r="AH30" s="20">
        <v>-7400.29</v>
      </c>
      <c r="AI30" s="20">
        <v>-7236.11</v>
      </c>
      <c r="AJ30" s="20">
        <v>-7795</v>
      </c>
      <c r="AK30" s="20">
        <v>-6435</v>
      </c>
      <c r="AL30" s="20">
        <v>-6985</v>
      </c>
      <c r="AM30" s="20">
        <v>-7372.9</v>
      </c>
      <c r="AN30" s="20">
        <v>-5280</v>
      </c>
      <c r="AO30" s="20">
        <v>-6602.2699999999995</v>
      </c>
      <c r="AP30" s="20">
        <v>-5828.369999999999</v>
      </c>
      <c r="AQ30" s="20">
        <v>-6323.4699999999993</v>
      </c>
      <c r="AR30" s="20">
        <v>-5728.0499999999993</v>
      </c>
      <c r="AS30" s="20">
        <v>-5653.4699999999993</v>
      </c>
      <c r="AT30" s="20">
        <v>-5655.42</v>
      </c>
      <c r="AU30" s="20">
        <v>-6206.0599999999995</v>
      </c>
      <c r="AV30" s="20">
        <v>-5748.4699999999993</v>
      </c>
      <c r="AW30" s="20">
        <v>-9149</v>
      </c>
      <c r="AX30" s="20">
        <v>-6565.57</v>
      </c>
      <c r="AY30" s="20">
        <v>-7919.5</v>
      </c>
      <c r="AZ30" s="20">
        <v>-8577.7199999999993</v>
      </c>
      <c r="BA30" s="20">
        <v>-9081.0999999999985</v>
      </c>
      <c r="BB30" s="20">
        <v>-8561.0999999999985</v>
      </c>
      <c r="BC30" s="20">
        <v>-9379.2800000000007</v>
      </c>
      <c r="BD30" s="20">
        <v>-6143.63</v>
      </c>
      <c r="BE30" s="20">
        <v>-4615.67</v>
      </c>
      <c r="BF30" s="20">
        <v>-5832.52</v>
      </c>
      <c r="BG30" s="103">
        <v>-5539.09</v>
      </c>
      <c r="BH30" s="103">
        <v>-5270.03</v>
      </c>
      <c r="BI30" s="103">
        <v>-5225</v>
      </c>
      <c r="BJ30" s="103"/>
      <c r="BK30" s="103"/>
      <c r="BL30" s="103"/>
      <c r="BM30" s="103"/>
      <c r="BN30" s="103"/>
      <c r="BO30" s="103"/>
      <c r="BP30" s="103"/>
      <c r="BQ30" s="103"/>
      <c r="BR30" s="103"/>
      <c r="BS30" s="105">
        <v>-8.5445433896960132E-3</v>
      </c>
      <c r="BT30" s="103">
        <f t="shared" si="12"/>
        <v>-87779.62000000001</v>
      </c>
      <c r="BU30" s="103">
        <f t="shared" si="13"/>
        <v>-16034.119999999999</v>
      </c>
      <c r="BV30" s="103">
        <f t="shared" si="14"/>
        <v>-7314.9683333333342</v>
      </c>
      <c r="BW30" s="103">
        <f t="shared" si="15"/>
        <v>-5344.706666666666</v>
      </c>
      <c r="BX30" s="105">
        <f t="shared" si="16"/>
        <v>-2.2397237890198984E-2</v>
      </c>
      <c r="CA30">
        <f t="shared" si="17"/>
        <v>3</v>
      </c>
    </row>
    <row r="31" spans="1:79" ht="15" x14ac:dyDescent="0.2">
      <c r="A31" s="2" t="s">
        <v>107</v>
      </c>
      <c r="B31" s="2">
        <v>20</v>
      </c>
      <c r="C31" s="2" t="s">
        <v>214</v>
      </c>
      <c r="D31" s="99" t="s">
        <v>199</v>
      </c>
      <c r="E31" s="99" t="s">
        <v>5</v>
      </c>
      <c r="H31" s="20" t="str">
        <f t="shared" si="11"/>
        <v>1 - TOTALCONSUMO DE MATERIAL</v>
      </c>
      <c r="I31" s="20">
        <v>-12142.61</v>
      </c>
      <c r="J31" s="20">
        <v>-20118.91</v>
      </c>
      <c r="K31" s="20">
        <v>-5441.78</v>
      </c>
      <c r="L31" s="20">
        <v>-4022.36</v>
      </c>
      <c r="M31" s="20">
        <v>-451.04</v>
      </c>
      <c r="N31" s="20">
        <v>-22.24</v>
      </c>
      <c r="O31" s="20">
        <v>-4677.74</v>
      </c>
      <c r="P31" s="20">
        <v>-4685.5</v>
      </c>
      <c r="Q31" s="20">
        <v>-2200</v>
      </c>
      <c r="R31" s="20">
        <v>-2212</v>
      </c>
      <c r="S31" s="20">
        <v>-4850</v>
      </c>
      <c r="T31" s="20">
        <v>-8321.43</v>
      </c>
      <c r="U31" s="20">
        <v>-8321.43</v>
      </c>
      <c r="V31" s="20">
        <v>-880.07</v>
      </c>
      <c r="W31" s="20">
        <v>-880.07</v>
      </c>
      <c r="X31" s="20">
        <v>-89.67</v>
      </c>
      <c r="Y31" s="20">
        <v>-2630.97</v>
      </c>
      <c r="Z31" s="20">
        <v>-2717.18</v>
      </c>
      <c r="AA31" s="20">
        <v>-529.91999999999996</v>
      </c>
      <c r="AB31" s="20">
        <v>-2587.79</v>
      </c>
      <c r="AC31" s="20">
        <v>-21.26</v>
      </c>
      <c r="AD31" s="20">
        <v>-2132.31</v>
      </c>
      <c r="AE31" s="20">
        <v>-701.28</v>
      </c>
      <c r="AF31" s="20">
        <v>-5142.7700000000004</v>
      </c>
      <c r="AG31" s="20">
        <v>-901.58</v>
      </c>
      <c r="AH31" s="20">
        <v>-3808.19</v>
      </c>
      <c r="AI31" s="20">
        <v>-3281.43</v>
      </c>
      <c r="AJ31" s="20">
        <v>-526.66</v>
      </c>
      <c r="AK31" s="20">
        <v>-4215.25</v>
      </c>
      <c r="AL31" s="20">
        <v>-6418.93</v>
      </c>
      <c r="AM31" s="20">
        <v>-7943.6900000000005</v>
      </c>
      <c r="AN31" s="20">
        <v>-4054.55</v>
      </c>
      <c r="AO31" s="20">
        <v>-3208.18</v>
      </c>
      <c r="AP31" s="20">
        <v>-6997.66</v>
      </c>
      <c r="AQ31" s="20">
        <v>-9790.36</v>
      </c>
      <c r="AR31" s="20">
        <v>-7749.96</v>
      </c>
      <c r="AS31" s="20">
        <v>-7804.1900000000005</v>
      </c>
      <c r="AT31" s="20">
        <v>-6227.85</v>
      </c>
      <c r="AU31" s="20">
        <v>-7090.57</v>
      </c>
      <c r="AV31" s="20">
        <v>-3646.71</v>
      </c>
      <c r="AW31" s="20">
        <v>-6497.35</v>
      </c>
      <c r="AX31" s="20">
        <v>-4130.43</v>
      </c>
      <c r="AY31" s="20">
        <v>-6745.72</v>
      </c>
      <c r="AZ31" s="20">
        <v>-7797.1</v>
      </c>
      <c r="BA31" s="20">
        <v>-5984.21</v>
      </c>
      <c r="BB31" s="20">
        <v>-9567.1200000000008</v>
      </c>
      <c r="BC31" s="20">
        <v>-9568.2000000000007</v>
      </c>
      <c r="BD31" s="20">
        <v>-6738.64</v>
      </c>
      <c r="BE31" s="20">
        <v>-11691.94</v>
      </c>
      <c r="BF31" s="20">
        <v>-10402.15</v>
      </c>
      <c r="BG31" s="103">
        <v>-7126.56</v>
      </c>
      <c r="BH31" s="103">
        <v>-7944.53</v>
      </c>
      <c r="BI31" s="103">
        <v>-16453.490000000002</v>
      </c>
      <c r="BJ31" s="103"/>
      <c r="BK31" s="103"/>
      <c r="BL31" s="103"/>
      <c r="BM31" s="103"/>
      <c r="BN31" s="103"/>
      <c r="BO31" s="103"/>
      <c r="BP31" s="103"/>
      <c r="BQ31" s="103"/>
      <c r="BR31" s="103"/>
      <c r="BS31" s="105">
        <v>1.0710463677524036</v>
      </c>
      <c r="BT31" s="103">
        <f t="shared" si="12"/>
        <v>-89860.14</v>
      </c>
      <c r="BU31" s="103">
        <f t="shared" si="13"/>
        <v>-31524.58</v>
      </c>
      <c r="BV31" s="103">
        <f t="shared" si="14"/>
        <v>-7488.3450000000003</v>
      </c>
      <c r="BW31" s="103">
        <f t="shared" si="15"/>
        <v>-10508.193333333335</v>
      </c>
      <c r="BX31" s="105">
        <f t="shared" si="16"/>
        <v>0.56577724429635534</v>
      </c>
      <c r="CA31">
        <f t="shared" si="17"/>
        <v>3</v>
      </c>
    </row>
    <row r="32" spans="1:79" ht="15" x14ac:dyDescent="0.2">
      <c r="A32" s="2" t="s">
        <v>107</v>
      </c>
      <c r="B32" s="2">
        <v>21</v>
      </c>
      <c r="C32" s="2" t="s">
        <v>214</v>
      </c>
      <c r="D32" s="99" t="s">
        <v>231</v>
      </c>
      <c r="E32" s="99" t="s">
        <v>230</v>
      </c>
      <c r="H32" s="20" t="str">
        <f t="shared" si="11"/>
        <v>1 - TOTALDESPESAS GERAIS / INVESTIMENTOS</v>
      </c>
      <c r="I32" s="20">
        <v>-15233.259999999998</v>
      </c>
      <c r="J32" s="20">
        <v>-13325.64</v>
      </c>
      <c r="K32" s="20">
        <v>-5365.74</v>
      </c>
      <c r="L32" s="20">
        <v>-3251.4450000000002</v>
      </c>
      <c r="M32" s="20">
        <v>-2858.46</v>
      </c>
      <c r="N32" s="20">
        <v>-3520.81</v>
      </c>
      <c r="O32" s="20">
        <v>-3012.96</v>
      </c>
      <c r="P32" s="20">
        <v>-3367.81</v>
      </c>
      <c r="Q32" s="20">
        <v>-3352.42</v>
      </c>
      <c r="R32" s="20">
        <v>-6460.44</v>
      </c>
      <c r="S32" s="20">
        <v>-7089.34</v>
      </c>
      <c r="T32" s="20">
        <v>-14289.099999999999</v>
      </c>
      <c r="U32" s="20">
        <v>-14289.099999999999</v>
      </c>
      <c r="V32" s="20">
        <v>-10212.289999999999</v>
      </c>
      <c r="W32" s="20">
        <v>-10212.289999999999</v>
      </c>
      <c r="X32" s="20">
        <v>-7495.02</v>
      </c>
      <c r="Y32" s="20">
        <v>-10309.01</v>
      </c>
      <c r="Z32" s="20">
        <v>-7362.73</v>
      </c>
      <c r="AA32" s="20">
        <v>-8890.75</v>
      </c>
      <c r="AB32" s="20">
        <v>-9576.7900000000009</v>
      </c>
      <c r="AC32" s="20">
        <v>-11572.67</v>
      </c>
      <c r="AD32" s="20">
        <v>-5172.1600000000008</v>
      </c>
      <c r="AE32" s="20">
        <v>-21166.530000000002</v>
      </c>
      <c r="AF32" s="20">
        <v>-9272.4000000000015</v>
      </c>
      <c r="AG32" s="20">
        <v>-30999.67</v>
      </c>
      <c r="AH32" s="20">
        <v>-14498.51</v>
      </c>
      <c r="AI32" s="20">
        <v>-13719.32</v>
      </c>
      <c r="AJ32" s="20">
        <v>-34628.28</v>
      </c>
      <c r="AK32" s="20">
        <v>-36322.869999999995</v>
      </c>
      <c r="AL32" s="20">
        <v>-67260.08</v>
      </c>
      <c r="AM32" s="20">
        <v>-25867.98</v>
      </c>
      <c r="AN32" s="20">
        <v>-15733.09</v>
      </c>
      <c r="AO32" s="20">
        <v>-40882.239999999998</v>
      </c>
      <c r="AP32" s="20">
        <v>-19995.5</v>
      </c>
      <c r="AQ32" s="20">
        <v>-20493.38</v>
      </c>
      <c r="AR32" s="20">
        <v>-23077.159999999996</v>
      </c>
      <c r="AS32" s="20">
        <v>-26304.69</v>
      </c>
      <c r="AT32" s="20">
        <v>-23397.7</v>
      </c>
      <c r="AU32" s="20">
        <v>-20684.599999999999</v>
      </c>
      <c r="AV32" s="20">
        <v>-26112.01</v>
      </c>
      <c r="AW32" s="20">
        <v>-44822.28</v>
      </c>
      <c r="AX32" s="20">
        <v>-23398.68</v>
      </c>
      <c r="AY32" s="20">
        <v>-19090.03</v>
      </c>
      <c r="AZ32" s="20">
        <v>-25311.539999999994</v>
      </c>
      <c r="BA32" s="20">
        <v>-17573.84</v>
      </c>
      <c r="BB32" s="20">
        <v>-25756.32</v>
      </c>
      <c r="BC32" s="20">
        <v>-23037.660000000003</v>
      </c>
      <c r="BD32" s="20">
        <v>-34656.729999999981</v>
      </c>
      <c r="BE32" s="20">
        <v>-33024.54</v>
      </c>
      <c r="BF32" s="20">
        <v>-28276.450000000012</v>
      </c>
      <c r="BG32" s="103">
        <v>-45501.75</v>
      </c>
      <c r="BH32" s="103">
        <v>-32846.729999999996</v>
      </c>
      <c r="BI32" s="103">
        <v>-32556.7</v>
      </c>
      <c r="BJ32" s="103"/>
      <c r="BK32" s="103"/>
      <c r="BL32" s="103"/>
      <c r="BM32" s="103"/>
      <c r="BN32" s="103"/>
      <c r="BO32" s="103"/>
      <c r="BP32" s="103"/>
      <c r="BQ32" s="103"/>
      <c r="BR32" s="103"/>
      <c r="BS32" s="105">
        <v>-8.829798278245482E-3</v>
      </c>
      <c r="BT32" s="103">
        <f t="shared" si="12"/>
        <v>-321744.68</v>
      </c>
      <c r="BU32" s="103">
        <f t="shared" si="13"/>
        <v>-110905.18</v>
      </c>
      <c r="BV32" s="103">
        <f t="shared" si="14"/>
        <v>-26812.056666666667</v>
      </c>
      <c r="BW32" s="103">
        <f t="shared" si="15"/>
        <v>-36968.393333333333</v>
      </c>
      <c r="BX32" s="105">
        <f t="shared" si="16"/>
        <v>-0.11933689661745284</v>
      </c>
      <c r="CA32">
        <f t="shared" si="17"/>
        <v>3</v>
      </c>
    </row>
    <row r="33" spans="1:79" ht="15" x14ac:dyDescent="0.2">
      <c r="A33" s="2" t="s">
        <v>107</v>
      </c>
      <c r="B33" s="2">
        <v>22</v>
      </c>
      <c r="C33" s="2" t="s">
        <v>214</v>
      </c>
      <c r="D33" s="99" t="s">
        <v>228</v>
      </c>
      <c r="E33" s="99" t="s">
        <v>229</v>
      </c>
      <c r="H33" s="20" t="str">
        <f t="shared" si="11"/>
        <v>1 - TOTALDESPESAS INTERCOMPANY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-210000</v>
      </c>
      <c r="AW33" s="20">
        <v>-80000</v>
      </c>
      <c r="AX33" s="20">
        <v>-80000</v>
      </c>
      <c r="AY33" s="20">
        <v>-80000</v>
      </c>
      <c r="AZ33" s="20">
        <v>-80000</v>
      </c>
      <c r="BA33" s="20">
        <v>0</v>
      </c>
      <c r="BB33" s="20">
        <v>0</v>
      </c>
      <c r="BC33" s="20">
        <v>-110000</v>
      </c>
      <c r="BD33" s="20">
        <v>-170000</v>
      </c>
      <c r="BE33" s="20">
        <v>0</v>
      </c>
      <c r="BF33" s="20">
        <v>-400000</v>
      </c>
      <c r="BG33" s="103">
        <v>-50000</v>
      </c>
      <c r="BH33" s="103">
        <v>0</v>
      </c>
      <c r="BI33" s="103">
        <v>0</v>
      </c>
      <c r="BJ33" s="103"/>
      <c r="BK33" s="103"/>
      <c r="BL33" s="103"/>
      <c r="BM33" s="103"/>
      <c r="BN33" s="103"/>
      <c r="BO33" s="103"/>
      <c r="BP33" s="103"/>
      <c r="BQ33" s="103"/>
      <c r="BR33" s="103"/>
      <c r="BS33" s="105" t="str">
        <f t="shared" ref="BS33" si="21">IFERROR((BF33/BE33-1),"")</f>
        <v/>
      </c>
      <c r="BT33" s="103">
        <f t="shared" si="12"/>
        <v>-1210000</v>
      </c>
      <c r="BU33" s="103">
        <f t="shared" si="13"/>
        <v>-50000</v>
      </c>
      <c r="BV33" s="103">
        <f t="shared" si="14"/>
        <v>-100833.33333333333</v>
      </c>
      <c r="BW33" s="103">
        <f t="shared" si="15"/>
        <v>-16666.666666666668</v>
      </c>
      <c r="BX33" s="105">
        <f t="shared" si="16"/>
        <v>-1</v>
      </c>
      <c r="CA33">
        <f t="shared" si="17"/>
        <v>3</v>
      </c>
    </row>
    <row r="34" spans="1:79" ht="15" x14ac:dyDescent="0.2">
      <c r="A34" s="2" t="s">
        <v>107</v>
      </c>
      <c r="B34" s="2">
        <v>23</v>
      </c>
      <c r="C34" s="2"/>
      <c r="D34" s="98" t="s">
        <v>264</v>
      </c>
      <c r="E34" s="98"/>
      <c r="F34" s="90"/>
      <c r="G34" s="90"/>
      <c r="H34" s="20" t="str">
        <f t="shared" si="11"/>
        <v>1 - TOTAL</v>
      </c>
      <c r="I34" s="87">
        <f>I23+I24</f>
        <v>887541.30599996017</v>
      </c>
      <c r="J34" s="87">
        <f t="shared" ref="J34:BI34" si="22">J23+J24</f>
        <v>413320.25712819834</v>
      </c>
      <c r="K34" s="87">
        <f t="shared" si="22"/>
        <v>1353068.6319973888</v>
      </c>
      <c r="L34" s="87">
        <f t="shared" si="22"/>
        <v>934254.55299995025</v>
      </c>
      <c r="M34" s="87">
        <f t="shared" si="22"/>
        <v>973423.09999995097</v>
      </c>
      <c r="N34" s="87">
        <f t="shared" si="22"/>
        <v>949426.42</v>
      </c>
      <c r="O34" s="87">
        <f t="shared" si="22"/>
        <v>1451322.2500000005</v>
      </c>
      <c r="P34" s="87">
        <f t="shared" si="22"/>
        <v>736622.3899999999</v>
      </c>
      <c r="Q34" s="87">
        <f t="shared" si="22"/>
        <v>1691938.9699999995</v>
      </c>
      <c r="R34" s="87">
        <f t="shared" si="22"/>
        <v>911080.32999999961</v>
      </c>
      <c r="S34" s="87">
        <f t="shared" si="22"/>
        <v>1690535.6500000001</v>
      </c>
      <c r="T34" s="87">
        <f t="shared" si="22"/>
        <v>1051908.46</v>
      </c>
      <c r="U34" s="87">
        <f t="shared" si="22"/>
        <v>1051908.46</v>
      </c>
      <c r="V34" s="87">
        <f t="shared" si="22"/>
        <v>1562127.78</v>
      </c>
      <c r="W34" s="87">
        <f t="shared" si="22"/>
        <v>1562127.78</v>
      </c>
      <c r="X34" s="87">
        <f t="shared" si="22"/>
        <v>712644.34000000008</v>
      </c>
      <c r="Y34" s="87">
        <f t="shared" si="22"/>
        <v>324200.02999999985</v>
      </c>
      <c r="Z34" s="87">
        <f t="shared" si="22"/>
        <v>1053127</v>
      </c>
      <c r="AA34" s="87">
        <f t="shared" si="22"/>
        <v>1529831.23</v>
      </c>
      <c r="AB34" s="87">
        <f t="shared" si="22"/>
        <v>1052429.4600000002</v>
      </c>
      <c r="AC34" s="87">
        <f t="shared" si="22"/>
        <v>1082518.7100000004</v>
      </c>
      <c r="AD34" s="87">
        <f t="shared" si="22"/>
        <v>803105.89409999957</v>
      </c>
      <c r="AE34" s="87">
        <f t="shared" si="22"/>
        <v>960923.78000000049</v>
      </c>
      <c r="AF34" s="87">
        <f t="shared" si="22"/>
        <v>1233618.67</v>
      </c>
      <c r="AG34" s="87">
        <f t="shared" si="22"/>
        <v>1123415.9508</v>
      </c>
      <c r="AH34" s="87">
        <f t="shared" si="22"/>
        <v>1458837.53</v>
      </c>
      <c r="AI34" s="87">
        <f t="shared" si="22"/>
        <v>772097.45000000019</v>
      </c>
      <c r="AJ34" s="87">
        <f t="shared" si="22"/>
        <v>63601.179999999935</v>
      </c>
      <c r="AK34" s="87">
        <f t="shared" si="22"/>
        <v>523197.82819032256</v>
      </c>
      <c r="AL34" s="87">
        <f t="shared" si="22"/>
        <v>1152615.8799999999</v>
      </c>
      <c r="AM34" s="87">
        <f t="shared" si="22"/>
        <v>1510249.0600000003</v>
      </c>
      <c r="AN34" s="87">
        <f t="shared" si="22"/>
        <v>968734.25959999999</v>
      </c>
      <c r="AO34" s="87">
        <f t="shared" si="22"/>
        <v>894276.27000000037</v>
      </c>
      <c r="AP34" s="87">
        <f t="shared" si="22"/>
        <v>670952.7239999997</v>
      </c>
      <c r="AQ34" s="87">
        <f t="shared" si="22"/>
        <v>1018944.2625322578</v>
      </c>
      <c r="AR34" s="87">
        <f t="shared" si="22"/>
        <v>1104770.4364111</v>
      </c>
      <c r="AS34" s="87">
        <f t="shared" si="22"/>
        <v>738002.27459999989</v>
      </c>
      <c r="AT34" s="87">
        <f t="shared" si="22"/>
        <v>788663.97460000007</v>
      </c>
      <c r="AU34" s="87" t="e">
        <f t="shared" si="22"/>
        <v>#REF!</v>
      </c>
      <c r="AV34" s="87" t="e">
        <f t="shared" si="22"/>
        <v>#REF!</v>
      </c>
      <c r="AW34" s="87" t="e">
        <f t="shared" si="22"/>
        <v>#REF!</v>
      </c>
      <c r="AX34" s="87" t="e">
        <f t="shared" si="22"/>
        <v>#REF!</v>
      </c>
      <c r="AY34" s="87" t="e">
        <f t="shared" si="22"/>
        <v>#REF!</v>
      </c>
      <c r="AZ34" s="87" t="e">
        <f t="shared" si="22"/>
        <v>#REF!</v>
      </c>
      <c r="BA34" s="87" t="e">
        <f t="shared" si="22"/>
        <v>#REF!</v>
      </c>
      <c r="BB34" s="87" t="e">
        <f t="shared" si="22"/>
        <v>#REF!</v>
      </c>
      <c r="BC34" s="87" t="e">
        <f t="shared" si="22"/>
        <v>#REF!</v>
      </c>
      <c r="BD34" s="87" t="e">
        <f t="shared" si="22"/>
        <v>#REF!</v>
      </c>
      <c r="BE34" s="87" t="e">
        <f t="shared" si="22"/>
        <v>#REF!</v>
      </c>
      <c r="BF34" s="87" t="e">
        <f t="shared" si="22"/>
        <v>#REF!</v>
      </c>
      <c r="BG34" s="87" t="e">
        <f t="shared" si="22"/>
        <v>#REF!</v>
      </c>
      <c r="BH34" s="87" t="e">
        <f t="shared" si="22"/>
        <v>#REF!</v>
      </c>
      <c r="BI34" s="87" t="e">
        <f t="shared" si="22"/>
        <v>#REF!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05" t="str">
        <f>IFERROR((BI34/BH34-1),"")</f>
        <v/>
      </c>
      <c r="BT34" s="103" t="e">
        <f t="shared" si="12"/>
        <v>#REF!</v>
      </c>
      <c r="BU34" s="103" t="e">
        <f t="shared" si="13"/>
        <v>#REF!</v>
      </c>
      <c r="BV34" s="103" t="e">
        <f t="shared" si="14"/>
        <v>#REF!</v>
      </c>
      <c r="BW34" s="103" t="e">
        <f t="shared" si="15"/>
        <v>#REF!</v>
      </c>
      <c r="BX34" s="105" t="e">
        <f t="shared" si="16"/>
        <v>#REF!</v>
      </c>
      <c r="BY34">
        <v>3</v>
      </c>
      <c r="CA34">
        <f t="shared" si="17"/>
        <v>3</v>
      </c>
    </row>
    <row r="35" spans="1:79" ht="15" x14ac:dyDescent="0.2">
      <c r="A35" s="2" t="s">
        <v>107</v>
      </c>
      <c r="B35" s="2">
        <v>24</v>
      </c>
      <c r="C35" s="2"/>
      <c r="D35" s="224" t="s">
        <v>263</v>
      </c>
      <c r="E35" s="98"/>
      <c r="F35" s="90"/>
      <c r="G35" s="90"/>
      <c r="H35" s="20" t="str">
        <f t="shared" si="11"/>
        <v>1 - TOTAL</v>
      </c>
      <c r="I35" s="87">
        <f>I23+I24+I40+I41+I42</f>
        <v>72469.754888760275</v>
      </c>
      <c r="J35" s="87">
        <f t="shared" ref="J35:BI35" si="23">J23+J24+J40+J41+J42</f>
        <v>-390219.32</v>
      </c>
      <c r="K35" s="87">
        <f t="shared" si="23"/>
        <v>527599.15199990012</v>
      </c>
      <c r="L35" s="87">
        <f t="shared" si="23"/>
        <v>102291.95299995015</v>
      </c>
      <c r="M35" s="87">
        <f t="shared" si="23"/>
        <v>135381.91999995112</v>
      </c>
      <c r="N35" s="87">
        <f t="shared" si="23"/>
        <v>75772.969999999987</v>
      </c>
      <c r="O35" s="87">
        <f t="shared" si="23"/>
        <v>563985.32000000053</v>
      </c>
      <c r="P35" s="87">
        <f t="shared" si="23"/>
        <v>-170829.8600000001</v>
      </c>
      <c r="Q35" s="87">
        <f t="shared" si="23"/>
        <v>859441.65999999945</v>
      </c>
      <c r="R35" s="87">
        <f t="shared" si="23"/>
        <v>-32607.870000000577</v>
      </c>
      <c r="S35" s="87">
        <f t="shared" si="23"/>
        <v>796975.74000000011</v>
      </c>
      <c r="T35" s="87">
        <f t="shared" si="23"/>
        <v>-333159.19000000012</v>
      </c>
      <c r="U35" s="87">
        <f t="shared" si="23"/>
        <v>90626.809999999881</v>
      </c>
      <c r="V35" s="87">
        <f t="shared" si="23"/>
        <v>680723.77999999991</v>
      </c>
      <c r="W35" s="87">
        <f t="shared" si="23"/>
        <v>1104509.78</v>
      </c>
      <c r="X35" s="87">
        <f t="shared" si="23"/>
        <v>-204741.07999999987</v>
      </c>
      <c r="Y35" s="87">
        <f t="shared" si="23"/>
        <v>-622845.81000000017</v>
      </c>
      <c r="Z35" s="87">
        <f t="shared" si="23"/>
        <v>113278.56000000017</v>
      </c>
      <c r="AA35" s="87">
        <f t="shared" si="23"/>
        <v>546846.07000000007</v>
      </c>
      <c r="AB35" s="87">
        <f t="shared" si="23"/>
        <v>64195.330000000366</v>
      </c>
      <c r="AC35" s="87">
        <f t="shared" si="23"/>
        <v>77170.81000000058</v>
      </c>
      <c r="AD35" s="87">
        <f t="shared" si="23"/>
        <v>-237174.56180000043</v>
      </c>
      <c r="AE35" s="87">
        <f t="shared" si="23"/>
        <v>-87824.979999999559</v>
      </c>
      <c r="AF35" s="87">
        <f t="shared" si="23"/>
        <v>144287.81999999995</v>
      </c>
      <c r="AG35" s="87">
        <f t="shared" si="23"/>
        <v>-3928.9283999999752</v>
      </c>
      <c r="AH35" s="87">
        <f t="shared" si="23"/>
        <v>335755.21</v>
      </c>
      <c r="AI35" s="87">
        <f t="shared" si="23"/>
        <v>-239345.03999999978</v>
      </c>
      <c r="AJ35" s="87">
        <f t="shared" si="23"/>
        <v>-975368.81</v>
      </c>
      <c r="AK35" s="87">
        <f t="shared" si="23"/>
        <v>-519814.37461935461</v>
      </c>
      <c r="AL35" s="87">
        <f t="shared" si="23"/>
        <v>131928.00000000003</v>
      </c>
      <c r="AM35" s="87">
        <f t="shared" si="23"/>
        <v>483021.65000000049</v>
      </c>
      <c r="AN35" s="87">
        <f t="shared" si="23"/>
        <v>-32577.220799999996</v>
      </c>
      <c r="AO35" s="87">
        <f t="shared" si="23"/>
        <v>-136109.33979999929</v>
      </c>
      <c r="AP35" s="87">
        <f t="shared" si="23"/>
        <v>-345831.35760000034</v>
      </c>
      <c r="AQ35" s="87">
        <f t="shared" si="23"/>
        <v>37047.557564515788</v>
      </c>
      <c r="AR35" s="87">
        <f t="shared" si="23"/>
        <v>47491.922822199936</v>
      </c>
      <c r="AS35" s="87">
        <f t="shared" si="23"/>
        <v>-296857.07380000019</v>
      </c>
      <c r="AT35" s="87">
        <f t="shared" si="23"/>
        <v>-261807.11079999997</v>
      </c>
      <c r="AU35" s="87" t="e">
        <f t="shared" si="23"/>
        <v>#REF!</v>
      </c>
      <c r="AV35" s="87" t="e">
        <f t="shared" si="23"/>
        <v>#REF!</v>
      </c>
      <c r="AW35" s="87" t="e">
        <f t="shared" si="23"/>
        <v>#REF!</v>
      </c>
      <c r="AX35" s="87" t="e">
        <f t="shared" si="23"/>
        <v>#REF!</v>
      </c>
      <c r="AY35" s="87" t="e">
        <f t="shared" si="23"/>
        <v>#REF!</v>
      </c>
      <c r="AZ35" s="87" t="e">
        <f t="shared" si="23"/>
        <v>#REF!</v>
      </c>
      <c r="BA35" s="87" t="e">
        <f t="shared" si="23"/>
        <v>#REF!</v>
      </c>
      <c r="BB35" s="87" t="e">
        <f t="shared" si="23"/>
        <v>#REF!</v>
      </c>
      <c r="BC35" s="87" t="e">
        <f t="shared" si="23"/>
        <v>#REF!</v>
      </c>
      <c r="BD35" s="87" t="e">
        <f t="shared" si="23"/>
        <v>#REF!</v>
      </c>
      <c r="BE35" s="87" t="e">
        <f t="shared" si="23"/>
        <v>#REF!</v>
      </c>
      <c r="BF35" s="87" t="e">
        <f t="shared" si="23"/>
        <v>#REF!</v>
      </c>
      <c r="BG35" s="87" t="e">
        <f t="shared" si="23"/>
        <v>#REF!</v>
      </c>
      <c r="BH35" s="87" t="e">
        <f t="shared" si="23"/>
        <v>#REF!</v>
      </c>
      <c r="BI35" s="87" t="e">
        <f t="shared" si="23"/>
        <v>#REF!</v>
      </c>
      <c r="BJ35" s="141"/>
      <c r="BK35" s="141"/>
      <c r="BL35" s="141"/>
      <c r="BM35" s="141"/>
      <c r="BN35" s="141"/>
      <c r="BO35" s="141"/>
      <c r="BP35" s="141"/>
      <c r="BQ35" s="141"/>
      <c r="BR35" s="141"/>
      <c r="BS35" s="105" t="str">
        <f t="shared" ref="BS35:BS52" si="24">IFERROR((BI35/BH35-1),"")</f>
        <v/>
      </c>
      <c r="BT35" s="103" t="e">
        <f t="shared" si="12"/>
        <v>#REF!</v>
      </c>
      <c r="BU35" s="103" t="e">
        <f t="shared" si="13"/>
        <v>#REF!</v>
      </c>
      <c r="BV35" s="103" t="e">
        <f t="shared" si="14"/>
        <v>#REF!</v>
      </c>
      <c r="BW35" s="103" t="e">
        <f t="shared" si="15"/>
        <v>#REF!</v>
      </c>
      <c r="BX35" s="105" t="e">
        <f t="shared" si="16"/>
        <v>#REF!</v>
      </c>
      <c r="BY35">
        <v>3</v>
      </c>
      <c r="CA35">
        <f t="shared" si="17"/>
        <v>3</v>
      </c>
    </row>
    <row r="36" spans="1:79" ht="15" x14ac:dyDescent="0.2">
      <c r="A36" s="2" t="s">
        <v>107</v>
      </c>
      <c r="B36" s="2">
        <v>25</v>
      </c>
      <c r="C36" s="2" t="s">
        <v>215</v>
      </c>
      <c r="D36" s="99" t="s">
        <v>200</v>
      </c>
      <c r="E36" s="99" t="s">
        <v>221</v>
      </c>
      <c r="H36" s="20" t="str">
        <f t="shared" si="11"/>
        <v>1 - TOTALDEPRECIAÇÃO / AMORTIZAÇÃO</v>
      </c>
      <c r="I36" s="20">
        <v>-4320.99</v>
      </c>
      <c r="J36" s="20">
        <v>-4828.1752504655497</v>
      </c>
      <c r="K36" s="20">
        <v>-5157.12</v>
      </c>
      <c r="L36" s="20">
        <v>-5386.1445004655498</v>
      </c>
      <c r="M36" s="20">
        <v>-5618.8994171322202</v>
      </c>
      <c r="N36" s="20">
        <v>-5814.518</v>
      </c>
      <c r="O36" s="20">
        <v>-6009.59</v>
      </c>
      <c r="P36" s="20">
        <v>-6165.0915837988796</v>
      </c>
      <c r="Q36" s="20">
        <v>-6418.85</v>
      </c>
      <c r="R36" s="20">
        <v>-6707.3530004655504</v>
      </c>
      <c r="S36" s="20">
        <v>-6836.39891713222</v>
      </c>
      <c r="T36" s="20">
        <v>-7002.56</v>
      </c>
      <c r="U36" s="20">
        <v>-7002.56</v>
      </c>
      <c r="V36" s="20">
        <v>-6388.8099999999995</v>
      </c>
      <c r="W36" s="20">
        <v>-6388.8099999999995</v>
      </c>
      <c r="X36" s="20">
        <v>-6896.0018333333301</v>
      </c>
      <c r="Y36" s="20">
        <v>-7224.9482500000004</v>
      </c>
      <c r="Z36" s="20">
        <v>-7453.9710833333302</v>
      </c>
      <c r="AA36" s="20">
        <v>-7686.7259999999997</v>
      </c>
      <c r="AB36" s="20">
        <v>-7882.35</v>
      </c>
      <c r="AC36" s="20">
        <v>-8077.42</v>
      </c>
      <c r="AD36" s="20">
        <v>-8232.9191666666702</v>
      </c>
      <c r="AE36" s="20">
        <v>-8486.6768333333293</v>
      </c>
      <c r="AF36" s="20">
        <v>-8775.1784166666694</v>
      </c>
      <c r="AG36" s="20">
        <v>-8904.2255000000005</v>
      </c>
      <c r="AH36" s="20">
        <v>-9070.3816666666698</v>
      </c>
      <c r="AI36" s="20">
        <v>-7202.8725322500004</v>
      </c>
      <c r="AJ36" s="20">
        <v>-7448.4570802500002</v>
      </c>
      <c r="AK36" s="20">
        <v>-7448.4557665000002</v>
      </c>
      <c r="AL36" s="20">
        <v>-7259.89</v>
      </c>
      <c r="AM36" s="20">
        <v>-7246.5</v>
      </c>
      <c r="AN36" s="20">
        <v>-7202.87</v>
      </c>
      <c r="AO36" s="20">
        <v>-7220.38</v>
      </c>
      <c r="AP36" s="20">
        <v>-7219.1622802499996</v>
      </c>
      <c r="AQ36" s="20">
        <v>-7219.1609664999996</v>
      </c>
      <c r="AR36" s="20">
        <v>-38127.54</v>
      </c>
      <c r="AS36" s="20">
        <v>-38127.54</v>
      </c>
      <c r="AT36" s="20">
        <v>-38127.54</v>
      </c>
      <c r="AU36" s="20">
        <v>-79549.09</v>
      </c>
      <c r="AV36" s="20">
        <v>-79549.09</v>
      </c>
      <c r="AW36" s="20">
        <v>-79549.09</v>
      </c>
      <c r="AX36" s="20">
        <v>-79549.09</v>
      </c>
      <c r="AY36" s="20">
        <v>-79549.09</v>
      </c>
      <c r="AZ36" s="20">
        <v>-32092.97</v>
      </c>
      <c r="BA36" s="20">
        <v>-32092.969666666701</v>
      </c>
      <c r="BB36" s="20">
        <v>-32092.969666666701</v>
      </c>
      <c r="BC36" s="20">
        <v>-32092.969666666701</v>
      </c>
      <c r="BD36" s="20">
        <v>-32092.969666666701</v>
      </c>
      <c r="BE36" s="20">
        <v>-32092.969666666701</v>
      </c>
      <c r="BF36" s="20">
        <v>-32092.969666666701</v>
      </c>
      <c r="BG36" s="103">
        <v>-32092.9664204</v>
      </c>
      <c r="BH36" s="103">
        <v>-32092.9664204</v>
      </c>
      <c r="BI36" s="103">
        <v>-32092.9664204</v>
      </c>
      <c r="BJ36" s="103"/>
      <c r="BK36" s="103"/>
      <c r="BL36" s="103"/>
      <c r="BM36" s="103"/>
      <c r="BN36" s="103"/>
      <c r="BO36" s="103"/>
      <c r="BP36" s="103"/>
      <c r="BQ36" s="103"/>
      <c r="BR36" s="103"/>
      <c r="BS36" s="105">
        <f t="shared" si="24"/>
        <v>0</v>
      </c>
      <c r="BT36" s="103">
        <f t="shared" si="12"/>
        <v>-622396.23800000013</v>
      </c>
      <c r="BU36" s="103">
        <f t="shared" si="13"/>
        <v>-96278.8992612</v>
      </c>
      <c r="BV36" s="103">
        <f t="shared" si="14"/>
        <v>-51866.353166666675</v>
      </c>
      <c r="BW36" s="103">
        <f t="shared" si="15"/>
        <v>-32092.9664204</v>
      </c>
      <c r="BX36" s="105">
        <f t="shared" si="16"/>
        <v>0</v>
      </c>
      <c r="CA36">
        <f t="shared" si="17"/>
        <v>3</v>
      </c>
    </row>
    <row r="37" spans="1:79" ht="15" x14ac:dyDescent="0.2">
      <c r="A37" s="2" t="s">
        <v>107</v>
      </c>
      <c r="B37" s="2">
        <v>26</v>
      </c>
      <c r="C37" s="2" t="s">
        <v>216</v>
      </c>
      <c r="D37" s="99" t="s">
        <v>77</v>
      </c>
      <c r="E37" s="99" t="s">
        <v>89</v>
      </c>
      <c r="H37" s="20" t="str">
        <f t="shared" si="11"/>
        <v>1 - TOTALRESULTADO FINANCEIRO</v>
      </c>
      <c r="I37" s="20">
        <v>-18529.150000000001</v>
      </c>
      <c r="J37" s="20">
        <v>-23934.07</v>
      </c>
      <c r="K37" s="20">
        <v>-15688.44</v>
      </c>
      <c r="L37" s="20">
        <v>-20428.98</v>
      </c>
      <c r="M37" s="20">
        <v>-5697.78</v>
      </c>
      <c r="N37" s="20">
        <v>-4862.558</v>
      </c>
      <c r="O37" s="20">
        <v>-4891.7299999999996</v>
      </c>
      <c r="P37" s="20">
        <v>-4375.26</v>
      </c>
      <c r="Q37" s="20">
        <v>4349.13</v>
      </c>
      <c r="R37" s="20">
        <v>-6890.98</v>
      </c>
      <c r="S37" s="20">
        <v>-3775.71</v>
      </c>
      <c r="T37" s="20">
        <v>5791.63</v>
      </c>
      <c r="U37" s="20">
        <v>5791.63</v>
      </c>
      <c r="V37" s="20">
        <v>5300.41</v>
      </c>
      <c r="W37" s="20">
        <v>5300.41</v>
      </c>
      <c r="X37" s="20">
        <v>2342.11</v>
      </c>
      <c r="Y37" s="20">
        <v>-29047.31</v>
      </c>
      <c r="Z37" s="20">
        <v>-30708.85</v>
      </c>
      <c r="AA37" s="20">
        <v>-28590.850000000002</v>
      </c>
      <c r="AB37" s="20">
        <v>-11454.329999999998</v>
      </c>
      <c r="AC37" s="20">
        <v>-4807.05</v>
      </c>
      <c r="AD37" s="20">
        <v>-11096</v>
      </c>
      <c r="AE37" s="20">
        <v>-7849.26</v>
      </c>
      <c r="AF37" s="20">
        <v>4181.6899999999996</v>
      </c>
      <c r="AG37" s="20">
        <v>-14377.59</v>
      </c>
      <c r="AH37" s="20">
        <v>540.7600000000001</v>
      </c>
      <c r="AI37" s="20">
        <v>-640.33000000000004</v>
      </c>
      <c r="AJ37" s="20">
        <v>727.52</v>
      </c>
      <c r="AK37" s="20">
        <v>-21976.489999999998</v>
      </c>
      <c r="AL37" s="20">
        <v>-6348.1600000000008</v>
      </c>
      <c r="AM37" s="20">
        <v>697.08220000000006</v>
      </c>
      <c r="AN37" s="20">
        <v>6374.1</v>
      </c>
      <c r="AO37" s="20">
        <v>2771.7099999999996</v>
      </c>
      <c r="AP37" s="20">
        <v>217.71999999999952</v>
      </c>
      <c r="AQ37" s="20">
        <v>-3270.28</v>
      </c>
      <c r="AR37" s="20">
        <v>1429.54</v>
      </c>
      <c r="AS37" s="20">
        <v>-8980.02</v>
      </c>
      <c r="AT37" s="20">
        <v>-15232.190000000002</v>
      </c>
      <c r="AU37" s="20">
        <v>-8453.9800000000014</v>
      </c>
      <c r="AV37" s="20">
        <v>-16305.02</v>
      </c>
      <c r="AW37" s="20">
        <v>-18668.810000000001</v>
      </c>
      <c r="AX37" s="20">
        <v>-23236.469999999998</v>
      </c>
      <c r="AY37" s="20">
        <v>-12815.999999999998</v>
      </c>
      <c r="AZ37" s="20">
        <v>-102.9200000000007</v>
      </c>
      <c r="BA37" s="20">
        <v>-16731.14</v>
      </c>
      <c r="BB37" s="20">
        <v>-14389.54</v>
      </c>
      <c r="BC37" s="20">
        <v>-13265.6</v>
      </c>
      <c r="BD37" s="20">
        <v>-8767.65</v>
      </c>
      <c r="BE37" s="20">
        <v>-3058.3299999999986</v>
      </c>
      <c r="BF37" s="20">
        <v>-12135.7</v>
      </c>
      <c r="BG37" s="103">
        <v>7983.579999999999</v>
      </c>
      <c r="BH37" s="103">
        <v>-25071.649999999998</v>
      </c>
      <c r="BI37" s="103">
        <v>-14997.789999999999</v>
      </c>
      <c r="BJ37" s="103"/>
      <c r="BK37" s="103"/>
      <c r="BL37" s="103"/>
      <c r="BM37" s="103"/>
      <c r="BN37" s="103"/>
      <c r="BO37" s="103"/>
      <c r="BP37" s="103"/>
      <c r="BQ37" s="103"/>
      <c r="BR37" s="103"/>
      <c r="BS37" s="105">
        <f t="shared" si="24"/>
        <v>-0.40180283308039155</v>
      </c>
      <c r="BT37" s="103">
        <f t="shared" si="12"/>
        <v>-147931.16</v>
      </c>
      <c r="BU37" s="103">
        <f t="shared" si="13"/>
        <v>-32085.86</v>
      </c>
      <c r="BV37" s="103">
        <f t="shared" si="14"/>
        <v>-12327.596666666666</v>
      </c>
      <c r="BW37" s="103">
        <f t="shared" si="15"/>
        <v>-10695.286666666667</v>
      </c>
      <c r="BX37" s="105">
        <f t="shared" si="16"/>
        <v>0.40228031911876427</v>
      </c>
      <c r="CA37">
        <f t="shared" si="17"/>
        <v>3</v>
      </c>
    </row>
    <row r="38" spans="1:79" ht="15" x14ac:dyDescent="0.2">
      <c r="A38" s="2" t="s">
        <v>107</v>
      </c>
      <c r="B38" s="2">
        <v>27</v>
      </c>
      <c r="C38" s="2" t="s">
        <v>217</v>
      </c>
      <c r="D38" s="99" t="s">
        <v>201</v>
      </c>
      <c r="E38" s="99" t="s">
        <v>222</v>
      </c>
      <c r="H38" s="20" t="str">
        <f t="shared" si="11"/>
        <v>1 - TOTALIMPOSTOS (IRPJ+CSLL+PIS+COFINS+ISS)</v>
      </c>
      <c r="I38" s="20">
        <v>-364001.81</v>
      </c>
      <c r="J38" s="20">
        <v>-303660.18642999901</v>
      </c>
      <c r="K38" s="20">
        <v>-221595.28</v>
      </c>
      <c r="L38" s="20">
        <v>-126168.38</v>
      </c>
      <c r="M38" s="20">
        <v>-120385.37999999999</v>
      </c>
      <c r="N38" s="20">
        <v>-126306.72900000001</v>
      </c>
      <c r="O38" s="20">
        <v>-381529.06</v>
      </c>
      <c r="P38" s="20">
        <v>-346410.26</v>
      </c>
      <c r="Q38" s="20">
        <v>-395880.94</v>
      </c>
      <c r="R38" s="20">
        <v>-416896.06</v>
      </c>
      <c r="S38" s="20">
        <v>-490234.93300000002</v>
      </c>
      <c r="T38" s="20">
        <v>-463268.19449999998</v>
      </c>
      <c r="U38" s="20">
        <v>-463268.19449999998</v>
      </c>
      <c r="V38" s="20">
        <v>-406850.41</v>
      </c>
      <c r="W38" s="20">
        <v>-406850.41</v>
      </c>
      <c r="X38" s="20">
        <v>-384163.24</v>
      </c>
      <c r="Y38" s="20">
        <v>-368741.87999999902</v>
      </c>
      <c r="Z38" s="20">
        <v>-322620.16000000003</v>
      </c>
      <c r="AA38" s="20">
        <v>-348880.01</v>
      </c>
      <c r="AB38" s="20">
        <v>-313180.91000000003</v>
      </c>
      <c r="AC38" s="20">
        <v>-420139.04000000202</v>
      </c>
      <c r="AD38" s="20">
        <v>-420311.94000000099</v>
      </c>
      <c r="AE38" s="20">
        <v>-450126.74000000005</v>
      </c>
      <c r="AF38" s="20">
        <v>-481226.12</v>
      </c>
      <c r="AG38" s="20">
        <v>-477684.99</v>
      </c>
      <c r="AH38" s="20">
        <v>-498271.37</v>
      </c>
      <c r="AI38" s="20">
        <v>-424835.29</v>
      </c>
      <c r="AJ38" s="20">
        <v>-397431.11</v>
      </c>
      <c r="AK38" s="20">
        <v>-419485.03</v>
      </c>
      <c r="AL38" s="20">
        <v>-426728.05999999994</v>
      </c>
      <c r="AM38" s="20">
        <v>-479311.70022200001</v>
      </c>
      <c r="AN38" s="20">
        <v>-424364.24</v>
      </c>
      <c r="AO38" s="20">
        <v>-465557.04</v>
      </c>
      <c r="AP38" s="20">
        <v>-446303.08</v>
      </c>
      <c r="AQ38" s="20">
        <v>-476472.28</v>
      </c>
      <c r="AR38" s="20">
        <v>-463963.06000000006</v>
      </c>
      <c r="AS38" s="20">
        <v>-468396.2</v>
      </c>
      <c r="AT38" s="20">
        <v>-483555.57000000199</v>
      </c>
      <c r="AU38" s="20">
        <v>-325617.00999999995</v>
      </c>
      <c r="AV38" s="20">
        <v>-258237.14</v>
      </c>
      <c r="AW38" s="20">
        <v>-305293.15999999997</v>
      </c>
      <c r="AX38" s="20">
        <v>-510784.45999999996</v>
      </c>
      <c r="AY38" s="20">
        <v>-498930.06</v>
      </c>
      <c r="AZ38" s="20">
        <v>-472692.22</v>
      </c>
      <c r="BA38" s="20">
        <v>-583325.94000000006</v>
      </c>
      <c r="BB38" s="20">
        <v>-598087.77</v>
      </c>
      <c r="BC38" s="20">
        <v>-545440.62</v>
      </c>
      <c r="BD38" s="20">
        <v>-632881.12</v>
      </c>
      <c r="BE38" s="20">
        <v>-644321.16999999993</v>
      </c>
      <c r="BF38" s="20">
        <v>-719990.36</v>
      </c>
      <c r="BG38" s="103">
        <v>-680191.5</v>
      </c>
      <c r="BH38" s="103">
        <v>-631999.10000000009</v>
      </c>
      <c r="BI38" s="103">
        <v>-650151.32999999996</v>
      </c>
      <c r="BJ38" s="103"/>
      <c r="BK38" s="103"/>
      <c r="BL38" s="103"/>
      <c r="BM38" s="103"/>
      <c r="BN38" s="103"/>
      <c r="BO38" s="103"/>
      <c r="BP38" s="103"/>
      <c r="BQ38" s="103"/>
      <c r="BR38" s="103"/>
      <c r="BS38" s="105">
        <f t="shared" si="24"/>
        <v>2.8721923812865979E-2</v>
      </c>
      <c r="BT38" s="103">
        <f t="shared" si="12"/>
        <v>-6095601.0300000003</v>
      </c>
      <c r="BU38" s="103">
        <f t="shared" si="13"/>
        <v>-1962341.9300000002</v>
      </c>
      <c r="BV38" s="103">
        <f t="shared" si="14"/>
        <v>-507966.7525</v>
      </c>
      <c r="BW38" s="103">
        <f t="shared" si="15"/>
        <v>-654113.97666666668</v>
      </c>
      <c r="BX38" s="105">
        <f t="shared" si="16"/>
        <v>-6.0580369905259834E-3</v>
      </c>
      <c r="CA38">
        <f t="shared" si="17"/>
        <v>3</v>
      </c>
    </row>
    <row r="39" spans="1:79" ht="15" x14ac:dyDescent="0.2">
      <c r="A39" s="2" t="s">
        <v>107</v>
      </c>
      <c r="B39" s="2">
        <v>28</v>
      </c>
      <c r="C39" s="2"/>
      <c r="D39" s="104" t="s">
        <v>202</v>
      </c>
      <c r="E39" s="104"/>
      <c r="F39" s="112"/>
      <c r="G39" s="112"/>
      <c r="H39" s="20" t="str">
        <f t="shared" si="11"/>
        <v>1 - TOTAL</v>
      </c>
      <c r="I39" s="87">
        <f>I23+I24+I36+I37+I38</f>
        <v>500689.35599996016</v>
      </c>
      <c r="J39" s="87">
        <f t="shared" ref="J39:BI39" si="25">J23+J24+J36+J37+J38</f>
        <v>80897.825447733747</v>
      </c>
      <c r="K39" s="87">
        <f t="shared" si="25"/>
        <v>1110627.7919973887</v>
      </c>
      <c r="L39" s="87">
        <f t="shared" si="25"/>
        <v>782271.04849948466</v>
      </c>
      <c r="M39" s="87">
        <f t="shared" si="25"/>
        <v>841721.04058281868</v>
      </c>
      <c r="N39" s="87">
        <f t="shared" si="25"/>
        <v>812442.61499999999</v>
      </c>
      <c r="O39" s="87">
        <f t="shared" si="25"/>
        <v>1058891.8700000003</v>
      </c>
      <c r="P39" s="87">
        <f t="shared" si="25"/>
        <v>379671.77841620101</v>
      </c>
      <c r="Q39" s="87">
        <f t="shared" si="25"/>
        <v>1293988.3099999994</v>
      </c>
      <c r="R39" s="87">
        <f t="shared" si="25"/>
        <v>480585.93699953408</v>
      </c>
      <c r="S39" s="87">
        <f t="shared" si="25"/>
        <v>1189688.6080828679</v>
      </c>
      <c r="T39" s="87">
        <f t="shared" si="25"/>
        <v>587429.33549999981</v>
      </c>
      <c r="U39" s="87">
        <f t="shared" si="25"/>
        <v>587429.33549999981</v>
      </c>
      <c r="V39" s="87">
        <f t="shared" si="25"/>
        <v>1154188.97</v>
      </c>
      <c r="W39" s="87">
        <f t="shared" si="25"/>
        <v>1154188.97</v>
      </c>
      <c r="X39" s="87">
        <f t="shared" si="25"/>
        <v>323927.20816666679</v>
      </c>
      <c r="Y39" s="87">
        <f t="shared" si="25"/>
        <v>-80814.108249999175</v>
      </c>
      <c r="Z39" s="87">
        <f t="shared" si="25"/>
        <v>692344.01891666662</v>
      </c>
      <c r="AA39" s="87">
        <f t="shared" si="25"/>
        <v>1144673.6439999999</v>
      </c>
      <c r="AB39" s="87">
        <f t="shared" si="25"/>
        <v>719911.87000000023</v>
      </c>
      <c r="AC39" s="87">
        <f t="shared" si="25"/>
        <v>649495.19999999844</v>
      </c>
      <c r="AD39" s="87">
        <f t="shared" si="25"/>
        <v>363465.03493333189</v>
      </c>
      <c r="AE39" s="87">
        <f t="shared" si="25"/>
        <v>494461.1031666671</v>
      </c>
      <c r="AF39" s="87">
        <f t="shared" si="25"/>
        <v>747799.0615833333</v>
      </c>
      <c r="AG39" s="87">
        <f t="shared" si="25"/>
        <v>622449.14529999997</v>
      </c>
      <c r="AH39" s="87">
        <f t="shared" si="25"/>
        <v>952036.53833333345</v>
      </c>
      <c r="AI39" s="87">
        <f t="shared" si="25"/>
        <v>339418.95746775024</v>
      </c>
      <c r="AJ39" s="87">
        <f t="shared" si="25"/>
        <v>-340550.86708025006</v>
      </c>
      <c r="AK39" s="87">
        <f t="shared" si="25"/>
        <v>74287.852423822565</v>
      </c>
      <c r="AL39" s="87">
        <f t="shared" si="25"/>
        <v>712279.77000000014</v>
      </c>
      <c r="AM39" s="87">
        <f t="shared" si="25"/>
        <v>1024387.9419780003</v>
      </c>
      <c r="AN39" s="87">
        <f t="shared" si="25"/>
        <v>543541.24959999998</v>
      </c>
      <c r="AO39" s="87">
        <f t="shared" si="25"/>
        <v>424270.56000000035</v>
      </c>
      <c r="AP39" s="87">
        <f t="shared" si="25"/>
        <v>217648.20171974966</v>
      </c>
      <c r="AQ39" s="87">
        <f t="shared" si="25"/>
        <v>531982.54156575771</v>
      </c>
      <c r="AR39" s="87">
        <f t="shared" si="25"/>
        <v>604109.37641109992</v>
      </c>
      <c r="AS39" s="87">
        <f t="shared" si="25"/>
        <v>222498.51459999982</v>
      </c>
      <c r="AT39" s="87">
        <f t="shared" si="25"/>
        <v>251748.67459999811</v>
      </c>
      <c r="AU39" s="87" t="e">
        <f t="shared" si="25"/>
        <v>#REF!</v>
      </c>
      <c r="AV39" s="87" t="e">
        <f t="shared" si="25"/>
        <v>#REF!</v>
      </c>
      <c r="AW39" s="87" t="e">
        <f t="shared" si="25"/>
        <v>#REF!</v>
      </c>
      <c r="AX39" s="87" t="e">
        <f t="shared" si="25"/>
        <v>#REF!</v>
      </c>
      <c r="AY39" s="87" t="e">
        <f t="shared" si="25"/>
        <v>#REF!</v>
      </c>
      <c r="AZ39" s="87" t="e">
        <f t="shared" si="25"/>
        <v>#REF!</v>
      </c>
      <c r="BA39" s="87" t="e">
        <f t="shared" si="25"/>
        <v>#REF!</v>
      </c>
      <c r="BB39" s="87" t="e">
        <f t="shared" si="25"/>
        <v>#REF!</v>
      </c>
      <c r="BC39" s="87" t="e">
        <f t="shared" si="25"/>
        <v>#REF!</v>
      </c>
      <c r="BD39" s="87" t="e">
        <f t="shared" si="25"/>
        <v>#REF!</v>
      </c>
      <c r="BE39" s="87" t="e">
        <f t="shared" si="25"/>
        <v>#REF!</v>
      </c>
      <c r="BF39" s="87" t="e">
        <f t="shared" si="25"/>
        <v>#REF!</v>
      </c>
      <c r="BG39" s="87" t="e">
        <f t="shared" si="25"/>
        <v>#REF!</v>
      </c>
      <c r="BH39" s="87" t="e">
        <f t="shared" si="25"/>
        <v>#REF!</v>
      </c>
      <c r="BI39" s="87" t="e">
        <f t="shared" si="25"/>
        <v>#REF!</v>
      </c>
      <c r="BJ39" s="141"/>
      <c r="BK39" s="141"/>
      <c r="BL39" s="141"/>
      <c r="BM39" s="141"/>
      <c r="BN39" s="141"/>
      <c r="BO39" s="141"/>
      <c r="BP39" s="141"/>
      <c r="BQ39" s="141"/>
      <c r="BR39" s="141"/>
      <c r="BS39" s="105" t="str">
        <f t="shared" si="24"/>
        <v/>
      </c>
      <c r="BT39" s="103" t="e">
        <f t="shared" si="12"/>
        <v>#REF!</v>
      </c>
      <c r="BU39" s="103" t="e">
        <f t="shared" si="13"/>
        <v>#REF!</v>
      </c>
      <c r="BV39" s="103" t="e">
        <f t="shared" si="14"/>
        <v>#REF!</v>
      </c>
      <c r="BW39" s="103" t="e">
        <f t="shared" si="15"/>
        <v>#REF!</v>
      </c>
      <c r="BX39" s="105" t="e">
        <f t="shared" si="16"/>
        <v>#REF!</v>
      </c>
      <c r="BY39">
        <v>4</v>
      </c>
      <c r="CA39">
        <f t="shared" si="17"/>
        <v>3</v>
      </c>
    </row>
    <row r="40" spans="1:79" ht="15" x14ac:dyDescent="0.2">
      <c r="A40" s="2" t="s">
        <v>107</v>
      </c>
      <c r="B40" s="2">
        <v>29</v>
      </c>
      <c r="C40" s="2" t="s">
        <v>218</v>
      </c>
      <c r="D40" s="224" t="s">
        <v>203</v>
      </c>
      <c r="E40" s="99" t="s">
        <v>98</v>
      </c>
      <c r="G40">
        <v>1</v>
      </c>
      <c r="H40" s="20" t="str">
        <f t="shared" si="11"/>
        <v>1 - TOTALDISTR LUCROS E DESPESAS SS (JURÍDICO)</v>
      </c>
      <c r="I40" s="20">
        <v>-679809.7699999999</v>
      </c>
      <c r="J40" s="20">
        <v>-678314</v>
      </c>
      <c r="K40" s="20">
        <v>-704085.23</v>
      </c>
      <c r="L40" s="20">
        <v>-707304.1100000001</v>
      </c>
      <c r="M40" s="20">
        <v>-707776.60999999987</v>
      </c>
      <c r="N40" s="20">
        <v>-748508.18</v>
      </c>
      <c r="O40" s="20">
        <v>-743018.7</v>
      </c>
      <c r="P40" s="20">
        <v>-759153.67</v>
      </c>
      <c r="Q40" s="20">
        <v>-708902.19000000006</v>
      </c>
      <c r="R40" s="20">
        <v>-781689.92000000016</v>
      </c>
      <c r="S40" s="20">
        <v>-751195.75</v>
      </c>
      <c r="T40" s="20">
        <v>-1217282.3500000001</v>
      </c>
      <c r="U40" s="20">
        <f>-1217282.35+423786</f>
        <v>-793496.35000000009</v>
      </c>
      <c r="V40" s="20">
        <f>-323074.55-423786</f>
        <v>-746860.55</v>
      </c>
      <c r="W40" s="20">
        <v>-323074.55</v>
      </c>
      <c r="X40" s="20">
        <v>-769483.95</v>
      </c>
      <c r="Y40" s="20">
        <v>-791535.15</v>
      </c>
      <c r="Z40" s="20">
        <v>-791072.19999999984</v>
      </c>
      <c r="AA40" s="20">
        <v>-837022.83</v>
      </c>
      <c r="AB40" s="20">
        <v>-858019.17999999982</v>
      </c>
      <c r="AC40" s="20">
        <v>-878160.59999999986</v>
      </c>
      <c r="AD40" s="20">
        <v>-909633.78590000002</v>
      </c>
      <c r="AE40" s="20">
        <v>-918300.81</v>
      </c>
      <c r="AF40" s="20">
        <v>-944298.19</v>
      </c>
      <c r="AG40" s="20">
        <v>-963353.22919999994</v>
      </c>
      <c r="AH40" s="20">
        <v>-937424.88</v>
      </c>
      <c r="AI40" s="20">
        <v>-847898.45</v>
      </c>
      <c r="AJ40" s="20">
        <v>-843620.84</v>
      </c>
      <c r="AK40" s="20">
        <v>-875677.44180967717</v>
      </c>
      <c r="AL40" s="20">
        <v>-855509.10999999987</v>
      </c>
      <c r="AM40" s="20">
        <v>-856237.37999999977</v>
      </c>
      <c r="AN40" s="20">
        <v>-828360.95039999997</v>
      </c>
      <c r="AO40" s="20">
        <v>-858332.99999999965</v>
      </c>
      <c r="AP40" s="20">
        <v>-843550.576</v>
      </c>
      <c r="AQ40" s="20">
        <v>-823273.71746774204</v>
      </c>
      <c r="AR40" s="20">
        <v>-876122.20358890004</v>
      </c>
      <c r="AS40" s="20">
        <v>-860272.84940000006</v>
      </c>
      <c r="AT40" s="20">
        <v>-868044.27540000004</v>
      </c>
      <c r="AU40" s="20">
        <v>-895642.22</v>
      </c>
      <c r="AV40" s="20">
        <v>-889001.3600000001</v>
      </c>
      <c r="AW40" s="20">
        <v>-933096.29520000017</v>
      </c>
      <c r="AX40" s="20">
        <v>-926803.35000000009</v>
      </c>
      <c r="AY40" s="20">
        <v>-964125.32</v>
      </c>
      <c r="AZ40" s="20">
        <v>-962957.29870000004</v>
      </c>
      <c r="BA40" s="20">
        <v>-995535.56550000003</v>
      </c>
      <c r="BB40" s="20">
        <v>-1010173.1000000001</v>
      </c>
      <c r="BC40" s="20">
        <v>-992521.94</v>
      </c>
      <c r="BD40" s="20">
        <v>-1061086.1068</v>
      </c>
      <c r="BE40" s="20">
        <v>-1044327.5577999997</v>
      </c>
      <c r="BF40" s="20">
        <v>-1053017.22</v>
      </c>
      <c r="BG40" s="103">
        <v>-1080548.1127999995</v>
      </c>
      <c r="BH40" s="103">
        <v>-1071965.7100000004</v>
      </c>
      <c r="BI40" s="103">
        <v>-1084855.31</v>
      </c>
      <c r="BJ40" s="103"/>
      <c r="BK40" s="103"/>
      <c r="BL40" s="103"/>
      <c r="BM40" s="103"/>
      <c r="BN40" s="103"/>
      <c r="BO40" s="103"/>
      <c r="BP40" s="103"/>
      <c r="BQ40" s="103"/>
      <c r="BR40" s="103"/>
      <c r="BS40" s="105">
        <f t="shared" si="24"/>
        <v>1.2024265216468155E-2</v>
      </c>
      <c r="BT40" s="103">
        <f t="shared" si="12"/>
        <v>-11728287.334000001</v>
      </c>
      <c r="BU40" s="103">
        <f t="shared" si="13"/>
        <v>-3237369.1328000003</v>
      </c>
      <c r="BV40" s="103">
        <f t="shared" si="14"/>
        <v>-977357.27783333336</v>
      </c>
      <c r="BW40" s="103">
        <f t="shared" si="15"/>
        <v>-1079123.0442666668</v>
      </c>
      <c r="BX40" s="105">
        <f t="shared" si="16"/>
        <v>5.3119667528078729E-3</v>
      </c>
      <c r="CA40">
        <f t="shared" si="17"/>
        <v>3</v>
      </c>
    </row>
    <row r="41" spans="1:79" ht="15" x14ac:dyDescent="0.2">
      <c r="A41" s="2" t="s">
        <v>107</v>
      </c>
      <c r="B41" s="2">
        <v>30</v>
      </c>
      <c r="C41" s="2" t="s">
        <v>218</v>
      </c>
      <c r="D41" s="224" t="s">
        <v>204</v>
      </c>
      <c r="E41" s="99" t="s">
        <v>223</v>
      </c>
      <c r="G41">
        <v>1</v>
      </c>
      <c r="H41" s="20" t="str">
        <f t="shared" si="11"/>
        <v>1 - TOTALDISTR LUCROS E DESPESAS SC (3)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-111801.22</v>
      </c>
      <c r="AJ41" s="20">
        <v>-111327.18</v>
      </c>
      <c r="AK41" s="20">
        <v>-102032.18000000001</v>
      </c>
      <c r="AL41" s="20">
        <v>-101115.38</v>
      </c>
      <c r="AM41" s="20">
        <v>-111082.9</v>
      </c>
      <c r="AN41" s="20">
        <v>-112102.85</v>
      </c>
      <c r="AO41" s="20">
        <v>-113876.44</v>
      </c>
      <c r="AP41" s="20">
        <v>-110579.75</v>
      </c>
      <c r="AQ41" s="20">
        <v>-106944.25</v>
      </c>
      <c r="AR41" s="20">
        <v>-112685.56999999999</v>
      </c>
      <c r="AS41" s="20">
        <v>-114511.93</v>
      </c>
      <c r="AT41" s="20">
        <v>-118486.11</v>
      </c>
      <c r="AU41" s="20">
        <v>-116664.95999999999</v>
      </c>
      <c r="AV41" s="20">
        <v>-97786.220000000016</v>
      </c>
      <c r="AW41" s="20">
        <v>-96526.48</v>
      </c>
      <c r="AX41" s="20">
        <v>-95939.1</v>
      </c>
      <c r="AY41" s="20">
        <v>-97190.92</v>
      </c>
      <c r="AZ41" s="20">
        <v>-128146.17</v>
      </c>
      <c r="BA41" s="20">
        <v>-127499.35</v>
      </c>
      <c r="BB41" s="20">
        <v>-129274.32</v>
      </c>
      <c r="BC41" s="20">
        <v>-125370.3</v>
      </c>
      <c r="BD41" s="20">
        <v>-113215.15</v>
      </c>
      <c r="BE41" s="20">
        <v>-110183.11</v>
      </c>
      <c r="BF41" s="20">
        <v>-112700.97</v>
      </c>
      <c r="BG41" s="103">
        <v>-131197.21</v>
      </c>
      <c r="BH41" s="103">
        <v>-130577.01</v>
      </c>
      <c r="BI41" s="103">
        <v>-130812.94</v>
      </c>
      <c r="BJ41" s="103"/>
      <c r="BK41" s="103"/>
      <c r="BL41" s="103"/>
      <c r="BM41" s="103"/>
      <c r="BN41" s="103"/>
      <c r="BO41" s="103"/>
      <c r="BP41" s="103"/>
      <c r="BQ41" s="103"/>
      <c r="BR41" s="103"/>
      <c r="BS41" s="105">
        <f t="shared" si="24"/>
        <v>1.8068264849993021E-3</v>
      </c>
      <c r="BT41" s="103">
        <f t="shared" si="12"/>
        <v>-1350497.05</v>
      </c>
      <c r="BU41" s="103">
        <f t="shared" si="13"/>
        <v>-392587.16</v>
      </c>
      <c r="BV41" s="103">
        <f t="shared" si="14"/>
        <v>-112541.42083333334</v>
      </c>
      <c r="BW41" s="103">
        <f t="shared" si="15"/>
        <v>-130862.38666666666</v>
      </c>
      <c r="BX41" s="105">
        <f t="shared" si="16"/>
        <v>-3.7785239843290963E-4</v>
      </c>
      <c r="CA41">
        <f t="shared" si="17"/>
        <v>3</v>
      </c>
    </row>
    <row r="42" spans="1:79" ht="15" x14ac:dyDescent="0.2">
      <c r="A42" s="2" t="s">
        <v>107</v>
      </c>
      <c r="B42" s="2">
        <v>31</v>
      </c>
      <c r="C42" s="2" t="s">
        <v>218</v>
      </c>
      <c r="D42" s="224" t="s">
        <v>205</v>
      </c>
      <c r="E42" s="99" t="s">
        <v>224</v>
      </c>
      <c r="G42">
        <v>1</v>
      </c>
      <c r="H42" s="20" t="str">
        <f t="shared" si="11"/>
        <v>1 - TOTALDISTR LUCROS E DESPESAS SS GESTÃO ADM (11)</v>
      </c>
      <c r="I42" s="20">
        <v>-135261.78111119999</v>
      </c>
      <c r="J42" s="20">
        <v>-125225.57712819836</v>
      </c>
      <c r="K42" s="20">
        <v>-121384.24999748872</v>
      </c>
      <c r="L42" s="20">
        <v>-124658.48999999999</v>
      </c>
      <c r="M42" s="20">
        <v>-130264.56999999998</v>
      </c>
      <c r="N42" s="20">
        <v>-125145.27</v>
      </c>
      <c r="O42" s="20">
        <v>-144318.23000000001</v>
      </c>
      <c r="P42" s="20">
        <v>-148298.57999999996</v>
      </c>
      <c r="Q42" s="20">
        <v>-123595.12000000001</v>
      </c>
      <c r="R42" s="20">
        <v>-161998.28000000003</v>
      </c>
      <c r="S42" s="20">
        <v>-142364.16</v>
      </c>
      <c r="T42" s="20">
        <v>-167785.3</v>
      </c>
      <c r="U42" s="20">
        <v>-167785.3</v>
      </c>
      <c r="V42" s="20">
        <v>-134543.45000000004</v>
      </c>
      <c r="W42" s="20">
        <v>-134543.45000000004</v>
      </c>
      <c r="X42" s="20">
        <v>-147901.47</v>
      </c>
      <c r="Y42" s="20">
        <v>-155510.69000000003</v>
      </c>
      <c r="Z42" s="20">
        <v>-148776.24</v>
      </c>
      <c r="AA42" s="20">
        <v>-145962.32999999999</v>
      </c>
      <c r="AB42" s="20">
        <v>-130214.95000000001</v>
      </c>
      <c r="AC42" s="20">
        <v>-127187.29999999999</v>
      </c>
      <c r="AD42" s="20">
        <v>-130646.66999999998</v>
      </c>
      <c r="AE42" s="20">
        <v>-130447.95</v>
      </c>
      <c r="AF42" s="20">
        <v>-145032.66000000003</v>
      </c>
      <c r="AG42" s="20">
        <v>-163991.65000000002</v>
      </c>
      <c r="AH42" s="20">
        <v>-185657.44</v>
      </c>
      <c r="AI42" s="20">
        <v>-51742.820000000007</v>
      </c>
      <c r="AJ42" s="20">
        <v>-84021.97</v>
      </c>
      <c r="AK42" s="20">
        <v>-65302.580999999991</v>
      </c>
      <c r="AL42" s="20">
        <v>-64063.389999999992</v>
      </c>
      <c r="AM42" s="20">
        <v>-59907.12999999999</v>
      </c>
      <c r="AN42" s="20">
        <v>-60847.680000000008</v>
      </c>
      <c r="AO42" s="20">
        <v>-58176.169799999996</v>
      </c>
      <c r="AP42" s="20">
        <v>-62653.755600000004</v>
      </c>
      <c r="AQ42" s="20">
        <v>-51678.737499999996</v>
      </c>
      <c r="AR42" s="20">
        <v>-68470.740000000005</v>
      </c>
      <c r="AS42" s="20">
        <v>-60074.569000000003</v>
      </c>
      <c r="AT42" s="20">
        <v>-63940.700000000004</v>
      </c>
      <c r="AU42" s="20">
        <v>-64358.880000000005</v>
      </c>
      <c r="AV42" s="20">
        <v>-60730.195500000002</v>
      </c>
      <c r="AW42" s="20">
        <v>-69443.160399999993</v>
      </c>
      <c r="AX42" s="20">
        <v>-65998.149999999994</v>
      </c>
      <c r="AY42" s="20">
        <v>-67928.26999999999</v>
      </c>
      <c r="AZ42" s="20">
        <v>-65455.923500000004</v>
      </c>
      <c r="BA42" s="20">
        <v>-64810.391500000005</v>
      </c>
      <c r="BB42" s="20">
        <v>-64800.018400000001</v>
      </c>
      <c r="BC42" s="20">
        <v>-71491.451399999991</v>
      </c>
      <c r="BD42" s="20">
        <v>-77489.373599999992</v>
      </c>
      <c r="BE42" s="20">
        <v>-79794.998999999996</v>
      </c>
      <c r="BF42" s="20">
        <v>-86235.760500000004</v>
      </c>
      <c r="BG42" s="103">
        <v>-80646.669500000004</v>
      </c>
      <c r="BH42" s="103">
        <v>-71810.100000000006</v>
      </c>
      <c r="BI42" s="103">
        <v>-91751.489999999991</v>
      </c>
      <c r="BJ42" s="103"/>
      <c r="BK42" s="103"/>
      <c r="BL42" s="103"/>
      <c r="BM42" s="103"/>
      <c r="BN42" s="103"/>
      <c r="BO42" s="103"/>
      <c r="BP42" s="103"/>
      <c r="BQ42" s="103"/>
      <c r="BR42" s="103"/>
      <c r="BS42" s="105">
        <f t="shared" si="24"/>
        <v>0.27769617365802279</v>
      </c>
      <c r="BT42" s="103">
        <f t="shared" si="12"/>
        <v>-838536.5737999999</v>
      </c>
      <c r="BU42" s="103">
        <f t="shared" si="13"/>
        <v>-244208.25949999999</v>
      </c>
      <c r="BV42" s="103">
        <f t="shared" si="14"/>
        <v>-69878.047816666658</v>
      </c>
      <c r="BW42" s="103">
        <f t="shared" si="15"/>
        <v>-81402.753166666662</v>
      </c>
      <c r="BX42" s="105">
        <f t="shared" si="16"/>
        <v>0.12713005925174281</v>
      </c>
      <c r="CA42">
        <f t="shared" si="17"/>
        <v>3</v>
      </c>
    </row>
    <row r="43" spans="1:79" ht="15" x14ac:dyDescent="0.2">
      <c r="A43" s="2" t="s">
        <v>107</v>
      </c>
      <c r="B43" s="2">
        <v>32</v>
      </c>
      <c r="C43" s="2"/>
      <c r="D43" s="99" t="s">
        <v>206</v>
      </c>
      <c r="E43" s="20"/>
      <c r="F43" s="20"/>
      <c r="G43" s="20"/>
      <c r="H43" s="20" t="str">
        <f t="shared" si="11"/>
        <v>1 - TOTAL</v>
      </c>
      <c r="I43" s="87">
        <f>I40+I41+I42</f>
        <v>-815071.55111119989</v>
      </c>
      <c r="J43" s="87">
        <f t="shared" ref="J43:BI43" si="26">J40+J41+J42</f>
        <v>-803539.57712819835</v>
      </c>
      <c r="K43" s="87">
        <f t="shared" si="26"/>
        <v>-825469.47999748867</v>
      </c>
      <c r="L43" s="87">
        <f t="shared" si="26"/>
        <v>-831962.60000000009</v>
      </c>
      <c r="M43" s="87">
        <f t="shared" si="26"/>
        <v>-838041.17999999982</v>
      </c>
      <c r="N43" s="87">
        <f t="shared" si="26"/>
        <v>-873653.45000000007</v>
      </c>
      <c r="O43" s="87">
        <f t="shared" si="26"/>
        <v>-887336.92999999993</v>
      </c>
      <c r="P43" s="87">
        <f t="shared" si="26"/>
        <v>-907452.25</v>
      </c>
      <c r="Q43" s="87">
        <f t="shared" si="26"/>
        <v>-832497.31</v>
      </c>
      <c r="R43" s="87">
        <f t="shared" si="26"/>
        <v>-943688.20000000019</v>
      </c>
      <c r="S43" s="87">
        <f t="shared" si="26"/>
        <v>-893559.91</v>
      </c>
      <c r="T43" s="87">
        <f t="shared" si="26"/>
        <v>-1385067.6500000001</v>
      </c>
      <c r="U43" s="87">
        <f t="shared" si="26"/>
        <v>-961281.65000000014</v>
      </c>
      <c r="V43" s="87">
        <f t="shared" si="26"/>
        <v>-881404.00000000012</v>
      </c>
      <c r="W43" s="87">
        <f t="shared" si="26"/>
        <v>-457618</v>
      </c>
      <c r="X43" s="87">
        <f t="shared" si="26"/>
        <v>-917385.41999999993</v>
      </c>
      <c r="Y43" s="87">
        <f t="shared" si="26"/>
        <v>-947045.84000000008</v>
      </c>
      <c r="Z43" s="87">
        <f t="shared" si="26"/>
        <v>-939848.43999999983</v>
      </c>
      <c r="AA43" s="87">
        <f t="shared" si="26"/>
        <v>-982985.15999999992</v>
      </c>
      <c r="AB43" s="87">
        <f t="shared" si="26"/>
        <v>-988234.12999999989</v>
      </c>
      <c r="AC43" s="87">
        <f t="shared" si="26"/>
        <v>-1005347.8999999999</v>
      </c>
      <c r="AD43" s="87">
        <f t="shared" si="26"/>
        <v>-1040280.4558999999</v>
      </c>
      <c r="AE43" s="87">
        <f t="shared" si="26"/>
        <v>-1048748.76</v>
      </c>
      <c r="AF43" s="87">
        <f t="shared" si="26"/>
        <v>-1089330.8500000001</v>
      </c>
      <c r="AG43" s="87">
        <f t="shared" si="26"/>
        <v>-1127344.8791999999</v>
      </c>
      <c r="AH43" s="87">
        <f t="shared" si="26"/>
        <v>-1123082.32</v>
      </c>
      <c r="AI43" s="87">
        <f t="shared" si="26"/>
        <v>-1011442.49</v>
      </c>
      <c r="AJ43" s="87">
        <f t="shared" si="26"/>
        <v>-1038969.99</v>
      </c>
      <c r="AK43" s="87">
        <f t="shared" si="26"/>
        <v>-1043012.2028096772</v>
      </c>
      <c r="AL43" s="87">
        <f t="shared" si="26"/>
        <v>-1020687.8799999999</v>
      </c>
      <c r="AM43" s="87">
        <f t="shared" si="26"/>
        <v>-1027227.4099999998</v>
      </c>
      <c r="AN43" s="87">
        <f t="shared" si="26"/>
        <v>-1001311.4804</v>
      </c>
      <c r="AO43" s="87">
        <f t="shared" si="26"/>
        <v>-1030385.6097999997</v>
      </c>
      <c r="AP43" s="87">
        <f t="shared" si="26"/>
        <v>-1016784.0816</v>
      </c>
      <c r="AQ43" s="87">
        <f t="shared" si="26"/>
        <v>-981896.70496774209</v>
      </c>
      <c r="AR43" s="87">
        <f t="shared" si="26"/>
        <v>-1057278.5135889</v>
      </c>
      <c r="AS43" s="87">
        <f t="shared" si="26"/>
        <v>-1034859.3484000001</v>
      </c>
      <c r="AT43" s="87">
        <f t="shared" si="26"/>
        <v>-1050471.0854</v>
      </c>
      <c r="AU43" s="87">
        <f t="shared" si="26"/>
        <v>-1076666.06</v>
      </c>
      <c r="AV43" s="87">
        <f t="shared" si="26"/>
        <v>-1047517.7755000001</v>
      </c>
      <c r="AW43" s="87">
        <f t="shared" si="26"/>
        <v>-1099065.9356000002</v>
      </c>
      <c r="AX43" s="87">
        <f t="shared" si="26"/>
        <v>-1088740.6000000001</v>
      </c>
      <c r="AY43" s="87">
        <f t="shared" si="26"/>
        <v>-1129244.51</v>
      </c>
      <c r="AZ43" s="87">
        <f t="shared" si="26"/>
        <v>-1156559.3922000001</v>
      </c>
      <c r="BA43" s="87">
        <f t="shared" si="26"/>
        <v>-1187845.307</v>
      </c>
      <c r="BB43" s="87">
        <f t="shared" si="26"/>
        <v>-1204247.4384000001</v>
      </c>
      <c r="BC43" s="87">
        <f t="shared" si="26"/>
        <v>-1189383.6913999999</v>
      </c>
      <c r="BD43" s="87">
        <f t="shared" si="26"/>
        <v>-1251790.6303999999</v>
      </c>
      <c r="BE43" s="87">
        <f t="shared" si="26"/>
        <v>-1234305.6667999998</v>
      </c>
      <c r="BF43" s="87">
        <f t="shared" si="26"/>
        <v>-1251953.9505</v>
      </c>
      <c r="BG43" s="87">
        <f t="shared" si="26"/>
        <v>-1292391.9922999996</v>
      </c>
      <c r="BH43" s="87">
        <f t="shared" si="26"/>
        <v>-1274352.8200000005</v>
      </c>
      <c r="BI43" s="87">
        <f t="shared" si="26"/>
        <v>-1307419.74</v>
      </c>
      <c r="BJ43" s="141"/>
      <c r="BK43" s="141"/>
      <c r="BL43" s="141"/>
      <c r="BM43" s="141"/>
      <c r="BN43" s="141"/>
      <c r="BO43" s="141"/>
      <c r="BP43" s="141"/>
      <c r="BQ43" s="141"/>
      <c r="BR43" s="141"/>
      <c r="BS43" s="105">
        <f t="shared" si="24"/>
        <v>2.5948010222160756E-2</v>
      </c>
      <c r="BT43" s="103">
        <f t="shared" si="12"/>
        <v>-13917320.957800003</v>
      </c>
      <c r="BU43" s="103">
        <f t="shared" si="13"/>
        <v>-3874164.5523000006</v>
      </c>
      <c r="BV43" s="103">
        <f t="shared" si="14"/>
        <v>-1159776.7464833336</v>
      </c>
      <c r="BW43" s="103">
        <f t="shared" si="15"/>
        <v>-1291388.1841000002</v>
      </c>
      <c r="BX43" s="105">
        <f t="shared" si="16"/>
        <v>1.2414203643323907E-2</v>
      </c>
      <c r="CA43">
        <f t="shared" si="17"/>
        <v>3</v>
      </c>
    </row>
    <row r="44" spans="1:79" ht="15" x14ac:dyDescent="0.2">
      <c r="A44" s="2" t="s">
        <v>107</v>
      </c>
      <c r="B44" s="2">
        <v>33</v>
      </c>
      <c r="C44" s="2"/>
      <c r="D44" s="99" t="s">
        <v>207</v>
      </c>
      <c r="E44" s="20"/>
      <c r="F44" s="20"/>
      <c r="G44" s="20"/>
      <c r="H44" s="20" t="str">
        <f t="shared" si="11"/>
        <v>1 - TOTAL</v>
      </c>
      <c r="I44" s="87" t="e">
        <f t="shared" ref="I44:AN44" si="27">I17+I24+I36+I37+I38+I43</f>
        <v>#REF!</v>
      </c>
      <c r="J44" s="87" t="e">
        <f t="shared" si="27"/>
        <v>#REF!</v>
      </c>
      <c r="K44" s="87" t="e">
        <f t="shared" si="27"/>
        <v>#REF!</v>
      </c>
      <c r="L44" s="87" t="e">
        <f t="shared" si="27"/>
        <v>#REF!</v>
      </c>
      <c r="M44" s="87" t="e">
        <f t="shared" si="27"/>
        <v>#REF!</v>
      </c>
      <c r="N44" s="87" t="e">
        <f t="shared" si="27"/>
        <v>#REF!</v>
      </c>
      <c r="O44" s="87" t="e">
        <f t="shared" si="27"/>
        <v>#REF!</v>
      </c>
      <c r="P44" s="87" t="e">
        <f t="shared" si="27"/>
        <v>#REF!</v>
      </c>
      <c r="Q44" s="87" t="e">
        <f t="shared" si="27"/>
        <v>#REF!</v>
      </c>
      <c r="R44" s="87" t="e">
        <f t="shared" si="27"/>
        <v>#REF!</v>
      </c>
      <c r="S44" s="87" t="e">
        <f t="shared" si="27"/>
        <v>#REF!</v>
      </c>
      <c r="T44" s="87" t="e">
        <f t="shared" si="27"/>
        <v>#REF!</v>
      </c>
      <c r="U44" s="87" t="e">
        <f t="shared" si="27"/>
        <v>#REF!</v>
      </c>
      <c r="V44" s="87" t="e">
        <f t="shared" si="27"/>
        <v>#REF!</v>
      </c>
      <c r="W44" s="87" t="e">
        <f t="shared" si="27"/>
        <v>#REF!</v>
      </c>
      <c r="X44" s="87" t="e">
        <f t="shared" si="27"/>
        <v>#REF!</v>
      </c>
      <c r="Y44" s="87" t="e">
        <f t="shared" si="27"/>
        <v>#REF!</v>
      </c>
      <c r="Z44" s="87" t="e">
        <f t="shared" si="27"/>
        <v>#REF!</v>
      </c>
      <c r="AA44" s="87" t="e">
        <f t="shared" si="27"/>
        <v>#REF!</v>
      </c>
      <c r="AB44" s="87" t="e">
        <f t="shared" si="27"/>
        <v>#REF!</v>
      </c>
      <c r="AC44" s="87" t="e">
        <f t="shared" si="27"/>
        <v>#REF!</v>
      </c>
      <c r="AD44" s="87" t="e">
        <f t="shared" si="27"/>
        <v>#REF!</v>
      </c>
      <c r="AE44" s="87" t="e">
        <f t="shared" si="27"/>
        <v>#REF!</v>
      </c>
      <c r="AF44" s="87" t="e">
        <f t="shared" si="27"/>
        <v>#REF!</v>
      </c>
      <c r="AG44" s="87" t="e">
        <f t="shared" si="27"/>
        <v>#REF!</v>
      </c>
      <c r="AH44" s="87" t="e">
        <f t="shared" si="27"/>
        <v>#REF!</v>
      </c>
      <c r="AI44" s="87" t="e">
        <f t="shared" si="27"/>
        <v>#REF!</v>
      </c>
      <c r="AJ44" s="87" t="e">
        <f t="shared" si="27"/>
        <v>#REF!</v>
      </c>
      <c r="AK44" s="87" t="e">
        <f t="shared" si="27"/>
        <v>#REF!</v>
      </c>
      <c r="AL44" s="87" t="e">
        <f t="shared" si="27"/>
        <v>#REF!</v>
      </c>
      <c r="AM44" s="87" t="e">
        <f t="shared" si="27"/>
        <v>#REF!</v>
      </c>
      <c r="AN44" s="87" t="e">
        <f t="shared" si="27"/>
        <v>#REF!</v>
      </c>
      <c r="AO44" s="87" t="e">
        <f t="shared" ref="AO44:BI44" si="28">AO17+AO24+AO36+AO37+AO38+AO43</f>
        <v>#REF!</v>
      </c>
      <c r="AP44" s="87" t="e">
        <f t="shared" si="28"/>
        <v>#REF!</v>
      </c>
      <c r="AQ44" s="87" t="e">
        <f t="shared" si="28"/>
        <v>#REF!</v>
      </c>
      <c r="AR44" s="87" t="e">
        <f t="shared" si="28"/>
        <v>#REF!</v>
      </c>
      <c r="AS44" s="87" t="e">
        <f t="shared" si="28"/>
        <v>#REF!</v>
      </c>
      <c r="AT44" s="87" t="e">
        <f t="shared" si="28"/>
        <v>#REF!</v>
      </c>
      <c r="AU44" s="87" t="e">
        <f t="shared" si="28"/>
        <v>#REF!</v>
      </c>
      <c r="AV44" s="87" t="e">
        <f t="shared" si="28"/>
        <v>#REF!</v>
      </c>
      <c r="AW44" s="87" t="e">
        <f t="shared" si="28"/>
        <v>#REF!</v>
      </c>
      <c r="AX44" s="87" t="e">
        <f t="shared" si="28"/>
        <v>#REF!</v>
      </c>
      <c r="AY44" s="87" t="e">
        <f t="shared" si="28"/>
        <v>#REF!</v>
      </c>
      <c r="AZ44" s="87" t="e">
        <f t="shared" si="28"/>
        <v>#REF!</v>
      </c>
      <c r="BA44" s="87" t="e">
        <f t="shared" si="28"/>
        <v>#REF!</v>
      </c>
      <c r="BB44" s="87" t="e">
        <f t="shared" si="28"/>
        <v>#REF!</v>
      </c>
      <c r="BC44" s="87" t="e">
        <f t="shared" si="28"/>
        <v>#REF!</v>
      </c>
      <c r="BD44" s="87" t="e">
        <f t="shared" si="28"/>
        <v>#REF!</v>
      </c>
      <c r="BE44" s="87" t="e">
        <f t="shared" si="28"/>
        <v>#REF!</v>
      </c>
      <c r="BF44" s="87" t="e">
        <f t="shared" si="28"/>
        <v>#REF!</v>
      </c>
      <c r="BG44" s="87" t="e">
        <f t="shared" si="28"/>
        <v>#REF!</v>
      </c>
      <c r="BH44" s="87" t="e">
        <f t="shared" si="28"/>
        <v>#REF!</v>
      </c>
      <c r="BI44" s="87" t="e">
        <f t="shared" si="28"/>
        <v>#REF!</v>
      </c>
      <c r="BJ44" s="141"/>
      <c r="BK44" s="141"/>
      <c r="BL44" s="141"/>
      <c r="BM44" s="141"/>
      <c r="BN44" s="141"/>
      <c r="BO44" s="141"/>
      <c r="BP44" s="141"/>
      <c r="BQ44" s="141"/>
      <c r="BR44" s="141"/>
      <c r="BS44" s="105" t="str">
        <f t="shared" si="24"/>
        <v/>
      </c>
      <c r="BT44" s="103" t="e">
        <f t="shared" si="12"/>
        <v>#REF!</v>
      </c>
      <c r="BU44" s="103" t="e">
        <f t="shared" si="13"/>
        <v>#REF!</v>
      </c>
      <c r="BV44" s="103" t="e">
        <f t="shared" si="14"/>
        <v>#REF!</v>
      </c>
      <c r="BW44" s="103" t="e">
        <f t="shared" si="15"/>
        <v>#REF!</v>
      </c>
      <c r="BX44" s="105" t="e">
        <f t="shared" si="16"/>
        <v>#REF!</v>
      </c>
      <c r="BY44">
        <v>6</v>
      </c>
      <c r="CA44">
        <f t="shared" si="17"/>
        <v>3</v>
      </c>
    </row>
    <row r="45" spans="1:79" ht="15" x14ac:dyDescent="0.2">
      <c r="A45" s="2" t="s">
        <v>107</v>
      </c>
      <c r="B45" s="2">
        <v>34</v>
      </c>
      <c r="C45" s="2"/>
      <c r="D45" s="104" t="s">
        <v>212</v>
      </c>
      <c r="E45" s="87"/>
      <c r="F45" s="87"/>
      <c r="G45" s="87"/>
      <c r="H45" s="20" t="str">
        <f t="shared" si="11"/>
        <v>1 - TOTAL</v>
      </c>
      <c r="I45" s="87" t="e">
        <f t="shared" ref="I45:AN45" si="29">I2+I44</f>
        <v>#REF!</v>
      </c>
      <c r="J45" s="87" t="e">
        <f t="shared" si="29"/>
        <v>#REF!</v>
      </c>
      <c r="K45" s="87" t="e">
        <f t="shared" si="29"/>
        <v>#REF!</v>
      </c>
      <c r="L45" s="87" t="e">
        <f t="shared" si="29"/>
        <v>#REF!</v>
      </c>
      <c r="M45" s="87" t="e">
        <f t="shared" si="29"/>
        <v>#REF!</v>
      </c>
      <c r="N45" s="87" t="e">
        <f t="shared" si="29"/>
        <v>#REF!</v>
      </c>
      <c r="O45" s="87" t="e">
        <f t="shared" si="29"/>
        <v>#REF!</v>
      </c>
      <c r="P45" s="87" t="e">
        <f t="shared" si="29"/>
        <v>#REF!</v>
      </c>
      <c r="Q45" s="87" t="e">
        <f t="shared" si="29"/>
        <v>#REF!</v>
      </c>
      <c r="R45" s="87" t="e">
        <f t="shared" si="29"/>
        <v>#REF!</v>
      </c>
      <c r="S45" s="87" t="e">
        <f t="shared" si="29"/>
        <v>#REF!</v>
      </c>
      <c r="T45" s="87" t="e">
        <f t="shared" si="29"/>
        <v>#REF!</v>
      </c>
      <c r="U45" s="87" t="e">
        <f t="shared" si="29"/>
        <v>#REF!</v>
      </c>
      <c r="V45" s="87" t="e">
        <f t="shared" si="29"/>
        <v>#REF!</v>
      </c>
      <c r="W45" s="87" t="e">
        <f t="shared" si="29"/>
        <v>#REF!</v>
      </c>
      <c r="X45" s="87" t="e">
        <f t="shared" si="29"/>
        <v>#REF!</v>
      </c>
      <c r="Y45" s="87" t="e">
        <f t="shared" si="29"/>
        <v>#REF!</v>
      </c>
      <c r="Z45" s="87" t="e">
        <f t="shared" si="29"/>
        <v>#REF!</v>
      </c>
      <c r="AA45" s="87" t="e">
        <f t="shared" si="29"/>
        <v>#REF!</v>
      </c>
      <c r="AB45" s="87" t="e">
        <f t="shared" si="29"/>
        <v>#REF!</v>
      </c>
      <c r="AC45" s="87" t="e">
        <f t="shared" si="29"/>
        <v>#REF!</v>
      </c>
      <c r="AD45" s="87" t="e">
        <f t="shared" si="29"/>
        <v>#REF!</v>
      </c>
      <c r="AE45" s="87" t="e">
        <f t="shared" si="29"/>
        <v>#REF!</v>
      </c>
      <c r="AF45" s="87" t="e">
        <f t="shared" si="29"/>
        <v>#REF!</v>
      </c>
      <c r="AG45" s="87" t="e">
        <f t="shared" si="29"/>
        <v>#REF!</v>
      </c>
      <c r="AH45" s="87" t="e">
        <f t="shared" si="29"/>
        <v>#REF!</v>
      </c>
      <c r="AI45" s="87" t="e">
        <f t="shared" si="29"/>
        <v>#REF!</v>
      </c>
      <c r="AJ45" s="87" t="e">
        <f t="shared" si="29"/>
        <v>#REF!</v>
      </c>
      <c r="AK45" s="87" t="e">
        <f t="shared" si="29"/>
        <v>#REF!</v>
      </c>
      <c r="AL45" s="87" t="e">
        <f t="shared" si="29"/>
        <v>#REF!</v>
      </c>
      <c r="AM45" s="87" t="e">
        <f t="shared" si="29"/>
        <v>#REF!</v>
      </c>
      <c r="AN45" s="87" t="e">
        <f t="shared" si="29"/>
        <v>#REF!</v>
      </c>
      <c r="AO45" s="87" t="e">
        <f t="shared" ref="AO45:BI45" si="30">AO2+AO44</f>
        <v>#REF!</v>
      </c>
      <c r="AP45" s="87" t="e">
        <f t="shared" si="30"/>
        <v>#REF!</v>
      </c>
      <c r="AQ45" s="87" t="e">
        <f t="shared" si="30"/>
        <v>#REF!</v>
      </c>
      <c r="AR45" s="87" t="e">
        <f t="shared" si="30"/>
        <v>#REF!</v>
      </c>
      <c r="AS45" s="87" t="e">
        <f t="shared" si="30"/>
        <v>#REF!</v>
      </c>
      <c r="AT45" s="87" t="e">
        <f t="shared" si="30"/>
        <v>#REF!</v>
      </c>
      <c r="AU45" s="87" t="e">
        <f t="shared" si="30"/>
        <v>#REF!</v>
      </c>
      <c r="AV45" s="87" t="e">
        <f t="shared" si="30"/>
        <v>#REF!</v>
      </c>
      <c r="AW45" s="87" t="e">
        <f t="shared" si="30"/>
        <v>#REF!</v>
      </c>
      <c r="AX45" s="87" t="e">
        <f t="shared" si="30"/>
        <v>#REF!</v>
      </c>
      <c r="AY45" s="87" t="e">
        <f t="shared" si="30"/>
        <v>#REF!</v>
      </c>
      <c r="AZ45" s="87" t="e">
        <f t="shared" si="30"/>
        <v>#REF!</v>
      </c>
      <c r="BA45" s="87" t="e">
        <f t="shared" si="30"/>
        <v>#REF!</v>
      </c>
      <c r="BB45" s="87" t="e">
        <f t="shared" si="30"/>
        <v>#REF!</v>
      </c>
      <c r="BC45" s="87" t="e">
        <f t="shared" si="30"/>
        <v>#REF!</v>
      </c>
      <c r="BD45" s="87" t="e">
        <f t="shared" si="30"/>
        <v>#REF!</v>
      </c>
      <c r="BE45" s="87" t="e">
        <f t="shared" si="30"/>
        <v>#REF!</v>
      </c>
      <c r="BF45" s="87" t="e">
        <f t="shared" si="30"/>
        <v>#REF!</v>
      </c>
      <c r="BG45" s="87" t="e">
        <f t="shared" si="30"/>
        <v>#REF!</v>
      </c>
      <c r="BH45" s="87" t="e">
        <f t="shared" si="30"/>
        <v>#REF!</v>
      </c>
      <c r="BI45" s="87" t="e">
        <f t="shared" si="30"/>
        <v>#REF!</v>
      </c>
      <c r="BJ45" s="141"/>
      <c r="BK45" s="141"/>
      <c r="BL45" s="141"/>
      <c r="BM45" s="141"/>
      <c r="BN45" s="141"/>
      <c r="BO45" s="141"/>
      <c r="BP45" s="141"/>
      <c r="BQ45" s="141"/>
      <c r="BR45" s="141"/>
      <c r="BS45" s="105" t="str">
        <f t="shared" si="24"/>
        <v/>
      </c>
      <c r="BT45" s="103" t="e">
        <f t="shared" si="12"/>
        <v>#REF!</v>
      </c>
      <c r="BU45" s="103" t="e">
        <f t="shared" si="13"/>
        <v>#REF!</v>
      </c>
      <c r="BV45" s="103" t="e">
        <f t="shared" si="14"/>
        <v>#REF!</v>
      </c>
      <c r="BW45" s="103" t="e">
        <f t="shared" si="15"/>
        <v>#REF!</v>
      </c>
      <c r="BX45" s="105" t="e">
        <f t="shared" si="16"/>
        <v>#REF!</v>
      </c>
      <c r="BY45">
        <v>5</v>
      </c>
      <c r="CA45">
        <f t="shared" si="17"/>
        <v>3</v>
      </c>
    </row>
    <row r="46" spans="1:79" ht="15" x14ac:dyDescent="0.2">
      <c r="A46" s="2" t="s">
        <v>107</v>
      </c>
      <c r="B46" s="2">
        <v>35</v>
      </c>
      <c r="C46" s="2"/>
      <c r="D46" s="99" t="s">
        <v>208</v>
      </c>
      <c r="E46" s="80"/>
      <c r="F46" s="80"/>
      <c r="G46" s="80"/>
      <c r="H46" s="20" t="str">
        <f t="shared" si="11"/>
        <v>1 - TOTAL</v>
      </c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20">
        <v>-80213.36</v>
      </c>
      <c r="AV46" s="20">
        <v>-81593.86</v>
      </c>
      <c r="AW46" s="20">
        <v>-82351.89</v>
      </c>
      <c r="AX46" s="20">
        <v>-81651.520000000004</v>
      </c>
      <c r="AY46" s="20">
        <v>-82655.31</v>
      </c>
      <c r="AZ46" s="20">
        <v>-83031.83</v>
      </c>
      <c r="BA46" s="20">
        <v>-81344.25</v>
      </c>
      <c r="BB46" s="20">
        <v>-81832.36</v>
      </c>
      <c r="BC46" s="20">
        <v>-82171.59</v>
      </c>
      <c r="BD46" s="20">
        <v>-383857.86</v>
      </c>
      <c r="BE46" s="20">
        <v>-54765.37</v>
      </c>
      <c r="BF46" s="20">
        <v>-54921.58</v>
      </c>
      <c r="BG46" s="103">
        <v>-67178.67</v>
      </c>
      <c r="BH46" s="103">
        <v>-55046.55</v>
      </c>
      <c r="BI46" s="103">
        <v>-55419.35</v>
      </c>
      <c r="BJ46" s="103"/>
      <c r="BK46" s="103"/>
      <c r="BL46" s="103"/>
      <c r="BM46" s="103"/>
      <c r="BN46" s="103"/>
      <c r="BO46" s="103"/>
      <c r="BP46" s="103"/>
      <c r="BQ46" s="103"/>
      <c r="BR46" s="103"/>
      <c r="BS46" s="105">
        <f t="shared" si="24"/>
        <v>6.7724498628887186E-3</v>
      </c>
      <c r="BT46" s="103">
        <f t="shared" si="12"/>
        <v>-1230390.7800000003</v>
      </c>
      <c r="BU46" s="103">
        <f t="shared" si="13"/>
        <v>-177644.57</v>
      </c>
      <c r="BV46" s="103">
        <f t="shared" si="14"/>
        <v>-102532.56500000002</v>
      </c>
      <c r="BW46" s="103">
        <f t="shared" si="15"/>
        <v>-59214.856666666667</v>
      </c>
      <c r="BX46" s="105">
        <f t="shared" si="16"/>
        <v>-6.4097202633325634E-2</v>
      </c>
      <c r="CA46">
        <f t="shared" si="17"/>
        <v>3</v>
      </c>
    </row>
    <row r="47" spans="1:79" ht="15" x14ac:dyDescent="0.2">
      <c r="A47" s="2" t="s">
        <v>107</v>
      </c>
      <c r="B47" s="2">
        <v>36</v>
      </c>
      <c r="C47" s="2"/>
      <c r="D47" s="99" t="s">
        <v>209</v>
      </c>
      <c r="E47" s="20"/>
      <c r="F47" s="20"/>
      <c r="G47" s="20"/>
      <c r="H47" s="20" t="str">
        <f t="shared" si="11"/>
        <v>1 - TOTAL</v>
      </c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20">
        <v>-10724.36</v>
      </c>
      <c r="AV47" s="20">
        <v>-19305.18</v>
      </c>
      <c r="AW47" s="20">
        <v>-8638.8700000000008</v>
      </c>
      <c r="AX47" s="20">
        <v>-20260.13</v>
      </c>
      <c r="AY47" s="20">
        <v>-20681.330000000002</v>
      </c>
      <c r="AZ47" s="20">
        <v>-10674.23</v>
      </c>
      <c r="BA47" s="20">
        <v>-20584.98</v>
      </c>
      <c r="BB47" s="20">
        <v>-14517.68</v>
      </c>
      <c r="BC47" s="20">
        <v>-19874.509999999998</v>
      </c>
      <c r="BD47" s="20">
        <v>-13966.44</v>
      </c>
      <c r="BE47" s="20">
        <v>-10838.52</v>
      </c>
      <c r="BF47" s="20">
        <v>-22641.94</v>
      </c>
      <c r="BG47" s="103">
        <v>-9859.9699999999993</v>
      </c>
      <c r="BH47" s="103">
        <v>-9377.1299999999992</v>
      </c>
      <c r="BI47" s="103">
        <v>-8973.6299999999992</v>
      </c>
      <c r="BJ47" s="103"/>
      <c r="BK47" s="103"/>
      <c r="BL47" s="103"/>
      <c r="BM47" s="103"/>
      <c r="BN47" s="103"/>
      <c r="BO47" s="103"/>
      <c r="BP47" s="103"/>
      <c r="BQ47" s="103"/>
      <c r="BR47" s="103"/>
      <c r="BS47" s="105">
        <f t="shared" si="24"/>
        <v>-4.3030223533213285E-2</v>
      </c>
      <c r="BT47" s="103">
        <f t="shared" si="12"/>
        <v>-192708.17</v>
      </c>
      <c r="BU47" s="103">
        <f>SUM(BG47:BR47)</f>
        <v>-28210.729999999996</v>
      </c>
      <c r="BV47" s="103">
        <f t="shared" si="14"/>
        <v>-16059.014166666668</v>
      </c>
      <c r="BW47" s="103">
        <f>AVERAGE(BG47:BR47)</f>
        <v>-9403.5766666666659</v>
      </c>
      <c r="BX47" s="105">
        <f t="shared" si="16"/>
        <v>-4.5721610181657879E-2</v>
      </c>
      <c r="CA47">
        <f t="shared" si="17"/>
        <v>3</v>
      </c>
    </row>
    <row r="48" spans="1:79" ht="15" x14ac:dyDescent="0.2">
      <c r="A48" s="2" t="s">
        <v>107</v>
      </c>
      <c r="B48" s="2">
        <v>37</v>
      </c>
      <c r="C48" s="2"/>
      <c r="D48" s="99" t="s">
        <v>210</v>
      </c>
      <c r="E48" s="20"/>
      <c r="F48" s="20"/>
      <c r="G48" s="20"/>
      <c r="H48" s="20" t="str">
        <f t="shared" si="11"/>
        <v>1 - TOTAL</v>
      </c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7">
        <f>'[8]FLUXO CAIXA'!TC6</f>
        <v>2950365.4299999988</v>
      </c>
      <c r="AV48" s="107">
        <f>'[8]FLUXO CAIXA'!TU6</f>
        <v>2229619.5699999994</v>
      </c>
      <c r="AW48" s="107">
        <f>'[8]FLUXO CAIXA'!UR6</f>
        <v>1388648.28</v>
      </c>
      <c r="AX48" s="107">
        <f>'[8]FLUXO CAIXA'!VJ6</f>
        <v>2275974.4100000006</v>
      </c>
      <c r="AY48" s="107">
        <f>'[8]FLUXO CAIXA'!WF6</f>
        <v>2686195.6500000008</v>
      </c>
      <c r="AZ48" s="107">
        <f>'[8]FLUXO CAIXA'!XA6</f>
        <v>2200371.2799999989</v>
      </c>
      <c r="BA48" s="107">
        <f>'[8]FLUXO CAIXA'!XV6</f>
        <v>2219483.4099999992</v>
      </c>
      <c r="BB48" s="107">
        <f>'[8]FLUXO CAIXA'!YS6</f>
        <v>2969217.99</v>
      </c>
      <c r="BC48" s="107">
        <f>'[8]FLUXO CAIXA'!ZM6</f>
        <v>2643189.7600000016</v>
      </c>
      <c r="BD48" s="107">
        <f>'[8]FLUXO CAIXA'!AAH6</f>
        <v>4159359.5899999989</v>
      </c>
      <c r="BE48" s="107">
        <f>'[8]FLUXO CAIXA'!ABA6</f>
        <v>4224591.8899999987</v>
      </c>
      <c r="BF48" s="107">
        <f>'[8]FLUXO CAIXA'!ABU6</f>
        <v>4377668.6399999987</v>
      </c>
      <c r="BG48" s="107">
        <f>'[8]FLUXO CAIXA'!ACQ6</f>
        <v>5082042.0500000017</v>
      </c>
      <c r="BH48" s="107">
        <f>'[8]FLUXO CAIXA'!ADJ6</f>
        <v>2468403.7200000007</v>
      </c>
      <c r="BI48" s="213"/>
      <c r="BJ48" s="142"/>
      <c r="BK48" s="142"/>
      <c r="BL48" s="142"/>
      <c r="BM48" s="142"/>
      <c r="BN48" s="142"/>
      <c r="BO48" s="142"/>
      <c r="BP48" s="142"/>
      <c r="BQ48" s="142"/>
      <c r="BR48" s="142"/>
      <c r="BS48" s="105">
        <f t="shared" si="24"/>
        <v>-1</v>
      </c>
      <c r="BT48" s="103"/>
      <c r="BU48" s="103"/>
      <c r="BV48" s="103"/>
      <c r="BW48" s="103"/>
      <c r="BX48" s="105"/>
      <c r="CA48">
        <f t="shared" si="17"/>
        <v>3</v>
      </c>
    </row>
    <row r="49" spans="1:79" ht="15" x14ac:dyDescent="0.2">
      <c r="A49" s="2" t="s">
        <v>107</v>
      </c>
      <c r="B49" s="2">
        <v>38</v>
      </c>
      <c r="C49" s="2"/>
      <c r="D49" s="224" t="s">
        <v>233</v>
      </c>
      <c r="E49" s="20"/>
      <c r="F49" s="20"/>
      <c r="G49" s="20"/>
      <c r="H49" s="20" t="str">
        <f t="shared" si="11"/>
        <v>1 - TOTAL</v>
      </c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7">
        <v>-326979.21999999997</v>
      </c>
      <c r="AV49" s="107">
        <v>-480578.27</v>
      </c>
      <c r="AW49" s="107">
        <v>-809424.28</v>
      </c>
      <c r="AX49" s="107">
        <v>-546105.4299999997</v>
      </c>
      <c r="AY49" s="87">
        <v>-474741.31</v>
      </c>
      <c r="AZ49" s="87">
        <v>-811997.68000000028</v>
      </c>
      <c r="BA49" s="87">
        <v>-750416.74000000046</v>
      </c>
      <c r="BB49" s="87">
        <v>-900432.83999999601</v>
      </c>
      <c r="BC49" s="107">
        <v>-966019.72000000067</v>
      </c>
      <c r="BD49" s="87">
        <v>-1000118.3300000007</v>
      </c>
      <c r="BE49" s="87">
        <v>-1196701.2599999991</v>
      </c>
      <c r="BF49" s="87">
        <v>-1318130.4000000185</v>
      </c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05" t="str">
        <f t="shared" si="24"/>
        <v/>
      </c>
      <c r="BT49" s="103"/>
      <c r="BU49" s="103"/>
      <c r="BV49" s="103"/>
      <c r="BW49" s="103"/>
      <c r="BX49" s="105"/>
      <c r="CA49">
        <f t="shared" si="17"/>
        <v>3</v>
      </c>
    </row>
    <row r="50" spans="1:79" ht="15" x14ac:dyDescent="0.2">
      <c r="A50" s="2" t="s">
        <v>107</v>
      </c>
      <c r="B50" s="2">
        <v>39</v>
      </c>
      <c r="C50" s="2"/>
      <c r="D50" s="224" t="s">
        <v>232</v>
      </c>
      <c r="E50" s="20"/>
      <c r="F50" s="20"/>
      <c r="G50" s="20"/>
      <c r="H50" s="20" t="str">
        <f t="shared" si="11"/>
        <v>1 - TOTAL</v>
      </c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7">
        <v>162617.25</v>
      </c>
      <c r="AV50" s="107">
        <v>444672.6</v>
      </c>
      <c r="AW50" s="107">
        <v>366521.3</v>
      </c>
      <c r="AX50" s="107">
        <v>122262.05000000104</v>
      </c>
      <c r="AY50" s="87">
        <v>491385.9399999911</v>
      </c>
      <c r="AZ50" s="87">
        <v>460659.07999997947</v>
      </c>
      <c r="BA50" s="87">
        <v>443564.43999999971</v>
      </c>
      <c r="BB50" s="87">
        <v>466561.2199999601</v>
      </c>
      <c r="BC50" s="107">
        <v>78651.169999950274</v>
      </c>
      <c r="BD50" s="87">
        <v>1156914.0099999402</v>
      </c>
      <c r="BE50" s="87">
        <v>1040774.7199999401</v>
      </c>
      <c r="BF50" s="87">
        <v>773481.43999992986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05" t="str">
        <f t="shared" si="24"/>
        <v/>
      </c>
      <c r="BT50" s="103"/>
      <c r="BU50" s="103"/>
      <c r="BV50" s="103"/>
      <c r="BW50" s="103"/>
      <c r="BX50" s="105"/>
      <c r="CA50">
        <f t="shared" si="17"/>
        <v>3</v>
      </c>
    </row>
    <row r="51" spans="1:79" ht="15" x14ac:dyDescent="0.2">
      <c r="A51" s="2" t="s">
        <v>107</v>
      </c>
      <c r="B51" s="2">
        <v>40</v>
      </c>
      <c r="C51" s="2"/>
      <c r="D51" s="99" t="s">
        <v>234</v>
      </c>
      <c r="E51" s="20"/>
      <c r="F51" s="20"/>
      <c r="G51" s="20"/>
      <c r="H51" s="20" t="str">
        <f t="shared" si="11"/>
        <v>1 - TOTAL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7">
        <f t="shared" ref="AU51:BI51" si="31">AU49+AU50</f>
        <v>-164361.96999999997</v>
      </c>
      <c r="AV51" s="107">
        <f t="shared" si="31"/>
        <v>-35905.670000000042</v>
      </c>
      <c r="AW51" s="107">
        <f t="shared" si="31"/>
        <v>-442902.98000000004</v>
      </c>
      <c r="AX51" s="107">
        <f t="shared" si="31"/>
        <v>-423843.37999999867</v>
      </c>
      <c r="AY51" s="107">
        <f t="shared" si="31"/>
        <v>16644.629999991099</v>
      </c>
      <c r="AZ51" s="107">
        <f t="shared" si="31"/>
        <v>-351338.60000002082</v>
      </c>
      <c r="BA51" s="107">
        <f t="shared" si="31"/>
        <v>-306852.30000000075</v>
      </c>
      <c r="BB51" s="107">
        <f t="shared" si="31"/>
        <v>-433871.62000003591</v>
      </c>
      <c r="BC51" s="107">
        <f t="shared" si="31"/>
        <v>-887368.55000005034</v>
      </c>
      <c r="BD51" s="107">
        <f t="shared" si="31"/>
        <v>156795.67999993952</v>
      </c>
      <c r="BE51" s="107">
        <f t="shared" si="31"/>
        <v>-155926.54000005894</v>
      </c>
      <c r="BF51" s="107">
        <f t="shared" si="31"/>
        <v>-544648.96000008867</v>
      </c>
      <c r="BG51" s="107">
        <f t="shared" si="31"/>
        <v>0</v>
      </c>
      <c r="BH51" s="107">
        <f t="shared" si="31"/>
        <v>0</v>
      </c>
      <c r="BI51" s="107">
        <f t="shared" si="31"/>
        <v>0</v>
      </c>
      <c r="BJ51" s="142"/>
      <c r="BK51" s="142"/>
      <c r="BL51" s="142"/>
      <c r="BM51" s="142"/>
      <c r="BN51" s="142"/>
      <c r="BO51" s="142"/>
      <c r="BP51" s="142"/>
      <c r="BQ51" s="142"/>
      <c r="BR51" s="142"/>
      <c r="BS51" s="105" t="str">
        <f t="shared" si="24"/>
        <v/>
      </c>
      <c r="BT51" s="103"/>
      <c r="BU51" s="103"/>
      <c r="BV51" s="103"/>
      <c r="BW51" s="103"/>
      <c r="BX51" s="105"/>
      <c r="CA51">
        <f t="shared" si="17"/>
        <v>3</v>
      </c>
    </row>
    <row r="52" spans="1:79" ht="15.75" thickBot="1" x14ac:dyDescent="0.25">
      <c r="A52" s="2" t="s">
        <v>107</v>
      </c>
      <c r="B52" s="2">
        <v>41</v>
      </c>
      <c r="C52" s="2"/>
      <c r="D52" s="100" t="s">
        <v>211</v>
      </c>
      <c r="E52" s="20"/>
      <c r="F52" s="20"/>
      <c r="G52" s="20"/>
      <c r="H52" s="20" t="str">
        <f t="shared" si="11"/>
        <v>1 - TOTAL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20">
        <v>-23090.57</v>
      </c>
      <c r="AV52" s="20">
        <v>-27405.034500000002</v>
      </c>
      <c r="AW52" s="20">
        <v>-100663.3843999997</v>
      </c>
      <c r="AX52" s="20">
        <v>-14118.84</v>
      </c>
      <c r="AY52" s="20">
        <v>-530.29000000000008</v>
      </c>
      <c r="AZ52" s="20">
        <v>-108418.3103</v>
      </c>
      <c r="BA52" s="20">
        <v>-27673.953000000012</v>
      </c>
      <c r="BB52" s="20">
        <v>-31050.391600000003</v>
      </c>
      <c r="BC52" s="20">
        <v>-32531.1486</v>
      </c>
      <c r="BD52" s="20">
        <v>-167025.80960000001</v>
      </c>
      <c r="BE52" s="20">
        <v>-97792.312999999995</v>
      </c>
      <c r="BF52" s="20">
        <v>-37037.925600000002</v>
      </c>
      <c r="BG52" s="103">
        <v>-90187.142100000259</v>
      </c>
      <c r="BH52" s="103">
        <v>-232008.01</v>
      </c>
      <c r="BI52" s="103">
        <v>-51179.24</v>
      </c>
      <c r="BJ52" s="103"/>
      <c r="BK52" s="103"/>
      <c r="BL52" s="103"/>
      <c r="BM52" s="103"/>
      <c r="BN52" s="103"/>
      <c r="BO52" s="103"/>
      <c r="BP52" s="103"/>
      <c r="BQ52" s="103"/>
      <c r="BR52" s="103"/>
      <c r="BS52" s="105">
        <f t="shared" si="24"/>
        <v>-0.77940744373437798</v>
      </c>
      <c r="BT52" s="103">
        <f t="shared" si="12"/>
        <v>-667337.97059999965</v>
      </c>
      <c r="BU52" s="103">
        <f>SUM(BG52:BR52)</f>
        <v>-373374.39210000029</v>
      </c>
      <c r="BV52" s="103">
        <f t="shared" si="14"/>
        <v>-55611.497549999971</v>
      </c>
      <c r="BW52" s="103">
        <f>AVERAGE(BG52:BR52)</f>
        <v>-124458.1307000001</v>
      </c>
      <c r="BX52" s="105">
        <f t="shared" ref="BX52" si="32">BI52/BW52-1</f>
        <v>-0.58878347511610218</v>
      </c>
      <c r="CA52">
        <f t="shared" si="17"/>
        <v>3</v>
      </c>
    </row>
    <row r="53" spans="1:79" ht="15" x14ac:dyDescent="0.2">
      <c r="A53" s="2" t="s">
        <v>104</v>
      </c>
      <c r="B53" s="2">
        <v>1</v>
      </c>
      <c r="C53" s="2"/>
      <c r="D53" s="108" t="s">
        <v>183</v>
      </c>
      <c r="E53" s="20"/>
      <c r="F53" s="20"/>
      <c r="G53" s="20"/>
      <c r="H53" s="20" t="str">
        <f t="shared" si="11"/>
        <v>2 - GAN</v>
      </c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>
        <v>1943702.4300000002</v>
      </c>
      <c r="AJ53">
        <v>1278609.17</v>
      </c>
      <c r="AK53">
        <v>1748984.21</v>
      </c>
      <c r="AL53">
        <v>2442005.48</v>
      </c>
      <c r="AM53">
        <v>2683096.94</v>
      </c>
      <c r="AN53">
        <v>2076825.6699999997</v>
      </c>
      <c r="AO53">
        <v>2168864.44</v>
      </c>
      <c r="AP53">
        <v>1878740.4199999997</v>
      </c>
      <c r="AQ53">
        <v>2160109.86</v>
      </c>
      <c r="AR53">
        <v>2229593.1</v>
      </c>
      <c r="AS53">
        <v>2156433.66</v>
      </c>
      <c r="AT53">
        <v>2348347.66</v>
      </c>
      <c r="CA53">
        <f t="shared" si="17"/>
        <v>3</v>
      </c>
    </row>
    <row r="54" spans="1:79" ht="15" x14ac:dyDescent="0.2">
      <c r="A54" s="2" t="s">
        <v>104</v>
      </c>
      <c r="B54" s="2">
        <v>2</v>
      </c>
      <c r="C54" s="2"/>
      <c r="D54" s="99" t="s">
        <v>184</v>
      </c>
      <c r="E54" s="20"/>
      <c r="F54" s="20"/>
      <c r="G54" s="20"/>
      <c r="H54" s="20" t="str">
        <f t="shared" si="11"/>
        <v>2 - GAN</v>
      </c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>
        <v>1913955.8</v>
      </c>
      <c r="AJ54">
        <v>1259667.4099999999</v>
      </c>
      <c r="AK54">
        <v>1716069.05</v>
      </c>
      <c r="AL54">
        <v>2335937.7599999998</v>
      </c>
      <c r="AM54">
        <v>2618977.5299999998</v>
      </c>
      <c r="AN54">
        <v>1965819.1999999997</v>
      </c>
      <c r="AO54">
        <v>2157312.59</v>
      </c>
      <c r="AP54">
        <v>1748361.7799999998</v>
      </c>
      <c r="AQ54">
        <v>2093881.92</v>
      </c>
      <c r="AR54">
        <v>2149574.25</v>
      </c>
      <c r="AS54">
        <v>1973799.4700000002</v>
      </c>
      <c r="AT54">
        <v>2214970.91</v>
      </c>
      <c r="CA54">
        <f t="shared" si="17"/>
        <v>3</v>
      </c>
    </row>
    <row r="55" spans="1:79" ht="15" x14ac:dyDescent="0.2">
      <c r="A55" s="2" t="s">
        <v>104</v>
      </c>
      <c r="B55" s="2">
        <v>3</v>
      </c>
      <c r="C55" s="2"/>
      <c r="D55" s="99" t="s">
        <v>185</v>
      </c>
      <c r="E55" s="20"/>
      <c r="F55" s="20"/>
      <c r="G55" s="20"/>
      <c r="H55" s="20" t="str">
        <f t="shared" si="11"/>
        <v>2 - GAN</v>
      </c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>
        <v>29746.630000000005</v>
      </c>
      <c r="AJ55">
        <v>18941.760000000002</v>
      </c>
      <c r="AK55">
        <v>32915.160000000003</v>
      </c>
      <c r="AL55">
        <v>106067.72</v>
      </c>
      <c r="AM55">
        <v>64119.41</v>
      </c>
      <c r="AN55">
        <v>111006.47</v>
      </c>
      <c r="AO55">
        <v>11551.849999999999</v>
      </c>
      <c r="AP55">
        <v>130378.63999999998</v>
      </c>
      <c r="AQ55">
        <v>66227.94</v>
      </c>
      <c r="AR55">
        <v>80018.850000000006</v>
      </c>
      <c r="AS55">
        <v>182634.19</v>
      </c>
      <c r="AT55">
        <v>133376.75</v>
      </c>
      <c r="CA55">
        <f t="shared" si="17"/>
        <v>3</v>
      </c>
    </row>
    <row r="56" spans="1:79" ht="15" x14ac:dyDescent="0.2">
      <c r="A56" s="2" t="s">
        <v>104</v>
      </c>
      <c r="B56" s="2">
        <v>4</v>
      </c>
      <c r="C56" s="2"/>
      <c r="D56" s="99" t="s">
        <v>186</v>
      </c>
      <c r="E56" s="20"/>
      <c r="F56" s="20"/>
      <c r="G56" s="20"/>
      <c r="H56" s="20" t="str">
        <f t="shared" si="11"/>
        <v>2 - GAN</v>
      </c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>
        <v>1943702.4300000002</v>
      </c>
      <c r="AJ56">
        <v>1278609.17</v>
      </c>
      <c r="AK56">
        <v>1748984.21</v>
      </c>
      <c r="AL56">
        <v>2442005.48</v>
      </c>
      <c r="AM56">
        <v>2683096.94</v>
      </c>
      <c r="AN56">
        <v>2076825.6699999997</v>
      </c>
      <c r="AO56">
        <v>2168864.44</v>
      </c>
      <c r="AP56">
        <v>1878740.4199999997</v>
      </c>
      <c r="AQ56">
        <v>2160109.86</v>
      </c>
      <c r="AR56">
        <v>2229593.1</v>
      </c>
      <c r="AS56">
        <v>2156433.66</v>
      </c>
      <c r="AT56">
        <v>2348347.66</v>
      </c>
      <c r="CA56">
        <f t="shared" si="17"/>
        <v>3</v>
      </c>
    </row>
    <row r="57" spans="1:79" ht="15" x14ac:dyDescent="0.2">
      <c r="A57" s="2" t="s">
        <v>104</v>
      </c>
      <c r="B57" s="2">
        <v>5</v>
      </c>
      <c r="C57" s="2"/>
      <c r="D57" s="101" t="s">
        <v>32</v>
      </c>
      <c r="E57" s="20"/>
      <c r="F57" s="20"/>
      <c r="G57" s="20"/>
      <c r="H57" s="20" t="str">
        <f t="shared" si="11"/>
        <v>2 - GAN</v>
      </c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87">
        <f t="shared" ref="AI57:AT57" si="33">AI58+AI59+AI60+AI61+AI62+AI63</f>
        <v>-182474.15</v>
      </c>
      <c r="AJ57" s="87">
        <f t="shared" si="33"/>
        <v>-103547.46999999999</v>
      </c>
      <c r="AK57" s="87">
        <f t="shared" si="33"/>
        <v>-69216.59</v>
      </c>
      <c r="AL57" s="87">
        <f t="shared" si="33"/>
        <v>-120092.13999999998</v>
      </c>
      <c r="AM57" s="87">
        <f t="shared" si="33"/>
        <v>-154442.19</v>
      </c>
      <c r="AN57" s="87">
        <f t="shared" si="33"/>
        <v>-197578.41999999998</v>
      </c>
      <c r="AO57" s="87">
        <f t="shared" si="33"/>
        <v>-239809.90999999997</v>
      </c>
      <c r="AP57" s="87">
        <f t="shared" si="33"/>
        <v>-192940.47</v>
      </c>
      <c r="AQ57" s="87">
        <f t="shared" si="33"/>
        <v>-211742.53</v>
      </c>
      <c r="AR57" s="87">
        <f t="shared" si="33"/>
        <v>-196483.48</v>
      </c>
      <c r="AS57" s="87">
        <f t="shared" si="33"/>
        <v>-217534.9</v>
      </c>
      <c r="AT57" s="87">
        <f t="shared" si="33"/>
        <v>-377334.15</v>
      </c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CA57">
        <f t="shared" si="17"/>
        <v>3</v>
      </c>
    </row>
    <row r="58" spans="1:79" ht="15" x14ac:dyDescent="0.2">
      <c r="A58" s="2" t="s">
        <v>104</v>
      </c>
      <c r="B58" s="2">
        <v>6</v>
      </c>
      <c r="C58" t="s">
        <v>213</v>
      </c>
      <c r="D58" t="s">
        <v>187</v>
      </c>
      <c r="E58" t="s">
        <v>219</v>
      </c>
      <c r="G58">
        <v>1</v>
      </c>
      <c r="H58" s="20" t="str">
        <f t="shared" si="11"/>
        <v>2 - GANPESSOAL CLT (BO / ASSIS JURÍD / NEGOC)</v>
      </c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>
        <v>-193.12</v>
      </c>
      <c r="AJ58">
        <v>0</v>
      </c>
      <c r="AK58">
        <v>-138.19999999999999</v>
      </c>
      <c r="AL58">
        <v>0</v>
      </c>
      <c r="AM58">
        <v>0</v>
      </c>
      <c r="AN58">
        <v>0</v>
      </c>
      <c r="AO58">
        <v>-32171.75</v>
      </c>
      <c r="AP58">
        <v>0</v>
      </c>
      <c r="AQ58">
        <v>0</v>
      </c>
      <c r="AR58">
        <v>0</v>
      </c>
      <c r="AS58">
        <v>0</v>
      </c>
      <c r="AT58">
        <v>0</v>
      </c>
      <c r="CA58">
        <f t="shared" si="17"/>
        <v>3</v>
      </c>
    </row>
    <row r="59" spans="1:79" ht="15" x14ac:dyDescent="0.2">
      <c r="A59" s="2" t="s">
        <v>104</v>
      </c>
      <c r="B59" s="2">
        <v>7</v>
      </c>
      <c r="C59" t="s">
        <v>213</v>
      </c>
      <c r="D59" s="99" t="s">
        <v>188</v>
      </c>
      <c r="E59" s="99" t="s">
        <v>28</v>
      </c>
      <c r="H59" s="20" t="str">
        <f t="shared" si="11"/>
        <v>2 - GANCORRESPONDENTES</v>
      </c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>
        <v>-109533.53</v>
      </c>
      <c r="AJ59">
        <v>-74020.899999999994</v>
      </c>
      <c r="AK59">
        <v>-39068.36</v>
      </c>
      <c r="AL59">
        <v>-88815.599999999991</v>
      </c>
      <c r="AM59">
        <v>-102471.2</v>
      </c>
      <c r="AN59">
        <v>-88645.099999999991</v>
      </c>
      <c r="AO59">
        <v>-94878.15</v>
      </c>
      <c r="AP59">
        <v>-95849.9</v>
      </c>
      <c r="AQ59">
        <v>-84653</v>
      </c>
      <c r="AR59">
        <v>-115922.8</v>
      </c>
      <c r="AS59">
        <v>-115353.28</v>
      </c>
      <c r="AT59">
        <v>-128208.49</v>
      </c>
      <c r="CA59">
        <f t="shared" si="17"/>
        <v>3</v>
      </c>
    </row>
    <row r="60" spans="1:79" ht="15" x14ac:dyDescent="0.2">
      <c r="A60" s="2" t="s">
        <v>104</v>
      </c>
      <c r="B60" s="2">
        <v>8</v>
      </c>
      <c r="C60" t="s">
        <v>213</v>
      </c>
      <c r="D60" s="99" t="s">
        <v>189</v>
      </c>
      <c r="E60" s="99" t="s">
        <v>29</v>
      </c>
      <c r="H60" s="20" t="str">
        <f t="shared" si="11"/>
        <v>2 - GANVALORES RESCISÓRIOS</v>
      </c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>
        <v>-1238.7</v>
      </c>
      <c r="AJ60">
        <v>0</v>
      </c>
      <c r="AK60">
        <v>0</v>
      </c>
      <c r="AL60">
        <v>0</v>
      </c>
      <c r="AM60">
        <v>0</v>
      </c>
      <c r="AN60">
        <v>-5530.49</v>
      </c>
      <c r="AO60">
        <v>-2379.0100000000002</v>
      </c>
      <c r="AP60">
        <v>-13114</v>
      </c>
      <c r="AQ60">
        <v>-5105.45</v>
      </c>
      <c r="AR60">
        <v>-3009.92</v>
      </c>
      <c r="AS60">
        <v>-2896.87</v>
      </c>
      <c r="AT60">
        <v>-2896.87</v>
      </c>
      <c r="CA60">
        <f t="shared" si="17"/>
        <v>3</v>
      </c>
    </row>
    <row r="61" spans="1:79" ht="15" x14ac:dyDescent="0.2">
      <c r="A61" s="2" t="s">
        <v>104</v>
      </c>
      <c r="B61" s="2">
        <v>9</v>
      </c>
      <c r="C61" t="s">
        <v>213</v>
      </c>
      <c r="D61" s="99" t="s">
        <v>190</v>
      </c>
      <c r="E61" s="99" t="s">
        <v>30</v>
      </c>
      <c r="H61" s="20" t="str">
        <f t="shared" si="11"/>
        <v>2 - GANPENALIDADES E GLOSAS DE CLIENTES</v>
      </c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>
        <v>-11747.12</v>
      </c>
      <c r="AJ61">
        <v>-5696.73</v>
      </c>
      <c r="AK61">
        <v>-5693.35</v>
      </c>
      <c r="AL61">
        <v>-7446.7</v>
      </c>
      <c r="AM61">
        <v>-14391.15</v>
      </c>
      <c r="AN61">
        <v>-14336.19</v>
      </c>
      <c r="AO61">
        <v>-2040.76</v>
      </c>
      <c r="AP61">
        <v>-5100.3500000000004</v>
      </c>
      <c r="AQ61">
        <v>-6902.78</v>
      </c>
      <c r="AR61">
        <v>-14970.919999999998</v>
      </c>
      <c r="AS61">
        <v>-13723.560000000001</v>
      </c>
      <c r="AT61">
        <v>-176797.66</v>
      </c>
      <c r="CA61">
        <f t="shared" si="17"/>
        <v>3</v>
      </c>
    </row>
    <row r="62" spans="1:79" ht="15" x14ac:dyDescent="0.2">
      <c r="A62" s="2" t="s">
        <v>104</v>
      </c>
      <c r="B62" s="2">
        <v>10</v>
      </c>
      <c r="C62" t="s">
        <v>213</v>
      </c>
      <c r="D62" s="99" t="s">
        <v>191</v>
      </c>
      <c r="E62" s="99" t="s">
        <v>31</v>
      </c>
      <c r="H62" s="20" t="str">
        <f t="shared" si="11"/>
        <v>2 - GANPROCESSOS TRABALHISTAS</v>
      </c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>
        <v>-59761.68</v>
      </c>
      <c r="AJ62">
        <v>-23829.84</v>
      </c>
      <c r="AK62">
        <v>-24316.68</v>
      </c>
      <c r="AL62">
        <v>-23829.84</v>
      </c>
      <c r="AM62">
        <v>-37579.839999999997</v>
      </c>
      <c r="AN62">
        <v>-89066.64</v>
      </c>
      <c r="AO62">
        <v>-108340.24</v>
      </c>
      <c r="AP62">
        <v>-78876.22</v>
      </c>
      <c r="AQ62">
        <v>-115081.3</v>
      </c>
      <c r="AR62">
        <v>-62579.839999999997</v>
      </c>
      <c r="AS62">
        <v>-85561.19</v>
      </c>
      <c r="AT62">
        <v>-69431.13</v>
      </c>
      <c r="CA62">
        <f t="shared" si="17"/>
        <v>3</v>
      </c>
    </row>
    <row r="63" spans="1:79" ht="15" x14ac:dyDescent="0.2">
      <c r="A63" s="2" t="s">
        <v>104</v>
      </c>
      <c r="B63" s="2">
        <v>11</v>
      </c>
      <c r="C63" t="s">
        <v>213</v>
      </c>
      <c r="D63" s="99" t="s">
        <v>192</v>
      </c>
      <c r="E63" s="99" t="s">
        <v>172</v>
      </c>
      <c r="H63" s="20" t="str">
        <f t="shared" si="11"/>
        <v>2 - GANDESCONTO PAGAMENTOS EM DUPLICIDADE</v>
      </c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CA63">
        <f t="shared" si="17"/>
        <v>3</v>
      </c>
    </row>
    <row r="64" spans="1:79" ht="15" x14ac:dyDescent="0.2">
      <c r="A64" s="2" t="s">
        <v>104</v>
      </c>
      <c r="B64" s="2">
        <v>12</v>
      </c>
      <c r="C64" s="2"/>
      <c r="D64" s="98" t="s">
        <v>63</v>
      </c>
      <c r="E64" s="98"/>
      <c r="F64" s="90"/>
      <c r="G64" s="90"/>
      <c r="H64" s="20" t="str">
        <f t="shared" si="11"/>
        <v>2 - GAN</v>
      </c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>
        <v>819707.23000000021</v>
      </c>
      <c r="AJ64">
        <v>236727.46999999997</v>
      </c>
      <c r="AK64">
        <v>718432.62819032278</v>
      </c>
      <c r="AL64">
        <v>1381663.4800000002</v>
      </c>
      <c r="AM64">
        <v>1578130.7000000002</v>
      </c>
      <c r="AN64">
        <v>955158.07959999982</v>
      </c>
      <c r="AO64">
        <v>973702.34000000032</v>
      </c>
      <c r="AP64">
        <v>748821.66399999964</v>
      </c>
      <c r="AQ64">
        <v>1034752.8525322578</v>
      </c>
      <c r="AR64">
        <v>1061178.0064111</v>
      </c>
      <c r="AS64">
        <v>980961.76059999992</v>
      </c>
      <c r="AT64">
        <v>1001330.2746000001</v>
      </c>
      <c r="CA64">
        <f t="shared" si="17"/>
        <v>3</v>
      </c>
    </row>
    <row r="65" spans="1:79" ht="15" x14ac:dyDescent="0.2">
      <c r="A65" s="2" t="s">
        <v>104</v>
      </c>
      <c r="B65" s="2">
        <v>13</v>
      </c>
      <c r="C65" s="2"/>
      <c r="D65" s="101" t="s">
        <v>62</v>
      </c>
      <c r="E65" s="101"/>
      <c r="F65" s="111"/>
      <c r="G65" s="111"/>
      <c r="H65" s="20" t="str">
        <f t="shared" si="11"/>
        <v>2 - GAN</v>
      </c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87">
        <f t="shared" ref="AI65:AT65" si="34">AI66+AI67+AI68+AI69+AI70+AI71+AI72+AI73</f>
        <v>-116188.9</v>
      </c>
      <c r="AJ65" s="87">
        <f t="shared" si="34"/>
        <v>-109355.41</v>
      </c>
      <c r="AK65" s="87">
        <f t="shared" si="34"/>
        <v>-179189.47</v>
      </c>
      <c r="AL65" s="87">
        <f t="shared" si="34"/>
        <v>-166856.40999999997</v>
      </c>
      <c r="AM65" s="87">
        <f t="shared" si="34"/>
        <v>-125343.01</v>
      </c>
      <c r="AN65" s="87">
        <f t="shared" si="34"/>
        <v>-107935.72000000002</v>
      </c>
      <c r="AO65" s="87">
        <f t="shared" si="34"/>
        <v>-145234.44</v>
      </c>
      <c r="AP65" s="87">
        <f t="shared" si="34"/>
        <v>-115146.83000000002</v>
      </c>
      <c r="AQ65" s="87">
        <f t="shared" si="34"/>
        <v>-124283.82000000002</v>
      </c>
      <c r="AR65" s="87">
        <f t="shared" si="34"/>
        <v>-123603.35999999999</v>
      </c>
      <c r="AS65" s="87">
        <f t="shared" si="34"/>
        <v>-127307.81999999999</v>
      </c>
      <c r="AT65" s="87">
        <f t="shared" si="34"/>
        <v>-143672.31000000003</v>
      </c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CA65">
        <f t="shared" si="17"/>
        <v>3</v>
      </c>
    </row>
    <row r="66" spans="1:79" ht="15" x14ac:dyDescent="0.2">
      <c r="A66" s="2" t="s">
        <v>104</v>
      </c>
      <c r="B66" s="2">
        <v>14</v>
      </c>
      <c r="C66" s="2" t="s">
        <v>214</v>
      </c>
      <c r="D66" s="99" t="s">
        <v>193</v>
      </c>
      <c r="E66" s="99" t="s">
        <v>102</v>
      </c>
      <c r="G66">
        <v>1</v>
      </c>
      <c r="H66" s="20" t="str">
        <f t="shared" si="11"/>
        <v>2 - GANPESSOAL CLT ADM</v>
      </c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>
        <v>0</v>
      </c>
      <c r="AJ66">
        <v>-358.12</v>
      </c>
      <c r="AK66">
        <v>-40481.58</v>
      </c>
      <c r="AL66">
        <v>-382.55</v>
      </c>
      <c r="AM66">
        <v>-358.12</v>
      </c>
      <c r="AN66">
        <v>-358.12</v>
      </c>
      <c r="AO66">
        <v>-14737.720000000001</v>
      </c>
      <c r="AP66">
        <v>-358.12</v>
      </c>
      <c r="AQ66">
        <v>-1244.57</v>
      </c>
      <c r="AR66">
        <v>0</v>
      </c>
      <c r="AS66">
        <v>0</v>
      </c>
      <c r="AT66">
        <v>0</v>
      </c>
      <c r="CA66">
        <f t="shared" si="17"/>
        <v>3</v>
      </c>
    </row>
    <row r="67" spans="1:79" ht="15" x14ac:dyDescent="0.2">
      <c r="A67" s="2" t="s">
        <v>104</v>
      </c>
      <c r="B67" s="2">
        <v>15</v>
      </c>
      <c r="C67" s="2" t="s">
        <v>214</v>
      </c>
      <c r="D67" s="99" t="s">
        <v>194</v>
      </c>
      <c r="E67" s="99" t="s">
        <v>0</v>
      </c>
      <c r="H67" s="20" t="str">
        <f t="shared" si="11"/>
        <v>2 - GANLOCALIZAÇÃO (ALUGUEL, COND, LUZ, IPTU)</v>
      </c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>
        <v>-44157.21</v>
      </c>
      <c r="AJ67">
        <v>-9865.9399999999987</v>
      </c>
      <c r="AK67">
        <v>-42236.34</v>
      </c>
      <c r="AL67">
        <v>-41696.36</v>
      </c>
      <c r="AM67">
        <v>-39940.329999999994</v>
      </c>
      <c r="AN67">
        <v>-41261.850000000006</v>
      </c>
      <c r="AO67">
        <v>-39014.810000000005</v>
      </c>
      <c r="AP67">
        <v>-36927.440000000002</v>
      </c>
      <c r="AQ67">
        <v>-38481.96</v>
      </c>
      <c r="AR67">
        <v>-40705.67</v>
      </c>
      <c r="AS67">
        <v>-36264.51</v>
      </c>
      <c r="AT67">
        <v>-38809.89</v>
      </c>
      <c r="CA67">
        <f t="shared" si="17"/>
        <v>3</v>
      </c>
    </row>
    <row r="68" spans="1:79" ht="15" x14ac:dyDescent="0.2">
      <c r="A68" s="2" t="s">
        <v>104</v>
      </c>
      <c r="B68" s="2">
        <v>16</v>
      </c>
      <c r="C68" s="2" t="s">
        <v>214</v>
      </c>
      <c r="D68" s="99" t="s">
        <v>195</v>
      </c>
      <c r="E68" s="99" t="s">
        <v>1</v>
      </c>
      <c r="H68" s="20" t="str">
        <f t="shared" si="11"/>
        <v>2 - GANMARKETING</v>
      </c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>
        <v>-19667.11</v>
      </c>
      <c r="AJ68">
        <v>-21913.34</v>
      </c>
      <c r="AK68">
        <v>-26080.400000000001</v>
      </c>
      <c r="AL68">
        <v>-11070.64</v>
      </c>
      <c r="AM68">
        <v>-12646.36</v>
      </c>
      <c r="AN68">
        <v>-10357.08</v>
      </c>
      <c r="AO68">
        <v>-12971.63</v>
      </c>
      <c r="AP68">
        <v>-17551.77</v>
      </c>
      <c r="AQ68">
        <v>-17005.850000000002</v>
      </c>
      <c r="AR68">
        <v>-16092.84</v>
      </c>
      <c r="AS68">
        <v>-20659.189999999999</v>
      </c>
      <c r="AT68">
        <v>-38138.080000000002</v>
      </c>
      <c r="CA68">
        <f t="shared" si="17"/>
        <v>3</v>
      </c>
    </row>
    <row r="69" spans="1:79" ht="15" x14ac:dyDescent="0.2">
      <c r="A69" s="2" t="s">
        <v>104</v>
      </c>
      <c r="B69" s="2">
        <v>17</v>
      </c>
      <c r="C69" s="2" t="s">
        <v>214</v>
      </c>
      <c r="D69" s="99" t="s">
        <v>196</v>
      </c>
      <c r="E69" s="99" t="s">
        <v>2</v>
      </c>
      <c r="H69" s="20" t="str">
        <f t="shared" si="11"/>
        <v>2 - GANCOMUNICAÇÃO</v>
      </c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>
        <v>-19144.97</v>
      </c>
      <c r="AJ69">
        <v>-19837.999999999996</v>
      </c>
      <c r="AK69">
        <v>-11823.37</v>
      </c>
      <c r="AL69">
        <v>-21505.200000000001</v>
      </c>
      <c r="AM69">
        <v>-21236.73</v>
      </c>
      <c r="AN69">
        <v>-17852.379999999997</v>
      </c>
      <c r="AO69">
        <v>-17522.560000000001</v>
      </c>
      <c r="AP69">
        <v>-17728.010000000002</v>
      </c>
      <c r="AQ69">
        <v>-18922.02</v>
      </c>
      <c r="AR69">
        <v>-19003.29</v>
      </c>
      <c r="AS69">
        <v>-19918.32</v>
      </c>
      <c r="AT69">
        <v>-20349</v>
      </c>
      <c r="CA69">
        <f t="shared" si="17"/>
        <v>3</v>
      </c>
    </row>
    <row r="70" spans="1:79" ht="15" x14ac:dyDescent="0.2">
      <c r="A70" s="2" t="s">
        <v>104</v>
      </c>
      <c r="B70" s="2">
        <v>18</v>
      </c>
      <c r="C70" s="2" t="s">
        <v>214</v>
      </c>
      <c r="D70" s="99" t="s">
        <v>197</v>
      </c>
      <c r="E70" s="99" t="s">
        <v>3</v>
      </c>
      <c r="H70" s="20" t="str">
        <f t="shared" si="11"/>
        <v>2 - GANPRESTADOR DE SERVIÇOS</v>
      </c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>
        <v>-8982.75</v>
      </c>
      <c r="AJ70">
        <v>-14654.349999999999</v>
      </c>
      <c r="AK70">
        <v>-12107.78</v>
      </c>
      <c r="AL70">
        <v>-11537.650000000001</v>
      </c>
      <c r="AM70">
        <v>-10315.900000000001</v>
      </c>
      <c r="AN70">
        <v>-13038.650000000001</v>
      </c>
      <c r="AO70">
        <v>-10309.630000000001</v>
      </c>
      <c r="AP70">
        <v>-11794.29</v>
      </c>
      <c r="AQ70">
        <v>-12022.210000000001</v>
      </c>
      <c r="AR70">
        <v>-11246.39</v>
      </c>
      <c r="AS70">
        <v>-10753.45</v>
      </c>
      <c r="AT70">
        <v>-11501.27</v>
      </c>
      <c r="CA70">
        <f t="shared" si="17"/>
        <v>3</v>
      </c>
    </row>
    <row r="71" spans="1:79" ht="15" x14ac:dyDescent="0.2">
      <c r="A71" s="2" t="s">
        <v>104</v>
      </c>
      <c r="B71" s="2">
        <v>19</v>
      </c>
      <c r="C71" s="2" t="s">
        <v>214</v>
      </c>
      <c r="D71" s="99" t="s">
        <v>198</v>
      </c>
      <c r="E71" s="99" t="s">
        <v>220</v>
      </c>
      <c r="H71" s="20" t="str">
        <f t="shared" si="11"/>
        <v>2 - GANALUGUEL DE EQUIPAM / MANUT MÁQ EQUIPAM</v>
      </c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>
        <v>-7236.11</v>
      </c>
      <c r="AJ71">
        <v>-7795</v>
      </c>
      <c r="AK71">
        <v>-6435</v>
      </c>
      <c r="AL71">
        <v>-6985</v>
      </c>
      <c r="AM71">
        <v>-7372.9</v>
      </c>
      <c r="AN71">
        <v>-5280</v>
      </c>
      <c r="AO71">
        <v>-6602.2699999999995</v>
      </c>
      <c r="AP71">
        <v>-5653.4699999999993</v>
      </c>
      <c r="AQ71">
        <v>-6323.4699999999993</v>
      </c>
      <c r="AR71">
        <v>-5728.0499999999993</v>
      </c>
      <c r="AS71">
        <v>-5653.4699999999993</v>
      </c>
      <c r="AT71">
        <v>-5480.52</v>
      </c>
      <c r="CA71">
        <f t="shared" si="17"/>
        <v>3</v>
      </c>
    </row>
    <row r="72" spans="1:79" ht="15" x14ac:dyDescent="0.2">
      <c r="A72" s="2" t="s">
        <v>104</v>
      </c>
      <c r="B72" s="2">
        <v>20</v>
      </c>
      <c r="C72" s="2" t="s">
        <v>214</v>
      </c>
      <c r="D72" s="99" t="s">
        <v>199</v>
      </c>
      <c r="E72" s="99" t="s">
        <v>5</v>
      </c>
      <c r="H72" s="20" t="str">
        <f t="shared" si="11"/>
        <v>2 - GANCONSUMO DE MATERIAL</v>
      </c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>
        <v>-3281.43</v>
      </c>
      <c r="AJ72">
        <v>-526.66</v>
      </c>
      <c r="AK72">
        <v>-4215.25</v>
      </c>
      <c r="AL72">
        <v>-6418.93</v>
      </c>
      <c r="AM72">
        <v>-7943.6900000000005</v>
      </c>
      <c r="AN72">
        <v>-4054.55</v>
      </c>
      <c r="AO72">
        <v>-3208.18</v>
      </c>
      <c r="AP72">
        <v>-6997.66</v>
      </c>
      <c r="AQ72">
        <v>-9790.36</v>
      </c>
      <c r="AR72">
        <v>-7749.96</v>
      </c>
      <c r="AS72">
        <v>-7804.1900000000005</v>
      </c>
      <c r="AT72">
        <v>-6227.85</v>
      </c>
      <c r="CA72">
        <f t="shared" si="17"/>
        <v>3</v>
      </c>
    </row>
    <row r="73" spans="1:79" ht="15" x14ac:dyDescent="0.2">
      <c r="A73" s="2" t="s">
        <v>104</v>
      </c>
      <c r="B73" s="2">
        <v>21</v>
      </c>
      <c r="C73" s="2" t="s">
        <v>214</v>
      </c>
      <c r="D73" s="99" t="s">
        <v>231</v>
      </c>
      <c r="E73" s="99" t="s">
        <v>230</v>
      </c>
      <c r="H73" s="20" t="str">
        <f t="shared" si="11"/>
        <v>2 - GANDESPESAS GERAIS / INVESTIMENTOS</v>
      </c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>
        <v>-13719.32</v>
      </c>
      <c r="AJ73">
        <v>-34404</v>
      </c>
      <c r="AK73">
        <v>-35809.749999999993</v>
      </c>
      <c r="AL73">
        <v>-67260.08</v>
      </c>
      <c r="AM73">
        <v>-25528.98</v>
      </c>
      <c r="AN73">
        <v>-15733.09</v>
      </c>
      <c r="AO73">
        <v>-40867.64</v>
      </c>
      <c r="AP73">
        <v>-18136.07</v>
      </c>
      <c r="AQ73">
        <v>-20493.38</v>
      </c>
      <c r="AR73">
        <v>-23077.159999999996</v>
      </c>
      <c r="AS73">
        <v>-26254.69</v>
      </c>
      <c r="AT73">
        <v>-23165.7</v>
      </c>
      <c r="CA73">
        <f t="shared" si="17"/>
        <v>3</v>
      </c>
    </row>
    <row r="74" spans="1:79" ht="15" x14ac:dyDescent="0.2">
      <c r="A74" s="2" t="s">
        <v>104</v>
      </c>
      <c r="B74" s="2">
        <v>22</v>
      </c>
      <c r="C74" s="2" t="s">
        <v>214</v>
      </c>
      <c r="D74" s="99" t="s">
        <v>228</v>
      </c>
      <c r="E74" s="99" t="s">
        <v>229</v>
      </c>
      <c r="H74" s="20" t="str">
        <f t="shared" si="11"/>
        <v>2 - GANDESPESAS INTERCOMPANY</v>
      </c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CA74">
        <f t="shared" si="17"/>
        <v>3</v>
      </c>
    </row>
    <row r="75" spans="1:79" ht="15" x14ac:dyDescent="0.2">
      <c r="A75" s="2" t="s">
        <v>104</v>
      </c>
      <c r="B75" s="2">
        <v>23</v>
      </c>
      <c r="C75" s="2"/>
      <c r="D75" s="98" t="s">
        <v>178</v>
      </c>
      <c r="E75" s="98"/>
      <c r="F75" s="90"/>
      <c r="G75" s="90"/>
      <c r="H75" s="20" t="str">
        <f t="shared" si="11"/>
        <v>2 - GAN</v>
      </c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87">
        <f t="shared" ref="AI75:AT75" si="35">AI64+AI65</f>
        <v>703518.33000000019</v>
      </c>
      <c r="AJ75" s="87">
        <f t="shared" si="35"/>
        <v>127372.05999999997</v>
      </c>
      <c r="AK75" s="87">
        <f t="shared" si="35"/>
        <v>539243.15819032281</v>
      </c>
      <c r="AL75" s="87">
        <f t="shared" si="35"/>
        <v>1214807.0700000003</v>
      </c>
      <c r="AM75" s="87">
        <f t="shared" si="35"/>
        <v>1452787.6900000002</v>
      </c>
      <c r="AN75" s="87">
        <f t="shared" si="35"/>
        <v>847222.35959999985</v>
      </c>
      <c r="AO75" s="87">
        <f t="shared" si="35"/>
        <v>828467.90000000037</v>
      </c>
      <c r="AP75" s="87">
        <f t="shared" si="35"/>
        <v>633674.83399999957</v>
      </c>
      <c r="AQ75" s="87">
        <f t="shared" si="35"/>
        <v>910469.03253225773</v>
      </c>
      <c r="AR75" s="87">
        <f t="shared" si="35"/>
        <v>937574.64641110005</v>
      </c>
      <c r="AS75" s="87">
        <f t="shared" si="35"/>
        <v>853653.94059999997</v>
      </c>
      <c r="AT75" s="87">
        <f t="shared" si="35"/>
        <v>857657.96460000006</v>
      </c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CA75">
        <f t="shared" si="17"/>
        <v>3</v>
      </c>
    </row>
    <row r="76" spans="1:79" ht="15" x14ac:dyDescent="0.2">
      <c r="A76" s="2" t="s">
        <v>104</v>
      </c>
      <c r="B76" s="2">
        <v>24</v>
      </c>
      <c r="C76" s="2" t="s">
        <v>215</v>
      </c>
      <c r="D76" s="99" t="s">
        <v>200</v>
      </c>
      <c r="E76" s="99" t="s">
        <v>221</v>
      </c>
      <c r="H76" s="20" t="str">
        <f t="shared" si="11"/>
        <v>2 - GANDEPRECIAÇÃO / AMORTIZAÇÃO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>
        <v>-7202.8725322500004</v>
      </c>
      <c r="AJ76">
        <v>-7448.4570802500002</v>
      </c>
      <c r="AK76">
        <v>-7448.4557665000002</v>
      </c>
      <c r="AL76">
        <v>-7259.89</v>
      </c>
      <c r="AM76">
        <v>-7246.5</v>
      </c>
      <c r="AN76">
        <v>-7202.87</v>
      </c>
      <c r="AO76">
        <v>-7220.38</v>
      </c>
      <c r="AP76">
        <v>-7219.1622802499996</v>
      </c>
      <c r="AQ76">
        <v>-7219.1609664999996</v>
      </c>
      <c r="AR76">
        <v>-38127.54</v>
      </c>
      <c r="AS76">
        <v>-38127.54</v>
      </c>
      <c r="AT76">
        <v>-38127.54</v>
      </c>
      <c r="CA76">
        <f t="shared" si="17"/>
        <v>3</v>
      </c>
    </row>
    <row r="77" spans="1:79" ht="15" x14ac:dyDescent="0.2">
      <c r="A77" s="2" t="s">
        <v>104</v>
      </c>
      <c r="B77" s="2">
        <v>25</v>
      </c>
      <c r="C77" s="2" t="s">
        <v>216</v>
      </c>
      <c r="D77" s="99" t="s">
        <v>77</v>
      </c>
      <c r="E77" s="99" t="s">
        <v>89</v>
      </c>
      <c r="H77" s="20" t="str">
        <f t="shared" si="11"/>
        <v>2 - GANRESULTADO FINANCEIRO</v>
      </c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>
        <v>-475.92000000000007</v>
      </c>
      <c r="AJ77">
        <v>917</v>
      </c>
      <c r="AK77">
        <v>-21509.449999999997</v>
      </c>
      <c r="AL77">
        <v>-5633.6</v>
      </c>
      <c r="AM77">
        <v>1038.3222000000001</v>
      </c>
      <c r="AN77">
        <v>7211.2800000000007</v>
      </c>
      <c r="AO77">
        <v>3440.16</v>
      </c>
      <c r="AP77">
        <v>763.30999999999949</v>
      </c>
      <c r="AQ77">
        <v>-2612.67</v>
      </c>
      <c r="AR77">
        <v>2081.91</v>
      </c>
      <c r="AS77">
        <v>-8337.5300000000007</v>
      </c>
      <c r="AT77">
        <v>-14540.010000000002</v>
      </c>
      <c r="CA77">
        <f t="shared" si="17"/>
        <v>3</v>
      </c>
    </row>
    <row r="78" spans="1:79" ht="15" x14ac:dyDescent="0.2">
      <c r="A78" s="2" t="s">
        <v>104</v>
      </c>
      <c r="B78" s="2">
        <v>26</v>
      </c>
      <c r="C78" s="2" t="s">
        <v>217</v>
      </c>
      <c r="D78" s="99" t="s">
        <v>201</v>
      </c>
      <c r="E78" s="99" t="s">
        <v>222</v>
      </c>
      <c r="H78" s="20" t="str">
        <f t="shared" ref="H78:H141" si="36">CONCATENATE(A78,E78)</f>
        <v>2 - GANIMPOSTOS (IRPJ+CSLL+PIS+COFINS+ISS)</v>
      </c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>
        <v>-378156.05</v>
      </c>
      <c r="AJ78">
        <v>-350718.22</v>
      </c>
      <c r="AK78">
        <v>-374686.25</v>
      </c>
      <c r="AL78">
        <v>-385876.47</v>
      </c>
      <c r="AM78">
        <v>-417806.500222</v>
      </c>
      <c r="AN78">
        <v>-369817.74</v>
      </c>
      <c r="AO78">
        <v>-406605.57999999996</v>
      </c>
      <c r="AP78">
        <v>-387777.37</v>
      </c>
      <c r="AQ78">
        <v>-416300.75</v>
      </c>
      <c r="AR78">
        <v>-403730.58</v>
      </c>
      <c r="AS78">
        <v>-409069.34</v>
      </c>
      <c r="AT78">
        <v>-416419.03000000201</v>
      </c>
      <c r="CA78">
        <f t="shared" si="17"/>
        <v>3</v>
      </c>
    </row>
    <row r="79" spans="1:79" ht="15" x14ac:dyDescent="0.2">
      <c r="A79" s="2" t="s">
        <v>104</v>
      </c>
      <c r="B79" s="2">
        <v>27</v>
      </c>
      <c r="C79" s="2"/>
      <c r="D79" s="104" t="s">
        <v>202</v>
      </c>
      <c r="E79" s="104"/>
      <c r="F79" s="112"/>
      <c r="G79" s="112"/>
      <c r="H79" s="20" t="str">
        <f t="shared" si="36"/>
        <v>2 - GAN</v>
      </c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87">
        <f t="shared" ref="AI79:AT79" si="37">AI64+AI65+AI76+AI77+AI78</f>
        <v>317683.48746775015</v>
      </c>
      <c r="AJ79" s="87">
        <f t="shared" si="37"/>
        <v>-229877.61708025</v>
      </c>
      <c r="AK79" s="87">
        <f t="shared" si="37"/>
        <v>135599.00242382282</v>
      </c>
      <c r="AL79" s="87">
        <f t="shared" si="37"/>
        <v>816037.11000000034</v>
      </c>
      <c r="AM79" s="87">
        <f t="shared" si="37"/>
        <v>1028773.0119780002</v>
      </c>
      <c r="AN79" s="87">
        <f t="shared" si="37"/>
        <v>477413.02959999989</v>
      </c>
      <c r="AO79" s="87">
        <f t="shared" si="37"/>
        <v>418082.10000000044</v>
      </c>
      <c r="AP79" s="87">
        <f t="shared" si="37"/>
        <v>239441.61171974964</v>
      </c>
      <c r="AQ79" s="87">
        <f t="shared" si="37"/>
        <v>484336.45156575774</v>
      </c>
      <c r="AR79" s="87">
        <f t="shared" si="37"/>
        <v>497798.43641110003</v>
      </c>
      <c r="AS79" s="87">
        <f t="shared" si="37"/>
        <v>398119.53059999988</v>
      </c>
      <c r="AT79" s="87">
        <f t="shared" si="37"/>
        <v>388571.38459999801</v>
      </c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CA79">
        <f t="shared" si="17"/>
        <v>3</v>
      </c>
    </row>
    <row r="80" spans="1:79" ht="15" x14ac:dyDescent="0.2">
      <c r="A80" s="2" t="s">
        <v>104</v>
      </c>
      <c r="B80" s="2">
        <v>28</v>
      </c>
      <c r="C80" s="2" t="s">
        <v>218</v>
      </c>
      <c r="D80" s="99" t="s">
        <v>203</v>
      </c>
      <c r="E80" s="99" t="s">
        <v>98</v>
      </c>
      <c r="G80">
        <v>1</v>
      </c>
      <c r="H80" s="20" t="str">
        <f t="shared" si="36"/>
        <v>2 - GANDISTR LUCROS E DESPESAS SS (JURÍDICO)</v>
      </c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>
        <v>-847898.45</v>
      </c>
      <c r="AJ80">
        <v>-843620.84</v>
      </c>
      <c r="AK80">
        <v>-875677.44180967717</v>
      </c>
      <c r="AL80">
        <v>-855509.10999999987</v>
      </c>
      <c r="AM80">
        <v>-856237.37999999977</v>
      </c>
      <c r="AN80">
        <v>-828360.95039999997</v>
      </c>
      <c r="AO80">
        <v>-858332.99999999965</v>
      </c>
      <c r="AP80">
        <v>-843550.576</v>
      </c>
      <c r="AQ80">
        <v>-823273.71746774204</v>
      </c>
      <c r="AR80">
        <v>-876122.20358890004</v>
      </c>
      <c r="AS80">
        <v>-860272.84940000006</v>
      </c>
      <c r="AT80">
        <v>-868044.27540000004</v>
      </c>
      <c r="CA80">
        <f t="shared" si="17"/>
        <v>3</v>
      </c>
    </row>
    <row r="81" spans="1:79" ht="15" x14ac:dyDescent="0.2">
      <c r="A81" s="2" t="s">
        <v>104</v>
      </c>
      <c r="B81" s="2">
        <v>29</v>
      </c>
      <c r="C81" s="2" t="s">
        <v>218</v>
      </c>
      <c r="D81" s="99" t="s">
        <v>204</v>
      </c>
      <c r="E81" s="99" t="s">
        <v>223</v>
      </c>
      <c r="G81">
        <v>1</v>
      </c>
      <c r="H81" s="20" t="str">
        <f t="shared" si="36"/>
        <v>2 - GANDISTR LUCROS E DESPESAS SC (3)</v>
      </c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>
        <v>-93622.6</v>
      </c>
      <c r="AJ81">
        <v>-94713.39</v>
      </c>
      <c r="AK81">
        <v>-85657.55</v>
      </c>
      <c r="AL81">
        <v>-84740.75</v>
      </c>
      <c r="AM81">
        <v>-94286.67</v>
      </c>
      <c r="AN81">
        <v>-95728.22</v>
      </c>
      <c r="AO81">
        <v>-97019.19</v>
      </c>
      <c r="AP81">
        <v>-93427.71</v>
      </c>
      <c r="AQ81">
        <v>-90340.760000000009</v>
      </c>
      <c r="AR81">
        <v>-95809.409999999989</v>
      </c>
      <c r="AS81">
        <v>-97664.15</v>
      </c>
      <c r="AT81">
        <v>-101638.96</v>
      </c>
      <c r="CA81">
        <f t="shared" si="17"/>
        <v>3</v>
      </c>
    </row>
    <row r="82" spans="1:79" ht="15" x14ac:dyDescent="0.2">
      <c r="A82" s="2" t="s">
        <v>104</v>
      </c>
      <c r="B82" s="2">
        <v>30</v>
      </c>
      <c r="C82" s="2" t="s">
        <v>218</v>
      </c>
      <c r="D82" s="99" t="s">
        <v>205</v>
      </c>
      <c r="E82" s="99" t="s">
        <v>224</v>
      </c>
      <c r="G82">
        <v>1</v>
      </c>
      <c r="H82" s="20" t="str">
        <f t="shared" si="36"/>
        <v>2 - GANDISTR LUCROS E DESPESAS SS GESTÃO ADM (11)</v>
      </c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>
        <v>-51742.820000000007</v>
      </c>
      <c r="AJ82">
        <v>-9827.76</v>
      </c>
      <c r="AK82">
        <v>-10130.959999999999</v>
      </c>
      <c r="AL82">
        <v>-11722.3</v>
      </c>
      <c r="AM82">
        <v>-299</v>
      </c>
      <c r="AN82">
        <v>6808.64</v>
      </c>
      <c r="AO82">
        <v>-6216.47</v>
      </c>
      <c r="AP82">
        <v>-2917.44</v>
      </c>
      <c r="AQ82">
        <v>-3687.93</v>
      </c>
      <c r="AR82">
        <v>-5037.4399999999996</v>
      </c>
      <c r="AS82">
        <v>-4917.4400000000005</v>
      </c>
      <c r="AT82">
        <v>-3887.93</v>
      </c>
      <c r="CA82">
        <f t="shared" ref="CA82:CA150" si="38">MONTH($BZ$2)</f>
        <v>3</v>
      </c>
    </row>
    <row r="83" spans="1:79" ht="15" x14ac:dyDescent="0.2">
      <c r="A83" s="2" t="s">
        <v>104</v>
      </c>
      <c r="B83" s="2">
        <v>31</v>
      </c>
      <c r="C83" s="2"/>
      <c r="D83" s="99" t="s">
        <v>206</v>
      </c>
      <c r="E83" s="20"/>
      <c r="F83" s="20"/>
      <c r="G83" s="20"/>
      <c r="H83" s="20" t="str">
        <f t="shared" si="36"/>
        <v>2 - GAN</v>
      </c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87">
        <f t="shared" ref="AI83:AT83" si="39">AI80+AI81+AI82</f>
        <v>-993263.86999999988</v>
      </c>
      <c r="AJ83" s="87">
        <f t="shared" si="39"/>
        <v>-948161.99</v>
      </c>
      <c r="AK83" s="87">
        <f t="shared" si="39"/>
        <v>-971465.95180967718</v>
      </c>
      <c r="AL83" s="87">
        <f t="shared" si="39"/>
        <v>-951972.15999999992</v>
      </c>
      <c r="AM83" s="87">
        <f t="shared" si="39"/>
        <v>-950823.04999999981</v>
      </c>
      <c r="AN83" s="87">
        <f t="shared" si="39"/>
        <v>-917280.53039999993</v>
      </c>
      <c r="AO83" s="87">
        <f t="shared" si="39"/>
        <v>-961568.65999999968</v>
      </c>
      <c r="AP83" s="87">
        <f t="shared" si="39"/>
        <v>-939895.72599999991</v>
      </c>
      <c r="AQ83" s="87">
        <f t="shared" si="39"/>
        <v>-917302.4074677421</v>
      </c>
      <c r="AR83" s="87">
        <f t="shared" si="39"/>
        <v>-976969.05358890002</v>
      </c>
      <c r="AS83" s="87">
        <f t="shared" si="39"/>
        <v>-962854.43940000003</v>
      </c>
      <c r="AT83" s="87">
        <f t="shared" si="39"/>
        <v>-973571.16540000006</v>
      </c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CA83">
        <f t="shared" si="38"/>
        <v>3</v>
      </c>
    </row>
    <row r="84" spans="1:79" ht="15" x14ac:dyDescent="0.2">
      <c r="A84" s="2" t="s">
        <v>104</v>
      </c>
      <c r="B84" s="2">
        <v>32</v>
      </c>
      <c r="C84" s="2"/>
      <c r="D84" s="99" t="s">
        <v>207</v>
      </c>
      <c r="E84" s="20"/>
      <c r="F84" s="20"/>
      <c r="G84" s="20"/>
      <c r="H84" s="20" t="str">
        <f t="shared" si="36"/>
        <v>2 - GAN</v>
      </c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87">
        <f t="shared" ref="AI84:AT84" si="40">AI57+AI65+AI76+AI77+AI78+AI83</f>
        <v>-1677761.7625322498</v>
      </c>
      <c r="AJ84" s="87">
        <f t="shared" si="40"/>
        <v>-1518314.54708025</v>
      </c>
      <c r="AK84" s="87">
        <f t="shared" si="40"/>
        <v>-1623516.167576177</v>
      </c>
      <c r="AL84" s="87">
        <f t="shared" si="40"/>
        <v>-1637690.67</v>
      </c>
      <c r="AM84" s="87">
        <f t="shared" si="40"/>
        <v>-1654622.9280219998</v>
      </c>
      <c r="AN84" s="87">
        <f t="shared" si="40"/>
        <v>-1592604.0003999998</v>
      </c>
      <c r="AO84" s="87">
        <f t="shared" si="40"/>
        <v>-1756998.8099999996</v>
      </c>
      <c r="AP84" s="87">
        <f t="shared" si="40"/>
        <v>-1642216.24828025</v>
      </c>
      <c r="AQ84" s="87">
        <f t="shared" si="40"/>
        <v>-1679461.3384342422</v>
      </c>
      <c r="AR84" s="87">
        <f t="shared" si="40"/>
        <v>-1736832.1035889001</v>
      </c>
      <c r="AS84" s="87">
        <f t="shared" si="40"/>
        <v>-1763231.5693999999</v>
      </c>
      <c r="AT84" s="87">
        <f t="shared" si="40"/>
        <v>-1963664.2054000022</v>
      </c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CA84">
        <f t="shared" si="38"/>
        <v>3</v>
      </c>
    </row>
    <row r="85" spans="1:79" ht="15" x14ac:dyDescent="0.2">
      <c r="A85" s="2" t="s">
        <v>104</v>
      </c>
      <c r="B85" s="2">
        <v>33</v>
      </c>
      <c r="C85" s="2"/>
      <c r="D85" s="104" t="s">
        <v>212</v>
      </c>
      <c r="E85" s="87"/>
      <c r="F85" s="87"/>
      <c r="G85" s="87"/>
      <c r="H85" s="20" t="str">
        <f t="shared" si="36"/>
        <v>2 - GAN</v>
      </c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87">
        <f>AI53+AI84</f>
        <v>265940.66746775038</v>
      </c>
      <c r="AJ85" s="87">
        <f t="shared" ref="AJ85:AT85" si="41">AJ53+AJ84</f>
        <v>-239705.37708025007</v>
      </c>
      <c r="AK85" s="87">
        <f t="shared" si="41"/>
        <v>125468.04242382292</v>
      </c>
      <c r="AL85" s="87">
        <f t="shared" si="41"/>
        <v>804314.81</v>
      </c>
      <c r="AM85" s="87">
        <f t="shared" si="41"/>
        <v>1028474.0119780002</v>
      </c>
      <c r="AN85" s="87">
        <f t="shared" si="41"/>
        <v>484221.66959999991</v>
      </c>
      <c r="AO85" s="87">
        <f t="shared" si="41"/>
        <v>411865.63000000035</v>
      </c>
      <c r="AP85" s="87">
        <f t="shared" si="41"/>
        <v>236524.17171974969</v>
      </c>
      <c r="AQ85" s="87">
        <f t="shared" si="41"/>
        <v>480648.52156575769</v>
      </c>
      <c r="AR85" s="87">
        <f t="shared" si="41"/>
        <v>492760.99641110003</v>
      </c>
      <c r="AS85" s="87">
        <f t="shared" si="41"/>
        <v>393202.09060000023</v>
      </c>
      <c r="AT85" s="87">
        <f t="shared" si="41"/>
        <v>384683.45459999796</v>
      </c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CA85">
        <f t="shared" si="38"/>
        <v>3</v>
      </c>
    </row>
    <row r="86" spans="1:79" ht="15" x14ac:dyDescent="0.2">
      <c r="A86" s="2" t="s">
        <v>104</v>
      </c>
      <c r="B86" s="2">
        <v>34</v>
      </c>
      <c r="C86" s="2"/>
      <c r="D86" s="99" t="s">
        <v>208</v>
      </c>
      <c r="E86" s="80"/>
      <c r="F86" s="80"/>
      <c r="G86" s="80"/>
      <c r="H86" s="20" t="str">
        <f t="shared" si="36"/>
        <v>2 - GAN</v>
      </c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CA86">
        <f t="shared" si="38"/>
        <v>3</v>
      </c>
    </row>
    <row r="87" spans="1:79" ht="15" x14ac:dyDescent="0.2">
      <c r="A87" s="2" t="s">
        <v>104</v>
      </c>
      <c r="B87" s="2">
        <v>35</v>
      </c>
      <c r="C87" s="2"/>
      <c r="D87" s="99" t="s">
        <v>209</v>
      </c>
      <c r="E87" s="20"/>
      <c r="F87" s="20"/>
      <c r="G87" s="20"/>
      <c r="H87" s="20" t="str">
        <f t="shared" si="36"/>
        <v>2 - GAN</v>
      </c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CA87">
        <f t="shared" si="38"/>
        <v>3</v>
      </c>
    </row>
    <row r="88" spans="1:79" ht="15" x14ac:dyDescent="0.2">
      <c r="A88" s="2" t="s">
        <v>104</v>
      </c>
      <c r="B88" s="2">
        <v>36</v>
      </c>
      <c r="C88" s="2"/>
      <c r="D88" s="99" t="s">
        <v>210</v>
      </c>
      <c r="E88" s="20"/>
      <c r="F88" s="20"/>
      <c r="G88" s="20"/>
      <c r="H88" s="20" t="str">
        <f t="shared" si="36"/>
        <v>2 - GAN</v>
      </c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67"/>
      <c r="BP88" s="67"/>
      <c r="BQ88" s="67"/>
      <c r="BR88" s="67"/>
      <c r="CA88">
        <f t="shared" si="38"/>
        <v>3</v>
      </c>
    </row>
    <row r="89" spans="1:79" ht="15" x14ac:dyDescent="0.2">
      <c r="A89" s="2" t="s">
        <v>104</v>
      </c>
      <c r="B89" s="2">
        <v>37</v>
      </c>
      <c r="C89" s="2"/>
      <c r="D89" s="99" t="s">
        <v>233</v>
      </c>
      <c r="E89" s="20"/>
      <c r="F89" s="20"/>
      <c r="G89" s="20"/>
      <c r="H89" s="20" t="str">
        <f t="shared" si="36"/>
        <v>2 - GAN</v>
      </c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67"/>
      <c r="BP89" s="67"/>
      <c r="BQ89" s="67"/>
      <c r="BR89" s="67"/>
      <c r="CA89">
        <f t="shared" si="38"/>
        <v>3</v>
      </c>
    </row>
    <row r="90" spans="1:79" ht="15" x14ac:dyDescent="0.2">
      <c r="A90" s="2" t="s">
        <v>104</v>
      </c>
      <c r="B90" s="2">
        <v>38</v>
      </c>
      <c r="C90" s="2"/>
      <c r="D90" s="99" t="s">
        <v>232</v>
      </c>
      <c r="E90" s="20"/>
      <c r="F90" s="20"/>
      <c r="G90" s="20"/>
      <c r="H90" s="20" t="str">
        <f t="shared" si="36"/>
        <v>2 - GAN</v>
      </c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67"/>
      <c r="BQ90" s="67"/>
      <c r="BR90" s="67"/>
    </row>
    <row r="91" spans="1:79" ht="15" x14ac:dyDescent="0.2">
      <c r="A91" s="2" t="s">
        <v>104</v>
      </c>
      <c r="B91" s="2">
        <v>39</v>
      </c>
      <c r="C91" s="2"/>
      <c r="D91" s="99" t="s">
        <v>234</v>
      </c>
      <c r="E91" s="20"/>
      <c r="F91" s="20"/>
      <c r="G91" s="20"/>
      <c r="H91" s="20" t="str">
        <f t="shared" si="36"/>
        <v>2 - GAN</v>
      </c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67"/>
      <c r="BP91" s="67"/>
      <c r="BQ91" s="67"/>
      <c r="BR91" s="67"/>
    </row>
    <row r="92" spans="1:79" ht="15.75" thickBot="1" x14ac:dyDescent="0.25">
      <c r="A92" s="2" t="s">
        <v>104</v>
      </c>
      <c r="B92" s="2">
        <v>40</v>
      </c>
      <c r="C92" s="2"/>
      <c r="D92" s="100" t="s">
        <v>211</v>
      </c>
      <c r="E92" s="20"/>
      <c r="F92" s="20"/>
      <c r="G92" s="20"/>
      <c r="H92" s="20" t="str">
        <f t="shared" si="36"/>
        <v>2 - GAN</v>
      </c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CA92">
        <f t="shared" si="38"/>
        <v>3</v>
      </c>
    </row>
    <row r="93" spans="1:79" ht="15" x14ac:dyDescent="0.2">
      <c r="A93" s="2" t="s">
        <v>105</v>
      </c>
      <c r="B93" s="2">
        <v>1</v>
      </c>
      <c r="C93" s="2"/>
      <c r="D93" s="108" t="s">
        <v>183</v>
      </c>
      <c r="E93" s="20"/>
      <c r="F93" s="20"/>
      <c r="G93" s="20"/>
      <c r="H93" s="20" t="str">
        <f t="shared" si="36"/>
        <v>3 - GAA</v>
      </c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>
        <v>293072.92</v>
      </c>
      <c r="AJ93">
        <v>154046.06</v>
      </c>
      <c r="AK93">
        <v>262374.71999999997</v>
      </c>
      <c r="AL93">
        <v>217025.5</v>
      </c>
      <c r="AM93">
        <v>323482.81</v>
      </c>
      <c r="AN93">
        <v>307417.69</v>
      </c>
      <c r="AO93">
        <v>247192.62</v>
      </c>
      <c r="AP93">
        <v>267102.63</v>
      </c>
      <c r="AQ93">
        <v>306993.67</v>
      </c>
      <c r="AR93">
        <v>417896.84</v>
      </c>
      <c r="AS93">
        <v>184448.88</v>
      </c>
      <c r="AT93">
        <v>194841.48</v>
      </c>
      <c r="CA93">
        <f t="shared" si="38"/>
        <v>3</v>
      </c>
    </row>
    <row r="94" spans="1:79" ht="15" x14ac:dyDescent="0.2">
      <c r="A94" s="2" t="s">
        <v>105</v>
      </c>
      <c r="B94" s="2">
        <v>2</v>
      </c>
      <c r="C94" s="2"/>
      <c r="D94" s="99" t="s">
        <v>184</v>
      </c>
      <c r="E94" s="20"/>
      <c r="F94" s="20"/>
      <c r="G94" s="20"/>
      <c r="H94" s="20" t="str">
        <f t="shared" si="36"/>
        <v>3 - GAA</v>
      </c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>
        <v>293072.92</v>
      </c>
      <c r="AJ94">
        <v>154046.06</v>
      </c>
      <c r="AK94">
        <v>262374.71999999997</v>
      </c>
      <c r="AL94">
        <v>217025.5</v>
      </c>
      <c r="AM94">
        <v>323482.81</v>
      </c>
      <c r="AN94">
        <v>307417.69</v>
      </c>
      <c r="AO94">
        <v>247192.62</v>
      </c>
      <c r="AP94">
        <v>267102.63</v>
      </c>
      <c r="AQ94">
        <v>306993.67</v>
      </c>
      <c r="AR94">
        <v>417896.84</v>
      </c>
      <c r="AS94">
        <v>184448.88</v>
      </c>
      <c r="AT94">
        <v>194841.48</v>
      </c>
      <c r="CA94">
        <f t="shared" si="38"/>
        <v>3</v>
      </c>
    </row>
    <row r="95" spans="1:79" ht="15" x14ac:dyDescent="0.2">
      <c r="A95" s="2" t="s">
        <v>105</v>
      </c>
      <c r="B95" s="2">
        <v>3</v>
      </c>
      <c r="C95" s="2"/>
      <c r="D95" s="99" t="s">
        <v>185</v>
      </c>
      <c r="E95" s="20"/>
      <c r="F95" s="20"/>
      <c r="G95" s="20"/>
      <c r="H95" s="20" t="str">
        <f t="shared" si="36"/>
        <v>3 - GAA</v>
      </c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CA95">
        <f t="shared" si="38"/>
        <v>3</v>
      </c>
    </row>
    <row r="96" spans="1:79" ht="15" x14ac:dyDescent="0.2">
      <c r="A96" s="2" t="s">
        <v>105</v>
      </c>
      <c r="B96" s="2">
        <v>4</v>
      </c>
      <c r="C96" s="2"/>
      <c r="D96" s="99" t="s">
        <v>186</v>
      </c>
      <c r="E96" s="20"/>
      <c r="F96" s="20"/>
      <c r="G96" s="20"/>
      <c r="H96" s="20" t="str">
        <f t="shared" si="36"/>
        <v>3 - GAA</v>
      </c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>
        <v>293072.92</v>
      </c>
      <c r="AJ96">
        <v>154046.06</v>
      </c>
      <c r="AK96">
        <v>262374.71999999997</v>
      </c>
      <c r="AL96">
        <v>217025.5</v>
      </c>
      <c r="AM96">
        <v>323482.81</v>
      </c>
      <c r="AN96">
        <v>307417.69</v>
      </c>
      <c r="AO96">
        <v>247192.62</v>
      </c>
      <c r="AP96">
        <v>267102.63</v>
      </c>
      <c r="AQ96">
        <v>306993.67</v>
      </c>
      <c r="AR96">
        <v>417896.84</v>
      </c>
      <c r="AS96">
        <v>184448.88</v>
      </c>
      <c r="AT96">
        <v>194841.48</v>
      </c>
      <c r="CA96">
        <f t="shared" si="38"/>
        <v>3</v>
      </c>
    </row>
    <row r="97" spans="1:79" ht="15" x14ac:dyDescent="0.2">
      <c r="A97" s="2" t="s">
        <v>105</v>
      </c>
      <c r="B97" s="2">
        <v>5</v>
      </c>
      <c r="C97" s="2"/>
      <c r="D97" s="101" t="s">
        <v>32</v>
      </c>
      <c r="E97" s="20"/>
      <c r="F97" s="20"/>
      <c r="G97" s="20"/>
      <c r="H97" s="20" t="str">
        <f t="shared" si="36"/>
        <v>3 - GAA</v>
      </c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87">
        <f t="shared" ref="AI97:AT97" si="42">AI98+AI99+AI100+AI101+AI102+AI103</f>
        <v>-139182.28</v>
      </c>
      <c r="AJ97" s="87">
        <f t="shared" si="42"/>
        <v>-135132.07</v>
      </c>
      <c r="AK97" s="87">
        <f t="shared" si="42"/>
        <v>-173236.63000000003</v>
      </c>
      <c r="AL97" s="87">
        <f t="shared" si="42"/>
        <v>-129682.89000000001</v>
      </c>
      <c r="AM97" s="87">
        <f t="shared" si="42"/>
        <v>-105391.50000000001</v>
      </c>
      <c r="AN97" s="87">
        <f t="shared" si="42"/>
        <v>-90024.62</v>
      </c>
      <c r="AO97" s="87">
        <f t="shared" si="42"/>
        <v>-96767.71</v>
      </c>
      <c r="AP97" s="87">
        <f t="shared" si="42"/>
        <v>-102489.19999999998</v>
      </c>
      <c r="AQ97" s="87">
        <f t="shared" si="42"/>
        <v>-108262</v>
      </c>
      <c r="AR97" s="87">
        <f t="shared" si="42"/>
        <v>-127124.38999999998</v>
      </c>
      <c r="AS97" s="87">
        <f t="shared" si="42"/>
        <v>-141063.03600000002</v>
      </c>
      <c r="AT97" s="87">
        <f t="shared" si="42"/>
        <v>-168073.67000000004</v>
      </c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CA97">
        <f t="shared" si="38"/>
        <v>3</v>
      </c>
    </row>
    <row r="98" spans="1:79" ht="15" x14ac:dyDescent="0.2">
      <c r="A98" s="2" t="s">
        <v>105</v>
      </c>
      <c r="B98" s="2">
        <v>6</v>
      </c>
      <c r="C98" t="s">
        <v>213</v>
      </c>
      <c r="D98" t="s">
        <v>187</v>
      </c>
      <c r="E98" t="s">
        <v>219</v>
      </c>
      <c r="G98">
        <v>1</v>
      </c>
      <c r="H98" s="20" t="str">
        <f t="shared" si="36"/>
        <v>3 - GAAPESSOAL CLT (BO / ASSIS JURÍD / NEGOC)</v>
      </c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>
        <v>-139182.28</v>
      </c>
      <c r="AJ98">
        <v>-135132.07</v>
      </c>
      <c r="AK98">
        <v>-173236.63000000003</v>
      </c>
      <c r="AL98">
        <v>-127638.90000000001</v>
      </c>
      <c r="AM98">
        <v>-105391.50000000001</v>
      </c>
      <c r="AN98">
        <v>-90024.62</v>
      </c>
      <c r="AO98">
        <v>-92444.420000000013</v>
      </c>
      <c r="AP98">
        <v>-102489.19999999998</v>
      </c>
      <c r="AQ98">
        <v>-108262</v>
      </c>
      <c r="AR98">
        <v>-112873.59999999999</v>
      </c>
      <c r="AS98">
        <v>-141063.03600000002</v>
      </c>
      <c r="AT98">
        <v>-168073.67000000004</v>
      </c>
      <c r="CA98">
        <f t="shared" si="38"/>
        <v>3</v>
      </c>
    </row>
    <row r="99" spans="1:79" ht="15" x14ac:dyDescent="0.2">
      <c r="A99" s="2" t="s">
        <v>105</v>
      </c>
      <c r="B99" s="2">
        <v>7</v>
      </c>
      <c r="C99" t="s">
        <v>213</v>
      </c>
      <c r="D99" s="99" t="s">
        <v>188</v>
      </c>
      <c r="E99" s="99" t="s">
        <v>28</v>
      </c>
      <c r="H99" s="20" t="str">
        <f t="shared" si="36"/>
        <v>3 - GAACORRESPONDENTES</v>
      </c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CA99">
        <f t="shared" si="38"/>
        <v>3</v>
      </c>
    </row>
    <row r="100" spans="1:79" ht="15" x14ac:dyDescent="0.2">
      <c r="A100" s="2" t="s">
        <v>105</v>
      </c>
      <c r="B100" s="2">
        <v>8</v>
      </c>
      <c r="C100" t="s">
        <v>213</v>
      </c>
      <c r="D100" s="99" t="s">
        <v>189</v>
      </c>
      <c r="E100" s="99" t="s">
        <v>29</v>
      </c>
      <c r="H100" s="20" t="str">
        <f t="shared" si="36"/>
        <v>3 - GAAVALORES RESCISÓRIOS</v>
      </c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>
        <v>0</v>
      </c>
      <c r="AJ100">
        <v>0</v>
      </c>
      <c r="AK100">
        <v>0</v>
      </c>
      <c r="AL100">
        <v>-2043.99</v>
      </c>
      <c r="AM100">
        <v>0</v>
      </c>
      <c r="AN100">
        <v>0</v>
      </c>
      <c r="AO100">
        <v>-4323.29</v>
      </c>
      <c r="AP100">
        <v>0</v>
      </c>
      <c r="AQ100">
        <v>0</v>
      </c>
      <c r="AR100">
        <v>0</v>
      </c>
      <c r="AS100">
        <v>0</v>
      </c>
      <c r="AT100">
        <v>0</v>
      </c>
      <c r="CA100">
        <f t="shared" si="38"/>
        <v>3</v>
      </c>
    </row>
    <row r="101" spans="1:79" ht="15" x14ac:dyDescent="0.2">
      <c r="A101" s="2" t="s">
        <v>105</v>
      </c>
      <c r="B101" s="2">
        <v>9</v>
      </c>
      <c r="C101" t="s">
        <v>213</v>
      </c>
      <c r="D101" s="99" t="s">
        <v>190</v>
      </c>
      <c r="E101" s="99" t="s">
        <v>30</v>
      </c>
      <c r="H101" s="20" t="str">
        <f t="shared" si="36"/>
        <v>3 - GAAPENALIDADES E GLOSAS DE CLIENTES</v>
      </c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CA101">
        <f t="shared" si="38"/>
        <v>3</v>
      </c>
    </row>
    <row r="102" spans="1:79" ht="15" x14ac:dyDescent="0.2">
      <c r="A102" s="2" t="s">
        <v>105</v>
      </c>
      <c r="B102" s="2">
        <v>10</v>
      </c>
      <c r="C102" t="s">
        <v>213</v>
      </c>
      <c r="D102" s="99" t="s">
        <v>191</v>
      </c>
      <c r="E102" s="99" t="s">
        <v>31</v>
      </c>
      <c r="H102" s="20" t="str">
        <f t="shared" si="36"/>
        <v>3 - GAAPROCESSOS TRABALHISTAS</v>
      </c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-14250.79</v>
      </c>
      <c r="AS102">
        <v>0</v>
      </c>
      <c r="AT102">
        <v>0</v>
      </c>
      <c r="CA102">
        <f t="shared" si="38"/>
        <v>3</v>
      </c>
    </row>
    <row r="103" spans="1:79" ht="15" x14ac:dyDescent="0.2">
      <c r="A103" s="2" t="s">
        <v>105</v>
      </c>
      <c r="B103" s="2">
        <v>11</v>
      </c>
      <c r="C103" t="s">
        <v>213</v>
      </c>
      <c r="D103" s="99" t="s">
        <v>192</v>
      </c>
      <c r="E103" s="99" t="s">
        <v>172</v>
      </c>
      <c r="H103" s="20" t="str">
        <f t="shared" si="36"/>
        <v>3 - GAADESCONTO PAGAMENTOS EM DUPLICIDADE</v>
      </c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CA103">
        <f t="shared" si="38"/>
        <v>3</v>
      </c>
    </row>
    <row r="104" spans="1:79" ht="15" x14ac:dyDescent="0.2">
      <c r="A104" s="2" t="s">
        <v>105</v>
      </c>
      <c r="B104" s="2">
        <v>12</v>
      </c>
      <c r="C104" s="2"/>
      <c r="D104" s="98" t="s">
        <v>63</v>
      </c>
      <c r="E104" s="98"/>
      <c r="F104" s="90"/>
      <c r="G104" s="90"/>
      <c r="H104" s="20" t="str">
        <f t="shared" si="36"/>
        <v>3 - GAA</v>
      </c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>
        <v>135712.01999999999</v>
      </c>
      <c r="AJ104">
        <v>2300.1999999999825</v>
      </c>
      <c r="AK104">
        <v>72763.459999999934</v>
      </c>
      <c r="AL104">
        <v>70967.98000000001</v>
      </c>
      <c r="AM104">
        <v>201295.08</v>
      </c>
      <c r="AN104">
        <v>201018.44</v>
      </c>
      <c r="AO104">
        <v>133567.65999999997</v>
      </c>
      <c r="AP104">
        <v>147461.39000000001</v>
      </c>
      <c r="AQ104">
        <v>182128.18</v>
      </c>
      <c r="AR104">
        <v>273896.29000000004</v>
      </c>
      <c r="AS104">
        <v>26538.063999999984</v>
      </c>
      <c r="AT104">
        <v>9920.6599999999744</v>
      </c>
      <c r="CA104">
        <f t="shared" si="38"/>
        <v>3</v>
      </c>
    </row>
    <row r="105" spans="1:79" ht="15" x14ac:dyDescent="0.2">
      <c r="A105" s="2" t="s">
        <v>105</v>
      </c>
      <c r="B105" s="2">
        <v>13</v>
      </c>
      <c r="C105" s="2"/>
      <c r="D105" s="101" t="s">
        <v>62</v>
      </c>
      <c r="E105" s="101"/>
      <c r="F105" s="111"/>
      <c r="G105" s="111"/>
      <c r="H105" s="20" t="str">
        <f t="shared" si="36"/>
        <v>3 - GAA</v>
      </c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87">
        <f t="shared" ref="AI105:AT105" si="43">AI106+AI107+AI108+AI109+AI110+AI111+AI112+AI113</f>
        <v>-67132.899999999994</v>
      </c>
      <c r="AJ105" s="87">
        <f t="shared" si="43"/>
        <v>-65846.8</v>
      </c>
      <c r="AK105" s="87">
        <f t="shared" si="43"/>
        <v>-81101.87999999999</v>
      </c>
      <c r="AL105" s="87">
        <f t="shared" si="43"/>
        <v>-79421.100000000006</v>
      </c>
      <c r="AM105" s="87">
        <f t="shared" si="43"/>
        <v>-75088.549999999988</v>
      </c>
      <c r="AN105" s="87">
        <f t="shared" si="43"/>
        <v>-76521.610000000015</v>
      </c>
      <c r="AO105" s="87">
        <f t="shared" si="43"/>
        <v>-69046.460000000006</v>
      </c>
      <c r="AP105" s="87">
        <f t="shared" si="43"/>
        <v>-79206.319999999992</v>
      </c>
      <c r="AQ105" s="87">
        <f t="shared" si="43"/>
        <v>-75428.479999999981</v>
      </c>
      <c r="AR105" s="87">
        <f t="shared" si="43"/>
        <v>-78498.780000000013</v>
      </c>
      <c r="AS105" s="87">
        <f t="shared" si="43"/>
        <v>-90212.45</v>
      </c>
      <c r="AT105" s="87">
        <f t="shared" si="43"/>
        <v>-104169.61</v>
      </c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R105" s="67"/>
      <c r="CA105">
        <f t="shared" si="38"/>
        <v>3</v>
      </c>
    </row>
    <row r="106" spans="1:79" ht="15" x14ac:dyDescent="0.2">
      <c r="A106" s="2" t="s">
        <v>105</v>
      </c>
      <c r="B106" s="2">
        <v>14</v>
      </c>
      <c r="C106" s="2" t="s">
        <v>214</v>
      </c>
      <c r="D106" s="99" t="s">
        <v>193</v>
      </c>
      <c r="E106" s="99" t="s">
        <v>102</v>
      </c>
      <c r="G106">
        <v>1</v>
      </c>
      <c r="H106" s="20" t="str">
        <f t="shared" si="36"/>
        <v>3 - GAAPESSOAL CLT ADM</v>
      </c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>
        <v>-65475.9</v>
      </c>
      <c r="AJ106">
        <v>-64060</v>
      </c>
      <c r="AK106">
        <v>-79215.179999999993</v>
      </c>
      <c r="AL106">
        <v>-79421.100000000006</v>
      </c>
      <c r="AM106">
        <v>-74296.51999999999</v>
      </c>
      <c r="AN106">
        <v>-76521.610000000015</v>
      </c>
      <c r="AO106">
        <v>-69031.86</v>
      </c>
      <c r="AP106">
        <v>-79031.42</v>
      </c>
      <c r="AQ106">
        <v>-75428.479999999981</v>
      </c>
      <c r="AR106">
        <v>-78498.780000000013</v>
      </c>
      <c r="AS106">
        <v>-88654.92</v>
      </c>
      <c r="AT106">
        <v>-103994.71</v>
      </c>
      <c r="CA106">
        <f t="shared" si="38"/>
        <v>3</v>
      </c>
    </row>
    <row r="107" spans="1:79" ht="15" x14ac:dyDescent="0.2">
      <c r="A107" s="2" t="s">
        <v>105</v>
      </c>
      <c r="B107" s="2">
        <v>15</v>
      </c>
      <c r="C107" s="2" t="s">
        <v>214</v>
      </c>
      <c r="D107" s="99" t="s">
        <v>194</v>
      </c>
      <c r="E107" s="99" t="s">
        <v>0</v>
      </c>
      <c r="H107" s="20" t="str">
        <f t="shared" si="36"/>
        <v>3 - GAALOCALIZAÇÃO (ALUGUEL, COND, LUZ, IPTU)</v>
      </c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CA107">
        <f t="shared" si="38"/>
        <v>3</v>
      </c>
    </row>
    <row r="108" spans="1:79" ht="15" x14ac:dyDescent="0.2">
      <c r="A108" s="2" t="s">
        <v>105</v>
      </c>
      <c r="B108" s="2">
        <v>16</v>
      </c>
      <c r="C108" s="2" t="s">
        <v>214</v>
      </c>
      <c r="D108" s="99" t="s">
        <v>195</v>
      </c>
      <c r="E108" s="99" t="s">
        <v>1</v>
      </c>
      <c r="H108" s="20" t="str">
        <f t="shared" si="36"/>
        <v>3 - GAAMARKETING</v>
      </c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>
        <v>-1657</v>
      </c>
      <c r="AJ108">
        <v>-1786.8</v>
      </c>
      <c r="AK108">
        <v>-1886.7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-1507.53</v>
      </c>
      <c r="AT108">
        <v>0</v>
      </c>
      <c r="CA108">
        <f t="shared" si="38"/>
        <v>3</v>
      </c>
    </row>
    <row r="109" spans="1:79" ht="15" x14ac:dyDescent="0.2">
      <c r="A109" s="2" t="s">
        <v>105</v>
      </c>
      <c r="B109" s="2">
        <v>17</v>
      </c>
      <c r="C109" s="2" t="s">
        <v>214</v>
      </c>
      <c r="D109" s="99" t="s">
        <v>196</v>
      </c>
      <c r="E109" s="99" t="s">
        <v>2</v>
      </c>
      <c r="H109" s="20" t="str">
        <f t="shared" si="36"/>
        <v>3 - GAACOMUNICAÇÃO</v>
      </c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>
        <v>0</v>
      </c>
      <c r="AJ109">
        <v>0</v>
      </c>
      <c r="AK109">
        <v>0</v>
      </c>
      <c r="AL109">
        <v>0</v>
      </c>
      <c r="AM109">
        <v>-453.03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CA109">
        <f t="shared" si="38"/>
        <v>3</v>
      </c>
    </row>
    <row r="110" spans="1:79" ht="15" x14ac:dyDescent="0.2">
      <c r="A110" s="2" t="s">
        <v>105</v>
      </c>
      <c r="B110" s="2">
        <v>18</v>
      </c>
      <c r="C110" s="2" t="s">
        <v>214</v>
      </c>
      <c r="D110" s="99" t="s">
        <v>197</v>
      </c>
      <c r="E110" s="99" t="s">
        <v>3</v>
      </c>
      <c r="H110" s="20" t="str">
        <f t="shared" si="36"/>
        <v>3 - GAAPRESTADOR DE SERVIÇOS</v>
      </c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CA110">
        <f t="shared" si="38"/>
        <v>3</v>
      </c>
    </row>
    <row r="111" spans="1:79" ht="15" x14ac:dyDescent="0.2">
      <c r="A111" s="2" t="s">
        <v>105</v>
      </c>
      <c r="B111" s="2">
        <v>19</v>
      </c>
      <c r="C111" s="2" t="s">
        <v>214</v>
      </c>
      <c r="D111" s="99" t="s">
        <v>198</v>
      </c>
      <c r="E111" s="99" t="s">
        <v>220</v>
      </c>
      <c r="H111" s="20" t="str">
        <f t="shared" si="36"/>
        <v>3 - GAAALUGUEL DE EQUIPAM / MANUT MÁQ EQUIPAM</v>
      </c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-174.9</v>
      </c>
      <c r="AQ111">
        <v>0</v>
      </c>
      <c r="AR111">
        <v>0</v>
      </c>
      <c r="AS111">
        <v>0</v>
      </c>
      <c r="AT111">
        <v>-174.9</v>
      </c>
      <c r="CA111">
        <f t="shared" si="38"/>
        <v>3</v>
      </c>
    </row>
    <row r="112" spans="1:79" ht="15" x14ac:dyDescent="0.2">
      <c r="A112" s="2" t="s">
        <v>105</v>
      </c>
      <c r="B112" s="2">
        <v>20</v>
      </c>
      <c r="C112" s="2" t="s">
        <v>214</v>
      </c>
      <c r="D112" s="99" t="s">
        <v>199</v>
      </c>
      <c r="E112" s="99" t="s">
        <v>5</v>
      </c>
      <c r="H112" s="20" t="str">
        <f t="shared" si="36"/>
        <v>3 - GAACONSUMO DE MATERIAL</v>
      </c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CA112">
        <f t="shared" si="38"/>
        <v>3</v>
      </c>
    </row>
    <row r="113" spans="1:79" ht="15" x14ac:dyDescent="0.2">
      <c r="A113" s="2" t="s">
        <v>105</v>
      </c>
      <c r="B113" s="2">
        <v>21</v>
      </c>
      <c r="C113" s="2" t="s">
        <v>214</v>
      </c>
      <c r="D113" s="99" t="s">
        <v>231</v>
      </c>
      <c r="E113" s="99" t="s">
        <v>230</v>
      </c>
      <c r="H113" s="20" t="str">
        <f t="shared" si="36"/>
        <v>3 - GAADESPESAS GERAIS / INVESTIMENTOS</v>
      </c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>
        <v>0</v>
      </c>
      <c r="AJ113">
        <v>0</v>
      </c>
      <c r="AK113">
        <v>0</v>
      </c>
      <c r="AL113">
        <v>0</v>
      </c>
      <c r="AM113">
        <v>-339</v>
      </c>
      <c r="AN113">
        <v>0</v>
      </c>
      <c r="AO113">
        <v>-14.6</v>
      </c>
      <c r="AP113">
        <v>0</v>
      </c>
      <c r="AQ113">
        <v>0</v>
      </c>
      <c r="AR113">
        <v>0</v>
      </c>
      <c r="AS113">
        <v>-50</v>
      </c>
      <c r="AT113">
        <v>0</v>
      </c>
      <c r="CA113">
        <f t="shared" si="38"/>
        <v>3</v>
      </c>
    </row>
    <row r="114" spans="1:79" ht="15" x14ac:dyDescent="0.2">
      <c r="A114" s="2" t="s">
        <v>105</v>
      </c>
      <c r="B114" s="2">
        <v>22</v>
      </c>
      <c r="C114" s="2" t="s">
        <v>214</v>
      </c>
      <c r="D114" s="99" t="s">
        <v>228</v>
      </c>
      <c r="E114" s="99" t="s">
        <v>229</v>
      </c>
      <c r="H114" s="20" t="str">
        <f t="shared" si="36"/>
        <v>3 - GAADESPESAS INTERCOMPANY</v>
      </c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CA114">
        <f t="shared" si="38"/>
        <v>3</v>
      </c>
    </row>
    <row r="115" spans="1:79" ht="15" x14ac:dyDescent="0.2">
      <c r="A115" s="2" t="s">
        <v>105</v>
      </c>
      <c r="B115" s="2">
        <v>23</v>
      </c>
      <c r="C115" s="2"/>
      <c r="D115" s="98" t="s">
        <v>178</v>
      </c>
      <c r="E115" s="98"/>
      <c r="F115" s="90"/>
      <c r="G115" s="90"/>
      <c r="H115" s="20" t="str">
        <f t="shared" si="36"/>
        <v>3 - GAA</v>
      </c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87">
        <f t="shared" ref="AI115:AT115" si="44">AI104+AI105</f>
        <v>68579.12</v>
      </c>
      <c r="AJ115" s="87">
        <f t="shared" si="44"/>
        <v>-63546.60000000002</v>
      </c>
      <c r="AK115" s="87">
        <f t="shared" si="44"/>
        <v>-8338.4200000000565</v>
      </c>
      <c r="AL115" s="87">
        <f t="shared" si="44"/>
        <v>-8453.1199999999953</v>
      </c>
      <c r="AM115" s="87">
        <f t="shared" si="44"/>
        <v>126206.53</v>
      </c>
      <c r="AN115" s="87">
        <f t="shared" si="44"/>
        <v>124496.82999999999</v>
      </c>
      <c r="AO115" s="87">
        <f t="shared" si="44"/>
        <v>64521.199999999968</v>
      </c>
      <c r="AP115" s="87">
        <f t="shared" si="44"/>
        <v>68255.070000000022</v>
      </c>
      <c r="AQ115" s="87">
        <f t="shared" si="44"/>
        <v>106699.70000000001</v>
      </c>
      <c r="AR115" s="87">
        <f t="shared" si="44"/>
        <v>195397.51</v>
      </c>
      <c r="AS115" s="87">
        <f t="shared" si="44"/>
        <v>-63674.386000000013</v>
      </c>
      <c r="AT115" s="87">
        <f t="shared" si="44"/>
        <v>-94248.950000000026</v>
      </c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CA115">
        <f t="shared" si="38"/>
        <v>3</v>
      </c>
    </row>
    <row r="116" spans="1:79" ht="15" x14ac:dyDescent="0.2">
      <c r="A116" s="2" t="s">
        <v>105</v>
      </c>
      <c r="B116" s="2">
        <v>24</v>
      </c>
      <c r="C116" s="2" t="s">
        <v>215</v>
      </c>
      <c r="D116" s="99" t="s">
        <v>200</v>
      </c>
      <c r="E116" s="99" t="s">
        <v>221</v>
      </c>
      <c r="H116" s="20" t="str">
        <f t="shared" si="36"/>
        <v>3 - GAADEPRECIAÇÃO / AMORTIZAÇÃO</v>
      </c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CA116">
        <f t="shared" si="38"/>
        <v>3</v>
      </c>
    </row>
    <row r="117" spans="1:79" ht="15" x14ac:dyDescent="0.2">
      <c r="A117" s="2" t="s">
        <v>105</v>
      </c>
      <c r="B117" s="2">
        <v>25</v>
      </c>
      <c r="C117" s="2" t="s">
        <v>216</v>
      </c>
      <c r="D117" s="99" t="s">
        <v>77</v>
      </c>
      <c r="E117" s="99" t="s">
        <v>89</v>
      </c>
      <c r="H117" s="20" t="str">
        <f t="shared" si="36"/>
        <v>3 - GAARESULTADO FINANCEIRO</v>
      </c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>
        <v>-164.41</v>
      </c>
      <c r="AJ117">
        <v>-167.41</v>
      </c>
      <c r="AK117">
        <v>-268.03999999999996</v>
      </c>
      <c r="AL117">
        <v>-349.54999999999995</v>
      </c>
      <c r="AM117">
        <v>-353.24</v>
      </c>
      <c r="AN117">
        <v>-416.54999999999995</v>
      </c>
      <c r="AO117">
        <v>-355.51</v>
      </c>
      <c r="AP117">
        <v>-250</v>
      </c>
      <c r="AQ117">
        <v>-411.41999999999996</v>
      </c>
      <c r="AR117">
        <v>-360.28</v>
      </c>
      <c r="AS117">
        <v>-350.4</v>
      </c>
      <c r="AT117">
        <v>-358.03999999999996</v>
      </c>
      <c r="CA117">
        <f t="shared" si="38"/>
        <v>3</v>
      </c>
    </row>
    <row r="118" spans="1:79" ht="15" x14ac:dyDescent="0.2">
      <c r="A118" s="2" t="s">
        <v>105</v>
      </c>
      <c r="B118" s="2">
        <v>26</v>
      </c>
      <c r="C118" s="2" t="s">
        <v>217</v>
      </c>
      <c r="D118" s="99" t="s">
        <v>201</v>
      </c>
      <c r="E118" s="99" t="s">
        <v>222</v>
      </c>
      <c r="H118" s="20" t="str">
        <f t="shared" si="36"/>
        <v>3 - GAAIMPOSTOS (IRPJ+CSLL+PIS+COFINS+ISS)</v>
      </c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>
        <v>-46679.24</v>
      </c>
      <c r="AJ118">
        <v>-46712.89</v>
      </c>
      <c r="AK118">
        <v>-44798.78</v>
      </c>
      <c r="AL118">
        <v>-40851.589999999997</v>
      </c>
      <c r="AM118">
        <v>-57005.2</v>
      </c>
      <c r="AN118">
        <v>-49446.5</v>
      </c>
      <c r="AO118">
        <v>-51917.71</v>
      </c>
      <c r="AP118">
        <v>-51550.7</v>
      </c>
      <c r="AQ118">
        <v>-51820.28</v>
      </c>
      <c r="AR118">
        <v>-51534.15</v>
      </c>
      <c r="AS118">
        <v>-50401.85</v>
      </c>
      <c r="AT118">
        <v>-58051.88</v>
      </c>
      <c r="CA118">
        <f t="shared" si="38"/>
        <v>3</v>
      </c>
    </row>
    <row r="119" spans="1:79" ht="15" x14ac:dyDescent="0.2">
      <c r="A119" s="2" t="s">
        <v>105</v>
      </c>
      <c r="B119" s="2">
        <v>27</v>
      </c>
      <c r="C119" s="2"/>
      <c r="D119" s="104" t="s">
        <v>202</v>
      </c>
      <c r="E119" s="104"/>
      <c r="F119" s="112"/>
      <c r="G119" s="112"/>
      <c r="H119" s="20" t="str">
        <f t="shared" si="36"/>
        <v>3 - GAA</v>
      </c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87">
        <f t="shared" ref="AI119:AT119" si="45">AI104+AI105+AI116+AI117+AI118</f>
        <v>21735.469999999994</v>
      </c>
      <c r="AJ119" s="87">
        <f t="shared" si="45"/>
        <v>-110426.90000000002</v>
      </c>
      <c r="AK119" s="87">
        <f t="shared" si="45"/>
        <v>-53405.240000000056</v>
      </c>
      <c r="AL119" s="87">
        <f t="shared" si="45"/>
        <v>-49654.259999999995</v>
      </c>
      <c r="AM119" s="87">
        <f t="shared" si="45"/>
        <v>68848.09</v>
      </c>
      <c r="AN119" s="87">
        <f t="shared" si="45"/>
        <v>74633.779999999984</v>
      </c>
      <c r="AO119" s="87">
        <f t="shared" si="45"/>
        <v>12247.979999999967</v>
      </c>
      <c r="AP119" s="87">
        <f t="shared" si="45"/>
        <v>16454.370000000024</v>
      </c>
      <c r="AQ119" s="87">
        <f t="shared" si="45"/>
        <v>54468.000000000015</v>
      </c>
      <c r="AR119" s="87">
        <f t="shared" si="45"/>
        <v>143503.08000000002</v>
      </c>
      <c r="AS119" s="87">
        <f t="shared" si="45"/>
        <v>-114426.63600000001</v>
      </c>
      <c r="AT119" s="87">
        <f t="shared" si="45"/>
        <v>-152658.87000000002</v>
      </c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CA119">
        <f t="shared" si="38"/>
        <v>3</v>
      </c>
    </row>
    <row r="120" spans="1:79" ht="15" x14ac:dyDescent="0.2">
      <c r="A120" s="2" t="s">
        <v>105</v>
      </c>
      <c r="B120" s="2">
        <v>28</v>
      </c>
      <c r="C120" s="2" t="s">
        <v>218</v>
      </c>
      <c r="D120" s="99" t="s">
        <v>203</v>
      </c>
      <c r="E120" s="99" t="s">
        <v>98</v>
      </c>
      <c r="G120">
        <v>1</v>
      </c>
      <c r="H120" s="20" t="str">
        <f t="shared" si="36"/>
        <v>3 - GAADISTR LUCROS E DESPESAS SS (JURÍDICO)</v>
      </c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CA120">
        <f t="shared" si="38"/>
        <v>3</v>
      </c>
    </row>
    <row r="121" spans="1:79" ht="15" x14ac:dyDescent="0.2">
      <c r="A121" s="2" t="s">
        <v>105</v>
      </c>
      <c r="B121" s="2">
        <v>29</v>
      </c>
      <c r="C121" s="2" t="s">
        <v>218</v>
      </c>
      <c r="D121" s="99" t="s">
        <v>204</v>
      </c>
      <c r="E121" s="99" t="s">
        <v>223</v>
      </c>
      <c r="G121">
        <v>1</v>
      </c>
      <c r="H121" s="20" t="str">
        <f t="shared" si="36"/>
        <v>3 - GAADISTR LUCROS E DESPESAS SC (3)</v>
      </c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>
        <v>-18178.620000000003</v>
      </c>
      <c r="AJ121">
        <v>-16613.79</v>
      </c>
      <c r="AK121">
        <v>-16374.63</v>
      </c>
      <c r="AL121">
        <v>-16374.63</v>
      </c>
      <c r="AM121">
        <v>-16796.23</v>
      </c>
      <c r="AN121">
        <v>-16374.63</v>
      </c>
      <c r="AO121">
        <v>-16857.25</v>
      </c>
      <c r="AP121">
        <v>-17152.04</v>
      </c>
      <c r="AQ121">
        <v>-16603.489999999998</v>
      </c>
      <c r="AR121">
        <v>-16876.16</v>
      </c>
      <c r="AS121">
        <v>-16847.78</v>
      </c>
      <c r="AT121">
        <v>-16847.149999999998</v>
      </c>
      <c r="CA121">
        <f t="shared" si="38"/>
        <v>3</v>
      </c>
    </row>
    <row r="122" spans="1:79" ht="15" x14ac:dyDescent="0.2">
      <c r="A122" s="2" t="s">
        <v>105</v>
      </c>
      <c r="B122" s="2">
        <v>30</v>
      </c>
      <c r="C122" s="2" t="s">
        <v>218</v>
      </c>
      <c r="D122" s="99" t="s">
        <v>205</v>
      </c>
      <c r="E122" s="99" t="s">
        <v>224</v>
      </c>
      <c r="G122">
        <v>1</v>
      </c>
      <c r="H122" s="20" t="str">
        <f t="shared" si="36"/>
        <v>3 - GAADISTR LUCROS E DESPESAS SS GESTÃO ADM (11)</v>
      </c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>
        <v>0</v>
      </c>
      <c r="AJ122">
        <v>-26124.86</v>
      </c>
      <c r="AK122">
        <v>-27093.530699999996</v>
      </c>
      <c r="AL122">
        <v>-25762.009999999995</v>
      </c>
      <c r="AM122">
        <v>-28380.919999999995</v>
      </c>
      <c r="AN122">
        <v>-26029.38</v>
      </c>
      <c r="AO122">
        <v>-26879.778299999998</v>
      </c>
      <c r="AP122">
        <v>-28953.275600000001</v>
      </c>
      <c r="AQ122">
        <v>-29673.309999999998</v>
      </c>
      <c r="AR122">
        <v>-29557.47</v>
      </c>
      <c r="AS122">
        <v>-30589.7</v>
      </c>
      <c r="AT122">
        <v>-29275.990000000005</v>
      </c>
      <c r="CA122">
        <f t="shared" si="38"/>
        <v>3</v>
      </c>
    </row>
    <row r="123" spans="1:79" ht="15" x14ac:dyDescent="0.2">
      <c r="A123" s="2" t="s">
        <v>105</v>
      </c>
      <c r="B123" s="2">
        <v>31</v>
      </c>
      <c r="C123" s="2"/>
      <c r="D123" s="99" t="s">
        <v>206</v>
      </c>
      <c r="E123" s="20"/>
      <c r="F123" s="20"/>
      <c r="G123" s="20"/>
      <c r="H123" s="20" t="str">
        <f t="shared" si="36"/>
        <v>3 - GAA</v>
      </c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87">
        <f t="shared" ref="AI123:AT123" si="46">AI120+AI121+AI122</f>
        <v>-18178.620000000003</v>
      </c>
      <c r="AJ123" s="87">
        <f t="shared" si="46"/>
        <v>-42738.65</v>
      </c>
      <c r="AK123" s="87">
        <f t="shared" si="46"/>
        <v>-43468.160699999993</v>
      </c>
      <c r="AL123" s="87">
        <f t="shared" si="46"/>
        <v>-42136.639999999992</v>
      </c>
      <c r="AM123" s="87">
        <f t="shared" si="46"/>
        <v>-45177.149999999994</v>
      </c>
      <c r="AN123" s="87">
        <f t="shared" si="46"/>
        <v>-42404.01</v>
      </c>
      <c r="AO123" s="87">
        <f t="shared" si="46"/>
        <v>-43737.028299999998</v>
      </c>
      <c r="AP123" s="87">
        <f t="shared" si="46"/>
        <v>-46105.315600000002</v>
      </c>
      <c r="AQ123" s="87">
        <f t="shared" si="46"/>
        <v>-46276.799999999996</v>
      </c>
      <c r="AR123" s="87">
        <f t="shared" si="46"/>
        <v>-46433.630000000005</v>
      </c>
      <c r="AS123" s="87">
        <f t="shared" si="46"/>
        <v>-47437.479999999996</v>
      </c>
      <c r="AT123" s="87">
        <f t="shared" si="46"/>
        <v>-46123.14</v>
      </c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CA123">
        <f t="shared" si="38"/>
        <v>3</v>
      </c>
    </row>
    <row r="124" spans="1:79" ht="15" x14ac:dyDescent="0.2">
      <c r="A124" s="2" t="s">
        <v>105</v>
      </c>
      <c r="B124" s="2">
        <v>32</v>
      </c>
      <c r="C124" s="2"/>
      <c r="D124" s="99" t="s">
        <v>207</v>
      </c>
      <c r="E124" s="20"/>
      <c r="F124" s="20"/>
      <c r="G124" s="20"/>
      <c r="H124" s="20" t="str">
        <f t="shared" si="36"/>
        <v>3 - GAA</v>
      </c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87">
        <f t="shared" ref="AI124:AT124" si="47">AI97+AI105+AI116+AI117+AI118+AI123</f>
        <v>-271337.45</v>
      </c>
      <c r="AJ124" s="87">
        <f t="shared" si="47"/>
        <v>-290597.82</v>
      </c>
      <c r="AK124" s="87">
        <f t="shared" si="47"/>
        <v>-342873.49070000002</v>
      </c>
      <c r="AL124" s="87">
        <f t="shared" si="47"/>
        <v>-292441.77</v>
      </c>
      <c r="AM124" s="87">
        <f t="shared" si="47"/>
        <v>-283015.64</v>
      </c>
      <c r="AN124" s="87">
        <f t="shared" si="47"/>
        <v>-258813.29</v>
      </c>
      <c r="AO124" s="87">
        <f t="shared" si="47"/>
        <v>-261824.41830000002</v>
      </c>
      <c r="AP124" s="87">
        <f t="shared" si="47"/>
        <v>-279601.53559999994</v>
      </c>
      <c r="AQ124" s="87">
        <f t="shared" si="47"/>
        <v>-282198.98</v>
      </c>
      <c r="AR124" s="87">
        <f t="shared" si="47"/>
        <v>-303951.23</v>
      </c>
      <c r="AS124" s="87">
        <f t="shared" si="47"/>
        <v>-329465.21600000001</v>
      </c>
      <c r="AT124" s="87">
        <f t="shared" si="47"/>
        <v>-376776.34</v>
      </c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CA124">
        <f t="shared" si="38"/>
        <v>3</v>
      </c>
    </row>
    <row r="125" spans="1:79" ht="15" x14ac:dyDescent="0.2">
      <c r="A125" s="2" t="s">
        <v>105</v>
      </c>
      <c r="B125" s="2">
        <v>33</v>
      </c>
      <c r="C125" s="2"/>
      <c r="D125" s="104" t="s">
        <v>212</v>
      </c>
      <c r="E125" s="87"/>
      <c r="F125" s="87"/>
      <c r="G125" s="87"/>
      <c r="H125" s="20" t="str">
        <f t="shared" si="36"/>
        <v>3 - GAA</v>
      </c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87">
        <f>AI93+AI124</f>
        <v>21735.469999999972</v>
      </c>
      <c r="AJ125" s="87">
        <f t="shared" ref="AJ125:AT125" si="48">AJ93+AJ124</f>
        <v>-136551.76</v>
      </c>
      <c r="AK125" s="87">
        <f t="shared" si="48"/>
        <v>-80498.770700000052</v>
      </c>
      <c r="AL125" s="87">
        <f t="shared" si="48"/>
        <v>-75416.270000000019</v>
      </c>
      <c r="AM125" s="87">
        <f t="shared" si="48"/>
        <v>40467.169999999984</v>
      </c>
      <c r="AN125" s="87">
        <f t="shared" si="48"/>
        <v>48604.399999999994</v>
      </c>
      <c r="AO125" s="87">
        <f t="shared" si="48"/>
        <v>-14631.798300000024</v>
      </c>
      <c r="AP125" s="87">
        <f t="shared" si="48"/>
        <v>-12498.90559999994</v>
      </c>
      <c r="AQ125" s="87">
        <f t="shared" si="48"/>
        <v>24794.690000000002</v>
      </c>
      <c r="AR125" s="87">
        <f t="shared" si="48"/>
        <v>113945.61000000004</v>
      </c>
      <c r="AS125" s="87">
        <f t="shared" si="48"/>
        <v>-145016.33600000001</v>
      </c>
      <c r="AT125" s="87">
        <f t="shared" si="48"/>
        <v>-181934.86000000002</v>
      </c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CA125">
        <f t="shared" si="38"/>
        <v>3</v>
      </c>
    </row>
    <row r="126" spans="1:79" ht="15" x14ac:dyDescent="0.2">
      <c r="A126" s="2" t="s">
        <v>105</v>
      </c>
      <c r="B126" s="2">
        <v>34</v>
      </c>
      <c r="C126" s="2"/>
      <c r="D126" s="99" t="s">
        <v>208</v>
      </c>
      <c r="E126" s="80"/>
      <c r="F126" s="80"/>
      <c r="G126" s="80"/>
      <c r="H126" s="20" t="str">
        <f t="shared" si="36"/>
        <v>3 - GAA</v>
      </c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CA126">
        <f t="shared" si="38"/>
        <v>3</v>
      </c>
    </row>
    <row r="127" spans="1:79" ht="15" x14ac:dyDescent="0.2">
      <c r="A127" s="2" t="s">
        <v>105</v>
      </c>
      <c r="B127" s="2">
        <v>35</v>
      </c>
      <c r="C127" s="2"/>
      <c r="D127" s="99" t="s">
        <v>209</v>
      </c>
      <c r="E127" s="20"/>
      <c r="F127" s="20"/>
      <c r="G127" s="20"/>
      <c r="H127" s="20" t="str">
        <f t="shared" si="36"/>
        <v>3 - GAA</v>
      </c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CA127">
        <f t="shared" si="38"/>
        <v>3</v>
      </c>
    </row>
    <row r="128" spans="1:79" ht="15" x14ac:dyDescent="0.2">
      <c r="A128" s="2" t="s">
        <v>105</v>
      </c>
      <c r="B128" s="2">
        <v>36</v>
      </c>
      <c r="C128" s="2"/>
      <c r="D128" s="99" t="s">
        <v>210</v>
      </c>
      <c r="E128" s="20"/>
      <c r="F128" s="20"/>
      <c r="G128" s="20"/>
      <c r="H128" s="20" t="str">
        <f t="shared" si="36"/>
        <v>3 - GAA</v>
      </c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CA128">
        <f t="shared" si="38"/>
        <v>3</v>
      </c>
    </row>
    <row r="129" spans="1:79" ht="15" x14ac:dyDescent="0.2">
      <c r="A129" s="2" t="s">
        <v>105</v>
      </c>
      <c r="B129" s="2">
        <v>37</v>
      </c>
      <c r="C129" s="2"/>
      <c r="D129" s="99" t="s">
        <v>233</v>
      </c>
      <c r="E129" s="20"/>
      <c r="F129" s="20"/>
      <c r="G129" s="20"/>
      <c r="H129" s="20" t="str">
        <f t="shared" si="36"/>
        <v>3 - GAA</v>
      </c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CA129">
        <f t="shared" si="38"/>
        <v>3</v>
      </c>
    </row>
    <row r="130" spans="1:79" ht="15" x14ac:dyDescent="0.2">
      <c r="A130" s="2" t="s">
        <v>105</v>
      </c>
      <c r="B130" s="2">
        <v>38</v>
      </c>
      <c r="C130" s="2"/>
      <c r="D130" s="99" t="s">
        <v>232</v>
      </c>
      <c r="E130" s="20"/>
      <c r="F130" s="20"/>
      <c r="G130" s="20"/>
      <c r="H130" s="20" t="str">
        <f t="shared" si="36"/>
        <v>3 - GAA</v>
      </c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</row>
    <row r="131" spans="1:79" ht="15" x14ac:dyDescent="0.2">
      <c r="A131" s="2" t="s">
        <v>105</v>
      </c>
      <c r="B131" s="2">
        <v>39</v>
      </c>
      <c r="C131" s="2"/>
      <c r="D131" s="99" t="s">
        <v>234</v>
      </c>
      <c r="E131" s="20"/>
      <c r="F131" s="20"/>
      <c r="G131" s="20"/>
      <c r="H131" s="20" t="str">
        <f t="shared" si="36"/>
        <v>3 - GAA</v>
      </c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</row>
    <row r="132" spans="1:79" ht="15.75" thickBot="1" x14ac:dyDescent="0.25">
      <c r="A132" s="2" t="s">
        <v>105</v>
      </c>
      <c r="B132" s="2">
        <v>40</v>
      </c>
      <c r="C132" s="2"/>
      <c r="D132" s="100" t="s">
        <v>211</v>
      </c>
      <c r="E132" s="20"/>
      <c r="F132" s="20"/>
      <c r="G132" s="20"/>
      <c r="H132" s="20" t="str">
        <f t="shared" si="36"/>
        <v>3 - GAA</v>
      </c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CA132">
        <f t="shared" si="38"/>
        <v>3</v>
      </c>
    </row>
    <row r="133" spans="1:79" ht="15" x14ac:dyDescent="0.2">
      <c r="A133" s="2" t="s">
        <v>106</v>
      </c>
      <c r="B133" s="2">
        <v>1</v>
      </c>
      <c r="C133" s="2"/>
      <c r="D133" s="108" t="s">
        <v>183</v>
      </c>
      <c r="E133" s="20"/>
      <c r="F133" s="20"/>
      <c r="G133" s="20"/>
      <c r="H133" s="20" t="str">
        <f t="shared" si="36"/>
        <v>4 - GAT</v>
      </c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>
        <v>0</v>
      </c>
      <c r="AJ133">
        <v>0</v>
      </c>
      <c r="AK133">
        <v>0</v>
      </c>
      <c r="AL133">
        <v>0</v>
      </c>
      <c r="AM133">
        <v>0</v>
      </c>
      <c r="AN133">
        <v>80658</v>
      </c>
      <c r="AO133">
        <v>85325</v>
      </c>
      <c r="AP133">
        <v>59017</v>
      </c>
      <c r="AQ133">
        <v>89792.5</v>
      </c>
      <c r="AR133">
        <v>60207.5</v>
      </c>
      <c r="AS133">
        <v>75000</v>
      </c>
      <c r="AT133">
        <v>149595.5</v>
      </c>
      <c r="CA133">
        <f t="shared" si="38"/>
        <v>3</v>
      </c>
    </row>
    <row r="134" spans="1:79" ht="15" x14ac:dyDescent="0.2">
      <c r="A134" s="2" t="s">
        <v>106</v>
      </c>
      <c r="B134" s="2">
        <v>2</v>
      </c>
      <c r="C134" s="2"/>
      <c r="D134" s="99" t="s">
        <v>184</v>
      </c>
      <c r="E134" s="20"/>
      <c r="F134" s="20"/>
      <c r="G134" s="20"/>
      <c r="H134" s="20" t="str">
        <f t="shared" si="36"/>
        <v>4 - GAT</v>
      </c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>
        <v>0</v>
      </c>
      <c r="AJ134">
        <v>0</v>
      </c>
      <c r="AK134">
        <v>0</v>
      </c>
      <c r="AL134">
        <v>0</v>
      </c>
      <c r="AM134">
        <v>0</v>
      </c>
      <c r="AN134">
        <v>80658</v>
      </c>
      <c r="AO134">
        <v>85325</v>
      </c>
      <c r="AP134">
        <v>59017</v>
      </c>
      <c r="AQ134">
        <v>89792.5</v>
      </c>
      <c r="AR134">
        <v>60207.5</v>
      </c>
      <c r="AS134">
        <v>75000</v>
      </c>
      <c r="AT134">
        <v>149595.5</v>
      </c>
      <c r="CA134">
        <f t="shared" si="38"/>
        <v>3</v>
      </c>
    </row>
    <row r="135" spans="1:79" ht="15" x14ac:dyDescent="0.2">
      <c r="A135" s="2" t="s">
        <v>106</v>
      </c>
      <c r="B135" s="2">
        <v>3</v>
      </c>
      <c r="C135" s="2"/>
      <c r="D135" s="99" t="s">
        <v>185</v>
      </c>
      <c r="E135" s="20"/>
      <c r="F135" s="20"/>
      <c r="G135" s="20"/>
      <c r="H135" s="20" t="str">
        <f t="shared" si="36"/>
        <v>4 - GAT</v>
      </c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CA135">
        <f t="shared" si="38"/>
        <v>3</v>
      </c>
    </row>
    <row r="136" spans="1:79" ht="15" x14ac:dyDescent="0.2">
      <c r="A136" s="2" t="s">
        <v>106</v>
      </c>
      <c r="B136" s="2">
        <v>4</v>
      </c>
      <c r="C136" s="2"/>
      <c r="D136" s="99" t="s">
        <v>186</v>
      </c>
      <c r="E136" s="20"/>
      <c r="F136" s="20"/>
      <c r="G136" s="20"/>
      <c r="H136" s="20" t="str">
        <f t="shared" si="36"/>
        <v>4 - GAT</v>
      </c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>
        <v>0</v>
      </c>
      <c r="AJ136">
        <v>0</v>
      </c>
      <c r="AK136">
        <v>0</v>
      </c>
      <c r="AL136">
        <v>0</v>
      </c>
      <c r="AM136">
        <v>0</v>
      </c>
      <c r="AN136">
        <v>80658</v>
      </c>
      <c r="AO136">
        <v>85325</v>
      </c>
      <c r="AP136">
        <v>59017</v>
      </c>
      <c r="AQ136">
        <v>89792.5</v>
      </c>
      <c r="AR136">
        <v>60207.5</v>
      </c>
      <c r="AS136">
        <v>75000</v>
      </c>
      <c r="AT136">
        <v>149595.5</v>
      </c>
      <c r="CA136">
        <f t="shared" si="38"/>
        <v>3</v>
      </c>
    </row>
    <row r="137" spans="1:79" ht="15" x14ac:dyDescent="0.2">
      <c r="A137" s="2" t="s">
        <v>106</v>
      </c>
      <c r="B137" s="2">
        <v>5</v>
      </c>
      <c r="C137" s="2"/>
      <c r="D137" s="101" t="s">
        <v>32</v>
      </c>
      <c r="E137" s="20"/>
      <c r="F137" s="20"/>
      <c r="G137" s="20"/>
      <c r="H137" s="20" t="str">
        <f t="shared" si="36"/>
        <v>4 - GAT</v>
      </c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87">
        <f t="shared" ref="AI137:AT137" si="49">AI138+AI139+AI140+AI141+AI142+AI143</f>
        <v>0</v>
      </c>
      <c r="AJ137" s="87">
        <f t="shared" si="49"/>
        <v>0</v>
      </c>
      <c r="AK137" s="87">
        <f t="shared" si="49"/>
        <v>-6441.98</v>
      </c>
      <c r="AL137" s="87">
        <f t="shared" si="49"/>
        <v>-43372.73</v>
      </c>
      <c r="AM137" s="87">
        <f t="shared" si="49"/>
        <v>-56961.71</v>
      </c>
      <c r="AN137" s="87">
        <f t="shared" si="49"/>
        <v>-67015.509999999995</v>
      </c>
      <c r="AO137" s="87">
        <f t="shared" si="49"/>
        <v>-63655.360000000008</v>
      </c>
      <c r="AP137" s="87">
        <f t="shared" si="49"/>
        <v>-71419.039999999994</v>
      </c>
      <c r="AQ137" s="87">
        <f t="shared" si="49"/>
        <v>-75277.680000000008</v>
      </c>
      <c r="AR137" s="87">
        <f t="shared" si="49"/>
        <v>-75309.16</v>
      </c>
      <c r="AS137" s="87">
        <f t="shared" si="49"/>
        <v>-102764.25</v>
      </c>
      <c r="AT137" s="87">
        <f t="shared" si="49"/>
        <v>-104662.91</v>
      </c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CA137">
        <f t="shared" si="38"/>
        <v>3</v>
      </c>
    </row>
    <row r="138" spans="1:79" ht="15" x14ac:dyDescent="0.2">
      <c r="A138" s="2" t="s">
        <v>106</v>
      </c>
      <c r="B138" s="2">
        <v>6</v>
      </c>
      <c r="C138" t="s">
        <v>213</v>
      </c>
      <c r="D138" t="s">
        <v>187</v>
      </c>
      <c r="E138" t="s">
        <v>219</v>
      </c>
      <c r="G138">
        <v>1</v>
      </c>
      <c r="H138" s="20" t="str">
        <f t="shared" si="36"/>
        <v>4 - GATPESSOAL CLT (BO / ASSIS JURÍD / NEGOC)</v>
      </c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>
        <v>0</v>
      </c>
      <c r="AJ138">
        <v>0</v>
      </c>
      <c r="AK138">
        <v>-6441.98</v>
      </c>
      <c r="AL138">
        <v>-43372.73</v>
      </c>
      <c r="AM138">
        <v>-56961.71</v>
      </c>
      <c r="AN138">
        <v>-67015.509999999995</v>
      </c>
      <c r="AO138">
        <v>-63655.360000000008</v>
      </c>
      <c r="AP138">
        <v>-71419.039999999994</v>
      </c>
      <c r="AQ138">
        <v>-75277.680000000008</v>
      </c>
      <c r="AR138">
        <v>-75309.16</v>
      </c>
      <c r="AS138">
        <v>-102764.25</v>
      </c>
      <c r="AT138">
        <v>-104662.91</v>
      </c>
      <c r="CA138">
        <f t="shared" si="38"/>
        <v>3</v>
      </c>
    </row>
    <row r="139" spans="1:79" ht="15" x14ac:dyDescent="0.2">
      <c r="A139" s="2" t="s">
        <v>106</v>
      </c>
      <c r="B139" s="2">
        <v>7</v>
      </c>
      <c r="C139" t="s">
        <v>213</v>
      </c>
      <c r="D139" s="99" t="s">
        <v>188</v>
      </c>
      <c r="E139" s="99" t="s">
        <v>28</v>
      </c>
      <c r="H139" s="20" t="str">
        <f t="shared" si="36"/>
        <v>4 - GATCORRESPONDENTES</v>
      </c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CA139">
        <f t="shared" si="38"/>
        <v>3</v>
      </c>
    </row>
    <row r="140" spans="1:79" ht="15" x14ac:dyDescent="0.2">
      <c r="A140" s="2" t="s">
        <v>106</v>
      </c>
      <c r="B140" s="2">
        <v>8</v>
      </c>
      <c r="C140" t="s">
        <v>213</v>
      </c>
      <c r="D140" s="99" t="s">
        <v>189</v>
      </c>
      <c r="E140" s="99" t="s">
        <v>29</v>
      </c>
      <c r="H140" s="20" t="str">
        <f t="shared" si="36"/>
        <v>4 - GATVALORES RESCISÓRIOS</v>
      </c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CA140">
        <f t="shared" si="38"/>
        <v>3</v>
      </c>
    </row>
    <row r="141" spans="1:79" ht="15" x14ac:dyDescent="0.2">
      <c r="A141" s="2" t="s">
        <v>106</v>
      </c>
      <c r="B141" s="2">
        <v>9</v>
      </c>
      <c r="C141" t="s">
        <v>213</v>
      </c>
      <c r="D141" s="99" t="s">
        <v>190</v>
      </c>
      <c r="E141" s="99" t="s">
        <v>30</v>
      </c>
      <c r="H141" s="20" t="str">
        <f t="shared" si="36"/>
        <v>4 - GATPENALIDADES E GLOSAS DE CLIENTES</v>
      </c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CA141">
        <f t="shared" si="38"/>
        <v>3</v>
      </c>
    </row>
    <row r="142" spans="1:79" ht="15" x14ac:dyDescent="0.2">
      <c r="A142" s="2" t="s">
        <v>106</v>
      </c>
      <c r="B142" s="2">
        <v>10</v>
      </c>
      <c r="C142" t="s">
        <v>213</v>
      </c>
      <c r="D142" s="99" t="s">
        <v>191</v>
      </c>
      <c r="E142" s="99" t="s">
        <v>31</v>
      </c>
      <c r="H142" s="20" t="str">
        <f t="shared" ref="H142:H172" si="50">CONCATENATE(A142,E142)</f>
        <v>4 - GATPROCESSOS TRABALHISTAS</v>
      </c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CA142">
        <f t="shared" si="38"/>
        <v>3</v>
      </c>
    </row>
    <row r="143" spans="1:79" ht="15" x14ac:dyDescent="0.2">
      <c r="A143" s="2" t="s">
        <v>106</v>
      </c>
      <c r="B143" s="2">
        <v>11</v>
      </c>
      <c r="C143" t="s">
        <v>213</v>
      </c>
      <c r="D143" s="99" t="s">
        <v>192</v>
      </c>
      <c r="E143" s="99" t="s">
        <v>172</v>
      </c>
      <c r="H143" s="20" t="str">
        <f t="shared" si="50"/>
        <v>4 - GATDESCONTO PAGAMENTOS EM DUPLICIDADE</v>
      </c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CA143">
        <f t="shared" si="38"/>
        <v>3</v>
      </c>
    </row>
    <row r="144" spans="1:79" ht="15" x14ac:dyDescent="0.2">
      <c r="A144" s="2" t="s">
        <v>106</v>
      </c>
      <c r="B144" s="2">
        <v>12</v>
      </c>
      <c r="C144" s="2"/>
      <c r="D144" s="98" t="s">
        <v>63</v>
      </c>
      <c r="E144" s="98"/>
      <c r="F144" s="90"/>
      <c r="G144" s="90"/>
      <c r="H144" s="20" t="str">
        <f t="shared" si="50"/>
        <v>4 - GAT</v>
      </c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>
        <v>0</v>
      </c>
      <c r="AJ144">
        <v>0</v>
      </c>
      <c r="AK144">
        <v>-6441.98</v>
      </c>
      <c r="AL144">
        <v>-43372.73</v>
      </c>
      <c r="AM144">
        <v>-56961.71</v>
      </c>
      <c r="AN144">
        <v>13642.490000000005</v>
      </c>
      <c r="AO144">
        <v>21669.639999999992</v>
      </c>
      <c r="AP144">
        <v>-12402.039999999994</v>
      </c>
      <c r="AQ144">
        <v>14514.819999999992</v>
      </c>
      <c r="AR144">
        <v>-15101.660000000003</v>
      </c>
      <c r="AS144">
        <v>-27764.25</v>
      </c>
      <c r="AT144">
        <v>44932.59</v>
      </c>
      <c r="CA144">
        <f t="shared" si="38"/>
        <v>3</v>
      </c>
    </row>
    <row r="145" spans="1:79" ht="15" x14ac:dyDescent="0.2">
      <c r="A145" s="2" t="s">
        <v>106</v>
      </c>
      <c r="B145" s="2">
        <v>13</v>
      </c>
      <c r="C145" s="2"/>
      <c r="D145" s="101" t="s">
        <v>62</v>
      </c>
      <c r="E145" s="101"/>
      <c r="F145" s="111"/>
      <c r="G145" s="111"/>
      <c r="H145" s="20" t="str">
        <f t="shared" si="50"/>
        <v>4 - GAT</v>
      </c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87">
        <f t="shared" ref="AI145:AT145" si="51">AI146+AI147+AI148+AI149+AI150+AI151+AI152+AI153</f>
        <v>0</v>
      </c>
      <c r="AJ145" s="87">
        <f t="shared" si="51"/>
        <v>-224.28</v>
      </c>
      <c r="AK145" s="87">
        <f t="shared" si="51"/>
        <v>-1264.9299999999998</v>
      </c>
      <c r="AL145" s="87">
        <f t="shared" si="51"/>
        <v>-10365.34</v>
      </c>
      <c r="AM145" s="87">
        <f t="shared" si="51"/>
        <v>-11783.45</v>
      </c>
      <c r="AN145" s="87">
        <f t="shared" si="51"/>
        <v>-16627.419999999998</v>
      </c>
      <c r="AO145" s="87">
        <f t="shared" si="51"/>
        <v>-20382.47</v>
      </c>
      <c r="AP145" s="87">
        <f t="shared" si="51"/>
        <v>-18575.140000000003</v>
      </c>
      <c r="AQ145" s="87">
        <f t="shared" si="51"/>
        <v>-12739.29</v>
      </c>
      <c r="AR145" s="87">
        <f t="shared" si="51"/>
        <v>-13100.06</v>
      </c>
      <c r="AS145" s="87">
        <f t="shared" si="51"/>
        <v>-24213.03</v>
      </c>
      <c r="AT145" s="87">
        <f t="shared" si="51"/>
        <v>-19677.629999999997</v>
      </c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CA145">
        <f t="shared" si="38"/>
        <v>3</v>
      </c>
    </row>
    <row r="146" spans="1:79" ht="15" x14ac:dyDescent="0.2">
      <c r="A146" s="2" t="s">
        <v>106</v>
      </c>
      <c r="B146" s="2">
        <v>14</v>
      </c>
      <c r="C146" s="2" t="s">
        <v>214</v>
      </c>
      <c r="D146" s="99" t="s">
        <v>193</v>
      </c>
      <c r="E146" s="99" t="s">
        <v>102</v>
      </c>
      <c r="G146">
        <v>1</v>
      </c>
      <c r="H146" s="20" t="str">
        <f t="shared" si="50"/>
        <v>4 - GATPESSOAL CLT ADM</v>
      </c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>
        <v>0</v>
      </c>
      <c r="AJ146">
        <v>0</v>
      </c>
      <c r="AK146">
        <v>-751.81</v>
      </c>
      <c r="AL146">
        <v>-10365.34</v>
      </c>
      <c r="AM146">
        <v>-11783.45</v>
      </c>
      <c r="AN146">
        <v>-16627.419999999998</v>
      </c>
      <c r="AO146">
        <v>-20382.47</v>
      </c>
      <c r="AP146">
        <v>-16715.710000000003</v>
      </c>
      <c r="AQ146">
        <v>-12739.29</v>
      </c>
      <c r="AR146">
        <v>-13100.06</v>
      </c>
      <c r="AS146">
        <v>-23157.51</v>
      </c>
      <c r="AT146">
        <v>-19445.629999999997</v>
      </c>
      <c r="CA146">
        <f t="shared" si="38"/>
        <v>3</v>
      </c>
    </row>
    <row r="147" spans="1:79" ht="15" x14ac:dyDescent="0.2">
      <c r="A147" s="2" t="s">
        <v>106</v>
      </c>
      <c r="B147" s="2">
        <v>15</v>
      </c>
      <c r="C147" s="2" t="s">
        <v>214</v>
      </c>
      <c r="D147" s="99" t="s">
        <v>194</v>
      </c>
      <c r="E147" s="99" t="s">
        <v>0</v>
      </c>
      <c r="H147" s="20" t="str">
        <f t="shared" si="50"/>
        <v>4 - GATLOCALIZAÇÃO (ALUGUEL, COND, LUZ, IPTU)</v>
      </c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CA147">
        <f t="shared" si="38"/>
        <v>3</v>
      </c>
    </row>
    <row r="148" spans="1:79" ht="15" x14ac:dyDescent="0.2">
      <c r="A148" s="2" t="s">
        <v>106</v>
      </c>
      <c r="B148" s="2">
        <v>16</v>
      </c>
      <c r="C148" s="2" t="s">
        <v>214</v>
      </c>
      <c r="D148" s="99" t="s">
        <v>195</v>
      </c>
      <c r="E148" s="99" t="s">
        <v>1</v>
      </c>
      <c r="H148" s="20" t="str">
        <f t="shared" si="50"/>
        <v>4 - GATMARKETING</v>
      </c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-1055.52</v>
      </c>
      <c r="AT148">
        <v>0</v>
      </c>
      <c r="CA148">
        <f t="shared" si="38"/>
        <v>3</v>
      </c>
    </row>
    <row r="149" spans="1:79" ht="15" x14ac:dyDescent="0.2">
      <c r="A149" s="2" t="s">
        <v>106</v>
      </c>
      <c r="B149" s="2">
        <v>17</v>
      </c>
      <c r="C149" s="2" t="s">
        <v>214</v>
      </c>
      <c r="D149" s="99" t="s">
        <v>196</v>
      </c>
      <c r="E149" s="99" t="s">
        <v>2</v>
      </c>
      <c r="H149" s="20" t="str">
        <f t="shared" si="50"/>
        <v>4 - GATCOMUNICAÇÃO</v>
      </c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CA149">
        <f t="shared" si="38"/>
        <v>3</v>
      </c>
    </row>
    <row r="150" spans="1:79" ht="15" x14ac:dyDescent="0.2">
      <c r="A150" s="2" t="s">
        <v>106</v>
      </c>
      <c r="B150" s="2">
        <v>18</v>
      </c>
      <c r="C150" s="2" t="s">
        <v>214</v>
      </c>
      <c r="D150" s="99" t="s">
        <v>197</v>
      </c>
      <c r="E150" s="99" t="s">
        <v>3</v>
      </c>
      <c r="H150" s="20" t="str">
        <f t="shared" si="50"/>
        <v>4 - GATPRESTADOR DE SERVIÇOS</v>
      </c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CA150">
        <f t="shared" si="38"/>
        <v>3</v>
      </c>
    </row>
    <row r="151" spans="1:79" ht="15" x14ac:dyDescent="0.2">
      <c r="A151" s="2" t="s">
        <v>106</v>
      </c>
      <c r="B151" s="2">
        <v>19</v>
      </c>
      <c r="C151" s="2" t="s">
        <v>214</v>
      </c>
      <c r="D151" s="99" t="s">
        <v>198</v>
      </c>
      <c r="E151" s="99" t="s">
        <v>220</v>
      </c>
      <c r="H151" s="20" t="str">
        <f t="shared" si="50"/>
        <v>4 - GATALUGUEL DE EQUIPAM / MANUT MÁQ EQUIPAM</v>
      </c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CA151">
        <f t="shared" ref="CA151:CA172" si="52">MONTH($BZ$2)</f>
        <v>3</v>
      </c>
    </row>
    <row r="152" spans="1:79" ht="15" x14ac:dyDescent="0.2">
      <c r="A152" s="2" t="s">
        <v>106</v>
      </c>
      <c r="B152" s="2">
        <v>20</v>
      </c>
      <c r="C152" s="2" t="s">
        <v>214</v>
      </c>
      <c r="D152" s="99" t="s">
        <v>199</v>
      </c>
      <c r="E152" s="99" t="s">
        <v>5</v>
      </c>
      <c r="H152" s="20" t="str">
        <f t="shared" si="50"/>
        <v>4 - GATCONSUMO DE MATERIAL</v>
      </c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CA152">
        <f t="shared" si="52"/>
        <v>3</v>
      </c>
    </row>
    <row r="153" spans="1:79" ht="15" x14ac:dyDescent="0.2">
      <c r="A153" s="2" t="s">
        <v>106</v>
      </c>
      <c r="B153" s="2">
        <v>21</v>
      </c>
      <c r="C153" s="2" t="s">
        <v>214</v>
      </c>
      <c r="D153" s="99" t="s">
        <v>231</v>
      </c>
      <c r="E153" s="99" t="s">
        <v>230</v>
      </c>
      <c r="H153" s="20" t="str">
        <f t="shared" si="50"/>
        <v>4 - GATDESPESAS GERAIS / INVESTIMENTOS</v>
      </c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>
        <v>0</v>
      </c>
      <c r="AJ153">
        <v>-224.28</v>
      </c>
      <c r="AK153">
        <v>-513.12</v>
      </c>
      <c r="AL153">
        <v>0</v>
      </c>
      <c r="AM153">
        <v>0</v>
      </c>
      <c r="AN153">
        <v>0</v>
      </c>
      <c r="AO153">
        <v>0</v>
      </c>
      <c r="AP153">
        <v>-1859.43</v>
      </c>
      <c r="AQ153">
        <v>0</v>
      </c>
      <c r="AR153">
        <v>0</v>
      </c>
      <c r="AS153">
        <v>0</v>
      </c>
      <c r="AT153">
        <v>-232</v>
      </c>
      <c r="CA153">
        <f t="shared" si="52"/>
        <v>3</v>
      </c>
    </row>
    <row r="154" spans="1:79" ht="15" x14ac:dyDescent="0.2">
      <c r="A154" s="2" t="s">
        <v>106</v>
      </c>
      <c r="B154" s="2">
        <v>22</v>
      </c>
      <c r="C154" s="2" t="s">
        <v>214</v>
      </c>
      <c r="D154" s="99" t="s">
        <v>228</v>
      </c>
      <c r="E154" s="99" t="s">
        <v>229</v>
      </c>
      <c r="H154" s="20" t="str">
        <f t="shared" si="50"/>
        <v>4 - GATDESPESAS INTERCOMPANY</v>
      </c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CA154">
        <f t="shared" si="52"/>
        <v>3</v>
      </c>
    </row>
    <row r="155" spans="1:79" ht="15" x14ac:dyDescent="0.2">
      <c r="A155" s="2" t="s">
        <v>106</v>
      </c>
      <c r="B155" s="2">
        <v>23</v>
      </c>
      <c r="C155" s="2"/>
      <c r="D155" s="98" t="s">
        <v>178</v>
      </c>
      <c r="E155" s="98"/>
      <c r="F155" s="90"/>
      <c r="G155" s="90"/>
      <c r="H155" s="20" t="str">
        <f t="shared" si="50"/>
        <v>4 - GAT</v>
      </c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87">
        <f t="shared" ref="AI155:AT155" si="53">AI144+AI145</f>
        <v>0</v>
      </c>
      <c r="AJ155" s="87">
        <f t="shared" si="53"/>
        <v>-224.28</v>
      </c>
      <c r="AK155" s="87">
        <f t="shared" si="53"/>
        <v>-7706.91</v>
      </c>
      <c r="AL155" s="87">
        <f t="shared" si="53"/>
        <v>-53738.070000000007</v>
      </c>
      <c r="AM155" s="87">
        <f t="shared" si="53"/>
        <v>-68745.16</v>
      </c>
      <c r="AN155" s="87">
        <f t="shared" si="53"/>
        <v>-2984.929999999993</v>
      </c>
      <c r="AO155" s="87">
        <f t="shared" si="53"/>
        <v>1287.169999999991</v>
      </c>
      <c r="AP155" s="87">
        <f t="shared" si="53"/>
        <v>-30977.179999999997</v>
      </c>
      <c r="AQ155" s="87">
        <f t="shared" si="53"/>
        <v>1775.5299999999916</v>
      </c>
      <c r="AR155" s="87">
        <f t="shared" si="53"/>
        <v>-28201.72</v>
      </c>
      <c r="AS155" s="87">
        <f t="shared" si="53"/>
        <v>-51977.279999999999</v>
      </c>
      <c r="AT155" s="87">
        <f t="shared" si="53"/>
        <v>25254.959999999999</v>
      </c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CA155">
        <f t="shared" si="52"/>
        <v>3</v>
      </c>
    </row>
    <row r="156" spans="1:79" ht="15" x14ac:dyDescent="0.2">
      <c r="A156" s="2" t="s">
        <v>106</v>
      </c>
      <c r="B156" s="2">
        <v>24</v>
      </c>
      <c r="C156" s="2" t="s">
        <v>215</v>
      </c>
      <c r="D156" s="99" t="s">
        <v>200</v>
      </c>
      <c r="E156" s="99" t="s">
        <v>221</v>
      </c>
      <c r="H156" s="20" t="str">
        <f t="shared" si="50"/>
        <v>4 - GATDEPRECIAÇÃO / AMORTIZAÇÃO</v>
      </c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CA156">
        <f t="shared" si="52"/>
        <v>3</v>
      </c>
    </row>
    <row r="157" spans="1:79" ht="15" x14ac:dyDescent="0.2">
      <c r="A157" s="2" t="s">
        <v>106</v>
      </c>
      <c r="B157" s="2">
        <v>25</v>
      </c>
      <c r="C157" s="2" t="s">
        <v>216</v>
      </c>
      <c r="D157" s="99" t="s">
        <v>77</v>
      </c>
      <c r="E157" s="99" t="s">
        <v>89</v>
      </c>
      <c r="H157" s="20" t="str">
        <f t="shared" si="50"/>
        <v>4 - GATRESULTADO FINANCEIRO</v>
      </c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>
        <v>0</v>
      </c>
      <c r="AJ157">
        <v>-22.07</v>
      </c>
      <c r="AK157">
        <v>-199</v>
      </c>
      <c r="AL157">
        <v>-365.01</v>
      </c>
      <c r="AM157">
        <v>12</v>
      </c>
      <c r="AN157">
        <v>-420.63</v>
      </c>
      <c r="AO157">
        <v>-312.94</v>
      </c>
      <c r="AP157">
        <v>-295.58999999999997</v>
      </c>
      <c r="AQ157">
        <v>-246.19</v>
      </c>
      <c r="AR157">
        <v>-292.08999999999997</v>
      </c>
      <c r="AS157">
        <v>-292.08999999999997</v>
      </c>
      <c r="AT157">
        <v>-334.14</v>
      </c>
      <c r="CA157">
        <f t="shared" si="52"/>
        <v>3</v>
      </c>
    </row>
    <row r="158" spans="1:79" ht="15" x14ac:dyDescent="0.2">
      <c r="A158" s="2" t="s">
        <v>106</v>
      </c>
      <c r="B158" s="2">
        <v>26</v>
      </c>
      <c r="C158" s="2" t="s">
        <v>217</v>
      </c>
      <c r="D158" s="99" t="s">
        <v>201</v>
      </c>
      <c r="E158" s="99" t="s">
        <v>222</v>
      </c>
      <c r="H158" s="20" t="str">
        <f t="shared" si="50"/>
        <v>4 - GATIMPOSTOS (IRPJ+CSLL+PIS+COFINS+ISS)</v>
      </c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>
        <v>0</v>
      </c>
      <c r="AJ158">
        <v>0</v>
      </c>
      <c r="AK158">
        <v>0</v>
      </c>
      <c r="AL158">
        <v>0</v>
      </c>
      <c r="AM158">
        <v>-4500</v>
      </c>
      <c r="AN158">
        <v>-5100</v>
      </c>
      <c r="AO158">
        <v>-7033.75</v>
      </c>
      <c r="AP158">
        <v>-6975.01</v>
      </c>
      <c r="AQ158">
        <v>-8351.25</v>
      </c>
      <c r="AR158">
        <v>-8698.33</v>
      </c>
      <c r="AS158">
        <v>-8925.01</v>
      </c>
      <c r="AT158">
        <v>-9084.66</v>
      </c>
      <c r="CA158">
        <f t="shared" si="52"/>
        <v>3</v>
      </c>
    </row>
    <row r="159" spans="1:79" ht="15" x14ac:dyDescent="0.2">
      <c r="A159" s="2" t="s">
        <v>106</v>
      </c>
      <c r="B159" s="2">
        <v>27</v>
      </c>
      <c r="C159" s="2"/>
      <c r="D159" s="104" t="s">
        <v>202</v>
      </c>
      <c r="E159" s="104"/>
      <c r="F159" s="112"/>
      <c r="G159" s="112"/>
      <c r="H159" s="20" t="str">
        <f t="shared" si="50"/>
        <v>4 - GAT</v>
      </c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87">
        <f t="shared" ref="AI159:AT159" si="54">AI144+AI145+AI156+AI157+AI158</f>
        <v>0</v>
      </c>
      <c r="AJ159" s="87">
        <f t="shared" si="54"/>
        <v>-246.35</v>
      </c>
      <c r="AK159" s="87">
        <f t="shared" si="54"/>
        <v>-7905.91</v>
      </c>
      <c r="AL159" s="87">
        <f t="shared" si="54"/>
        <v>-54103.080000000009</v>
      </c>
      <c r="AM159" s="87">
        <f t="shared" si="54"/>
        <v>-73233.16</v>
      </c>
      <c r="AN159" s="87">
        <f t="shared" si="54"/>
        <v>-8505.559999999994</v>
      </c>
      <c r="AO159" s="87">
        <f t="shared" si="54"/>
        <v>-6059.5200000000095</v>
      </c>
      <c r="AP159" s="87">
        <f t="shared" si="54"/>
        <v>-38247.78</v>
      </c>
      <c r="AQ159" s="87">
        <f t="shared" si="54"/>
        <v>-6821.9100000000089</v>
      </c>
      <c r="AR159" s="87">
        <f t="shared" si="54"/>
        <v>-37192.14</v>
      </c>
      <c r="AS159" s="87">
        <f t="shared" si="54"/>
        <v>-61194.38</v>
      </c>
      <c r="AT159" s="87">
        <f t="shared" si="54"/>
        <v>15836.16</v>
      </c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CA159">
        <f t="shared" si="52"/>
        <v>3</v>
      </c>
    </row>
    <row r="160" spans="1:79" ht="15" x14ac:dyDescent="0.2">
      <c r="A160" s="2" t="s">
        <v>106</v>
      </c>
      <c r="B160" s="2">
        <v>28</v>
      </c>
      <c r="C160" s="2" t="s">
        <v>218</v>
      </c>
      <c r="D160" s="99" t="s">
        <v>203</v>
      </c>
      <c r="E160" s="99" t="s">
        <v>98</v>
      </c>
      <c r="G160">
        <v>1</v>
      </c>
      <c r="H160" s="20" t="str">
        <f t="shared" si="50"/>
        <v>4 - GATDISTR LUCROS E DESPESAS SS (JURÍDICO)</v>
      </c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CA160">
        <f t="shared" si="52"/>
        <v>3</v>
      </c>
    </row>
    <row r="161" spans="1:79" ht="15" x14ac:dyDescent="0.2">
      <c r="A161" s="2" t="s">
        <v>106</v>
      </c>
      <c r="B161" s="2">
        <v>29</v>
      </c>
      <c r="C161" s="2" t="s">
        <v>218</v>
      </c>
      <c r="D161" s="99" t="s">
        <v>204</v>
      </c>
      <c r="E161" s="99" t="s">
        <v>223</v>
      </c>
      <c r="G161">
        <v>1</v>
      </c>
      <c r="H161" s="20" t="str">
        <f t="shared" si="50"/>
        <v>4 - GATDISTR LUCROS E DESPESAS SC (3)</v>
      </c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CA161">
        <f t="shared" si="52"/>
        <v>3</v>
      </c>
    </row>
    <row r="162" spans="1:79" ht="15" x14ac:dyDescent="0.2">
      <c r="A162" s="2" t="s">
        <v>106</v>
      </c>
      <c r="B162" s="2">
        <v>30</v>
      </c>
      <c r="C162" s="2" t="s">
        <v>218</v>
      </c>
      <c r="D162" s="99" t="s">
        <v>205</v>
      </c>
      <c r="E162" s="99" t="s">
        <v>224</v>
      </c>
      <c r="G162">
        <v>1</v>
      </c>
      <c r="H162" s="20" t="str">
        <f t="shared" si="50"/>
        <v>4 - GATDISTR LUCROS E DESPESAS SS GESTÃO ADM (11)</v>
      </c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>
        <v>0</v>
      </c>
      <c r="AJ162">
        <v>-48069.350000000006</v>
      </c>
      <c r="AK162">
        <v>-28078.090299999996</v>
      </c>
      <c r="AL162">
        <v>-26579.079999999994</v>
      </c>
      <c r="AM162">
        <v>-31227.21</v>
      </c>
      <c r="AN162">
        <v>-41626.94</v>
      </c>
      <c r="AO162">
        <v>-25079.921499999997</v>
      </c>
      <c r="AP162">
        <v>-30783.040000000001</v>
      </c>
      <c r="AQ162">
        <v>-18317.497499999998</v>
      </c>
      <c r="AR162">
        <v>-33875.83</v>
      </c>
      <c r="AS162">
        <v>-24567.429</v>
      </c>
      <c r="AT162">
        <v>-30776.78</v>
      </c>
      <c r="CA162">
        <f t="shared" si="52"/>
        <v>3</v>
      </c>
    </row>
    <row r="163" spans="1:79" ht="15" x14ac:dyDescent="0.2">
      <c r="A163" s="2" t="s">
        <v>106</v>
      </c>
      <c r="B163" s="2">
        <v>31</v>
      </c>
      <c r="C163" s="2"/>
      <c r="D163" s="99" t="s">
        <v>206</v>
      </c>
      <c r="E163" s="20"/>
      <c r="F163" s="20"/>
      <c r="G163" s="20"/>
      <c r="H163" s="20" t="str">
        <f t="shared" si="50"/>
        <v>4 - GAT</v>
      </c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87">
        <f t="shared" ref="AI163:AT163" si="55">AI160+AI161+AI162</f>
        <v>0</v>
      </c>
      <c r="AJ163" s="87">
        <f t="shared" si="55"/>
        <v>-48069.350000000006</v>
      </c>
      <c r="AK163" s="87">
        <f t="shared" si="55"/>
        <v>-28078.090299999996</v>
      </c>
      <c r="AL163" s="87">
        <f t="shared" si="55"/>
        <v>-26579.079999999994</v>
      </c>
      <c r="AM163" s="87">
        <f t="shared" si="55"/>
        <v>-31227.21</v>
      </c>
      <c r="AN163" s="87">
        <f t="shared" si="55"/>
        <v>-41626.94</v>
      </c>
      <c r="AO163" s="87">
        <f t="shared" si="55"/>
        <v>-25079.921499999997</v>
      </c>
      <c r="AP163" s="87">
        <f t="shared" si="55"/>
        <v>-30783.040000000001</v>
      </c>
      <c r="AQ163" s="87">
        <f t="shared" si="55"/>
        <v>-18317.497499999998</v>
      </c>
      <c r="AR163" s="87">
        <f t="shared" si="55"/>
        <v>-33875.83</v>
      </c>
      <c r="AS163" s="87">
        <f t="shared" si="55"/>
        <v>-24567.429</v>
      </c>
      <c r="AT163" s="87">
        <f t="shared" si="55"/>
        <v>-30776.78</v>
      </c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CA163">
        <f t="shared" si="52"/>
        <v>3</v>
      </c>
    </row>
    <row r="164" spans="1:79" ht="15" x14ac:dyDescent="0.2">
      <c r="A164" s="2" t="s">
        <v>106</v>
      </c>
      <c r="B164" s="2">
        <v>32</v>
      </c>
      <c r="C164" s="2"/>
      <c r="D164" s="99" t="s">
        <v>207</v>
      </c>
      <c r="E164" s="20"/>
      <c r="F164" s="20"/>
      <c r="G164" s="20"/>
      <c r="H164" s="20" t="str">
        <f t="shared" si="50"/>
        <v>4 - GAT</v>
      </c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87">
        <f t="shared" ref="AI164:AT164" si="56">AI137+AI145+AI156+AI157+AI158+AI163</f>
        <v>0</v>
      </c>
      <c r="AJ164" s="87">
        <f t="shared" si="56"/>
        <v>-48315.700000000004</v>
      </c>
      <c r="AK164" s="87">
        <f t="shared" si="56"/>
        <v>-35984.0003</v>
      </c>
      <c r="AL164" s="87">
        <f t="shared" si="56"/>
        <v>-80682.16</v>
      </c>
      <c r="AM164" s="87">
        <f t="shared" si="56"/>
        <v>-104460.37</v>
      </c>
      <c r="AN164" s="87">
        <f t="shared" si="56"/>
        <v>-130790.5</v>
      </c>
      <c r="AO164" s="87">
        <f t="shared" si="56"/>
        <v>-116464.44150000002</v>
      </c>
      <c r="AP164" s="87">
        <f t="shared" si="56"/>
        <v>-128047.81999999998</v>
      </c>
      <c r="AQ164" s="87">
        <f t="shared" si="56"/>
        <v>-114931.9075</v>
      </c>
      <c r="AR164" s="87">
        <f t="shared" si="56"/>
        <v>-131275.47</v>
      </c>
      <c r="AS164" s="87">
        <f t="shared" si="56"/>
        <v>-160761.80900000001</v>
      </c>
      <c r="AT164" s="87">
        <f t="shared" si="56"/>
        <v>-164536.12</v>
      </c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CA164">
        <f t="shared" si="52"/>
        <v>3</v>
      </c>
    </row>
    <row r="165" spans="1:79" ht="15" x14ac:dyDescent="0.2">
      <c r="A165" s="2" t="s">
        <v>106</v>
      </c>
      <c r="B165" s="2">
        <v>33</v>
      </c>
      <c r="C165" s="2"/>
      <c r="D165" s="104" t="s">
        <v>212</v>
      </c>
      <c r="E165" s="87"/>
      <c r="F165" s="87"/>
      <c r="G165" s="87"/>
      <c r="H165" s="20" t="str">
        <f t="shared" si="50"/>
        <v>4 - GAT</v>
      </c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87">
        <f>AI133+AI164</f>
        <v>0</v>
      </c>
      <c r="AJ165" s="87">
        <f t="shared" ref="AJ165:AT165" si="57">AJ133+AJ164</f>
        <v>-48315.700000000004</v>
      </c>
      <c r="AK165" s="87">
        <f t="shared" si="57"/>
        <v>-35984.0003</v>
      </c>
      <c r="AL165" s="87">
        <f t="shared" si="57"/>
        <v>-80682.16</v>
      </c>
      <c r="AM165" s="87">
        <f t="shared" si="57"/>
        <v>-104460.37</v>
      </c>
      <c r="AN165" s="87">
        <f t="shared" si="57"/>
        <v>-50132.5</v>
      </c>
      <c r="AO165" s="87">
        <f t="shared" si="57"/>
        <v>-31139.441500000015</v>
      </c>
      <c r="AP165" s="87">
        <f t="shared" si="57"/>
        <v>-69030.819999999978</v>
      </c>
      <c r="AQ165" s="87">
        <f t="shared" si="57"/>
        <v>-25139.407500000001</v>
      </c>
      <c r="AR165" s="87">
        <f t="shared" si="57"/>
        <v>-71067.97</v>
      </c>
      <c r="AS165" s="87">
        <f t="shared" si="57"/>
        <v>-85761.809000000008</v>
      </c>
      <c r="AT165" s="87">
        <f t="shared" si="57"/>
        <v>-14940.619999999995</v>
      </c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CA165">
        <f t="shared" si="52"/>
        <v>3</v>
      </c>
    </row>
    <row r="166" spans="1:79" ht="15" x14ac:dyDescent="0.2">
      <c r="A166" s="2" t="s">
        <v>106</v>
      </c>
      <c r="B166" s="2">
        <v>34</v>
      </c>
      <c r="C166" s="2"/>
      <c r="D166" s="99" t="s">
        <v>208</v>
      </c>
      <c r="E166" s="80"/>
      <c r="F166" s="80"/>
      <c r="G166" s="80"/>
      <c r="H166" s="20" t="str">
        <f t="shared" si="50"/>
        <v>4 - GAT</v>
      </c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CA166">
        <f t="shared" si="52"/>
        <v>3</v>
      </c>
    </row>
    <row r="167" spans="1:79" ht="15" x14ac:dyDescent="0.2">
      <c r="A167" s="2" t="s">
        <v>106</v>
      </c>
      <c r="B167" s="2">
        <v>35</v>
      </c>
      <c r="C167" s="2"/>
      <c r="D167" s="99" t="s">
        <v>209</v>
      </c>
      <c r="E167" s="20"/>
      <c r="F167" s="20"/>
      <c r="G167" s="20"/>
      <c r="H167" s="20" t="str">
        <f t="shared" si="50"/>
        <v>4 - GAT</v>
      </c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CA167">
        <f t="shared" si="52"/>
        <v>3</v>
      </c>
    </row>
    <row r="168" spans="1:79" ht="15" x14ac:dyDescent="0.2">
      <c r="A168" s="2" t="s">
        <v>106</v>
      </c>
      <c r="B168" s="2">
        <v>36</v>
      </c>
      <c r="C168" s="2"/>
      <c r="D168" s="99" t="s">
        <v>210</v>
      </c>
      <c r="E168" s="20"/>
      <c r="F168" s="20"/>
      <c r="G168" s="20"/>
      <c r="H168" s="20" t="str">
        <f t="shared" si="50"/>
        <v>4 - GAT</v>
      </c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CA168">
        <f t="shared" si="52"/>
        <v>3</v>
      </c>
    </row>
    <row r="169" spans="1:79" ht="15" x14ac:dyDescent="0.2">
      <c r="A169" s="2" t="s">
        <v>106</v>
      </c>
      <c r="B169" s="2">
        <v>37</v>
      </c>
      <c r="C169" s="2"/>
      <c r="D169" s="99" t="s">
        <v>233</v>
      </c>
      <c r="E169" s="20"/>
      <c r="F169" s="20"/>
      <c r="G169" s="20"/>
      <c r="H169" s="20" t="str">
        <f t="shared" si="50"/>
        <v>4 - GAT</v>
      </c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CA169">
        <f t="shared" si="52"/>
        <v>3</v>
      </c>
    </row>
    <row r="170" spans="1:79" ht="15" x14ac:dyDescent="0.2">
      <c r="A170" s="2" t="s">
        <v>106</v>
      </c>
      <c r="B170" s="2">
        <v>38</v>
      </c>
      <c r="C170" s="2"/>
      <c r="D170" s="99" t="s">
        <v>232</v>
      </c>
      <c r="E170" s="20"/>
      <c r="F170" s="20"/>
      <c r="G170" s="20"/>
      <c r="H170" s="20" t="str">
        <f t="shared" si="50"/>
        <v>4 - GAT</v>
      </c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</row>
    <row r="171" spans="1:79" ht="15" x14ac:dyDescent="0.2">
      <c r="A171" s="2" t="s">
        <v>106</v>
      </c>
      <c r="B171" s="2">
        <v>39</v>
      </c>
      <c r="C171" s="2"/>
      <c r="D171" s="99" t="s">
        <v>234</v>
      </c>
      <c r="E171" s="20"/>
      <c r="F171" s="20"/>
      <c r="G171" s="20"/>
      <c r="H171" s="20" t="str">
        <f t="shared" si="50"/>
        <v>4 - GAT</v>
      </c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</row>
    <row r="172" spans="1:79" ht="15.75" thickBot="1" x14ac:dyDescent="0.25">
      <c r="A172" s="2" t="s">
        <v>106</v>
      </c>
      <c r="B172" s="2">
        <v>40</v>
      </c>
      <c r="C172" s="2"/>
      <c r="D172" s="100" t="s">
        <v>211</v>
      </c>
      <c r="E172" s="20"/>
      <c r="F172" s="20"/>
      <c r="G172" s="20"/>
      <c r="H172" s="20" t="str">
        <f t="shared" si="50"/>
        <v>4 - GAT</v>
      </c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CA172">
        <f t="shared" si="52"/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1A3-E4F0-4C49-9579-FE2A3B1CB147}">
  <sheetPr codeName="Planilha23">
    <tabColor rgb="FF00B050"/>
  </sheetPr>
  <dimension ref="A1:B8"/>
  <sheetViews>
    <sheetView workbookViewId="0">
      <selection activeCell="B6" sqref="B6"/>
    </sheetView>
  </sheetViews>
  <sheetFormatPr defaultRowHeight="12.75" x14ac:dyDescent="0.2"/>
  <cols>
    <col min="1" max="1" width="20" bestFit="1" customWidth="1"/>
    <col min="2" max="2" width="17.140625" bestFit="1" customWidth="1"/>
  </cols>
  <sheetData>
    <row r="1" spans="1:2" ht="18.75" x14ac:dyDescent="0.35">
      <c r="A1" s="6" t="s">
        <v>8</v>
      </c>
      <c r="B1" s="34">
        <f>LOOKUP(2, 1/('TOTAIS  20 E 21'!2:2&lt;&gt;0), 'TOTAIS  20 E 21'!2:2)</f>
        <v>4695972.1340000005</v>
      </c>
    </row>
    <row r="2" spans="1:2" ht="18.75" x14ac:dyDescent="0.35">
      <c r="A2" s="6" t="s">
        <v>26</v>
      </c>
      <c r="B2" s="34">
        <f>LOOKUP(2, 1/('TOTAIS  20 E 21'!3:3&lt;&gt;0), 'TOTAIS  20 E 21'!3:3)</f>
        <v>2061591.4390833841</v>
      </c>
    </row>
    <row r="3" spans="1:2" ht="18.75" x14ac:dyDescent="0.35">
      <c r="A3" s="6" t="s">
        <v>24</v>
      </c>
      <c r="B3" s="34">
        <f>LOOKUP(2, 1/('TOTAIS  20 E 21'!4:4&lt;&gt;0), 'TOTAIS  20 E 21'!4:4)</f>
        <v>1008083.3256126305</v>
      </c>
    </row>
    <row r="4" spans="1:2" ht="18.75" x14ac:dyDescent="0.35">
      <c r="A4" s="6" t="s">
        <v>25</v>
      </c>
      <c r="B4" s="34">
        <f>LOOKUP(2, 1/('TOTAIS  20 E 21'!5:5&lt;&gt;0), 'TOTAIS  20 E 21'!5:5)</f>
        <v>834112.59438499971</v>
      </c>
    </row>
    <row r="6" spans="1:2" x14ac:dyDescent="0.2">
      <c r="A6" s="35" t="s">
        <v>74</v>
      </c>
      <c r="B6" s="27">
        <f>B1-B2-B3-B4</f>
        <v>792184.77491898602</v>
      </c>
    </row>
    <row r="8" spans="1:2" x14ac:dyDescent="0.2">
      <c r="A8" s="77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D6BF-B911-45BD-B7C1-6BAB862CD24D}">
  <sheetPr codeName="Planilha24">
    <tabColor rgb="FF00B050"/>
  </sheetPr>
  <dimension ref="A1:C7"/>
  <sheetViews>
    <sheetView workbookViewId="0">
      <selection activeCell="B1" sqref="B1"/>
    </sheetView>
  </sheetViews>
  <sheetFormatPr defaultRowHeight="12.75" x14ac:dyDescent="0.2"/>
  <cols>
    <col min="1" max="1" width="29.28515625" bestFit="1" customWidth="1"/>
    <col min="2" max="2" width="19" bestFit="1" customWidth="1"/>
  </cols>
  <sheetData>
    <row r="1" spans="1:3" x14ac:dyDescent="0.2">
      <c r="A1" s="11" t="s">
        <v>10</v>
      </c>
      <c r="B1" s="36">
        <f>'Aux Antecipação'!B6</f>
        <v>792184.77491898602</v>
      </c>
    </row>
    <row r="2" spans="1:3" x14ac:dyDescent="0.2">
      <c r="A2" s="11" t="s">
        <v>53</v>
      </c>
      <c r="B2" s="61">
        <v>0.15</v>
      </c>
    </row>
    <row r="3" spans="1:3" ht="13.5" thickBot="1" x14ac:dyDescent="0.25">
      <c r="A3" s="11" t="s">
        <v>54</v>
      </c>
      <c r="B3" s="24">
        <f>IF(B1&lt;0,0,B1*B2)</f>
        <v>118827.7162378479</v>
      </c>
    </row>
    <row r="4" spans="1:3" ht="15.75" thickBot="1" x14ac:dyDescent="0.3">
      <c r="A4" s="11" t="s">
        <v>55</v>
      </c>
      <c r="B4" s="131">
        <v>31681.81</v>
      </c>
      <c r="C4" s="132"/>
    </row>
    <row r="5" spans="1:3" x14ac:dyDescent="0.2">
      <c r="A5" s="11" t="s">
        <v>56</v>
      </c>
      <c r="B5" s="28">
        <f>B3/B4</f>
        <v>3.7506605916091251</v>
      </c>
    </row>
    <row r="7" spans="1:3" x14ac:dyDescent="0.2">
      <c r="B7" s="475"/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7886-6DB8-4A20-9B0A-C06018970473}">
  <sheetPr codeName="Planilha25">
    <tabColor rgb="FF00B050"/>
  </sheetPr>
  <dimension ref="A1:F14"/>
  <sheetViews>
    <sheetView workbookViewId="0">
      <selection activeCell="E2" sqref="E2:E14"/>
    </sheetView>
  </sheetViews>
  <sheetFormatPr defaultRowHeight="12.75" x14ac:dyDescent="0.2"/>
  <cols>
    <col min="2" max="2" width="25.57031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19" t="s">
        <v>165</v>
      </c>
      <c r="C2" s="22">
        <v>2680</v>
      </c>
      <c r="D2" s="19">
        <v>45</v>
      </c>
      <c r="E2" s="23">
        <f>D2*'Antecipação Consolidado'!$B$5</f>
        <v>168.77972662241064</v>
      </c>
      <c r="F2" s="22">
        <f t="shared" ref="F2:F14" si="0">C2+E2</f>
        <v>2848.7797266224106</v>
      </c>
    </row>
    <row r="3" spans="1:6" x14ac:dyDescent="0.2">
      <c r="A3">
        <v>2</v>
      </c>
      <c r="B3" s="19" t="s">
        <v>42</v>
      </c>
      <c r="C3" s="22">
        <v>2900</v>
      </c>
      <c r="D3" s="19">
        <v>50</v>
      </c>
      <c r="E3" s="23">
        <f>D3*'Antecipação Consolidado'!$B$5</f>
        <v>187.53302958045626</v>
      </c>
      <c r="F3" s="22">
        <f t="shared" si="0"/>
        <v>3087.5330295804561</v>
      </c>
    </row>
    <row r="4" spans="1:6" x14ac:dyDescent="0.2">
      <c r="A4">
        <v>3</v>
      </c>
      <c r="B4" s="19" t="s">
        <v>43</v>
      </c>
      <c r="C4" s="22">
        <v>3140</v>
      </c>
      <c r="D4" s="19">
        <v>55</v>
      </c>
      <c r="E4" s="23">
        <f>D4*'Antecipação Consolidado'!$B$5</f>
        <v>206.28633253850188</v>
      </c>
      <c r="F4" s="22">
        <f t="shared" si="0"/>
        <v>3346.2863325385019</v>
      </c>
    </row>
    <row r="5" spans="1:6" x14ac:dyDescent="0.2">
      <c r="A5">
        <v>4</v>
      </c>
      <c r="B5" s="19" t="s">
        <v>44</v>
      </c>
      <c r="C5" s="22">
        <v>3510</v>
      </c>
      <c r="D5" s="19">
        <v>60</v>
      </c>
      <c r="E5" s="23">
        <f>D5*'Antecipação Consolidado'!$B$5</f>
        <v>225.0396354965475</v>
      </c>
      <c r="F5" s="22">
        <f t="shared" si="0"/>
        <v>3735.0396354965474</v>
      </c>
    </row>
    <row r="6" spans="1:6" x14ac:dyDescent="0.2">
      <c r="A6">
        <v>5</v>
      </c>
      <c r="B6" s="19" t="s">
        <v>45</v>
      </c>
      <c r="C6" s="22">
        <v>3865</v>
      </c>
      <c r="D6" s="19">
        <v>65</v>
      </c>
      <c r="E6" s="23">
        <f>D6*'Antecipação Consolidado'!$B$5</f>
        <v>243.79293845459313</v>
      </c>
      <c r="F6" s="22">
        <f t="shared" si="0"/>
        <v>4108.7929384545932</v>
      </c>
    </row>
    <row r="7" spans="1:6" x14ac:dyDescent="0.2">
      <c r="A7">
        <v>6</v>
      </c>
      <c r="B7" s="19" t="s">
        <v>46</v>
      </c>
      <c r="C7" s="22">
        <v>4270</v>
      </c>
      <c r="D7" s="19">
        <v>70</v>
      </c>
      <c r="E7" s="23">
        <f>D7*'Antecipação Consolidado'!$B$5</f>
        <v>262.54624141263878</v>
      </c>
      <c r="F7" s="22">
        <f t="shared" si="0"/>
        <v>4532.5462414126387</v>
      </c>
    </row>
    <row r="8" spans="1:6" x14ac:dyDescent="0.2">
      <c r="A8">
        <v>7</v>
      </c>
      <c r="B8" s="3" t="s">
        <v>47</v>
      </c>
      <c r="C8" s="22">
        <v>4780</v>
      </c>
      <c r="D8" s="19">
        <v>80</v>
      </c>
      <c r="E8" s="23">
        <f>D8*'Antecipação Consolidado'!$B$5</f>
        <v>300.05284732873002</v>
      </c>
      <c r="F8" s="22">
        <f t="shared" si="0"/>
        <v>5080.0528473287304</v>
      </c>
    </row>
    <row r="9" spans="1:6" x14ac:dyDescent="0.2">
      <c r="A9">
        <v>8</v>
      </c>
      <c r="B9" s="19" t="s">
        <v>48</v>
      </c>
      <c r="C9" s="22">
        <v>5420</v>
      </c>
      <c r="D9" s="19">
        <v>90</v>
      </c>
      <c r="E9" s="23">
        <f>D9*'Antecipação Consolidado'!$B$5</f>
        <v>337.55945324482127</v>
      </c>
      <c r="F9" s="22">
        <f t="shared" si="0"/>
        <v>5757.5594532448213</v>
      </c>
    </row>
    <row r="10" spans="1:6" x14ac:dyDescent="0.2">
      <c r="A10">
        <v>9</v>
      </c>
      <c r="B10" s="19" t="s">
        <v>49</v>
      </c>
      <c r="C10" s="22">
        <v>6150</v>
      </c>
      <c r="D10" s="19">
        <v>100</v>
      </c>
      <c r="E10" s="23">
        <f>D10*'Antecipação Consolidado'!$B$5</f>
        <v>375.06605916091252</v>
      </c>
      <c r="F10" s="22">
        <f t="shared" si="0"/>
        <v>6525.0660591609121</v>
      </c>
    </row>
    <row r="11" spans="1:6" x14ac:dyDescent="0.2">
      <c r="A11">
        <v>10</v>
      </c>
      <c r="B11" s="19" t="s">
        <v>50</v>
      </c>
      <c r="C11" s="22">
        <v>6980</v>
      </c>
      <c r="D11" s="19">
        <v>110</v>
      </c>
      <c r="E11" s="23">
        <f>D11*'Antecipação Consolidado'!$B$5</f>
        <v>412.57266507700376</v>
      </c>
      <c r="F11" s="22">
        <f t="shared" si="0"/>
        <v>7392.5726650770039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1387.7444188953764</v>
      </c>
      <c r="F12" s="22">
        <f t="shared" si="0"/>
        <v>9887.7444188953759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1642.7893391247967</v>
      </c>
      <c r="F13" s="22">
        <f t="shared" si="0"/>
        <v>11142.789339124796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1931.5902046786994</v>
      </c>
      <c r="F14" s="22">
        <f t="shared" si="0"/>
        <v>12431.5902046787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3B99-FE6D-4165-9654-CE2CF9C4EAC3}">
  <sheetPr codeName="Planilha26">
    <tabColor rgb="FF00B050"/>
  </sheetPr>
  <dimension ref="A1:F19"/>
  <sheetViews>
    <sheetView workbookViewId="0">
      <selection activeCell="E2" sqref="E2:E14"/>
    </sheetView>
  </sheetViews>
  <sheetFormatPr defaultRowHeight="12.75" x14ac:dyDescent="0.2"/>
  <cols>
    <col min="2" max="2" width="22.28515625" bestFit="1" customWidth="1"/>
    <col min="3" max="3" width="22.5703125" bestFit="1" customWidth="1"/>
    <col min="4" max="4" width="10.140625" bestFit="1" customWidth="1"/>
    <col min="5" max="5" width="12.85546875" bestFit="1" customWidth="1"/>
    <col min="6" max="6" width="26.85546875" bestFit="1" customWidth="1"/>
  </cols>
  <sheetData>
    <row r="1" spans="1:6" ht="25.5" x14ac:dyDescent="0.2">
      <c r="A1" s="2" t="s">
        <v>284</v>
      </c>
      <c r="B1" s="21" t="s">
        <v>35</v>
      </c>
      <c r="C1" s="21" t="s">
        <v>38</v>
      </c>
      <c r="D1" s="21" t="s">
        <v>37</v>
      </c>
      <c r="E1" s="21" t="s">
        <v>36</v>
      </c>
      <c r="F1" s="21" t="s">
        <v>57</v>
      </c>
    </row>
    <row r="2" spans="1:6" x14ac:dyDescent="0.2">
      <c r="A2">
        <v>1</v>
      </c>
      <c r="B2" s="3" t="s">
        <v>51</v>
      </c>
      <c r="C2" s="22">
        <v>3750</v>
      </c>
      <c r="D2" s="19">
        <v>63</v>
      </c>
      <c r="E2" s="23">
        <f>D2*'Antecipação Consolidado'!$B$5</f>
        <v>236.29161727137489</v>
      </c>
      <c r="F2" s="22">
        <f t="shared" ref="F2:F14" si="0">C2+E2</f>
        <v>3986.2916172713749</v>
      </c>
    </row>
    <row r="3" spans="1:6" x14ac:dyDescent="0.2">
      <c r="A3">
        <v>2</v>
      </c>
      <c r="B3" s="3" t="s">
        <v>52</v>
      </c>
      <c r="C3" s="22">
        <v>4000</v>
      </c>
      <c r="D3" s="19">
        <v>67</v>
      </c>
      <c r="E3" s="23">
        <f>D3*'Antecipação Consolidado'!$B$5</f>
        <v>251.29425963781139</v>
      </c>
      <c r="F3" s="22">
        <f t="shared" si="0"/>
        <v>4251.2942596378116</v>
      </c>
    </row>
    <row r="4" spans="1:6" x14ac:dyDescent="0.2">
      <c r="A4">
        <v>3</v>
      </c>
      <c r="B4" s="19" t="s">
        <v>40</v>
      </c>
      <c r="C4" s="22">
        <v>4280</v>
      </c>
      <c r="D4" s="19">
        <v>70</v>
      </c>
      <c r="E4" s="23">
        <f>D4*'Antecipação Consolidado'!$B$5</f>
        <v>262.54624141263878</v>
      </c>
      <c r="F4" s="22">
        <f t="shared" si="0"/>
        <v>4542.5462414126387</v>
      </c>
    </row>
    <row r="5" spans="1:6" x14ac:dyDescent="0.2">
      <c r="A5">
        <v>4</v>
      </c>
      <c r="B5" s="19" t="s">
        <v>41</v>
      </c>
      <c r="C5" s="22">
        <v>4580</v>
      </c>
      <c r="D5" s="19">
        <v>76</v>
      </c>
      <c r="E5" s="23">
        <f>D5*'Antecipação Consolidado'!$B$5</f>
        <v>285.05020496229349</v>
      </c>
      <c r="F5" s="22">
        <f t="shared" si="0"/>
        <v>4865.0502049622937</v>
      </c>
    </row>
    <row r="6" spans="1:6" x14ac:dyDescent="0.2">
      <c r="A6">
        <v>5</v>
      </c>
      <c r="B6" s="19" t="s">
        <v>42</v>
      </c>
      <c r="C6" s="22">
        <v>5040</v>
      </c>
      <c r="D6" s="19">
        <v>84</v>
      </c>
      <c r="E6" s="23">
        <f>D6*'Antecipação Consolidado'!$B$5</f>
        <v>315.0554896951665</v>
      </c>
      <c r="F6" s="22">
        <f t="shared" si="0"/>
        <v>5355.0554896951662</v>
      </c>
    </row>
    <row r="7" spans="1:6" x14ac:dyDescent="0.2">
      <c r="A7">
        <v>6</v>
      </c>
      <c r="B7" s="19" t="s">
        <v>43</v>
      </c>
      <c r="C7" s="22">
        <v>5400</v>
      </c>
      <c r="D7" s="19">
        <v>90</v>
      </c>
      <c r="E7" s="23">
        <f>D7*'Antecipação Consolidado'!$B$5</f>
        <v>337.55945324482127</v>
      </c>
      <c r="F7" s="22">
        <f t="shared" si="0"/>
        <v>5737.5594532448213</v>
      </c>
    </row>
    <row r="8" spans="1:6" x14ac:dyDescent="0.2">
      <c r="A8">
        <v>7</v>
      </c>
      <c r="B8" s="19" t="s">
        <v>44</v>
      </c>
      <c r="C8" s="22">
        <v>5780</v>
      </c>
      <c r="D8" s="19">
        <v>94</v>
      </c>
      <c r="E8" s="23">
        <f>D8*'Antecipação Consolidado'!$B$5</f>
        <v>352.56209561125775</v>
      </c>
      <c r="F8" s="22">
        <f t="shared" si="0"/>
        <v>6132.562095611258</v>
      </c>
    </row>
    <row r="9" spans="1:6" x14ac:dyDescent="0.2">
      <c r="A9">
        <v>8</v>
      </c>
      <c r="B9" s="19" t="s">
        <v>45</v>
      </c>
      <c r="C9" s="22">
        <v>6360</v>
      </c>
      <c r="D9" s="19">
        <v>103</v>
      </c>
      <c r="E9" s="23">
        <f>D9*'Antecipação Consolidado'!$B$5</f>
        <v>386.31804093573987</v>
      </c>
      <c r="F9" s="22">
        <f t="shared" si="0"/>
        <v>6746.3180409357401</v>
      </c>
    </row>
    <row r="10" spans="1:6" x14ac:dyDescent="0.2">
      <c r="A10">
        <v>9</v>
      </c>
      <c r="B10" s="3" t="s">
        <v>46</v>
      </c>
      <c r="C10" s="22">
        <v>6810</v>
      </c>
      <c r="D10" s="19">
        <v>107</v>
      </c>
      <c r="E10" s="23">
        <f>D10*'Antecipação Consolidado'!$B$5</f>
        <v>401.32068330217641</v>
      </c>
      <c r="F10" s="22">
        <f t="shared" si="0"/>
        <v>7211.3206833021768</v>
      </c>
    </row>
    <row r="11" spans="1:6" x14ac:dyDescent="0.2">
      <c r="A11">
        <v>10</v>
      </c>
      <c r="B11" s="19" t="s">
        <v>47</v>
      </c>
      <c r="C11" s="22">
        <v>7290</v>
      </c>
      <c r="D11" s="19">
        <v>118</v>
      </c>
      <c r="E11" s="23">
        <f>D11*'Antecipação Consolidado'!$B$5</f>
        <v>442.57794980987677</v>
      </c>
      <c r="F11" s="22">
        <f t="shared" si="0"/>
        <v>7732.5779498098764</v>
      </c>
    </row>
    <row r="12" spans="1:6" x14ac:dyDescent="0.2">
      <c r="A12">
        <v>11</v>
      </c>
      <c r="B12" s="3" t="s">
        <v>244</v>
      </c>
      <c r="C12" s="22">
        <v>8500</v>
      </c>
      <c r="D12" s="19">
        <v>370</v>
      </c>
      <c r="E12" s="23">
        <f>D12*'Antecipação Consolidado'!$B$5</f>
        <v>1387.7444188953764</v>
      </c>
      <c r="F12" s="22">
        <f t="shared" si="0"/>
        <v>9887.7444188953759</v>
      </c>
    </row>
    <row r="13" spans="1:6" x14ac:dyDescent="0.2">
      <c r="A13">
        <v>12</v>
      </c>
      <c r="B13" s="3" t="s">
        <v>245</v>
      </c>
      <c r="C13" s="22">
        <v>9500</v>
      </c>
      <c r="D13" s="19">
        <v>438</v>
      </c>
      <c r="E13" s="23">
        <f>D13*'Antecipação Consolidado'!$B$5</f>
        <v>1642.7893391247967</v>
      </c>
      <c r="F13" s="22">
        <f t="shared" si="0"/>
        <v>11142.789339124796</v>
      </c>
    </row>
    <row r="14" spans="1:6" x14ac:dyDescent="0.2">
      <c r="A14">
        <v>13</v>
      </c>
      <c r="B14" s="3" t="s">
        <v>246</v>
      </c>
      <c r="C14" s="22">
        <v>10500</v>
      </c>
      <c r="D14" s="19">
        <v>515</v>
      </c>
      <c r="E14" s="23">
        <f>D14*'Antecipação Consolidado'!$B$5</f>
        <v>1931.5902046786994</v>
      </c>
      <c r="F14" s="22">
        <f t="shared" si="0"/>
        <v>12431.5902046787</v>
      </c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F772-7BFA-4DB8-A3F2-0D13488AF549}">
  <sheetPr>
    <tabColor rgb="FF00B050"/>
  </sheetPr>
  <dimension ref="A1:S14"/>
  <sheetViews>
    <sheetView workbookViewId="0">
      <selection activeCell="J1" sqref="J1"/>
    </sheetView>
  </sheetViews>
  <sheetFormatPr defaultRowHeight="12.75" x14ac:dyDescent="0.2"/>
  <cols>
    <col min="1" max="1" width="3" style="1" bestFit="1" customWidth="1"/>
    <col min="2" max="2" width="25.5703125" style="1" bestFit="1" customWidth="1"/>
    <col min="3" max="3" width="22.5703125" style="1" bestFit="1" customWidth="1"/>
    <col min="4" max="5" width="10.140625" style="1" bestFit="1" customWidth="1"/>
    <col min="6" max="6" width="9.140625" style="1" bestFit="1" customWidth="1"/>
    <col min="7" max="10" width="9.42578125" customWidth="1"/>
    <col min="12" max="12" width="15.7109375" customWidth="1"/>
    <col min="13" max="13" width="11.28515625" bestFit="1" customWidth="1"/>
    <col min="16" max="16" width="12.8554687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19" t="s">
        <v>165</v>
      </c>
      <c r="C2" s="22">
        <v>2680</v>
      </c>
      <c r="D2" s="19">
        <v>45</v>
      </c>
      <c r="E2" s="23">
        <f>D2*$M$5</f>
        <v>89.828433807916895</v>
      </c>
      <c r="F2" s="22">
        <f>C2+E2</f>
        <v>2769.828433807917</v>
      </c>
      <c r="G2" s="22">
        <f>$P$5*D2</f>
        <v>454.92930870550259</v>
      </c>
      <c r="H2" s="22">
        <f>C2+G2</f>
        <v>3134.9293087055025</v>
      </c>
      <c r="I2" s="22">
        <f>$S$5*D2</f>
        <v>360.73282676496393</v>
      </c>
      <c r="J2" s="22">
        <f>C2+I2</f>
        <v>3040.7328267649641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19" t="s">
        <v>42</v>
      </c>
      <c r="C3" s="22">
        <v>2900</v>
      </c>
      <c r="D3" s="19">
        <v>50</v>
      </c>
      <c r="E3" s="23">
        <f t="shared" ref="E3:E14" si="0">D3*$M$5</f>
        <v>99.80937089768544</v>
      </c>
      <c r="F3" s="22">
        <f t="shared" ref="F3:F14" si="1">C3+E3</f>
        <v>2999.8093708976853</v>
      </c>
      <c r="G3" s="22">
        <f t="shared" ref="G3:G14" si="2">$P$5*D3</f>
        <v>505.47700967278064</v>
      </c>
      <c r="H3" s="22">
        <f t="shared" ref="H3:H14" si="3">C3+G3</f>
        <v>3405.4770096727807</v>
      </c>
      <c r="I3" s="22">
        <f t="shared" ref="I3:I14" si="4">$S$5*D3</f>
        <v>400.81425196107102</v>
      </c>
      <c r="J3" s="22">
        <f t="shared" ref="J3:J14" si="5">C3+I3</f>
        <v>3300.814251961071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43</v>
      </c>
      <c r="C4" s="22">
        <v>3140</v>
      </c>
      <c r="D4" s="19">
        <v>55</v>
      </c>
      <c r="E4" s="23">
        <f t="shared" si="0"/>
        <v>109.79030798745399</v>
      </c>
      <c r="F4" s="22">
        <f t="shared" si="1"/>
        <v>3249.7903079874541</v>
      </c>
      <c r="G4" s="22">
        <f t="shared" si="2"/>
        <v>556.02471064005874</v>
      </c>
      <c r="H4" s="22">
        <f t="shared" si="3"/>
        <v>3696.0247106400589</v>
      </c>
      <c r="I4" s="22">
        <f t="shared" si="4"/>
        <v>440.89567715717811</v>
      </c>
      <c r="J4" s="22">
        <f t="shared" si="5"/>
        <v>3580.8956771571779</v>
      </c>
      <c r="L4" s="11" t="s">
        <v>55</v>
      </c>
      <c r="M4" s="131">
        <f>'Antecipação Consolidado'!$B$4</f>
        <v>31681.81</v>
      </c>
      <c r="O4" s="11" t="s">
        <v>55</v>
      </c>
      <c r="P4" s="131">
        <v>21676.29</v>
      </c>
      <c r="R4" s="11" t="s">
        <v>55</v>
      </c>
      <c r="S4" s="131">
        <v>21504.83</v>
      </c>
    </row>
    <row r="5" spans="1:19" x14ac:dyDescent="0.2">
      <c r="A5" s="19">
        <v>4</v>
      </c>
      <c r="B5" s="19" t="s">
        <v>44</v>
      </c>
      <c r="C5" s="22">
        <v>3510</v>
      </c>
      <c r="D5" s="19">
        <v>60</v>
      </c>
      <c r="E5" s="23">
        <f t="shared" si="0"/>
        <v>119.77124507722253</v>
      </c>
      <c r="F5" s="22">
        <f t="shared" si="1"/>
        <v>3629.7712450772224</v>
      </c>
      <c r="G5" s="22">
        <f t="shared" si="2"/>
        <v>606.57241160733679</v>
      </c>
      <c r="H5" s="22">
        <f t="shared" si="3"/>
        <v>4116.572411607337</v>
      </c>
      <c r="I5" s="22">
        <f t="shared" si="4"/>
        <v>480.97710235328526</v>
      </c>
      <c r="J5" s="22">
        <f t="shared" si="5"/>
        <v>3990.9771023532853</v>
      </c>
      <c r="L5" s="11" t="s">
        <v>56</v>
      </c>
      <c r="M5" s="28">
        <f>M3/M4</f>
        <v>1.9961874179537089</v>
      </c>
      <c r="O5" s="11" t="s">
        <v>56</v>
      </c>
      <c r="P5" s="28">
        <f>P3/P4</f>
        <v>10.109540193455613</v>
      </c>
      <c r="R5" s="11" t="s">
        <v>56</v>
      </c>
      <c r="S5" s="28">
        <f>S3/S4</f>
        <v>8.0162850392214207</v>
      </c>
    </row>
    <row r="6" spans="1:19" x14ac:dyDescent="0.2">
      <c r="A6" s="19">
        <v>5</v>
      </c>
      <c r="B6" s="19" t="s">
        <v>45</v>
      </c>
      <c r="C6" s="22">
        <v>3865</v>
      </c>
      <c r="D6" s="19">
        <v>65</v>
      </c>
      <c r="E6" s="23">
        <f t="shared" si="0"/>
        <v>129.75218216699108</v>
      </c>
      <c r="F6" s="22">
        <f t="shared" si="1"/>
        <v>3994.7521821669911</v>
      </c>
      <c r="G6" s="22">
        <f t="shared" si="2"/>
        <v>657.12011257461484</v>
      </c>
      <c r="H6" s="22">
        <f t="shared" si="3"/>
        <v>4522.1201125746147</v>
      </c>
      <c r="I6" s="22">
        <f t="shared" si="4"/>
        <v>521.05852754939235</v>
      </c>
      <c r="J6" s="22">
        <f t="shared" si="5"/>
        <v>4386.0585275493922</v>
      </c>
    </row>
    <row r="7" spans="1:19" x14ac:dyDescent="0.2">
      <c r="A7" s="19">
        <v>6</v>
      </c>
      <c r="B7" s="19" t="s">
        <v>46</v>
      </c>
      <c r="C7" s="22">
        <v>4270</v>
      </c>
      <c r="D7" s="19">
        <v>70</v>
      </c>
      <c r="E7" s="23">
        <f t="shared" si="0"/>
        <v>139.73311925675964</v>
      </c>
      <c r="F7" s="22">
        <f t="shared" si="1"/>
        <v>4409.7331192567599</v>
      </c>
      <c r="G7" s="22">
        <f t="shared" si="2"/>
        <v>707.66781354189288</v>
      </c>
      <c r="H7" s="22">
        <f t="shared" si="3"/>
        <v>4977.6678135418933</v>
      </c>
      <c r="I7" s="22">
        <f t="shared" si="4"/>
        <v>561.1399527454995</v>
      </c>
      <c r="J7" s="22">
        <f t="shared" si="5"/>
        <v>4831.1399527454996</v>
      </c>
    </row>
    <row r="8" spans="1:19" x14ac:dyDescent="0.2">
      <c r="A8" s="19">
        <v>7</v>
      </c>
      <c r="B8" s="3" t="s">
        <v>47</v>
      </c>
      <c r="C8" s="22">
        <v>4780</v>
      </c>
      <c r="D8" s="19">
        <v>80</v>
      </c>
      <c r="E8" s="23">
        <f t="shared" si="0"/>
        <v>159.69499343629673</v>
      </c>
      <c r="F8" s="22">
        <f t="shared" si="1"/>
        <v>4939.6949934362965</v>
      </c>
      <c r="G8" s="22">
        <f t="shared" si="2"/>
        <v>808.76321547644909</v>
      </c>
      <c r="H8" s="22">
        <f t="shared" si="3"/>
        <v>5588.7632154764487</v>
      </c>
      <c r="I8" s="22">
        <f t="shared" si="4"/>
        <v>641.30280313771368</v>
      </c>
      <c r="J8" s="22">
        <f t="shared" si="5"/>
        <v>5421.3028031377135</v>
      </c>
    </row>
    <row r="9" spans="1:19" x14ac:dyDescent="0.2">
      <c r="A9" s="19">
        <v>8</v>
      </c>
      <c r="B9" s="19" t="s">
        <v>48</v>
      </c>
      <c r="C9" s="22">
        <v>5420</v>
      </c>
      <c r="D9" s="19">
        <v>90</v>
      </c>
      <c r="E9" s="23">
        <f t="shared" si="0"/>
        <v>179.65686761583379</v>
      </c>
      <c r="F9" s="22">
        <f t="shared" si="1"/>
        <v>5599.656867615834</v>
      </c>
      <c r="G9" s="22">
        <f t="shared" si="2"/>
        <v>909.85861741100518</v>
      </c>
      <c r="H9" s="22">
        <f t="shared" si="3"/>
        <v>6329.8586174110051</v>
      </c>
      <c r="I9" s="22">
        <f t="shared" si="4"/>
        <v>721.46565352992786</v>
      </c>
      <c r="J9" s="22">
        <f t="shared" si="5"/>
        <v>6141.4656535299282</v>
      </c>
    </row>
    <row r="10" spans="1:19" x14ac:dyDescent="0.2">
      <c r="A10" s="19">
        <v>9</v>
      </c>
      <c r="B10" s="19" t="s">
        <v>49</v>
      </c>
      <c r="C10" s="22">
        <v>6150</v>
      </c>
      <c r="D10" s="19">
        <v>100</v>
      </c>
      <c r="E10" s="23">
        <f t="shared" si="0"/>
        <v>199.61874179537088</v>
      </c>
      <c r="F10" s="22">
        <f t="shared" si="1"/>
        <v>6349.6187417953706</v>
      </c>
      <c r="G10" s="22">
        <f t="shared" si="2"/>
        <v>1010.9540193455613</v>
      </c>
      <c r="H10" s="22">
        <f t="shared" si="3"/>
        <v>7160.9540193455614</v>
      </c>
      <c r="I10" s="22">
        <f t="shared" si="4"/>
        <v>801.62850392214204</v>
      </c>
      <c r="J10" s="22">
        <f t="shared" si="5"/>
        <v>6951.628503922142</v>
      </c>
    </row>
    <row r="11" spans="1:19" x14ac:dyDescent="0.2">
      <c r="A11" s="19">
        <v>10</v>
      </c>
      <c r="B11" s="19" t="s">
        <v>50</v>
      </c>
      <c r="C11" s="22">
        <v>6980</v>
      </c>
      <c r="D11" s="19">
        <v>110</v>
      </c>
      <c r="E11" s="23">
        <f t="shared" si="0"/>
        <v>219.58061597490797</v>
      </c>
      <c r="F11" s="22">
        <f t="shared" si="1"/>
        <v>7199.5806159749081</v>
      </c>
      <c r="G11" s="22">
        <f t="shared" si="2"/>
        <v>1112.0494212801175</v>
      </c>
      <c r="H11" s="22">
        <f t="shared" si="3"/>
        <v>8092.0494212801177</v>
      </c>
      <c r="I11" s="22">
        <f t="shared" si="4"/>
        <v>881.79135431435623</v>
      </c>
      <c r="J11" s="22">
        <f t="shared" si="5"/>
        <v>7861.7913543143559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0"/>
        <v>738.58934464287233</v>
      </c>
      <c r="F12" s="22">
        <f t="shared" si="1"/>
        <v>9238.5893446428727</v>
      </c>
      <c r="G12" s="22">
        <f t="shared" si="2"/>
        <v>3740.5298715785771</v>
      </c>
      <c r="H12" s="22">
        <f t="shared" si="3"/>
        <v>12240.529871578578</v>
      </c>
      <c r="I12" s="22">
        <f t="shared" si="4"/>
        <v>2966.0254645119257</v>
      </c>
      <c r="J12" s="22">
        <f t="shared" si="5"/>
        <v>11466.025464511926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0"/>
        <v>874.33008906372447</v>
      </c>
      <c r="F13" s="22">
        <f t="shared" si="1"/>
        <v>10374.330089063724</v>
      </c>
      <c r="G13" s="22">
        <f t="shared" si="2"/>
        <v>4427.9786047335583</v>
      </c>
      <c r="H13" s="22">
        <f t="shared" si="3"/>
        <v>13927.978604733558</v>
      </c>
      <c r="I13" s="22">
        <f t="shared" si="4"/>
        <v>3511.132847178982</v>
      </c>
      <c r="J13" s="22">
        <f t="shared" si="5"/>
        <v>13011.132847178982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0"/>
        <v>1028.0365202461601</v>
      </c>
      <c r="F14" s="22">
        <f t="shared" si="1"/>
        <v>11528.03652024616</v>
      </c>
      <c r="G14" s="22">
        <f t="shared" si="2"/>
        <v>5206.413199629641</v>
      </c>
      <c r="H14" s="22">
        <f t="shared" si="3"/>
        <v>15706.413199629642</v>
      </c>
      <c r="I14" s="22">
        <f t="shared" si="4"/>
        <v>4128.3867951990314</v>
      </c>
      <c r="J14" s="22">
        <f t="shared" si="5"/>
        <v>14628.386795199032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33E3-3342-43AE-9E83-24469CEF2D34}">
  <sheetPr>
    <tabColor rgb="FF00B050"/>
  </sheetPr>
  <dimension ref="A1:S19"/>
  <sheetViews>
    <sheetView workbookViewId="0"/>
  </sheetViews>
  <sheetFormatPr defaultRowHeight="12.75" x14ac:dyDescent="0.2"/>
  <cols>
    <col min="1" max="1" width="3" bestFit="1" customWidth="1"/>
    <col min="2" max="2" width="22.7109375" bestFit="1" customWidth="1"/>
    <col min="3" max="3" width="22.5703125" bestFit="1" customWidth="1"/>
    <col min="4" max="5" width="10.140625" bestFit="1" customWidth="1"/>
    <col min="6" max="6" width="9.140625" bestFit="1" customWidth="1"/>
    <col min="7" max="7" width="10.140625" bestFit="1" customWidth="1"/>
    <col min="8" max="8" width="10.28515625" bestFit="1" customWidth="1"/>
    <col min="9" max="9" width="11.140625" bestFit="1" customWidth="1"/>
    <col min="10" max="10" width="10.28515625" bestFit="1" customWidth="1"/>
    <col min="13" max="13" width="11.28515625" bestFit="1" customWidth="1"/>
    <col min="16" max="16" width="11.28515625" bestFit="1" customWidth="1"/>
    <col min="19" max="19" width="12.85546875" bestFit="1" customWidth="1"/>
  </cols>
  <sheetData>
    <row r="1" spans="1:19" ht="25.5" x14ac:dyDescent="0.2">
      <c r="A1" s="3" t="s">
        <v>75</v>
      </c>
      <c r="B1" s="21" t="s">
        <v>35</v>
      </c>
      <c r="C1" s="21" t="s">
        <v>38</v>
      </c>
      <c r="D1" s="21" t="s">
        <v>37</v>
      </c>
      <c r="E1" s="21" t="s">
        <v>399</v>
      </c>
      <c r="F1" s="21" t="s">
        <v>400</v>
      </c>
      <c r="G1" s="21" t="s">
        <v>401</v>
      </c>
      <c r="H1" s="21" t="s">
        <v>402</v>
      </c>
      <c r="I1" s="21" t="s">
        <v>403</v>
      </c>
      <c r="J1" s="21" t="s">
        <v>404</v>
      </c>
      <c r="L1" s="11" t="s">
        <v>10</v>
      </c>
      <c r="M1" s="36">
        <v>421618.87</v>
      </c>
      <c r="O1" s="11" t="s">
        <v>10</v>
      </c>
      <c r="P1" s="36">
        <v>1460915.5</v>
      </c>
      <c r="R1" s="11" t="s">
        <v>10</v>
      </c>
      <c r="S1" s="36">
        <v>1149258.98</v>
      </c>
    </row>
    <row r="2" spans="1:19" x14ac:dyDescent="0.2">
      <c r="A2" s="19">
        <v>1</v>
      </c>
      <c r="B2" s="3" t="s">
        <v>51</v>
      </c>
      <c r="C2" s="22">
        <v>3750</v>
      </c>
      <c r="D2" s="19">
        <v>63</v>
      </c>
      <c r="E2" s="23">
        <f>$M$5*D2</f>
        <v>125.75980733108366</v>
      </c>
      <c r="F2" s="22">
        <f t="shared" ref="F2:F14" si="0">C2+E2</f>
        <v>3875.7598073310837</v>
      </c>
      <c r="G2" s="348">
        <f t="shared" ref="G2:G13" si="1">D2*$P$5</f>
        <v>435.75955650892416</v>
      </c>
      <c r="H2" s="349">
        <f>C2+G2</f>
        <v>4185.7595565089241</v>
      </c>
      <c r="I2" s="348">
        <f t="shared" ref="I2:I13" si="2">D2*$S$5</f>
        <v>342.7991443986312</v>
      </c>
      <c r="J2" s="348">
        <f>C2+I2</f>
        <v>4092.7991443986311</v>
      </c>
      <c r="L2" s="11" t="s">
        <v>53</v>
      </c>
      <c r="M2" s="61">
        <v>0.15</v>
      </c>
      <c r="O2" s="11" t="s">
        <v>53</v>
      </c>
      <c r="P2" s="61">
        <v>0.15</v>
      </c>
      <c r="R2" s="11" t="s">
        <v>53</v>
      </c>
      <c r="S2" s="61">
        <v>0.15</v>
      </c>
    </row>
    <row r="3" spans="1:19" ht="13.5" thickBot="1" x14ac:dyDescent="0.25">
      <c r="A3" s="19">
        <v>2</v>
      </c>
      <c r="B3" s="3" t="s">
        <v>52</v>
      </c>
      <c r="C3" s="22">
        <v>4000</v>
      </c>
      <c r="D3" s="19">
        <v>67</v>
      </c>
      <c r="E3" s="23">
        <f t="shared" ref="E3:E14" si="3">$M$5*D3</f>
        <v>133.74455700289849</v>
      </c>
      <c r="F3" s="22">
        <f t="shared" si="0"/>
        <v>4133.7445570028985</v>
      </c>
      <c r="G3" s="348">
        <f t="shared" si="1"/>
        <v>463.42682993806221</v>
      </c>
      <c r="H3" s="349">
        <f t="shared" ref="H3:H14" si="4">C3+G3</f>
        <v>4463.4268299380619</v>
      </c>
      <c r="I3" s="348">
        <f t="shared" si="2"/>
        <v>364.56416943981412</v>
      </c>
      <c r="J3" s="348">
        <f t="shared" ref="J3:J14" si="5">C3+I3</f>
        <v>4364.5641694398146</v>
      </c>
      <c r="L3" s="11" t="s">
        <v>54</v>
      </c>
      <c r="M3" s="24">
        <f>M1*M2</f>
        <v>63242.830499999996</v>
      </c>
      <c r="O3" s="11" t="s">
        <v>54</v>
      </c>
      <c r="P3" s="24">
        <f>P1*P2</f>
        <v>219137.32499999998</v>
      </c>
      <c r="R3" s="11" t="s">
        <v>54</v>
      </c>
      <c r="S3" s="24">
        <f>S1*S2</f>
        <v>172388.84699999998</v>
      </c>
    </row>
    <row r="4" spans="1:19" ht="15.75" thickBot="1" x14ac:dyDescent="0.3">
      <c r="A4" s="19">
        <v>3</v>
      </c>
      <c r="B4" s="19" t="s">
        <v>40</v>
      </c>
      <c r="C4" s="22">
        <v>4280</v>
      </c>
      <c r="D4" s="19">
        <v>70</v>
      </c>
      <c r="E4" s="23">
        <f t="shared" si="3"/>
        <v>139.73311925675964</v>
      </c>
      <c r="F4" s="22">
        <f t="shared" si="0"/>
        <v>4419.7331192567599</v>
      </c>
      <c r="G4" s="348">
        <f t="shared" si="1"/>
        <v>484.17728500991575</v>
      </c>
      <c r="H4" s="349">
        <f t="shared" si="4"/>
        <v>4764.177285009916</v>
      </c>
      <c r="I4" s="348">
        <f t="shared" si="2"/>
        <v>380.88793822070136</v>
      </c>
      <c r="J4" s="348">
        <f t="shared" si="5"/>
        <v>4660.8879382207015</v>
      </c>
      <c r="L4" s="11" t="s">
        <v>55</v>
      </c>
      <c r="M4" s="131">
        <f>'Antecipação Consolidado'!$B$4</f>
        <v>31681.81</v>
      </c>
      <c r="O4" s="11" t="s">
        <v>55</v>
      </c>
      <c r="P4" s="131">
        <f>'Antecipação Consolidado'!$B$4</f>
        <v>31681.81</v>
      </c>
      <c r="R4" s="11" t="s">
        <v>55</v>
      </c>
      <c r="S4" s="131">
        <f>'Antecipação Consolidado'!$B$4</f>
        <v>31681.81</v>
      </c>
    </row>
    <row r="5" spans="1:19" x14ac:dyDescent="0.2">
      <c r="A5" s="19">
        <v>4</v>
      </c>
      <c r="B5" s="19" t="s">
        <v>41</v>
      </c>
      <c r="C5" s="22">
        <v>4580</v>
      </c>
      <c r="D5" s="19">
        <v>76</v>
      </c>
      <c r="E5" s="23">
        <f t="shared" si="3"/>
        <v>151.71024376448187</v>
      </c>
      <c r="F5" s="22">
        <f t="shared" si="0"/>
        <v>4731.7102437644817</v>
      </c>
      <c r="G5" s="348">
        <f t="shared" si="1"/>
        <v>525.67819515362282</v>
      </c>
      <c r="H5" s="349">
        <f t="shared" si="4"/>
        <v>5105.6781951536232</v>
      </c>
      <c r="I5" s="348">
        <f t="shared" si="2"/>
        <v>413.53547578247577</v>
      </c>
      <c r="J5" s="348">
        <f t="shared" si="5"/>
        <v>4993.5354757824762</v>
      </c>
      <c r="L5" s="11" t="s">
        <v>56</v>
      </c>
      <c r="M5" s="28">
        <f>M3/M4</f>
        <v>1.9961874179537089</v>
      </c>
      <c r="O5" s="11" t="s">
        <v>56</v>
      </c>
      <c r="P5" s="28">
        <f>P3/P4</f>
        <v>6.9168183572845106</v>
      </c>
      <c r="R5" s="11" t="s">
        <v>56</v>
      </c>
      <c r="S5" s="28">
        <f>S3/S4</f>
        <v>5.4412562602957335</v>
      </c>
    </row>
    <row r="6" spans="1:19" x14ac:dyDescent="0.2">
      <c r="A6" s="19">
        <v>5</v>
      </c>
      <c r="B6" s="19" t="s">
        <v>42</v>
      </c>
      <c r="C6" s="22">
        <v>5040</v>
      </c>
      <c r="D6" s="19">
        <v>84</v>
      </c>
      <c r="E6" s="23">
        <f t="shared" si="3"/>
        <v>167.67974310811155</v>
      </c>
      <c r="F6" s="22">
        <f t="shared" si="0"/>
        <v>5207.6797431081113</v>
      </c>
      <c r="G6" s="348">
        <f t="shared" si="1"/>
        <v>581.01274201189892</v>
      </c>
      <c r="H6" s="349">
        <f t="shared" si="4"/>
        <v>5621.0127420118988</v>
      </c>
      <c r="I6" s="348">
        <f t="shared" si="2"/>
        <v>457.06552586484162</v>
      </c>
      <c r="J6" s="348">
        <f t="shared" si="5"/>
        <v>5497.0655258648412</v>
      </c>
    </row>
    <row r="7" spans="1:19" x14ac:dyDescent="0.2">
      <c r="A7" s="19">
        <v>6</v>
      </c>
      <c r="B7" s="19" t="s">
        <v>43</v>
      </c>
      <c r="C7" s="22">
        <v>5400</v>
      </c>
      <c r="D7" s="19">
        <v>90</v>
      </c>
      <c r="E7" s="23">
        <f t="shared" si="3"/>
        <v>179.65686761583379</v>
      </c>
      <c r="F7" s="22">
        <f t="shared" si="0"/>
        <v>5579.656867615834</v>
      </c>
      <c r="G7" s="348">
        <f t="shared" si="1"/>
        <v>622.513652155606</v>
      </c>
      <c r="H7" s="349">
        <f t="shared" si="4"/>
        <v>6022.513652155606</v>
      </c>
      <c r="I7" s="348">
        <f t="shared" si="2"/>
        <v>489.71306342661603</v>
      </c>
      <c r="J7" s="348">
        <f t="shared" si="5"/>
        <v>5889.7130634266159</v>
      </c>
    </row>
    <row r="8" spans="1:19" x14ac:dyDescent="0.2">
      <c r="A8" s="19">
        <v>7</v>
      </c>
      <c r="B8" s="19" t="s">
        <v>44</v>
      </c>
      <c r="C8" s="22">
        <v>5780</v>
      </c>
      <c r="D8" s="19">
        <v>94</v>
      </c>
      <c r="E8" s="23">
        <f t="shared" si="3"/>
        <v>187.64161728764864</v>
      </c>
      <c r="F8" s="22">
        <f t="shared" si="0"/>
        <v>5967.6416172876488</v>
      </c>
      <c r="G8" s="348">
        <f t="shared" si="1"/>
        <v>650.18092558474405</v>
      </c>
      <c r="H8" s="349">
        <f t="shared" si="4"/>
        <v>6430.1809255847438</v>
      </c>
      <c r="I8" s="348">
        <f t="shared" si="2"/>
        <v>511.47808846779895</v>
      </c>
      <c r="J8" s="348">
        <f t="shared" si="5"/>
        <v>6291.4780884677994</v>
      </c>
    </row>
    <row r="9" spans="1:19" x14ac:dyDescent="0.2">
      <c r="A9" s="19">
        <v>8</v>
      </c>
      <c r="B9" s="19" t="s">
        <v>45</v>
      </c>
      <c r="C9" s="22">
        <v>6360</v>
      </c>
      <c r="D9" s="19">
        <v>103</v>
      </c>
      <c r="E9" s="23">
        <f t="shared" si="3"/>
        <v>205.60730404923203</v>
      </c>
      <c r="F9" s="22">
        <f t="shared" si="0"/>
        <v>6565.607304049232</v>
      </c>
      <c r="G9" s="348">
        <f t="shared" si="1"/>
        <v>712.4322908003046</v>
      </c>
      <c r="H9" s="349">
        <f t="shared" si="4"/>
        <v>7072.4322908003051</v>
      </c>
      <c r="I9" s="348">
        <f t="shared" si="2"/>
        <v>560.4493948104606</v>
      </c>
      <c r="J9" s="348">
        <f t="shared" si="5"/>
        <v>6920.4493948104609</v>
      </c>
    </row>
    <row r="10" spans="1:19" x14ac:dyDescent="0.2">
      <c r="A10" s="19">
        <v>9</v>
      </c>
      <c r="B10" s="3" t="s">
        <v>46</v>
      </c>
      <c r="C10" s="22">
        <v>6810</v>
      </c>
      <c r="D10" s="19">
        <v>107</v>
      </c>
      <c r="E10" s="23">
        <f t="shared" si="3"/>
        <v>213.59205372104685</v>
      </c>
      <c r="F10" s="22">
        <f t="shared" si="0"/>
        <v>7023.5920537210468</v>
      </c>
      <c r="G10" s="348">
        <f t="shared" si="1"/>
        <v>740.09956422944265</v>
      </c>
      <c r="H10" s="349">
        <f t="shared" si="4"/>
        <v>7550.0995642294429</v>
      </c>
      <c r="I10" s="348">
        <f t="shared" si="2"/>
        <v>582.21441985164347</v>
      </c>
      <c r="J10" s="348">
        <f t="shared" si="5"/>
        <v>7392.2144198516435</v>
      </c>
      <c r="L10" s="2" t="s">
        <v>398</v>
      </c>
    </row>
    <row r="11" spans="1:19" x14ac:dyDescent="0.2">
      <c r="A11" s="19">
        <v>10</v>
      </c>
      <c r="B11" s="19" t="s">
        <v>47</v>
      </c>
      <c r="C11" s="22">
        <v>7290</v>
      </c>
      <c r="D11" s="19">
        <v>118</v>
      </c>
      <c r="E11" s="23">
        <f t="shared" si="3"/>
        <v>235.55011531853765</v>
      </c>
      <c r="F11" s="22">
        <f t="shared" si="0"/>
        <v>7525.5501153185378</v>
      </c>
      <c r="G11" s="348">
        <f t="shared" si="1"/>
        <v>816.18456615957223</v>
      </c>
      <c r="H11" s="349">
        <f t="shared" si="4"/>
        <v>8106.1845661595726</v>
      </c>
      <c r="I11" s="348">
        <f t="shared" si="2"/>
        <v>642.06823871489655</v>
      </c>
      <c r="J11" s="348">
        <f t="shared" si="5"/>
        <v>7932.0682387148963</v>
      </c>
    </row>
    <row r="12" spans="1:19" x14ac:dyDescent="0.2">
      <c r="A12" s="19">
        <v>11</v>
      </c>
      <c r="B12" s="3" t="s">
        <v>244</v>
      </c>
      <c r="C12" s="22">
        <v>8500</v>
      </c>
      <c r="D12" s="19">
        <v>370</v>
      </c>
      <c r="E12" s="23">
        <f t="shared" si="3"/>
        <v>738.58934464287233</v>
      </c>
      <c r="F12" s="22">
        <f t="shared" si="0"/>
        <v>9238.5893446428727</v>
      </c>
      <c r="G12" s="348">
        <f t="shared" si="1"/>
        <v>2559.222792195269</v>
      </c>
      <c r="H12" s="349">
        <f t="shared" si="4"/>
        <v>11059.222792195269</v>
      </c>
      <c r="I12" s="348">
        <f t="shared" si="2"/>
        <v>2013.2648163094213</v>
      </c>
      <c r="J12" s="348">
        <f t="shared" si="5"/>
        <v>10513.264816309422</v>
      </c>
    </row>
    <row r="13" spans="1:19" x14ac:dyDescent="0.2">
      <c r="A13" s="19">
        <v>12</v>
      </c>
      <c r="B13" s="3" t="s">
        <v>245</v>
      </c>
      <c r="C13" s="22">
        <v>9500</v>
      </c>
      <c r="D13" s="19">
        <v>438</v>
      </c>
      <c r="E13" s="23">
        <f t="shared" si="3"/>
        <v>874.33008906372447</v>
      </c>
      <c r="F13" s="22">
        <f t="shared" si="0"/>
        <v>10374.330089063724</v>
      </c>
      <c r="G13" s="348">
        <f t="shared" si="1"/>
        <v>3029.5664404906156</v>
      </c>
      <c r="H13" s="349">
        <f t="shared" si="4"/>
        <v>12529.566440490617</v>
      </c>
      <c r="I13" s="348">
        <f t="shared" si="2"/>
        <v>2383.2702420095311</v>
      </c>
      <c r="J13" s="348">
        <f t="shared" si="5"/>
        <v>11883.27024200953</v>
      </c>
    </row>
    <row r="14" spans="1:19" x14ac:dyDescent="0.2">
      <c r="A14" s="19">
        <v>13</v>
      </c>
      <c r="B14" s="3" t="s">
        <v>246</v>
      </c>
      <c r="C14" s="22">
        <v>10500</v>
      </c>
      <c r="D14" s="19">
        <v>515</v>
      </c>
      <c r="E14" s="23">
        <f t="shared" si="3"/>
        <v>1028.0365202461601</v>
      </c>
      <c r="F14" s="22">
        <f t="shared" si="0"/>
        <v>11528.03652024616</v>
      </c>
      <c r="G14" s="348">
        <f>D14*$P$5</f>
        <v>3562.161454001523</v>
      </c>
      <c r="H14" s="349">
        <f t="shared" si="4"/>
        <v>14062.161454001523</v>
      </c>
      <c r="I14" s="348">
        <f>D14*$S$5</f>
        <v>2802.2469740523029</v>
      </c>
      <c r="J14" s="348">
        <f t="shared" si="5"/>
        <v>13302.246974052303</v>
      </c>
    </row>
    <row r="16" spans="1:19" x14ac:dyDescent="0.2">
      <c r="D16" s="1"/>
    </row>
    <row r="17" spans="5:5" x14ac:dyDescent="0.2">
      <c r="E17" s="27"/>
    </row>
    <row r="18" spans="5:5" x14ac:dyDescent="0.2">
      <c r="E18" s="27"/>
    </row>
    <row r="19" spans="5:5" x14ac:dyDescent="0.2">
      <c r="E19" s="27"/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D4FC-B4E3-43FF-B78A-AC7132B8378D}">
  <sheetPr>
    <tabColor rgb="FF00B050"/>
  </sheetPr>
  <dimension ref="B1:AD140"/>
  <sheetViews>
    <sheetView showGridLines="0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22.5703125" bestFit="1" customWidth="1"/>
    <col min="5" max="5" width="8.140625" customWidth="1"/>
    <col min="6" max="6" width="10.140625" bestFit="1" customWidth="1"/>
    <col min="7" max="7" width="7.42578125" bestFit="1" customWidth="1"/>
    <col min="8" max="8" width="5.7109375" customWidth="1"/>
    <col min="9" max="9" width="10.140625" bestFit="1" customWidth="1"/>
    <col min="10" max="10" width="7.42578125" bestFit="1" customWidth="1"/>
    <col min="11" max="11" width="5.7109375" customWidth="1"/>
    <col min="12" max="12" width="10.140625" bestFit="1" customWidth="1"/>
    <col min="13" max="13" width="7.42578125" bestFit="1" customWidth="1"/>
    <col min="14" max="14" width="5.7109375" customWidth="1"/>
    <col min="15" max="15" width="10.140625" bestFit="1" customWidth="1"/>
    <col min="16" max="16" width="7.42578125" bestFit="1" customWidth="1"/>
    <col min="17" max="18" width="10.7109375" customWidth="1"/>
    <col min="20" max="20" width="11.28515625" bestFit="1" customWidth="1"/>
    <col min="22" max="22" width="11.28515625" bestFit="1" customWidth="1"/>
    <col min="24" max="24" width="11.28515625" bestFit="1" customWidth="1"/>
    <col min="26" max="26" width="11.28515625" bestFit="1" customWidth="1"/>
    <col min="28" max="28" width="11.28515625" bestFit="1" customWidth="1"/>
    <col min="30" max="30" width="11.28515625" bestFit="1" customWidth="1"/>
  </cols>
  <sheetData>
    <row r="1" spans="2:30" ht="13.5" thickBot="1" x14ac:dyDescent="0.25"/>
    <row r="2" spans="2:30" ht="26.25" thickBot="1" x14ac:dyDescent="0.25">
      <c r="E2" s="49"/>
      <c r="F2" s="160" t="s">
        <v>37</v>
      </c>
      <c r="G2" s="161" t="s">
        <v>36</v>
      </c>
      <c r="H2" s="49"/>
      <c r="I2" s="160" t="s">
        <v>37</v>
      </c>
      <c r="J2" s="161" t="s">
        <v>36</v>
      </c>
      <c r="K2" s="49"/>
      <c r="L2" s="160" t="s">
        <v>37</v>
      </c>
      <c r="M2" s="161" t="s">
        <v>36</v>
      </c>
      <c r="N2" s="49"/>
      <c r="O2" s="160" t="s">
        <v>37</v>
      </c>
      <c r="P2" s="161" t="s">
        <v>36</v>
      </c>
      <c r="T2" s="36">
        <v>605962.93817960005</v>
      </c>
      <c r="V2" s="36">
        <v>605962.93817960005</v>
      </c>
      <c r="X2" s="36">
        <v>605962.93817960005</v>
      </c>
      <c r="Z2" s="36">
        <v>605962.93817960005</v>
      </c>
      <c r="AB2" s="36">
        <v>605962.93817960005</v>
      </c>
      <c r="AD2" s="36">
        <v>605962.93817960005</v>
      </c>
    </row>
    <row r="3" spans="2:30" ht="15" customHeight="1" x14ac:dyDescent="0.2">
      <c r="E3" s="49"/>
      <c r="F3" s="164">
        <v>45</v>
      </c>
      <c r="G3" s="165">
        <f t="shared" ref="G3:G25" si="0">F3*$T$6</f>
        <v>86.698520345252774</v>
      </c>
      <c r="H3" s="49"/>
      <c r="I3" s="155">
        <v>112</v>
      </c>
      <c r="J3" s="152">
        <f t="shared" ref="J3:J25" si="1">I3*$T$6</f>
        <v>215.78298397040692</v>
      </c>
      <c r="K3" s="49"/>
      <c r="L3" s="155">
        <v>143</v>
      </c>
      <c r="M3" s="152">
        <f t="shared" ref="M3:M25" si="2">L3*$T$6</f>
        <v>275.50863131935881</v>
      </c>
      <c r="N3" s="49"/>
      <c r="O3" s="155">
        <v>174</v>
      </c>
      <c r="P3" s="152">
        <f t="shared" ref="P3:P25" si="3">O3*$T$6</f>
        <v>335.23427866831071</v>
      </c>
      <c r="Q3" s="1"/>
      <c r="R3" s="1"/>
      <c r="T3" s="61">
        <v>0.15</v>
      </c>
      <c r="V3" s="61">
        <v>0.15</v>
      </c>
      <c r="X3" s="61">
        <v>0.15</v>
      </c>
      <c r="Z3" s="61">
        <v>0.15</v>
      </c>
      <c r="AB3" s="61">
        <v>0.15</v>
      </c>
      <c r="AD3" s="61">
        <v>0.15</v>
      </c>
    </row>
    <row r="4" spans="2:30" ht="15" customHeight="1" thickBot="1" x14ac:dyDescent="0.25">
      <c r="E4" s="49"/>
      <c r="F4" s="166">
        <v>50</v>
      </c>
      <c r="G4" s="167">
        <f t="shared" si="0"/>
        <v>96.331689272503084</v>
      </c>
      <c r="H4" s="49"/>
      <c r="I4" s="156">
        <v>113</v>
      </c>
      <c r="J4" s="153">
        <f t="shared" si="1"/>
        <v>217.70961775585698</v>
      </c>
      <c r="K4" s="49"/>
      <c r="L4" s="156">
        <v>144</v>
      </c>
      <c r="M4" s="153">
        <f t="shared" si="2"/>
        <v>277.43526510480888</v>
      </c>
      <c r="N4" s="49"/>
      <c r="O4" s="156">
        <v>175</v>
      </c>
      <c r="P4" s="153">
        <f t="shared" si="3"/>
        <v>337.16091245376077</v>
      </c>
      <c r="Q4" s="1"/>
      <c r="R4" s="1"/>
      <c r="T4" s="24">
        <v>50000</v>
      </c>
      <c r="V4" s="24">
        <v>100000</v>
      </c>
      <c r="X4" s="24">
        <v>150000</v>
      </c>
      <c r="Z4" s="24">
        <v>200000</v>
      </c>
      <c r="AB4" s="24">
        <v>250000</v>
      </c>
      <c r="AD4" s="24">
        <v>300000</v>
      </c>
    </row>
    <row r="5" spans="2:30" ht="15" customHeight="1" thickBot="1" x14ac:dyDescent="0.3">
      <c r="E5" s="49"/>
      <c r="F5" s="166">
        <v>55</v>
      </c>
      <c r="G5" s="167">
        <f t="shared" si="0"/>
        <v>105.96485819975339</v>
      </c>
      <c r="H5" s="49"/>
      <c r="I5" s="156">
        <v>114</v>
      </c>
      <c r="J5" s="153">
        <f t="shared" si="1"/>
        <v>219.63625154130705</v>
      </c>
      <c r="K5" s="49"/>
      <c r="L5" s="156">
        <v>145</v>
      </c>
      <c r="M5" s="153">
        <f t="shared" si="2"/>
        <v>279.36189889025894</v>
      </c>
      <c r="N5" s="49"/>
      <c r="O5" s="156">
        <v>176</v>
      </c>
      <c r="P5" s="153">
        <f t="shared" si="3"/>
        <v>339.08754623921084</v>
      </c>
      <c r="Q5" s="1"/>
      <c r="R5" s="1"/>
      <c r="T5" s="131">
        <v>25952</v>
      </c>
      <c r="V5" s="131">
        <v>25952</v>
      </c>
      <c r="X5" s="131">
        <v>25952</v>
      </c>
      <c r="Z5" s="131">
        <v>25952</v>
      </c>
      <c r="AB5" s="131">
        <v>25952</v>
      </c>
      <c r="AD5" s="131">
        <v>25952</v>
      </c>
    </row>
    <row r="6" spans="2:30" ht="15" customHeight="1" x14ac:dyDescent="0.2">
      <c r="E6" s="49"/>
      <c r="F6" s="166">
        <v>60</v>
      </c>
      <c r="G6" s="167">
        <f t="shared" si="0"/>
        <v>115.5980271270037</v>
      </c>
      <c r="H6" s="49"/>
      <c r="I6" s="156">
        <v>115</v>
      </c>
      <c r="J6" s="153">
        <f t="shared" si="1"/>
        <v>221.56288532675708</v>
      </c>
      <c r="K6" s="49"/>
      <c r="L6" s="156">
        <v>146</v>
      </c>
      <c r="M6" s="153">
        <f t="shared" si="2"/>
        <v>281.28853267570901</v>
      </c>
      <c r="N6" s="49"/>
      <c r="O6" s="156">
        <v>177</v>
      </c>
      <c r="P6" s="153">
        <f t="shared" si="3"/>
        <v>341.0141800246609</v>
      </c>
      <c r="Q6" s="49"/>
      <c r="R6" s="49"/>
      <c r="T6" s="28">
        <f>T4/T5</f>
        <v>1.9266337854500617</v>
      </c>
      <c r="V6" s="28">
        <f>V4/V5</f>
        <v>3.8532675709001234</v>
      </c>
      <c r="X6" s="28">
        <f>X4/X5</f>
        <v>5.7799013563501846</v>
      </c>
      <c r="Z6" s="28">
        <f>Z4/Z5</f>
        <v>7.7065351418002468</v>
      </c>
      <c r="AB6" s="28">
        <f>AB4/AB5</f>
        <v>9.633168927250308</v>
      </c>
      <c r="AD6" s="28">
        <f>AD4/AD5</f>
        <v>11.559802712700369</v>
      </c>
    </row>
    <row r="7" spans="2:30" ht="15" customHeight="1" x14ac:dyDescent="0.2">
      <c r="E7" s="49"/>
      <c r="F7" s="166">
        <v>65</v>
      </c>
      <c r="G7" s="167">
        <f t="shared" si="0"/>
        <v>125.23119605425401</v>
      </c>
      <c r="H7" s="49"/>
      <c r="I7" s="156">
        <v>116</v>
      </c>
      <c r="J7" s="153">
        <f t="shared" si="1"/>
        <v>223.48951911220715</v>
      </c>
      <c r="K7" s="49"/>
      <c r="L7" s="156">
        <v>147</v>
      </c>
      <c r="M7" s="153">
        <f t="shared" si="2"/>
        <v>283.21516646115907</v>
      </c>
      <c r="N7" s="49"/>
      <c r="O7" s="156">
        <v>178</v>
      </c>
      <c r="P7" s="153">
        <f t="shared" si="3"/>
        <v>342.94081381011097</v>
      </c>
      <c r="Q7" s="1"/>
      <c r="R7" s="1"/>
    </row>
    <row r="8" spans="2:30" ht="15" customHeight="1" x14ac:dyDescent="0.2">
      <c r="E8" s="49"/>
      <c r="F8" s="166">
        <v>70</v>
      </c>
      <c r="G8" s="167">
        <f t="shared" si="0"/>
        <v>134.86436498150431</v>
      </c>
      <c r="H8" s="49"/>
      <c r="I8" s="156">
        <v>117</v>
      </c>
      <c r="J8" s="153">
        <f t="shared" si="1"/>
        <v>225.41615289765721</v>
      </c>
      <c r="K8" s="49"/>
      <c r="L8" s="156">
        <v>148</v>
      </c>
      <c r="M8" s="153">
        <f t="shared" si="2"/>
        <v>285.14180024660914</v>
      </c>
      <c r="N8" s="49"/>
      <c r="O8" s="156">
        <v>179</v>
      </c>
      <c r="P8" s="153">
        <f t="shared" si="3"/>
        <v>344.86744759556103</v>
      </c>
      <c r="Q8" s="1"/>
      <c r="R8" s="1"/>
    </row>
    <row r="9" spans="2:30" ht="15" customHeight="1" x14ac:dyDescent="0.2">
      <c r="E9" s="49"/>
      <c r="F9" s="156">
        <v>75</v>
      </c>
      <c r="G9" s="153">
        <f t="shared" si="0"/>
        <v>144.49753390875463</v>
      </c>
      <c r="H9" s="49"/>
      <c r="I9" s="144">
        <v>118</v>
      </c>
      <c r="J9" s="163">
        <f t="shared" si="1"/>
        <v>227.34278668310728</v>
      </c>
      <c r="K9" s="49"/>
      <c r="L9" s="156">
        <v>149</v>
      </c>
      <c r="M9" s="153">
        <f t="shared" si="2"/>
        <v>287.0684340320592</v>
      </c>
      <c r="N9" s="49"/>
      <c r="O9" s="156">
        <v>180</v>
      </c>
      <c r="P9" s="153">
        <f t="shared" si="3"/>
        <v>346.7940813810111</v>
      </c>
      <c r="Q9" s="1"/>
      <c r="R9" s="1"/>
      <c r="T9" s="117"/>
    </row>
    <row r="10" spans="2:30" ht="15" customHeight="1" x14ac:dyDescent="0.2">
      <c r="E10" s="49"/>
      <c r="F10" s="144">
        <v>76</v>
      </c>
      <c r="G10" s="163">
        <f t="shared" si="0"/>
        <v>146.4241676942047</v>
      </c>
      <c r="H10" s="49"/>
      <c r="I10" s="156">
        <v>119</v>
      </c>
      <c r="J10" s="153">
        <f t="shared" si="1"/>
        <v>229.26942046855734</v>
      </c>
      <c r="K10" s="49"/>
      <c r="L10" s="156">
        <v>150</v>
      </c>
      <c r="M10" s="153">
        <f t="shared" si="2"/>
        <v>288.99506781750927</v>
      </c>
      <c r="N10" s="49"/>
      <c r="O10" s="156">
        <v>181</v>
      </c>
      <c r="P10" s="153">
        <f t="shared" si="3"/>
        <v>348.72071516646116</v>
      </c>
      <c r="Q10" s="1"/>
      <c r="R10" s="1"/>
      <c r="T10" s="117"/>
    </row>
    <row r="11" spans="2:30" ht="15" customHeight="1" x14ac:dyDescent="0.2">
      <c r="E11" s="49"/>
      <c r="F11" s="166">
        <v>80</v>
      </c>
      <c r="G11" s="167">
        <f t="shared" si="0"/>
        <v>154.13070283600493</v>
      </c>
      <c r="H11" s="49"/>
      <c r="I11" s="156">
        <v>120</v>
      </c>
      <c r="J11" s="153">
        <f t="shared" si="1"/>
        <v>231.19605425400741</v>
      </c>
      <c r="K11" s="49"/>
      <c r="L11" s="156">
        <v>151</v>
      </c>
      <c r="M11" s="153">
        <f t="shared" si="2"/>
        <v>290.92170160295933</v>
      </c>
      <c r="N11" s="49"/>
      <c r="O11" s="156">
        <v>182</v>
      </c>
      <c r="P11" s="153">
        <f t="shared" si="3"/>
        <v>350.64734895191123</v>
      </c>
      <c r="Q11" s="49"/>
      <c r="R11" s="49"/>
    </row>
    <row r="12" spans="2:30" ht="15" customHeight="1" x14ac:dyDescent="0.2">
      <c r="E12" s="49"/>
      <c r="F12" s="156">
        <v>81</v>
      </c>
      <c r="G12" s="153">
        <f t="shared" si="0"/>
        <v>156.05733662145499</v>
      </c>
      <c r="H12" s="49"/>
      <c r="I12" s="156">
        <v>121</v>
      </c>
      <c r="J12" s="153">
        <f t="shared" si="1"/>
        <v>233.12268803945747</v>
      </c>
      <c r="K12" s="49"/>
      <c r="L12" s="156">
        <v>152</v>
      </c>
      <c r="M12" s="153">
        <f t="shared" si="2"/>
        <v>292.8483353884094</v>
      </c>
      <c r="N12" s="49"/>
      <c r="O12" s="156">
        <v>183</v>
      </c>
      <c r="P12" s="153">
        <f t="shared" si="3"/>
        <v>352.57398273736129</v>
      </c>
      <c r="Q12" s="1"/>
      <c r="R12" s="1"/>
    </row>
    <row r="13" spans="2:30" ht="15" customHeight="1" x14ac:dyDescent="0.2">
      <c r="E13" s="49"/>
      <c r="F13" s="144">
        <v>84</v>
      </c>
      <c r="G13" s="163">
        <f t="shared" si="0"/>
        <v>161.83723797780519</v>
      </c>
      <c r="H13" s="49"/>
      <c r="I13" s="156">
        <v>122</v>
      </c>
      <c r="J13" s="153">
        <f t="shared" si="1"/>
        <v>235.04932182490754</v>
      </c>
      <c r="K13" s="49"/>
      <c r="L13" s="156">
        <v>153</v>
      </c>
      <c r="M13" s="153">
        <f t="shared" si="2"/>
        <v>294.77496917385946</v>
      </c>
      <c r="N13" s="49"/>
      <c r="O13" s="156">
        <v>184</v>
      </c>
      <c r="P13" s="153">
        <f t="shared" si="3"/>
        <v>354.50061652281136</v>
      </c>
      <c r="Q13" s="1"/>
      <c r="R13" s="1"/>
    </row>
    <row r="14" spans="2:30" ht="15" customHeight="1" thickBot="1" x14ac:dyDescent="0.25">
      <c r="E14" s="49"/>
      <c r="F14" s="156">
        <v>85</v>
      </c>
      <c r="G14" s="153">
        <f t="shared" si="0"/>
        <v>163.76387176325525</v>
      </c>
      <c r="H14" s="49"/>
      <c r="I14" s="156">
        <v>123</v>
      </c>
      <c r="J14" s="153">
        <f t="shared" si="1"/>
        <v>236.9759556103576</v>
      </c>
      <c r="K14" s="49"/>
      <c r="L14" s="156">
        <v>154</v>
      </c>
      <c r="M14" s="153">
        <f t="shared" si="2"/>
        <v>296.70160295930953</v>
      </c>
      <c r="N14" s="49"/>
      <c r="O14" s="156">
        <v>185</v>
      </c>
      <c r="P14" s="153">
        <f t="shared" si="3"/>
        <v>356.42725030826142</v>
      </c>
      <c r="Q14" s="1"/>
      <c r="R14" s="1"/>
    </row>
    <row r="15" spans="2:30" ht="15" customHeight="1" x14ac:dyDescent="0.2">
      <c r="B15" s="486" t="s">
        <v>108</v>
      </c>
      <c r="C15" s="476" t="s">
        <v>35</v>
      </c>
      <c r="D15" s="478" t="s">
        <v>38</v>
      </c>
      <c r="E15" s="49"/>
      <c r="F15" s="156">
        <v>86</v>
      </c>
      <c r="G15" s="153">
        <f t="shared" si="0"/>
        <v>165.69050554870532</v>
      </c>
      <c r="H15" s="49"/>
      <c r="I15" s="156">
        <v>124</v>
      </c>
      <c r="J15" s="153">
        <f t="shared" si="1"/>
        <v>238.90258939580764</v>
      </c>
      <c r="K15" s="49"/>
      <c r="L15" s="156">
        <v>155</v>
      </c>
      <c r="M15" s="153">
        <f t="shared" si="2"/>
        <v>298.62823674475959</v>
      </c>
      <c r="N15" s="49"/>
      <c r="O15" s="156">
        <v>186</v>
      </c>
      <c r="P15" s="153">
        <f t="shared" si="3"/>
        <v>358.35388409371149</v>
      </c>
      <c r="Q15" s="1"/>
      <c r="R15" s="1"/>
    </row>
    <row r="16" spans="2:30" ht="15" customHeight="1" thickBot="1" x14ac:dyDescent="0.25">
      <c r="B16" s="487"/>
      <c r="C16" s="477"/>
      <c r="D16" s="479"/>
      <c r="E16" s="49"/>
      <c r="F16" s="156">
        <v>89</v>
      </c>
      <c r="G16" s="153">
        <f t="shared" si="0"/>
        <v>171.47040690505548</v>
      </c>
      <c r="H16" s="49"/>
      <c r="I16" s="156">
        <v>125</v>
      </c>
      <c r="J16" s="153">
        <f t="shared" si="1"/>
        <v>240.8292231812577</v>
      </c>
      <c r="K16" s="49"/>
      <c r="L16" s="156">
        <v>156</v>
      </c>
      <c r="M16" s="153">
        <f t="shared" si="2"/>
        <v>300.5548705302096</v>
      </c>
      <c r="N16" s="49"/>
      <c r="O16" s="156">
        <v>187</v>
      </c>
      <c r="P16" s="153">
        <f t="shared" si="3"/>
        <v>360.28051787916155</v>
      </c>
      <c r="Q16" s="49"/>
      <c r="R16" s="49"/>
    </row>
    <row r="17" spans="2:28" ht="15" customHeight="1" x14ac:dyDescent="0.2">
      <c r="B17" s="483" t="s">
        <v>119</v>
      </c>
      <c r="C17" s="178" t="s">
        <v>165</v>
      </c>
      <c r="D17" s="179">
        <v>2680</v>
      </c>
      <c r="E17" s="49"/>
      <c r="F17" s="166">
        <v>90</v>
      </c>
      <c r="G17" s="167">
        <f t="shared" si="0"/>
        <v>173.39704069050555</v>
      </c>
      <c r="H17" s="49"/>
      <c r="I17" s="156">
        <v>126</v>
      </c>
      <c r="J17" s="153">
        <f t="shared" si="1"/>
        <v>242.75585696670777</v>
      </c>
      <c r="K17" s="49"/>
      <c r="L17" s="156">
        <v>157</v>
      </c>
      <c r="M17" s="153">
        <f t="shared" si="2"/>
        <v>302.48150431565966</v>
      </c>
      <c r="N17" s="49"/>
      <c r="O17" s="156">
        <v>188</v>
      </c>
      <c r="P17" s="153">
        <f t="shared" si="3"/>
        <v>362.20715166461162</v>
      </c>
      <c r="Q17" s="1"/>
      <c r="R17" s="1"/>
      <c r="T17" s="48">
        <v>45</v>
      </c>
      <c r="U17" s="48">
        <v>45</v>
      </c>
      <c r="Y17" s="146">
        <v>76</v>
      </c>
      <c r="Z17" s="147">
        <f t="shared" ref="Z17:Z23" si="4">Y17*$T$6</f>
        <v>146.4241676942047</v>
      </c>
      <c r="AB17" s="48"/>
    </row>
    <row r="18" spans="2:28" ht="15" customHeight="1" x14ac:dyDescent="0.2">
      <c r="B18" s="484"/>
      <c r="C18" s="171" t="s">
        <v>42</v>
      </c>
      <c r="D18" s="168">
        <v>2900</v>
      </c>
      <c r="E18" s="49"/>
      <c r="F18" s="156">
        <v>91</v>
      </c>
      <c r="G18" s="153">
        <f t="shared" si="0"/>
        <v>175.32367447595561</v>
      </c>
      <c r="H18" s="49"/>
      <c r="I18" s="156">
        <v>127</v>
      </c>
      <c r="J18" s="153">
        <f t="shared" si="1"/>
        <v>244.68249075215783</v>
      </c>
      <c r="K18" s="49"/>
      <c r="L18" s="156">
        <v>158</v>
      </c>
      <c r="M18" s="153">
        <f t="shared" si="2"/>
        <v>304.40813810110973</v>
      </c>
      <c r="N18" s="49"/>
      <c r="O18" s="156">
        <v>189</v>
      </c>
      <c r="P18" s="153">
        <f t="shared" si="3"/>
        <v>364.13378545006168</v>
      </c>
      <c r="Q18" s="1"/>
      <c r="R18" s="1"/>
      <c r="T18" s="48">
        <v>50</v>
      </c>
      <c r="U18" s="48">
        <v>50</v>
      </c>
      <c r="Y18" s="48">
        <v>84</v>
      </c>
      <c r="Z18" s="145">
        <f t="shared" si="4"/>
        <v>161.83723797780519</v>
      </c>
      <c r="AB18" s="48"/>
    </row>
    <row r="19" spans="2:28" ht="15" customHeight="1" x14ac:dyDescent="0.2">
      <c r="B19" s="484"/>
      <c r="C19" s="171" t="s">
        <v>43</v>
      </c>
      <c r="D19" s="168">
        <v>3140</v>
      </c>
      <c r="E19" s="49"/>
      <c r="F19" s="144">
        <v>94</v>
      </c>
      <c r="G19" s="163">
        <f t="shared" si="0"/>
        <v>181.10357583230581</v>
      </c>
      <c r="H19" s="49"/>
      <c r="I19" s="156">
        <v>128</v>
      </c>
      <c r="J19" s="153">
        <f t="shared" si="1"/>
        <v>246.6091245376079</v>
      </c>
      <c r="K19" s="49"/>
      <c r="L19" s="156">
        <v>159</v>
      </c>
      <c r="M19" s="153">
        <f t="shared" si="2"/>
        <v>306.33477188655979</v>
      </c>
      <c r="N19" s="49"/>
      <c r="O19" s="156">
        <v>190</v>
      </c>
      <c r="P19" s="153">
        <f t="shared" si="3"/>
        <v>366.06041923551174</v>
      </c>
      <c r="Q19" s="1"/>
      <c r="R19" s="1"/>
      <c r="T19" s="48">
        <v>55</v>
      </c>
      <c r="U19" s="48">
        <v>55</v>
      </c>
      <c r="Y19" s="48">
        <v>90</v>
      </c>
      <c r="Z19" s="145">
        <f t="shared" si="4"/>
        <v>173.39704069050555</v>
      </c>
      <c r="AB19" s="48"/>
    </row>
    <row r="20" spans="2:28" ht="15" customHeight="1" x14ac:dyDescent="0.2">
      <c r="B20" s="484"/>
      <c r="C20" s="171" t="s">
        <v>44</v>
      </c>
      <c r="D20" s="168">
        <v>3510</v>
      </c>
      <c r="E20" s="49"/>
      <c r="F20" s="156">
        <v>95</v>
      </c>
      <c r="G20" s="153">
        <f t="shared" si="0"/>
        <v>183.03020961775587</v>
      </c>
      <c r="H20" s="49"/>
      <c r="I20" s="156">
        <v>129</v>
      </c>
      <c r="J20" s="153">
        <f t="shared" si="1"/>
        <v>248.53575832305796</v>
      </c>
      <c r="K20" s="49"/>
      <c r="L20" s="156">
        <v>160</v>
      </c>
      <c r="M20" s="153">
        <f t="shared" si="2"/>
        <v>308.26140567200986</v>
      </c>
      <c r="N20" s="49"/>
      <c r="O20" s="156">
        <v>191</v>
      </c>
      <c r="P20" s="153">
        <f t="shared" si="3"/>
        <v>367.98705302096181</v>
      </c>
      <c r="Q20" s="1"/>
      <c r="R20" s="1"/>
      <c r="T20" s="48">
        <v>60</v>
      </c>
      <c r="U20" s="48">
        <v>60</v>
      </c>
      <c r="Y20" s="48">
        <v>94</v>
      </c>
      <c r="Z20" s="145">
        <f t="shared" si="4"/>
        <v>181.10357583230581</v>
      </c>
      <c r="AB20" s="48"/>
    </row>
    <row r="21" spans="2:28" ht="15" customHeight="1" x14ac:dyDescent="0.2">
      <c r="B21" s="484"/>
      <c r="C21" s="171" t="s">
        <v>45</v>
      </c>
      <c r="D21" s="168">
        <v>3865</v>
      </c>
      <c r="E21" s="49"/>
      <c r="F21" s="156">
        <v>96</v>
      </c>
      <c r="G21" s="153">
        <f t="shared" si="0"/>
        <v>184.95684340320594</v>
      </c>
      <c r="H21" s="49"/>
      <c r="I21" s="156">
        <v>130</v>
      </c>
      <c r="J21" s="153">
        <f t="shared" si="1"/>
        <v>250.46239210850803</v>
      </c>
      <c r="K21" s="49"/>
      <c r="L21" s="156">
        <v>161</v>
      </c>
      <c r="M21" s="153">
        <f t="shared" si="2"/>
        <v>310.18803945745992</v>
      </c>
      <c r="N21" s="49"/>
      <c r="O21" s="156">
        <v>192</v>
      </c>
      <c r="P21" s="153">
        <f t="shared" si="3"/>
        <v>369.91368680641187</v>
      </c>
      <c r="Q21" s="49"/>
      <c r="R21" s="49"/>
      <c r="T21" s="48">
        <v>65</v>
      </c>
      <c r="U21" s="48">
        <v>65</v>
      </c>
      <c r="Y21" s="48">
        <v>103</v>
      </c>
      <c r="Z21" s="145">
        <f t="shared" si="4"/>
        <v>198.44327990135636</v>
      </c>
      <c r="AB21" s="48"/>
    </row>
    <row r="22" spans="2:28" ht="15" customHeight="1" x14ac:dyDescent="0.2">
      <c r="B22" s="484"/>
      <c r="C22" s="171" t="s">
        <v>46</v>
      </c>
      <c r="D22" s="168">
        <v>4270</v>
      </c>
      <c r="E22" s="49"/>
      <c r="F22" s="156">
        <v>99</v>
      </c>
      <c r="G22" s="153">
        <f t="shared" si="0"/>
        <v>190.7367447595561</v>
      </c>
      <c r="H22" s="49"/>
      <c r="I22" s="156">
        <v>131</v>
      </c>
      <c r="J22" s="153">
        <f t="shared" si="1"/>
        <v>252.38902589395809</v>
      </c>
      <c r="K22" s="49"/>
      <c r="L22" s="156">
        <v>162</v>
      </c>
      <c r="M22" s="153">
        <f t="shared" si="2"/>
        <v>312.11467324290999</v>
      </c>
      <c r="N22" s="49"/>
      <c r="O22" s="156">
        <v>193</v>
      </c>
      <c r="P22" s="153">
        <f t="shared" si="3"/>
        <v>371.84032059186188</v>
      </c>
      <c r="Q22" s="1"/>
      <c r="R22" s="1"/>
      <c r="T22" s="48">
        <v>70</v>
      </c>
      <c r="U22" s="48">
        <v>70</v>
      </c>
      <c r="Y22" s="48">
        <v>107</v>
      </c>
      <c r="Z22" s="145">
        <f t="shared" si="4"/>
        <v>206.14981504315659</v>
      </c>
      <c r="AB22" s="48"/>
    </row>
    <row r="23" spans="2:28" ht="15" customHeight="1" thickBot="1" x14ac:dyDescent="0.25">
      <c r="B23" s="484"/>
      <c r="C23" s="172" t="s">
        <v>47</v>
      </c>
      <c r="D23" s="168">
        <v>4780</v>
      </c>
      <c r="E23" s="49"/>
      <c r="F23" s="166">
        <v>100</v>
      </c>
      <c r="G23" s="167">
        <f t="shared" si="0"/>
        <v>192.66337854500617</v>
      </c>
      <c r="H23" s="49"/>
      <c r="I23" s="156">
        <v>132</v>
      </c>
      <c r="J23" s="153">
        <f t="shared" si="1"/>
        <v>254.31565967940816</v>
      </c>
      <c r="K23" s="49"/>
      <c r="L23" s="156">
        <v>163</v>
      </c>
      <c r="M23" s="153">
        <f t="shared" si="2"/>
        <v>314.04130702836005</v>
      </c>
      <c r="N23" s="49"/>
      <c r="O23" s="156">
        <v>194</v>
      </c>
      <c r="P23" s="153">
        <f t="shared" si="3"/>
        <v>373.76695437731195</v>
      </c>
      <c r="Q23" s="1"/>
      <c r="R23" s="1"/>
      <c r="T23" s="150">
        <v>75</v>
      </c>
      <c r="U23" s="150">
        <v>75</v>
      </c>
      <c r="Y23" s="148">
        <v>118</v>
      </c>
      <c r="Z23" s="149">
        <f t="shared" si="4"/>
        <v>227.34278668310728</v>
      </c>
      <c r="AB23" s="150"/>
    </row>
    <row r="24" spans="2:28" ht="15" customHeight="1" x14ac:dyDescent="0.2">
      <c r="B24" s="484"/>
      <c r="C24" s="171" t="s">
        <v>48</v>
      </c>
      <c r="D24" s="168">
        <v>5420</v>
      </c>
      <c r="E24" s="49"/>
      <c r="F24" s="156">
        <v>101</v>
      </c>
      <c r="G24" s="153">
        <f t="shared" si="0"/>
        <v>194.59001233045623</v>
      </c>
      <c r="H24" s="49"/>
      <c r="I24" s="156">
        <v>133</v>
      </c>
      <c r="J24" s="153">
        <f t="shared" si="1"/>
        <v>256.24229346485822</v>
      </c>
      <c r="K24" s="49"/>
      <c r="L24" s="156">
        <v>164</v>
      </c>
      <c r="M24" s="153">
        <f t="shared" si="2"/>
        <v>315.96794081381012</v>
      </c>
      <c r="N24" s="49"/>
      <c r="O24" s="156">
        <v>195</v>
      </c>
      <c r="P24" s="153">
        <f t="shared" si="3"/>
        <v>375.69358816276201</v>
      </c>
      <c r="Q24" s="1"/>
      <c r="R24" s="1"/>
      <c r="T24" s="48">
        <v>80</v>
      </c>
      <c r="U24" s="19">
        <v>76</v>
      </c>
      <c r="AB24" s="48"/>
    </row>
    <row r="25" spans="2:28" ht="15" customHeight="1" x14ac:dyDescent="0.2">
      <c r="B25" s="484"/>
      <c r="C25" s="171" t="s">
        <v>49</v>
      </c>
      <c r="D25" s="168">
        <v>6150</v>
      </c>
      <c r="E25" s="49"/>
      <c r="F25" s="144">
        <v>103</v>
      </c>
      <c r="G25" s="163">
        <f t="shared" si="0"/>
        <v>198.44327990135636</v>
      </c>
      <c r="H25" s="49"/>
      <c r="I25" s="156">
        <v>134</v>
      </c>
      <c r="J25" s="153">
        <f t="shared" si="1"/>
        <v>258.16892725030829</v>
      </c>
      <c r="K25" s="49"/>
      <c r="L25" s="156">
        <v>165</v>
      </c>
      <c r="M25" s="153">
        <f t="shared" si="2"/>
        <v>317.89457459926018</v>
      </c>
      <c r="N25" s="49"/>
      <c r="O25" s="156">
        <v>196</v>
      </c>
      <c r="P25" s="153">
        <f t="shared" si="3"/>
        <v>377.62022194821208</v>
      </c>
      <c r="Q25" s="1"/>
      <c r="R25" s="1"/>
      <c r="T25" s="48">
        <v>85</v>
      </c>
      <c r="U25" s="48">
        <v>80</v>
      </c>
      <c r="AB25" s="48"/>
    </row>
    <row r="26" spans="2:28" ht="15" customHeight="1" thickBot="1" x14ac:dyDescent="0.25">
      <c r="B26" s="485"/>
      <c r="C26" s="180" t="s">
        <v>50</v>
      </c>
      <c r="D26" s="181">
        <v>6980</v>
      </c>
      <c r="E26" s="49"/>
      <c r="F26" s="156">
        <v>104</v>
      </c>
      <c r="G26" s="153">
        <f t="shared" ref="G26:G33" si="5">F26*$T$6</f>
        <v>200.36991368680643</v>
      </c>
      <c r="H26" s="49"/>
      <c r="I26" s="156">
        <v>135</v>
      </c>
      <c r="J26" s="153">
        <f t="shared" ref="J26:J33" si="6">I26*$T$6</f>
        <v>260.09556103575835</v>
      </c>
      <c r="K26" s="49"/>
      <c r="L26" s="156">
        <v>166</v>
      </c>
      <c r="M26" s="153">
        <f t="shared" ref="M26:M33" si="7">L26*$T$6</f>
        <v>319.82120838471025</v>
      </c>
      <c r="N26" s="49"/>
      <c r="O26" s="156">
        <v>197</v>
      </c>
      <c r="P26" s="153">
        <f t="shared" ref="P26:P33" si="8">O26*$T$6</f>
        <v>379.54685573366214</v>
      </c>
      <c r="Q26" s="49"/>
      <c r="R26" s="49"/>
      <c r="T26" s="48">
        <v>90</v>
      </c>
      <c r="U26" s="19">
        <v>81</v>
      </c>
      <c r="AB26" s="48"/>
    </row>
    <row r="27" spans="2:28" ht="15" customHeight="1" x14ac:dyDescent="0.2">
      <c r="B27" s="480" t="s">
        <v>289</v>
      </c>
      <c r="C27" s="176" t="s">
        <v>51</v>
      </c>
      <c r="D27" s="177">
        <v>3750</v>
      </c>
      <c r="E27" s="49"/>
      <c r="F27" s="156">
        <v>105</v>
      </c>
      <c r="G27" s="153">
        <f t="shared" si="5"/>
        <v>202.29654747225649</v>
      </c>
      <c r="H27" s="49"/>
      <c r="I27" s="156">
        <v>136</v>
      </c>
      <c r="J27" s="153">
        <f t="shared" si="6"/>
        <v>262.02219482120842</v>
      </c>
      <c r="K27" s="49"/>
      <c r="L27" s="156">
        <v>167</v>
      </c>
      <c r="M27" s="153">
        <f t="shared" si="7"/>
        <v>321.74784217016031</v>
      </c>
      <c r="N27" s="49"/>
      <c r="O27" s="156">
        <v>198</v>
      </c>
      <c r="P27" s="153">
        <f t="shared" si="8"/>
        <v>381.47348951911221</v>
      </c>
      <c r="Q27" s="1"/>
      <c r="R27" s="1"/>
      <c r="T27" s="48">
        <v>95</v>
      </c>
      <c r="U27" s="19">
        <v>84</v>
      </c>
      <c r="AB27" s="48"/>
    </row>
    <row r="28" spans="2:28" ht="15" customHeight="1" x14ac:dyDescent="0.2">
      <c r="B28" s="481"/>
      <c r="C28" s="173" t="s">
        <v>52</v>
      </c>
      <c r="D28" s="169">
        <v>4000</v>
      </c>
      <c r="E28" s="49"/>
      <c r="F28" s="156">
        <v>106</v>
      </c>
      <c r="G28" s="153">
        <f t="shared" si="5"/>
        <v>204.22318125770653</v>
      </c>
      <c r="H28" s="49"/>
      <c r="I28" s="156">
        <v>137</v>
      </c>
      <c r="J28" s="153">
        <f t="shared" si="6"/>
        <v>263.94882860665848</v>
      </c>
      <c r="K28" s="49"/>
      <c r="L28" s="156">
        <v>168</v>
      </c>
      <c r="M28" s="153">
        <f t="shared" si="7"/>
        <v>323.67447595561038</v>
      </c>
      <c r="N28" s="49"/>
      <c r="O28" s="156">
        <v>199</v>
      </c>
      <c r="P28" s="153">
        <f t="shared" si="8"/>
        <v>383.40012330456227</v>
      </c>
      <c r="Q28" s="1"/>
      <c r="R28" s="1"/>
      <c r="T28" s="48">
        <v>100</v>
      </c>
      <c r="U28" s="48">
        <v>85</v>
      </c>
      <c r="AB28" s="48"/>
    </row>
    <row r="29" spans="2:28" ht="15" customHeight="1" x14ac:dyDescent="0.2">
      <c r="B29" s="481"/>
      <c r="C29" s="173" t="s">
        <v>40</v>
      </c>
      <c r="D29" s="169">
        <v>4280</v>
      </c>
      <c r="E29" s="49"/>
      <c r="F29" s="144">
        <v>107</v>
      </c>
      <c r="G29" s="163">
        <f t="shared" si="5"/>
        <v>206.14981504315659</v>
      </c>
      <c r="H29" s="49"/>
      <c r="I29" s="156">
        <v>138</v>
      </c>
      <c r="J29" s="153">
        <f t="shared" si="6"/>
        <v>265.87546239210849</v>
      </c>
      <c r="K29" s="49"/>
      <c r="L29" s="156">
        <v>169</v>
      </c>
      <c r="M29" s="153">
        <f t="shared" si="7"/>
        <v>325.60110974106044</v>
      </c>
      <c r="N29" s="49"/>
      <c r="O29" s="156">
        <v>200</v>
      </c>
      <c r="P29" s="153">
        <f t="shared" si="8"/>
        <v>385.32675709001234</v>
      </c>
      <c r="Q29" s="1"/>
      <c r="R29" s="1"/>
      <c r="T29" s="48">
        <v>105</v>
      </c>
      <c r="U29" s="19">
        <v>86</v>
      </c>
      <c r="AB29" s="48"/>
    </row>
    <row r="30" spans="2:28" ht="15" customHeight="1" x14ac:dyDescent="0.2">
      <c r="B30" s="481"/>
      <c r="C30" s="173" t="s">
        <v>41</v>
      </c>
      <c r="D30" s="169">
        <v>4580</v>
      </c>
      <c r="E30" s="49"/>
      <c r="F30" s="156">
        <v>108</v>
      </c>
      <c r="G30" s="153">
        <f t="shared" si="5"/>
        <v>208.07644882860666</v>
      </c>
      <c r="H30" s="49"/>
      <c r="I30" s="156">
        <v>139</v>
      </c>
      <c r="J30" s="153">
        <f t="shared" si="6"/>
        <v>267.80209617755855</v>
      </c>
      <c r="K30" s="49"/>
      <c r="L30" s="156">
        <v>170</v>
      </c>
      <c r="M30" s="153">
        <f t="shared" si="7"/>
        <v>327.52774352651051</v>
      </c>
      <c r="N30" s="49"/>
      <c r="O30" s="156">
        <v>201</v>
      </c>
      <c r="P30" s="153">
        <f t="shared" si="8"/>
        <v>387.2533908754624</v>
      </c>
      <c r="Q30" s="1"/>
      <c r="R30" s="1"/>
      <c r="T30" s="48">
        <v>110</v>
      </c>
      <c r="U30" s="19">
        <v>89</v>
      </c>
      <c r="AB30" s="48"/>
    </row>
    <row r="31" spans="2:28" ht="15" customHeight="1" x14ac:dyDescent="0.2">
      <c r="B31" s="481"/>
      <c r="C31" s="173" t="s">
        <v>42</v>
      </c>
      <c r="D31" s="169">
        <v>5040</v>
      </c>
      <c r="E31" s="49"/>
      <c r="F31" s="156">
        <v>109</v>
      </c>
      <c r="G31" s="153">
        <f t="shared" si="5"/>
        <v>210.00308261405672</v>
      </c>
      <c r="H31" s="49"/>
      <c r="I31" s="156">
        <v>140</v>
      </c>
      <c r="J31" s="153">
        <f t="shared" si="6"/>
        <v>269.72872996300862</v>
      </c>
      <c r="K31" s="49"/>
      <c r="L31" s="156">
        <v>171</v>
      </c>
      <c r="M31" s="153">
        <f t="shared" si="7"/>
        <v>329.45437731196057</v>
      </c>
      <c r="N31" s="49"/>
      <c r="O31" s="156">
        <v>202</v>
      </c>
      <c r="P31" s="153">
        <f t="shared" si="8"/>
        <v>389.18002466091247</v>
      </c>
      <c r="Q31" s="49"/>
      <c r="R31" s="49"/>
      <c r="T31" s="150">
        <v>115</v>
      </c>
      <c r="U31" s="150">
        <v>90</v>
      </c>
      <c r="AB31" s="150"/>
    </row>
    <row r="32" spans="2:28" ht="15" customHeight="1" x14ac:dyDescent="0.2">
      <c r="B32" s="481"/>
      <c r="C32" s="173" t="s">
        <v>43</v>
      </c>
      <c r="D32" s="169">
        <v>5400</v>
      </c>
      <c r="E32" s="49"/>
      <c r="F32" s="166">
        <v>110</v>
      </c>
      <c r="G32" s="167">
        <f t="shared" si="5"/>
        <v>211.92971639950679</v>
      </c>
      <c r="H32" s="49"/>
      <c r="I32" s="156">
        <v>141</v>
      </c>
      <c r="J32" s="153">
        <f t="shared" si="6"/>
        <v>271.65536374845868</v>
      </c>
      <c r="K32" s="49"/>
      <c r="L32" s="156">
        <v>172</v>
      </c>
      <c r="M32" s="153">
        <f t="shared" si="7"/>
        <v>331.38101109741064</v>
      </c>
      <c r="N32" s="49"/>
      <c r="O32" s="156">
        <v>203</v>
      </c>
      <c r="P32" s="153">
        <f t="shared" si="8"/>
        <v>391.10665844636253</v>
      </c>
      <c r="Q32" s="1"/>
      <c r="R32" s="1"/>
      <c r="T32" s="150">
        <v>120</v>
      </c>
      <c r="U32" s="151">
        <v>91</v>
      </c>
      <c r="AB32" s="150"/>
    </row>
    <row r="33" spans="2:28" ht="15" customHeight="1" thickBot="1" x14ac:dyDescent="0.25">
      <c r="B33" s="481"/>
      <c r="C33" s="173" t="s">
        <v>44</v>
      </c>
      <c r="D33" s="169">
        <v>5780</v>
      </c>
      <c r="E33" s="49"/>
      <c r="F33" s="162">
        <v>111</v>
      </c>
      <c r="G33" s="154">
        <f t="shared" si="5"/>
        <v>213.85635018495685</v>
      </c>
      <c r="H33" s="49"/>
      <c r="I33" s="162">
        <v>142</v>
      </c>
      <c r="J33" s="154">
        <f t="shared" si="6"/>
        <v>273.58199753390875</v>
      </c>
      <c r="K33" s="49"/>
      <c r="L33" s="162">
        <v>173</v>
      </c>
      <c r="M33" s="154">
        <f t="shared" si="7"/>
        <v>333.3076448828607</v>
      </c>
      <c r="N33" s="49"/>
      <c r="O33" s="162">
        <v>204</v>
      </c>
      <c r="P33" s="154">
        <f t="shared" si="8"/>
        <v>393.0332922318126</v>
      </c>
      <c r="Q33" s="1"/>
      <c r="R33" s="1"/>
      <c r="T33" s="150">
        <v>125</v>
      </c>
      <c r="U33" s="151">
        <v>94</v>
      </c>
      <c r="AB33" s="150"/>
    </row>
    <row r="34" spans="2:28" x14ac:dyDescent="0.2">
      <c r="B34" s="481"/>
      <c r="C34" s="173" t="s">
        <v>45</v>
      </c>
      <c r="D34" s="169">
        <v>6360</v>
      </c>
      <c r="F34" s="1"/>
      <c r="I34" s="1"/>
      <c r="J34" s="1"/>
      <c r="K34" s="1"/>
      <c r="L34" s="1"/>
      <c r="M34" s="1"/>
      <c r="N34" s="1"/>
      <c r="O34" s="1"/>
      <c r="P34" s="1"/>
      <c r="Q34" s="1"/>
      <c r="R34" s="1"/>
      <c r="T34" s="150">
        <v>130</v>
      </c>
      <c r="U34" s="150">
        <v>95</v>
      </c>
      <c r="AB34" s="150"/>
    </row>
    <row r="35" spans="2:28" x14ac:dyDescent="0.2">
      <c r="B35" s="481"/>
      <c r="C35" s="174" t="s">
        <v>46</v>
      </c>
      <c r="D35" s="169">
        <v>6810</v>
      </c>
      <c r="F35" s="1"/>
      <c r="I35" s="1"/>
      <c r="J35" s="1"/>
      <c r="K35" s="1"/>
      <c r="L35" s="49"/>
      <c r="M35" s="49"/>
      <c r="N35" s="49"/>
      <c r="O35" s="49"/>
      <c r="P35" s="49"/>
      <c r="Q35" s="1"/>
      <c r="R35" s="1"/>
      <c r="T35" s="150">
        <v>135</v>
      </c>
      <c r="U35" s="151">
        <v>96</v>
      </c>
      <c r="AB35" s="150"/>
    </row>
    <row r="36" spans="2:28" ht="13.5" thickBot="1" x14ac:dyDescent="0.25">
      <c r="B36" s="482"/>
      <c r="C36" s="175" t="s">
        <v>47</v>
      </c>
      <c r="D36" s="170">
        <v>7290</v>
      </c>
      <c r="F36" s="1"/>
      <c r="I36" s="49"/>
      <c r="J36" s="49"/>
      <c r="K36" s="49"/>
      <c r="L36" s="1"/>
      <c r="M36" s="1"/>
      <c r="N36" s="1"/>
      <c r="O36" s="1"/>
      <c r="P36" s="1"/>
      <c r="Q36" s="49"/>
      <c r="R36" s="49"/>
      <c r="T36" s="150">
        <v>140</v>
      </c>
      <c r="U36" s="151">
        <v>99</v>
      </c>
      <c r="AB36" s="150"/>
    </row>
    <row r="37" spans="2:28" x14ac:dyDescent="0.2">
      <c r="F37" s="49"/>
      <c r="I37" s="1"/>
      <c r="J37" s="1"/>
      <c r="K37" s="1"/>
      <c r="L37" s="1"/>
      <c r="M37" s="1"/>
      <c r="N37" s="1"/>
      <c r="O37" s="1"/>
      <c r="P37" s="1"/>
      <c r="Q37" s="1"/>
      <c r="R37" s="1"/>
      <c r="T37" s="150">
        <v>145</v>
      </c>
      <c r="U37" s="150">
        <v>100</v>
      </c>
      <c r="AB37" s="150"/>
    </row>
    <row r="38" spans="2:28" x14ac:dyDescent="0.2">
      <c r="F38" s="1"/>
      <c r="I38" s="1"/>
      <c r="J38" s="1"/>
      <c r="K38" s="1"/>
      <c r="L38" s="1"/>
      <c r="M38" s="1"/>
      <c r="N38" s="1"/>
      <c r="O38" s="1"/>
      <c r="P38" s="1"/>
      <c r="Q38" s="1"/>
      <c r="R38" s="1"/>
      <c r="T38" s="150">
        <v>150</v>
      </c>
      <c r="U38" s="151">
        <v>101</v>
      </c>
      <c r="AB38" s="150"/>
    </row>
    <row r="39" spans="2:28" x14ac:dyDescent="0.2">
      <c r="F39" s="1"/>
      <c r="I39" s="1"/>
      <c r="J39" s="1"/>
      <c r="K39" s="1"/>
      <c r="L39" s="1"/>
      <c r="M39" s="1"/>
      <c r="N39" s="1"/>
      <c r="O39" s="1"/>
      <c r="P39" s="1"/>
      <c r="Q39" s="1"/>
      <c r="R39" s="1"/>
      <c r="T39" s="150">
        <v>155</v>
      </c>
      <c r="U39" s="151">
        <v>103</v>
      </c>
      <c r="AB39" s="150"/>
    </row>
    <row r="40" spans="2:28" x14ac:dyDescent="0.2">
      <c r="F40" s="1"/>
      <c r="I40" s="1"/>
      <c r="J40" s="1"/>
      <c r="K40" s="1"/>
      <c r="L40" s="49"/>
      <c r="M40" s="49"/>
      <c r="N40" s="49"/>
      <c r="O40" s="49"/>
      <c r="P40" s="49"/>
      <c r="Q40" s="1"/>
      <c r="R40" s="1"/>
      <c r="T40" s="49">
        <v>160</v>
      </c>
      <c r="U40" s="1">
        <v>104</v>
      </c>
      <c r="AB40" s="49"/>
    </row>
    <row r="41" spans="2:28" x14ac:dyDescent="0.2">
      <c r="F41" s="1"/>
      <c r="I41" s="49"/>
      <c r="J41" s="49"/>
      <c r="K41" s="49"/>
      <c r="L41" s="1"/>
      <c r="M41" s="1"/>
      <c r="N41" s="1"/>
      <c r="O41" s="1"/>
      <c r="P41" s="1"/>
      <c r="Q41" s="49"/>
      <c r="R41" s="49"/>
      <c r="T41" s="49">
        <v>165</v>
      </c>
      <c r="U41" s="49">
        <v>105</v>
      </c>
      <c r="AB41" s="49"/>
    </row>
    <row r="42" spans="2:28" x14ac:dyDescent="0.2">
      <c r="F42" s="49"/>
      <c r="I42" s="1"/>
      <c r="J42" s="1"/>
      <c r="K42" s="1"/>
      <c r="L42" s="1"/>
      <c r="M42" s="1"/>
      <c r="N42" s="1"/>
      <c r="O42" s="1"/>
      <c r="P42" s="1"/>
      <c r="Q42" s="1"/>
      <c r="R42" s="1"/>
      <c r="T42" s="49">
        <v>170</v>
      </c>
      <c r="U42" s="1">
        <v>106</v>
      </c>
      <c r="AB42" s="49"/>
    </row>
    <row r="43" spans="2:28" x14ac:dyDescent="0.2">
      <c r="F43" s="1"/>
      <c r="I43" s="1"/>
      <c r="J43" s="1"/>
      <c r="K43" s="1"/>
      <c r="L43" s="1"/>
      <c r="M43" s="1"/>
      <c r="N43" s="1"/>
      <c r="O43" s="1"/>
      <c r="P43" s="1"/>
      <c r="Q43" s="1"/>
      <c r="R43" s="1"/>
      <c r="T43" s="49">
        <v>175</v>
      </c>
      <c r="U43" s="1">
        <v>107</v>
      </c>
      <c r="AB43" s="49"/>
    </row>
    <row r="44" spans="2:28" x14ac:dyDescent="0.2">
      <c r="F44" s="1"/>
      <c r="I44" s="1"/>
      <c r="J44" s="1"/>
      <c r="K44" s="1"/>
      <c r="L44" s="1"/>
      <c r="M44" s="1"/>
      <c r="N44" s="1"/>
      <c r="O44" s="1"/>
      <c r="P44" s="1"/>
      <c r="Q44" s="1"/>
      <c r="R44" s="1"/>
      <c r="T44" s="49">
        <v>180</v>
      </c>
      <c r="U44" s="1">
        <v>108</v>
      </c>
      <c r="AB44" s="49"/>
    </row>
    <row r="45" spans="2:28" x14ac:dyDescent="0.2">
      <c r="F45" s="1"/>
      <c r="I45" s="1"/>
      <c r="J45" s="1"/>
      <c r="K45" s="1"/>
      <c r="L45" s="49"/>
      <c r="M45" s="49"/>
      <c r="N45" s="49"/>
      <c r="O45" s="49"/>
      <c r="P45" s="49"/>
      <c r="Q45" s="1"/>
      <c r="R45" s="1"/>
      <c r="T45" s="49">
        <v>185</v>
      </c>
      <c r="U45" s="1">
        <v>109</v>
      </c>
      <c r="AB45" s="49"/>
    </row>
    <row r="46" spans="2:28" x14ac:dyDescent="0.2">
      <c r="F46" s="1"/>
      <c r="I46" s="49"/>
      <c r="J46" s="49"/>
      <c r="K46" s="49"/>
      <c r="L46" s="1"/>
      <c r="M46" s="1"/>
      <c r="N46" s="1"/>
      <c r="O46" s="1"/>
      <c r="P46" s="1"/>
      <c r="Q46" s="49"/>
      <c r="R46" s="49"/>
      <c r="T46" s="49">
        <v>190</v>
      </c>
      <c r="U46" s="49">
        <v>110</v>
      </c>
      <c r="AB46" s="49"/>
    </row>
    <row r="47" spans="2:28" x14ac:dyDescent="0.2">
      <c r="F47" s="49"/>
      <c r="I47" s="1"/>
      <c r="J47" s="1"/>
      <c r="K47" s="1"/>
      <c r="L47" s="1"/>
      <c r="M47" s="1"/>
      <c r="N47" s="1"/>
      <c r="O47" s="1"/>
      <c r="P47" s="1"/>
      <c r="Q47" s="1"/>
      <c r="R47" s="1"/>
      <c r="T47" s="49">
        <v>195</v>
      </c>
      <c r="U47" s="1">
        <v>111</v>
      </c>
      <c r="AB47" s="49"/>
    </row>
    <row r="48" spans="2:28" x14ac:dyDescent="0.2">
      <c r="F48" s="1"/>
      <c r="I48" s="1"/>
      <c r="J48" s="1"/>
      <c r="K48" s="1"/>
      <c r="L48" s="1"/>
      <c r="M48" s="1"/>
      <c r="N48" s="1"/>
      <c r="O48" s="1"/>
      <c r="P48" s="1"/>
      <c r="Q48" s="1"/>
      <c r="R48" s="1"/>
      <c r="T48" s="49">
        <v>200</v>
      </c>
      <c r="U48" s="1">
        <v>112</v>
      </c>
      <c r="AB48" s="49"/>
    </row>
    <row r="49" spans="6:21" x14ac:dyDescent="0.2">
      <c r="F49" s="1"/>
      <c r="I49" s="1"/>
      <c r="J49" s="1"/>
      <c r="K49" s="1"/>
      <c r="L49" s="1"/>
      <c r="M49" s="1"/>
      <c r="N49" s="1"/>
      <c r="O49" s="1"/>
      <c r="P49" s="1"/>
      <c r="Q49" s="1"/>
      <c r="R49" s="1"/>
      <c r="U49" s="1">
        <v>113</v>
      </c>
    </row>
    <row r="50" spans="6:21" x14ac:dyDescent="0.2">
      <c r="F50" s="1"/>
      <c r="I50" s="1"/>
      <c r="J50" s="1"/>
      <c r="K50" s="1"/>
      <c r="L50" s="49"/>
      <c r="M50" s="49"/>
      <c r="N50" s="49"/>
      <c r="O50" s="49"/>
      <c r="P50" s="49"/>
      <c r="Q50" s="1"/>
      <c r="R50" s="1"/>
      <c r="U50" s="1">
        <v>114</v>
      </c>
    </row>
    <row r="51" spans="6:21" x14ac:dyDescent="0.2">
      <c r="F51" s="1"/>
      <c r="I51" s="49"/>
      <c r="J51" s="49"/>
      <c r="K51" s="49"/>
      <c r="L51" s="1"/>
      <c r="M51" s="1"/>
      <c r="N51" s="1"/>
      <c r="O51" s="1"/>
      <c r="P51" s="1"/>
      <c r="Q51" s="49"/>
      <c r="R51" s="49"/>
      <c r="U51" s="49">
        <v>115</v>
      </c>
    </row>
    <row r="52" spans="6:21" x14ac:dyDescent="0.2">
      <c r="F52" s="49"/>
      <c r="I52" s="1"/>
      <c r="J52" s="1"/>
      <c r="K52" s="1"/>
      <c r="L52" s="1"/>
      <c r="M52" s="1"/>
      <c r="N52" s="1"/>
      <c r="O52" s="1"/>
      <c r="P52" s="1"/>
      <c r="Q52" s="1"/>
      <c r="R52" s="1"/>
      <c r="U52" s="1">
        <v>116</v>
      </c>
    </row>
    <row r="53" spans="6:21" x14ac:dyDescent="0.2">
      <c r="F53" s="1"/>
      <c r="I53" s="1"/>
      <c r="J53" s="1"/>
      <c r="K53" s="1"/>
      <c r="L53" s="1"/>
      <c r="M53" s="1"/>
      <c r="N53" s="1"/>
      <c r="O53" s="1"/>
      <c r="P53" s="1"/>
      <c r="Q53" s="1"/>
      <c r="R53" s="1"/>
      <c r="U53" s="1">
        <v>117</v>
      </c>
    </row>
    <row r="54" spans="6:21" x14ac:dyDescent="0.2">
      <c r="F54" s="1"/>
      <c r="I54" s="1"/>
      <c r="J54" s="1"/>
      <c r="K54" s="1"/>
      <c r="L54" s="1"/>
      <c r="M54" s="1"/>
      <c r="N54" s="1"/>
      <c r="O54" s="1"/>
      <c r="P54" s="1"/>
      <c r="Q54" s="1"/>
      <c r="R54" s="1"/>
      <c r="U54" s="1">
        <v>118</v>
      </c>
    </row>
    <row r="55" spans="6:21" x14ac:dyDescent="0.2">
      <c r="F55" s="1"/>
      <c r="I55" s="1"/>
      <c r="J55" s="1"/>
      <c r="K55" s="1"/>
      <c r="L55" s="49"/>
      <c r="M55" s="49"/>
      <c r="N55" s="49"/>
      <c r="O55" s="49"/>
      <c r="P55" s="49"/>
      <c r="Q55" s="1"/>
      <c r="R55" s="1"/>
      <c r="U55" s="1">
        <v>119</v>
      </c>
    </row>
    <row r="56" spans="6:21" x14ac:dyDescent="0.2">
      <c r="F56" s="1"/>
      <c r="I56" s="49"/>
      <c r="J56" s="49"/>
      <c r="K56" s="49"/>
      <c r="L56" s="1"/>
      <c r="M56" s="1"/>
      <c r="N56" s="1"/>
      <c r="O56" s="1"/>
      <c r="P56" s="1"/>
      <c r="Q56" s="49"/>
      <c r="R56" s="49"/>
      <c r="U56" s="49">
        <v>120</v>
      </c>
    </row>
    <row r="57" spans="6:21" x14ac:dyDescent="0.2">
      <c r="F57" s="49"/>
      <c r="I57" s="1"/>
      <c r="J57" s="1"/>
      <c r="K57" s="1"/>
      <c r="L57" s="1"/>
      <c r="M57" s="1"/>
      <c r="N57" s="1"/>
      <c r="O57" s="1"/>
      <c r="P57" s="1"/>
      <c r="Q57" s="1"/>
      <c r="R57" s="1"/>
      <c r="U57" s="1">
        <v>121</v>
      </c>
    </row>
    <row r="58" spans="6:21" x14ac:dyDescent="0.2">
      <c r="F58" s="1"/>
      <c r="I58" s="1"/>
      <c r="J58" s="1"/>
      <c r="K58" s="1"/>
      <c r="L58" s="1"/>
      <c r="M58" s="1"/>
      <c r="N58" s="1"/>
      <c r="O58" s="1"/>
      <c r="P58" s="1"/>
      <c r="Q58" s="1"/>
      <c r="R58" s="1"/>
      <c r="U58" s="1">
        <v>122</v>
      </c>
    </row>
    <row r="59" spans="6:21" x14ac:dyDescent="0.2">
      <c r="F59" s="1"/>
      <c r="I59" s="1"/>
      <c r="J59" s="1"/>
      <c r="K59" s="1"/>
      <c r="L59" s="1"/>
      <c r="M59" s="1"/>
      <c r="N59" s="1"/>
      <c r="O59" s="1"/>
      <c r="P59" s="1"/>
      <c r="Q59" s="1"/>
      <c r="R59" s="1"/>
      <c r="U59" s="1">
        <v>123</v>
      </c>
    </row>
    <row r="60" spans="6:21" x14ac:dyDescent="0.2">
      <c r="F60" s="1"/>
      <c r="I60" s="1"/>
      <c r="J60" s="1"/>
      <c r="K60" s="1"/>
      <c r="L60" s="49"/>
      <c r="M60" s="49"/>
      <c r="N60" s="49"/>
      <c r="O60" s="49"/>
      <c r="P60" s="49"/>
      <c r="Q60" s="1"/>
      <c r="R60" s="1"/>
      <c r="U60" s="1">
        <v>124</v>
      </c>
    </row>
    <row r="61" spans="6:21" x14ac:dyDescent="0.2">
      <c r="F61" s="1"/>
      <c r="I61" s="49"/>
      <c r="J61" s="49"/>
      <c r="K61" s="49"/>
      <c r="L61" s="1"/>
      <c r="M61" s="1"/>
      <c r="N61" s="1"/>
      <c r="O61" s="1"/>
      <c r="P61" s="1"/>
      <c r="Q61" s="49"/>
      <c r="R61" s="49"/>
      <c r="U61" s="49">
        <v>125</v>
      </c>
    </row>
    <row r="62" spans="6:21" x14ac:dyDescent="0.2">
      <c r="F62" s="49"/>
      <c r="I62" s="1"/>
      <c r="J62" s="1"/>
      <c r="K62" s="1"/>
      <c r="L62" s="1"/>
      <c r="M62" s="1"/>
      <c r="N62" s="1"/>
      <c r="O62" s="1"/>
      <c r="P62" s="1"/>
      <c r="Q62" s="1"/>
      <c r="R62" s="1"/>
      <c r="U62" s="1">
        <v>126</v>
      </c>
    </row>
    <row r="63" spans="6:21" x14ac:dyDescent="0.2">
      <c r="F63" s="1"/>
      <c r="I63" s="1"/>
      <c r="J63" s="1"/>
      <c r="K63" s="1"/>
      <c r="L63" s="1"/>
      <c r="M63" s="1"/>
      <c r="N63" s="1"/>
      <c r="O63" s="1"/>
      <c r="P63" s="1"/>
      <c r="Q63" s="1"/>
      <c r="R63" s="1"/>
      <c r="U63" s="1">
        <v>127</v>
      </c>
    </row>
    <row r="64" spans="6:21" x14ac:dyDescent="0.2">
      <c r="F64" s="1"/>
      <c r="I64" s="1"/>
      <c r="J64" s="1"/>
      <c r="K64" s="1"/>
      <c r="L64" s="1"/>
      <c r="M64" s="1"/>
      <c r="N64" s="1"/>
      <c r="O64" s="1"/>
      <c r="P64" s="1"/>
      <c r="Q64" s="1"/>
      <c r="R64" s="1"/>
      <c r="U64" s="1">
        <v>128</v>
      </c>
    </row>
    <row r="65" spans="6:21" x14ac:dyDescent="0.2">
      <c r="F65" s="1"/>
      <c r="I65" s="1"/>
      <c r="J65" s="1"/>
      <c r="K65" s="1"/>
      <c r="L65" s="1"/>
      <c r="M65" s="1"/>
      <c r="N65" s="1"/>
      <c r="O65" s="1"/>
      <c r="P65" s="1"/>
      <c r="Q65" s="1"/>
      <c r="R65" s="1"/>
      <c r="U65" s="1">
        <v>129</v>
      </c>
    </row>
    <row r="66" spans="6:21" x14ac:dyDescent="0.2">
      <c r="F66" s="1"/>
      <c r="I66" s="49"/>
      <c r="J66" s="49"/>
      <c r="K66" s="49"/>
      <c r="L66" s="49"/>
      <c r="M66" s="49"/>
      <c r="N66" s="49"/>
      <c r="O66" s="49"/>
      <c r="P66" s="49"/>
      <c r="Q66" s="49"/>
      <c r="R66" s="49"/>
      <c r="U66" s="49">
        <v>130</v>
      </c>
    </row>
    <row r="67" spans="6:21" x14ac:dyDescent="0.2">
      <c r="F67" s="49"/>
      <c r="I67" s="1"/>
      <c r="J67" s="1"/>
      <c r="K67" s="1"/>
      <c r="L67" s="1"/>
      <c r="M67" s="1"/>
      <c r="N67" s="1"/>
      <c r="O67" s="1"/>
      <c r="P67" s="1"/>
      <c r="Q67" s="1"/>
      <c r="R67" s="1"/>
      <c r="U67" s="1">
        <v>131</v>
      </c>
    </row>
    <row r="68" spans="6:21" x14ac:dyDescent="0.2">
      <c r="F68" s="1"/>
      <c r="I68" s="1"/>
      <c r="J68" s="1"/>
      <c r="K68" s="1"/>
      <c r="L68" s="1"/>
      <c r="M68" s="1"/>
      <c r="N68" s="1"/>
      <c r="O68" s="1"/>
      <c r="P68" s="1"/>
      <c r="Q68" s="1"/>
      <c r="R68" s="1"/>
      <c r="U68" s="1">
        <v>132</v>
      </c>
    </row>
    <row r="69" spans="6:21" x14ac:dyDescent="0.2">
      <c r="F69" s="1"/>
      <c r="I69" s="1"/>
      <c r="J69" s="1"/>
      <c r="K69" s="1"/>
      <c r="L69" s="1"/>
      <c r="M69" s="1"/>
      <c r="N69" s="1"/>
      <c r="O69" s="1"/>
      <c r="P69" s="1"/>
      <c r="Q69" s="1"/>
      <c r="R69" s="1"/>
      <c r="U69" s="1">
        <v>133</v>
      </c>
    </row>
    <row r="70" spans="6:21" x14ac:dyDescent="0.2">
      <c r="F70" s="1"/>
      <c r="I70" s="1"/>
      <c r="J70" s="1"/>
      <c r="K70" s="1"/>
      <c r="L70" s="1"/>
      <c r="M70" s="1"/>
      <c r="N70" s="1"/>
      <c r="O70" s="1"/>
      <c r="P70" s="1"/>
      <c r="Q70" s="1"/>
      <c r="R70" s="1"/>
      <c r="U70" s="1">
        <v>134</v>
      </c>
    </row>
    <row r="71" spans="6:21" x14ac:dyDescent="0.2">
      <c r="F71" s="1"/>
      <c r="I71" s="49"/>
      <c r="J71" s="49"/>
      <c r="K71" s="49"/>
      <c r="L71" s="49"/>
      <c r="M71" s="49"/>
      <c r="N71" s="49"/>
      <c r="O71" s="49"/>
      <c r="P71" s="49"/>
      <c r="Q71" s="49"/>
      <c r="R71" s="49"/>
      <c r="U71" s="49">
        <v>135</v>
      </c>
    </row>
    <row r="72" spans="6:21" x14ac:dyDescent="0.2">
      <c r="F72" s="49"/>
      <c r="I72" s="1"/>
      <c r="J72" s="1"/>
      <c r="K72" s="1"/>
      <c r="L72" s="1"/>
      <c r="M72" s="1"/>
      <c r="N72" s="1"/>
      <c r="O72" s="1"/>
      <c r="P72" s="1"/>
      <c r="Q72" s="1"/>
      <c r="R72" s="1"/>
      <c r="U72" s="1">
        <v>136</v>
      </c>
    </row>
    <row r="73" spans="6:21" x14ac:dyDescent="0.2">
      <c r="F73" s="1"/>
      <c r="I73" s="1"/>
      <c r="J73" s="1"/>
      <c r="K73" s="1"/>
      <c r="L73" s="1"/>
      <c r="M73" s="1"/>
      <c r="N73" s="1"/>
      <c r="O73" s="1"/>
      <c r="P73" s="1"/>
      <c r="Q73" s="1"/>
      <c r="R73" s="1"/>
      <c r="U73" s="1">
        <v>137</v>
      </c>
    </row>
    <row r="74" spans="6:21" x14ac:dyDescent="0.2">
      <c r="F74" s="1"/>
      <c r="I74" s="1"/>
      <c r="J74" s="1"/>
      <c r="K74" s="1"/>
      <c r="L74" s="1"/>
      <c r="M74" s="1"/>
      <c r="N74" s="1"/>
      <c r="O74" s="1"/>
      <c r="P74" s="1"/>
      <c r="Q74" s="1"/>
      <c r="R74" s="1"/>
      <c r="U74" s="1">
        <v>138</v>
      </c>
    </row>
    <row r="75" spans="6:21" x14ac:dyDescent="0.2">
      <c r="F75" s="1"/>
      <c r="I75" s="1"/>
      <c r="J75" s="1"/>
      <c r="K75" s="1"/>
      <c r="L75" s="1"/>
      <c r="M75" s="1"/>
      <c r="N75" s="1"/>
      <c r="O75" s="1"/>
      <c r="P75" s="1"/>
      <c r="Q75" s="1"/>
      <c r="R75" s="1"/>
      <c r="U75" s="1">
        <v>139</v>
      </c>
    </row>
    <row r="76" spans="6:21" x14ac:dyDescent="0.2">
      <c r="F76" s="1"/>
      <c r="I76" s="49"/>
      <c r="J76" s="49"/>
      <c r="K76" s="49"/>
      <c r="L76" s="49"/>
      <c r="M76" s="49"/>
      <c r="N76" s="49"/>
      <c r="O76" s="49"/>
      <c r="P76" s="49"/>
      <c r="Q76" s="49"/>
      <c r="R76" s="49"/>
      <c r="U76" s="49">
        <v>140</v>
      </c>
    </row>
    <row r="77" spans="6:21" x14ac:dyDescent="0.2">
      <c r="F77" s="49"/>
      <c r="I77" s="1"/>
      <c r="J77" s="1"/>
      <c r="K77" s="1"/>
      <c r="L77" s="1"/>
      <c r="M77" s="1"/>
      <c r="N77" s="1"/>
      <c r="O77" s="1"/>
      <c r="P77" s="1"/>
      <c r="Q77" s="1"/>
      <c r="R77" s="1"/>
      <c r="U77" s="1">
        <v>141</v>
      </c>
    </row>
    <row r="78" spans="6:21" x14ac:dyDescent="0.2">
      <c r="F78" s="1"/>
      <c r="I78" s="1"/>
      <c r="J78" s="1"/>
      <c r="K78" s="1"/>
      <c r="L78" s="1"/>
      <c r="M78" s="1"/>
      <c r="N78" s="1"/>
      <c r="O78" s="1"/>
      <c r="P78" s="1"/>
      <c r="Q78" s="1"/>
      <c r="R78" s="1"/>
      <c r="U78" s="1">
        <v>142</v>
      </c>
    </row>
    <row r="79" spans="6:21" x14ac:dyDescent="0.2">
      <c r="F79" s="1"/>
      <c r="I79" s="1"/>
      <c r="J79" s="1"/>
      <c r="K79" s="1"/>
      <c r="L79" s="1"/>
      <c r="M79" s="1"/>
      <c r="N79" s="1"/>
      <c r="O79" s="1"/>
      <c r="P79" s="1"/>
      <c r="Q79" s="1"/>
      <c r="R79" s="1"/>
      <c r="U79" s="1">
        <v>143</v>
      </c>
    </row>
    <row r="80" spans="6:21" x14ac:dyDescent="0.2">
      <c r="F80" s="1"/>
      <c r="I80" s="1"/>
      <c r="J80" s="1"/>
      <c r="K80" s="1"/>
      <c r="L80" s="1"/>
      <c r="M80" s="1"/>
      <c r="N80" s="1"/>
      <c r="O80" s="1"/>
      <c r="P80" s="1"/>
      <c r="Q80" s="1"/>
      <c r="R80" s="1"/>
      <c r="U80" s="1">
        <v>144</v>
      </c>
    </row>
    <row r="81" spans="6:21" x14ac:dyDescent="0.2">
      <c r="F81" s="1"/>
      <c r="I81" s="49"/>
      <c r="J81" s="49"/>
      <c r="K81" s="49"/>
      <c r="L81" s="49"/>
      <c r="M81" s="49"/>
      <c r="N81" s="49"/>
      <c r="O81" s="49"/>
      <c r="P81" s="49"/>
      <c r="Q81" s="49"/>
      <c r="R81" s="49"/>
      <c r="U81" s="49">
        <v>145</v>
      </c>
    </row>
    <row r="82" spans="6:21" x14ac:dyDescent="0.2">
      <c r="F82" s="49"/>
      <c r="I82" s="1"/>
      <c r="J82" s="1"/>
      <c r="K82" s="1"/>
      <c r="L82" s="1"/>
      <c r="M82" s="1"/>
      <c r="N82" s="1"/>
      <c r="O82" s="1"/>
      <c r="P82" s="1"/>
      <c r="Q82" s="1"/>
      <c r="R82" s="1"/>
      <c r="U82" s="1">
        <v>146</v>
      </c>
    </row>
    <row r="83" spans="6:21" x14ac:dyDescent="0.2">
      <c r="F83" s="1"/>
      <c r="I83" s="1"/>
      <c r="J83" s="1"/>
      <c r="K83" s="1"/>
      <c r="L83" s="1"/>
      <c r="M83" s="1"/>
      <c r="N83" s="1"/>
      <c r="O83" s="1"/>
      <c r="P83" s="1"/>
      <c r="Q83" s="1"/>
      <c r="R83" s="1"/>
      <c r="U83" s="1">
        <v>147</v>
      </c>
    </row>
    <row r="84" spans="6:21" x14ac:dyDescent="0.2">
      <c r="F84" s="1"/>
      <c r="I84" s="1"/>
      <c r="J84" s="1"/>
      <c r="K84" s="1"/>
      <c r="L84" s="1"/>
      <c r="M84" s="1"/>
      <c r="N84" s="1"/>
      <c r="O84" s="1"/>
      <c r="P84" s="1"/>
      <c r="Q84" s="1"/>
      <c r="R84" s="1"/>
      <c r="U84" s="1">
        <v>148</v>
      </c>
    </row>
    <row r="85" spans="6:21" x14ac:dyDescent="0.2">
      <c r="F85" s="1"/>
      <c r="I85" s="1"/>
      <c r="J85" s="1"/>
      <c r="K85" s="1"/>
      <c r="L85" s="1"/>
      <c r="M85" s="1"/>
      <c r="N85" s="1"/>
      <c r="O85" s="1"/>
      <c r="P85" s="1"/>
      <c r="Q85" s="1"/>
      <c r="R85" s="1"/>
      <c r="U85" s="1">
        <v>149</v>
      </c>
    </row>
    <row r="86" spans="6:21" x14ac:dyDescent="0.2">
      <c r="F86" s="1"/>
      <c r="I86" s="49"/>
      <c r="J86" s="49"/>
      <c r="K86" s="49"/>
      <c r="L86" s="49"/>
      <c r="M86" s="49"/>
      <c r="N86" s="49"/>
      <c r="O86" s="49"/>
      <c r="P86" s="49"/>
      <c r="Q86" s="49"/>
      <c r="R86" s="49"/>
      <c r="U86" s="49">
        <v>150</v>
      </c>
    </row>
    <row r="87" spans="6:21" x14ac:dyDescent="0.2">
      <c r="F87" s="49"/>
      <c r="I87" s="1"/>
      <c r="J87" s="1"/>
      <c r="K87" s="1"/>
      <c r="L87" s="1"/>
      <c r="M87" s="1"/>
      <c r="N87" s="1"/>
      <c r="O87" s="1"/>
      <c r="P87" s="1"/>
      <c r="Q87" s="1"/>
      <c r="R87" s="1"/>
      <c r="U87" s="1">
        <v>151</v>
      </c>
    </row>
    <row r="88" spans="6:21" x14ac:dyDescent="0.2">
      <c r="F88" s="1"/>
      <c r="I88" s="1"/>
      <c r="J88" s="1"/>
      <c r="K88" s="1"/>
      <c r="L88" s="1"/>
      <c r="M88" s="1"/>
      <c r="N88" s="1"/>
      <c r="O88" s="1"/>
      <c r="P88" s="1"/>
      <c r="Q88" s="1"/>
      <c r="R88" s="1"/>
      <c r="U88" s="1">
        <v>152</v>
      </c>
    </row>
    <row r="89" spans="6:21" x14ac:dyDescent="0.2">
      <c r="F89" s="1"/>
      <c r="I89" s="1"/>
      <c r="J89" s="1"/>
      <c r="K89" s="1"/>
      <c r="L89" s="1"/>
      <c r="M89" s="1"/>
      <c r="N89" s="1"/>
      <c r="O89" s="1"/>
      <c r="P89" s="1"/>
      <c r="Q89" s="1"/>
      <c r="R89" s="1"/>
      <c r="U89" s="1">
        <v>153</v>
      </c>
    </row>
    <row r="90" spans="6:21" x14ac:dyDescent="0.2">
      <c r="F90" s="1"/>
      <c r="I90" s="1"/>
      <c r="J90" s="1"/>
      <c r="K90" s="1"/>
      <c r="L90" s="1"/>
      <c r="M90" s="1"/>
      <c r="N90" s="1"/>
      <c r="O90" s="1"/>
      <c r="P90" s="1"/>
      <c r="Q90" s="1"/>
      <c r="R90" s="1"/>
      <c r="U90" s="1">
        <v>154</v>
      </c>
    </row>
    <row r="91" spans="6:21" x14ac:dyDescent="0.2">
      <c r="F91" s="1"/>
      <c r="I91" s="49"/>
      <c r="J91" s="49"/>
      <c r="K91" s="49"/>
      <c r="L91" s="49"/>
      <c r="M91" s="49"/>
      <c r="N91" s="49"/>
      <c r="O91" s="49"/>
      <c r="P91" s="49"/>
      <c r="Q91" s="49"/>
      <c r="R91" s="49"/>
      <c r="U91" s="49">
        <v>155</v>
      </c>
    </row>
    <row r="92" spans="6:21" x14ac:dyDescent="0.2">
      <c r="F92" s="49"/>
      <c r="I92" s="1"/>
      <c r="J92" s="1"/>
      <c r="K92" s="1"/>
      <c r="L92" s="1"/>
      <c r="M92" s="1"/>
      <c r="N92" s="1"/>
      <c r="O92" s="1"/>
      <c r="P92" s="1"/>
      <c r="Q92" s="1"/>
      <c r="R92" s="1"/>
      <c r="U92" s="1">
        <v>156</v>
      </c>
    </row>
    <row r="93" spans="6:21" x14ac:dyDescent="0.2">
      <c r="F93" s="1"/>
      <c r="I93" s="1"/>
      <c r="J93" s="1"/>
      <c r="K93" s="1"/>
      <c r="L93" s="1"/>
      <c r="M93" s="1"/>
      <c r="N93" s="1"/>
      <c r="O93" s="1"/>
      <c r="P93" s="1"/>
      <c r="Q93" s="1"/>
      <c r="R93" s="1"/>
      <c r="U93" s="1">
        <v>157</v>
      </c>
    </row>
    <row r="94" spans="6:21" x14ac:dyDescent="0.2">
      <c r="F94" s="1"/>
      <c r="I94" s="1"/>
      <c r="J94" s="1"/>
      <c r="K94" s="1"/>
      <c r="L94" s="1"/>
      <c r="M94" s="1"/>
      <c r="N94" s="1"/>
      <c r="O94" s="1"/>
      <c r="P94" s="1"/>
      <c r="Q94" s="1"/>
      <c r="R94" s="1"/>
      <c r="U94" s="1">
        <v>158</v>
      </c>
    </row>
    <row r="95" spans="6:21" x14ac:dyDescent="0.2">
      <c r="F95" s="1"/>
      <c r="I95" s="1"/>
      <c r="J95" s="1"/>
      <c r="K95" s="1"/>
      <c r="L95" s="1"/>
      <c r="M95" s="1"/>
      <c r="N95" s="1"/>
      <c r="O95" s="1"/>
      <c r="P95" s="1"/>
      <c r="Q95" s="1"/>
      <c r="R95" s="1"/>
      <c r="U95" s="1">
        <v>159</v>
      </c>
    </row>
    <row r="96" spans="6:21" x14ac:dyDescent="0.2">
      <c r="F96" s="1"/>
      <c r="U96" s="49">
        <v>160</v>
      </c>
    </row>
    <row r="97" spans="6:21" x14ac:dyDescent="0.2">
      <c r="F97" s="49"/>
      <c r="U97" s="1">
        <v>161</v>
      </c>
    </row>
    <row r="98" spans="6:21" x14ac:dyDescent="0.2">
      <c r="F98" s="1"/>
      <c r="U98" s="1">
        <v>162</v>
      </c>
    </row>
    <row r="99" spans="6:21" x14ac:dyDescent="0.2">
      <c r="F99" s="1"/>
      <c r="U99" s="1">
        <v>163</v>
      </c>
    </row>
    <row r="100" spans="6:21" x14ac:dyDescent="0.2">
      <c r="F100" s="1"/>
      <c r="U100" s="1">
        <v>164</v>
      </c>
    </row>
    <row r="101" spans="6:21" x14ac:dyDescent="0.2">
      <c r="F101" s="1"/>
      <c r="U101" s="49">
        <v>165</v>
      </c>
    </row>
    <row r="102" spans="6:21" x14ac:dyDescent="0.2">
      <c r="F102" s="49"/>
      <c r="U102" s="1">
        <v>166</v>
      </c>
    </row>
    <row r="103" spans="6:21" x14ac:dyDescent="0.2">
      <c r="F103" s="1"/>
      <c r="U103" s="1">
        <v>167</v>
      </c>
    </row>
    <row r="104" spans="6:21" x14ac:dyDescent="0.2">
      <c r="F104" s="1"/>
      <c r="U104" s="1">
        <v>168</v>
      </c>
    </row>
    <row r="105" spans="6:21" x14ac:dyDescent="0.2">
      <c r="F105" s="1"/>
      <c r="U105" s="1">
        <v>169</v>
      </c>
    </row>
    <row r="106" spans="6:21" x14ac:dyDescent="0.2">
      <c r="F106" s="1"/>
      <c r="U106" s="49">
        <v>170</v>
      </c>
    </row>
    <row r="107" spans="6:21" x14ac:dyDescent="0.2">
      <c r="F107" s="49"/>
      <c r="U107" s="1">
        <v>171</v>
      </c>
    </row>
    <row r="108" spans="6:21" x14ac:dyDescent="0.2">
      <c r="F108" s="1"/>
      <c r="U108" s="1">
        <v>172</v>
      </c>
    </row>
    <row r="109" spans="6:21" x14ac:dyDescent="0.2">
      <c r="F109" s="1"/>
      <c r="U109" s="1">
        <v>173</v>
      </c>
    </row>
    <row r="110" spans="6:21" x14ac:dyDescent="0.2">
      <c r="F110" s="1"/>
      <c r="U110" s="1">
        <v>174</v>
      </c>
    </row>
    <row r="111" spans="6:21" x14ac:dyDescent="0.2">
      <c r="F111" s="1"/>
      <c r="U111" s="49">
        <v>175</v>
      </c>
    </row>
    <row r="112" spans="6:21" x14ac:dyDescent="0.2">
      <c r="F112" s="49"/>
      <c r="U112" s="1">
        <v>176</v>
      </c>
    </row>
    <row r="113" spans="6:21" x14ac:dyDescent="0.2">
      <c r="F113" s="1"/>
      <c r="U113" s="1">
        <v>177</v>
      </c>
    </row>
    <row r="114" spans="6:21" x14ac:dyDescent="0.2">
      <c r="F114" s="1"/>
      <c r="U114" s="1">
        <v>178</v>
      </c>
    </row>
    <row r="115" spans="6:21" x14ac:dyDescent="0.2">
      <c r="F115" s="1"/>
      <c r="U115" s="1">
        <v>179</v>
      </c>
    </row>
    <row r="116" spans="6:21" x14ac:dyDescent="0.2">
      <c r="F116" s="1"/>
      <c r="U116" s="49">
        <v>180</v>
      </c>
    </row>
    <row r="117" spans="6:21" x14ac:dyDescent="0.2">
      <c r="F117" s="49"/>
      <c r="U117" s="1">
        <v>181</v>
      </c>
    </row>
    <row r="118" spans="6:21" x14ac:dyDescent="0.2">
      <c r="F118" s="1"/>
      <c r="U118" s="1">
        <v>182</v>
      </c>
    </row>
    <row r="119" spans="6:21" x14ac:dyDescent="0.2">
      <c r="F119" s="1"/>
      <c r="U119" s="1">
        <v>183</v>
      </c>
    </row>
    <row r="120" spans="6:21" x14ac:dyDescent="0.2">
      <c r="F120" s="1"/>
      <c r="U120" s="1">
        <v>184</v>
      </c>
    </row>
    <row r="121" spans="6:21" x14ac:dyDescent="0.2">
      <c r="F121" s="1"/>
      <c r="U121" s="49">
        <v>185</v>
      </c>
    </row>
    <row r="122" spans="6:21" x14ac:dyDescent="0.2">
      <c r="F122" s="49"/>
      <c r="U122" s="1">
        <v>186</v>
      </c>
    </row>
    <row r="123" spans="6:21" x14ac:dyDescent="0.2">
      <c r="F123" s="1"/>
      <c r="U123" s="1">
        <v>187</v>
      </c>
    </row>
    <row r="124" spans="6:21" x14ac:dyDescent="0.2">
      <c r="F124" s="1"/>
      <c r="U124" s="1">
        <v>188</v>
      </c>
    </row>
    <row r="125" spans="6:21" x14ac:dyDescent="0.2">
      <c r="F125" s="1"/>
      <c r="U125" s="1">
        <v>189</v>
      </c>
    </row>
    <row r="126" spans="6:21" x14ac:dyDescent="0.2">
      <c r="F126" s="1"/>
      <c r="U126" s="49">
        <v>190</v>
      </c>
    </row>
    <row r="127" spans="6:21" x14ac:dyDescent="0.2">
      <c r="U127" s="1">
        <v>191</v>
      </c>
    </row>
    <row r="128" spans="6:21" x14ac:dyDescent="0.2">
      <c r="U128" s="1">
        <v>192</v>
      </c>
    </row>
    <row r="129" spans="21:21" x14ac:dyDescent="0.2">
      <c r="U129" s="1">
        <v>193</v>
      </c>
    </row>
    <row r="130" spans="21:21" x14ac:dyDescent="0.2">
      <c r="U130" s="1">
        <v>194</v>
      </c>
    </row>
    <row r="131" spans="21:21" x14ac:dyDescent="0.2">
      <c r="U131" s="49">
        <v>195</v>
      </c>
    </row>
    <row r="132" spans="21:21" x14ac:dyDescent="0.2">
      <c r="U132" s="1">
        <v>196</v>
      </c>
    </row>
    <row r="133" spans="21:21" x14ac:dyDescent="0.2">
      <c r="U133" s="1">
        <v>197</v>
      </c>
    </row>
    <row r="134" spans="21:21" x14ac:dyDescent="0.2">
      <c r="U134" s="1">
        <v>198</v>
      </c>
    </row>
    <row r="135" spans="21:21" x14ac:dyDescent="0.2">
      <c r="U135" s="1">
        <v>199</v>
      </c>
    </row>
    <row r="136" spans="21:21" x14ac:dyDescent="0.2">
      <c r="U136" s="49">
        <v>200</v>
      </c>
    </row>
    <row r="137" spans="21:21" x14ac:dyDescent="0.2">
      <c r="U137" s="1">
        <v>201</v>
      </c>
    </row>
    <row r="138" spans="21:21" x14ac:dyDescent="0.2">
      <c r="U138" s="1">
        <v>202</v>
      </c>
    </row>
    <row r="139" spans="21:21" x14ac:dyDescent="0.2">
      <c r="U139" s="1">
        <v>203</v>
      </c>
    </row>
    <row r="140" spans="21:21" x14ac:dyDescent="0.2">
      <c r="U140" s="1">
        <v>204</v>
      </c>
    </row>
  </sheetData>
  <sortState xmlns:xlrd2="http://schemas.microsoft.com/office/spreadsheetml/2017/richdata2" ref="U17:U140">
    <sortCondition ref="U17:U140"/>
  </sortState>
  <mergeCells count="5">
    <mergeCell ref="C15:C16"/>
    <mergeCell ref="D15:D16"/>
    <mergeCell ref="B27:B36"/>
    <mergeCell ref="B17:B26"/>
    <mergeCell ref="B15:B16"/>
  </mergeCell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A6D-A582-407B-95FB-C88A8A6FF725}">
  <sheetPr>
    <tabColor rgb="FF00B050"/>
  </sheetPr>
  <dimension ref="B1:S126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3" width="10.7109375" customWidth="1"/>
    <col min="15" max="15" width="11.28515625" bestFit="1" customWidth="1"/>
  </cols>
  <sheetData>
    <row r="1" spans="2:19" ht="15" customHeight="1" x14ac:dyDescent="0.2"/>
    <row r="2" spans="2:19" ht="15" customHeight="1" x14ac:dyDescent="0.2">
      <c r="F2" s="49"/>
      <c r="O2" s="36">
        <v>500000</v>
      </c>
    </row>
    <row r="3" spans="2:19" ht="15" customHeight="1" x14ac:dyDescent="0.2">
      <c r="F3" s="49"/>
      <c r="L3" s="1"/>
      <c r="M3" s="1"/>
      <c r="O3" s="61"/>
    </row>
    <row r="4" spans="2:19" ht="15" customHeight="1" thickBot="1" x14ac:dyDescent="0.25">
      <c r="F4" s="49"/>
      <c r="L4" s="1"/>
      <c r="M4" s="1"/>
      <c r="O4" s="24">
        <f>O2*0.15</f>
        <v>75000</v>
      </c>
    </row>
    <row r="5" spans="2:19" ht="15" customHeight="1" thickBot="1" x14ac:dyDescent="0.3">
      <c r="F5" s="49"/>
      <c r="L5" s="1"/>
      <c r="M5" s="1"/>
      <c r="O5" s="131">
        <v>25952</v>
      </c>
    </row>
    <row r="6" spans="2:19" ht="15" customHeight="1" x14ac:dyDescent="0.2">
      <c r="F6" s="49"/>
      <c r="L6" s="49"/>
      <c r="M6" s="49"/>
      <c r="O6" s="28">
        <f>O4/O5</f>
        <v>2.8899506781750923</v>
      </c>
    </row>
    <row r="7" spans="2:19" ht="15" customHeight="1" x14ac:dyDescent="0.2">
      <c r="F7" s="49"/>
      <c r="L7" s="1"/>
      <c r="M7" s="1"/>
    </row>
    <row r="8" spans="2:19" ht="15" customHeight="1" thickBot="1" x14ac:dyDescent="0.25">
      <c r="F8" s="49"/>
      <c r="L8" s="1"/>
      <c r="M8" s="1"/>
      <c r="R8">
        <v>100000</v>
      </c>
      <c r="S8">
        <f t="shared" ref="S8:S13" si="0">R8*0.15</f>
        <v>15000</v>
      </c>
    </row>
    <row r="9" spans="2:19" ht="15" customHeight="1" x14ac:dyDescent="0.2">
      <c r="F9" s="49"/>
      <c r="G9" s="493" t="s">
        <v>37</v>
      </c>
      <c r="H9" s="495" t="s">
        <v>36</v>
      </c>
      <c r="J9" s="493" t="s">
        <v>37</v>
      </c>
      <c r="K9" s="495" t="s">
        <v>36</v>
      </c>
      <c r="L9" s="1"/>
      <c r="M9" s="1"/>
      <c r="O9" s="117"/>
      <c r="R9">
        <v>200000</v>
      </c>
      <c r="S9">
        <f t="shared" si="0"/>
        <v>30000</v>
      </c>
    </row>
    <row r="10" spans="2:19" ht="15" customHeight="1" thickBot="1" x14ac:dyDescent="0.25">
      <c r="F10" s="49"/>
      <c r="G10" s="494"/>
      <c r="H10" s="496"/>
      <c r="J10" s="494"/>
      <c r="K10" s="496"/>
      <c r="L10" s="1"/>
      <c r="M10" s="1"/>
      <c r="O10" s="117"/>
      <c r="R10">
        <v>300000</v>
      </c>
      <c r="S10">
        <f t="shared" si="0"/>
        <v>45000</v>
      </c>
    </row>
    <row r="11" spans="2:19" ht="15" customHeight="1" x14ac:dyDescent="0.2">
      <c r="F11" s="49"/>
      <c r="G11" s="189">
        <v>45</v>
      </c>
      <c r="H11" s="190">
        <f t="shared" ref="H11:H26" si="1">G11*$O$6</f>
        <v>130.04778051787915</v>
      </c>
      <c r="I11" s="1"/>
      <c r="J11" s="187">
        <f>G26+5</f>
        <v>125</v>
      </c>
      <c r="K11" s="191">
        <f t="shared" ref="K11:K17" si="2">J11*$O$6</f>
        <v>361.24383477188655</v>
      </c>
      <c r="L11" s="49"/>
      <c r="M11" s="49"/>
      <c r="R11">
        <v>500000</v>
      </c>
      <c r="S11">
        <f t="shared" si="0"/>
        <v>75000</v>
      </c>
    </row>
    <row r="12" spans="2:19" ht="15" customHeight="1" x14ac:dyDescent="0.2">
      <c r="F12" s="49"/>
      <c r="G12" s="187">
        <f t="shared" ref="G12:G26" si="3">G11+5</f>
        <v>50</v>
      </c>
      <c r="H12" s="191">
        <f t="shared" si="1"/>
        <v>144.4975339087546</v>
      </c>
      <c r="I12" s="1"/>
      <c r="J12" s="187">
        <f t="shared" ref="J12:J25" si="4">J11+5</f>
        <v>130</v>
      </c>
      <c r="K12" s="191">
        <f t="shared" si="2"/>
        <v>375.69358816276201</v>
      </c>
      <c r="L12" s="1"/>
      <c r="M12" s="1"/>
      <c r="R12">
        <v>700000</v>
      </c>
      <c r="S12">
        <f t="shared" si="0"/>
        <v>105000</v>
      </c>
    </row>
    <row r="13" spans="2:19" ht="15" customHeight="1" x14ac:dyDescent="0.2">
      <c r="F13" s="49"/>
      <c r="G13" s="187">
        <f t="shared" si="3"/>
        <v>55</v>
      </c>
      <c r="H13" s="191">
        <f t="shared" si="1"/>
        <v>158.94728729963009</v>
      </c>
      <c r="I13" s="1"/>
      <c r="J13" s="187">
        <f t="shared" si="4"/>
        <v>135</v>
      </c>
      <c r="K13" s="191">
        <f t="shared" si="2"/>
        <v>390.14334155363747</v>
      </c>
      <c r="L13" s="1"/>
      <c r="M13" s="1"/>
      <c r="R13">
        <v>1000000</v>
      </c>
      <c r="S13">
        <f t="shared" si="0"/>
        <v>150000</v>
      </c>
    </row>
    <row r="14" spans="2:19" ht="15" customHeight="1" thickBot="1" x14ac:dyDescent="0.25">
      <c r="F14" s="49"/>
      <c r="G14" s="187">
        <f t="shared" si="3"/>
        <v>60</v>
      </c>
      <c r="H14" s="191">
        <f t="shared" si="1"/>
        <v>173.39704069050555</v>
      </c>
      <c r="I14" s="49"/>
      <c r="J14" s="187">
        <f t="shared" si="4"/>
        <v>140</v>
      </c>
      <c r="K14" s="191">
        <f t="shared" si="2"/>
        <v>404.59309494451293</v>
      </c>
      <c r="L14" s="1"/>
      <c r="M14" s="1"/>
    </row>
    <row r="15" spans="2:19" ht="15" customHeight="1" x14ac:dyDescent="0.2">
      <c r="B15" s="486" t="s">
        <v>118</v>
      </c>
      <c r="C15" s="476" t="s">
        <v>112</v>
      </c>
      <c r="D15" s="493" t="s">
        <v>290</v>
      </c>
      <c r="E15" s="478" t="s">
        <v>38</v>
      </c>
      <c r="F15" s="49"/>
      <c r="G15" s="187">
        <f t="shared" si="3"/>
        <v>65</v>
      </c>
      <c r="H15" s="191">
        <f t="shared" si="1"/>
        <v>187.84679408138101</v>
      </c>
      <c r="I15" s="1"/>
      <c r="J15" s="187">
        <f t="shared" si="4"/>
        <v>145</v>
      </c>
      <c r="K15" s="191">
        <f t="shared" si="2"/>
        <v>419.04284833538838</v>
      </c>
      <c r="L15" s="1"/>
      <c r="M15" s="1"/>
      <c r="R15">
        <v>200000</v>
      </c>
      <c r="S15" s="90">
        <f t="shared" ref="S15:S20" si="5">R15*0.15</f>
        <v>30000</v>
      </c>
    </row>
    <row r="16" spans="2:19" ht="15" customHeight="1" thickBot="1" x14ac:dyDescent="0.25">
      <c r="B16" s="487"/>
      <c r="C16" s="477"/>
      <c r="D16" s="494"/>
      <c r="E16" s="479"/>
      <c r="F16" s="49"/>
      <c r="G16" s="187">
        <f t="shared" si="3"/>
        <v>70</v>
      </c>
      <c r="H16" s="191">
        <f t="shared" si="1"/>
        <v>202.29654747225646</v>
      </c>
      <c r="I16" s="1"/>
      <c r="J16" s="187">
        <f t="shared" si="4"/>
        <v>150</v>
      </c>
      <c r="K16" s="191">
        <f t="shared" si="2"/>
        <v>433.49260172626384</v>
      </c>
      <c r="L16" s="49"/>
      <c r="M16" s="49"/>
      <c r="R16">
        <v>400000</v>
      </c>
      <c r="S16" s="90">
        <f t="shared" si="5"/>
        <v>60000</v>
      </c>
    </row>
    <row r="17" spans="2:19" ht="15" customHeight="1" x14ac:dyDescent="0.2">
      <c r="B17" s="491" t="s">
        <v>119</v>
      </c>
      <c r="C17" s="182" t="s">
        <v>165</v>
      </c>
      <c r="D17" s="183">
        <v>45</v>
      </c>
      <c r="E17" s="184">
        <v>2680</v>
      </c>
      <c r="F17" s="49"/>
      <c r="G17" s="187">
        <f t="shared" si="3"/>
        <v>75</v>
      </c>
      <c r="H17" s="191">
        <f t="shared" si="1"/>
        <v>216.74630086313192</v>
      </c>
      <c r="I17" s="1"/>
      <c r="J17" s="187">
        <f t="shared" si="4"/>
        <v>155</v>
      </c>
      <c r="K17" s="191">
        <f t="shared" si="2"/>
        <v>447.9423551171393</v>
      </c>
      <c r="L17" s="1"/>
      <c r="M17" s="1"/>
      <c r="O17" s="48">
        <v>45</v>
      </c>
      <c r="R17">
        <v>600000</v>
      </c>
      <c r="S17" s="90">
        <f t="shared" si="5"/>
        <v>90000</v>
      </c>
    </row>
    <row r="18" spans="2:19" ht="15" customHeight="1" x14ac:dyDescent="0.2">
      <c r="B18" s="492"/>
      <c r="C18" s="156" t="s">
        <v>42</v>
      </c>
      <c r="D18" s="185">
        <v>50</v>
      </c>
      <c r="E18" s="186">
        <v>2900</v>
      </c>
      <c r="F18" s="49"/>
      <c r="G18" s="187">
        <f t="shared" si="3"/>
        <v>80</v>
      </c>
      <c r="H18" s="191">
        <f t="shared" si="1"/>
        <v>231.19605425400738</v>
      </c>
      <c r="I18" s="1"/>
      <c r="J18" s="187">
        <f t="shared" si="4"/>
        <v>160</v>
      </c>
      <c r="K18" s="191">
        <f t="shared" ref="K18:K26" si="6">J18*$O$6</f>
        <v>462.39210850801476</v>
      </c>
      <c r="L18" s="1"/>
      <c r="M18" s="1"/>
      <c r="O18" s="48">
        <v>50</v>
      </c>
      <c r="R18">
        <v>800000</v>
      </c>
      <c r="S18" s="90">
        <f t="shared" si="5"/>
        <v>120000</v>
      </c>
    </row>
    <row r="19" spans="2:19" ht="15" customHeight="1" x14ac:dyDescent="0.2">
      <c r="B19" s="492"/>
      <c r="C19" s="156" t="s">
        <v>43</v>
      </c>
      <c r="D19" s="185">
        <v>55</v>
      </c>
      <c r="E19" s="186">
        <v>3140</v>
      </c>
      <c r="F19" s="49"/>
      <c r="G19" s="187">
        <f t="shared" si="3"/>
        <v>85</v>
      </c>
      <c r="H19" s="191">
        <f t="shared" si="1"/>
        <v>245.64580764488284</v>
      </c>
      <c r="I19" s="49"/>
      <c r="J19" s="187">
        <f t="shared" si="4"/>
        <v>165</v>
      </c>
      <c r="K19" s="191">
        <f t="shared" si="6"/>
        <v>476.84186189889022</v>
      </c>
      <c r="L19" s="1"/>
      <c r="M19" s="1"/>
      <c r="O19" s="48">
        <v>55</v>
      </c>
      <c r="R19">
        <v>1000000</v>
      </c>
      <c r="S19" s="90">
        <f t="shared" si="5"/>
        <v>150000</v>
      </c>
    </row>
    <row r="20" spans="2:19" ht="15" customHeight="1" x14ac:dyDescent="0.2">
      <c r="B20" s="492"/>
      <c r="C20" s="156" t="s">
        <v>44</v>
      </c>
      <c r="D20" s="185">
        <v>60</v>
      </c>
      <c r="E20" s="186">
        <v>3510</v>
      </c>
      <c r="F20" s="49"/>
      <c r="G20" s="187">
        <f t="shared" si="3"/>
        <v>90</v>
      </c>
      <c r="H20" s="191">
        <f t="shared" si="1"/>
        <v>260.09556103575829</v>
      </c>
      <c r="I20" s="1"/>
      <c r="J20" s="187">
        <f t="shared" si="4"/>
        <v>170</v>
      </c>
      <c r="K20" s="191">
        <f t="shared" si="6"/>
        <v>491.29161528976567</v>
      </c>
      <c r="L20" s="1"/>
      <c r="M20" s="1"/>
      <c r="O20" s="48">
        <v>60</v>
      </c>
      <c r="R20">
        <v>1200000</v>
      </c>
      <c r="S20" s="90">
        <f t="shared" si="5"/>
        <v>180000</v>
      </c>
    </row>
    <row r="21" spans="2:19" ht="15" customHeight="1" x14ac:dyDescent="0.2">
      <c r="B21" s="492"/>
      <c r="C21" s="156" t="s">
        <v>45</v>
      </c>
      <c r="D21" s="185">
        <v>65</v>
      </c>
      <c r="E21" s="186">
        <v>3865</v>
      </c>
      <c r="F21" s="49"/>
      <c r="G21" s="187">
        <f t="shared" si="3"/>
        <v>95</v>
      </c>
      <c r="H21" s="191">
        <f t="shared" si="1"/>
        <v>274.54531442663375</v>
      </c>
      <c r="I21" s="1"/>
      <c r="J21" s="187">
        <f t="shared" si="4"/>
        <v>175</v>
      </c>
      <c r="K21" s="191">
        <f t="shared" si="6"/>
        <v>505.74136868064113</v>
      </c>
      <c r="L21" s="49"/>
      <c r="M21" s="49"/>
      <c r="O21" s="48">
        <v>65</v>
      </c>
    </row>
    <row r="22" spans="2:19" ht="15" customHeight="1" x14ac:dyDescent="0.2">
      <c r="B22" s="492"/>
      <c r="C22" s="156" t="s">
        <v>46</v>
      </c>
      <c r="D22" s="185">
        <v>70</v>
      </c>
      <c r="E22" s="186">
        <v>4270</v>
      </c>
      <c r="F22" s="49"/>
      <c r="G22" s="187">
        <f t="shared" si="3"/>
        <v>100</v>
      </c>
      <c r="H22" s="191">
        <f t="shared" si="1"/>
        <v>288.99506781750921</v>
      </c>
      <c r="I22" s="1"/>
      <c r="J22" s="187">
        <f t="shared" si="4"/>
        <v>180</v>
      </c>
      <c r="K22" s="191">
        <f t="shared" si="6"/>
        <v>520.19112207151659</v>
      </c>
      <c r="L22" s="1"/>
      <c r="M22" s="1"/>
      <c r="O22" s="48">
        <v>70</v>
      </c>
      <c r="S22">
        <v>236337</v>
      </c>
    </row>
    <row r="23" spans="2:19" ht="15" customHeight="1" x14ac:dyDescent="0.2">
      <c r="B23" s="492"/>
      <c r="C23" s="187" t="s">
        <v>47</v>
      </c>
      <c r="D23" s="188">
        <v>80</v>
      </c>
      <c r="E23" s="186">
        <v>4780</v>
      </c>
      <c r="F23" s="49"/>
      <c r="G23" s="187">
        <f t="shared" si="3"/>
        <v>105</v>
      </c>
      <c r="H23" s="191">
        <f t="shared" si="1"/>
        <v>303.44482120838467</v>
      </c>
      <c r="I23" s="1"/>
      <c r="J23" s="187">
        <f t="shared" si="4"/>
        <v>185</v>
      </c>
      <c r="K23" s="191">
        <f t="shared" si="6"/>
        <v>534.64087546239205</v>
      </c>
      <c r="L23" s="1"/>
      <c r="M23" s="1"/>
      <c r="O23" s="150">
        <v>75</v>
      </c>
      <c r="S23">
        <f>S22/0.15</f>
        <v>1575580</v>
      </c>
    </row>
    <row r="24" spans="2:19" ht="15" customHeight="1" x14ac:dyDescent="0.2">
      <c r="B24" s="492"/>
      <c r="C24" s="156" t="s">
        <v>48</v>
      </c>
      <c r="D24" s="185">
        <v>90</v>
      </c>
      <c r="E24" s="186">
        <v>5420</v>
      </c>
      <c r="F24" s="49"/>
      <c r="G24" s="187">
        <f t="shared" si="3"/>
        <v>110</v>
      </c>
      <c r="H24" s="191">
        <f t="shared" si="1"/>
        <v>317.89457459926018</v>
      </c>
      <c r="I24" s="49"/>
      <c r="J24" s="187">
        <f t="shared" si="4"/>
        <v>190</v>
      </c>
      <c r="K24" s="191">
        <f t="shared" si="6"/>
        <v>549.0906288532675</v>
      </c>
      <c r="L24" s="1"/>
      <c r="M24" s="1"/>
      <c r="O24" s="48">
        <v>80</v>
      </c>
    </row>
    <row r="25" spans="2:19" ht="15" customHeight="1" x14ac:dyDescent="0.2">
      <c r="B25" s="492"/>
      <c r="C25" s="156" t="s">
        <v>49</v>
      </c>
      <c r="D25" s="185">
        <v>100</v>
      </c>
      <c r="E25" s="186">
        <v>6150</v>
      </c>
      <c r="F25" s="49"/>
      <c r="G25" s="187">
        <f t="shared" si="3"/>
        <v>115</v>
      </c>
      <c r="H25" s="191">
        <f t="shared" si="1"/>
        <v>332.34432799013564</v>
      </c>
      <c r="I25" s="1"/>
      <c r="J25" s="187">
        <f t="shared" si="4"/>
        <v>195</v>
      </c>
      <c r="K25" s="191">
        <f t="shared" si="6"/>
        <v>563.54038224414296</v>
      </c>
      <c r="L25" s="1"/>
      <c r="M25" s="1"/>
      <c r="O25" s="48">
        <v>85</v>
      </c>
    </row>
    <row r="26" spans="2:19" ht="15" customHeight="1" thickBot="1" x14ac:dyDescent="0.25">
      <c r="B26" s="492"/>
      <c r="C26" s="204" t="s">
        <v>50</v>
      </c>
      <c r="D26" s="205">
        <v>110</v>
      </c>
      <c r="E26" s="206">
        <v>6980</v>
      </c>
      <c r="F26" s="49"/>
      <c r="G26" s="192">
        <f t="shared" si="3"/>
        <v>120</v>
      </c>
      <c r="H26" s="193">
        <f t="shared" si="1"/>
        <v>346.7940813810111</v>
      </c>
      <c r="I26" s="1"/>
      <c r="J26" s="158">
        <v>200</v>
      </c>
      <c r="K26" s="193">
        <f t="shared" si="6"/>
        <v>577.99013563501842</v>
      </c>
      <c r="L26" s="49"/>
      <c r="M26" s="49"/>
      <c r="O26" s="48">
        <v>90</v>
      </c>
    </row>
    <row r="27" spans="2:19" ht="15" customHeight="1" x14ac:dyDescent="0.2">
      <c r="B27" s="488" t="s">
        <v>291</v>
      </c>
      <c r="C27" s="182" t="s">
        <v>244</v>
      </c>
      <c r="D27" s="182">
        <v>370</v>
      </c>
      <c r="E27" s="207">
        <v>8500</v>
      </c>
      <c r="F27" s="49"/>
      <c r="I27" s="1"/>
      <c r="J27" s="1"/>
      <c r="K27" s="1"/>
      <c r="L27" s="1"/>
      <c r="M27" s="1"/>
      <c r="O27" s="48">
        <v>95</v>
      </c>
    </row>
    <row r="28" spans="2:19" ht="15" customHeight="1" x14ac:dyDescent="0.2">
      <c r="B28" s="489"/>
      <c r="C28" s="156" t="s">
        <v>245</v>
      </c>
      <c r="D28" s="156">
        <v>438</v>
      </c>
      <c r="E28" s="208">
        <v>9500</v>
      </c>
      <c r="F28" s="49"/>
      <c r="I28" s="1"/>
      <c r="J28" s="1"/>
      <c r="K28" s="1"/>
      <c r="L28" s="1"/>
      <c r="M28" s="1"/>
      <c r="O28" s="48">
        <v>100</v>
      </c>
    </row>
    <row r="29" spans="2:19" ht="15" customHeight="1" thickBot="1" x14ac:dyDescent="0.25">
      <c r="B29" s="490"/>
      <c r="C29" s="162" t="s">
        <v>246</v>
      </c>
      <c r="D29" s="162">
        <v>515</v>
      </c>
      <c r="E29" s="209">
        <v>10500</v>
      </c>
      <c r="F29" s="49"/>
      <c r="I29" s="1"/>
      <c r="J29" s="1"/>
      <c r="K29" s="1"/>
      <c r="L29" s="1"/>
      <c r="M29" s="1"/>
      <c r="O29" s="48">
        <v>105</v>
      </c>
    </row>
    <row r="30" spans="2:19" ht="15" customHeight="1" x14ac:dyDescent="0.2">
      <c r="F30" s="49"/>
      <c r="I30" s="1"/>
      <c r="J30" s="1"/>
      <c r="K30" s="1"/>
      <c r="L30" s="1"/>
      <c r="M30" s="1"/>
      <c r="O30" s="48">
        <v>110</v>
      </c>
    </row>
    <row r="31" spans="2:19" ht="15" customHeight="1" x14ac:dyDescent="0.2">
      <c r="F31" s="49"/>
      <c r="I31" s="49"/>
      <c r="J31" s="49"/>
      <c r="K31" s="49"/>
      <c r="L31" s="49"/>
      <c r="M31" s="49"/>
      <c r="O31" s="150">
        <v>115</v>
      </c>
    </row>
    <row r="32" spans="2:19" ht="15" customHeight="1" x14ac:dyDescent="0.2">
      <c r="F32" s="49"/>
      <c r="I32" s="1"/>
      <c r="J32" s="1"/>
      <c r="K32" s="1"/>
      <c r="L32" s="1"/>
      <c r="M32" s="1"/>
      <c r="O32" s="150">
        <v>120</v>
      </c>
    </row>
    <row r="33" spans="6:15" ht="15" customHeight="1" x14ac:dyDescent="0.2">
      <c r="F33" s="49"/>
      <c r="I33" s="1"/>
      <c r="J33" s="1"/>
      <c r="K33" s="1"/>
      <c r="L33" s="1"/>
      <c r="M33" s="1"/>
      <c r="O33" s="150">
        <v>125</v>
      </c>
    </row>
    <row r="34" spans="6:15" ht="15" customHeight="1" x14ac:dyDescent="0.2">
      <c r="I34" s="1"/>
      <c r="J34" s="1"/>
      <c r="K34" s="1"/>
      <c r="L34" s="1"/>
      <c r="M34" s="1"/>
      <c r="O34" s="150">
        <v>130</v>
      </c>
    </row>
    <row r="35" spans="6:15" ht="15" customHeight="1" x14ac:dyDescent="0.2">
      <c r="G35" s="1"/>
      <c r="I35" s="1"/>
      <c r="J35" s="1"/>
      <c r="K35" s="1"/>
      <c r="L35" s="1"/>
      <c r="M35" s="1"/>
      <c r="O35" s="150">
        <v>135</v>
      </c>
    </row>
    <row r="36" spans="6:15" ht="15" customHeight="1" x14ac:dyDescent="0.2">
      <c r="G36" s="1"/>
      <c r="I36" s="49"/>
      <c r="J36" s="49"/>
      <c r="K36" s="49"/>
      <c r="L36" s="49"/>
      <c r="M36" s="49"/>
      <c r="O36" s="150">
        <v>140</v>
      </c>
    </row>
    <row r="37" spans="6:15" ht="15" customHeight="1" x14ac:dyDescent="0.2">
      <c r="G37" s="49"/>
      <c r="I37" s="1"/>
      <c r="J37" s="1"/>
      <c r="K37" s="1"/>
      <c r="L37" s="1"/>
      <c r="M37" s="1"/>
      <c r="O37" s="150">
        <v>145</v>
      </c>
    </row>
    <row r="38" spans="6:15" x14ac:dyDescent="0.2">
      <c r="G38" s="1"/>
      <c r="I38" s="1"/>
      <c r="J38" s="1"/>
      <c r="K38" s="1"/>
      <c r="L38" s="1"/>
      <c r="M38" s="1"/>
      <c r="O38" s="150">
        <v>150</v>
      </c>
    </row>
    <row r="39" spans="6:15" x14ac:dyDescent="0.2">
      <c r="G39" s="1"/>
      <c r="I39" s="1"/>
      <c r="J39" s="1"/>
      <c r="K39" s="1"/>
      <c r="L39" s="1"/>
      <c r="M39" s="1"/>
      <c r="O39" s="150">
        <v>155</v>
      </c>
    </row>
    <row r="40" spans="6:15" x14ac:dyDescent="0.2">
      <c r="G40" s="1"/>
      <c r="I40" s="1"/>
      <c r="J40" s="1"/>
      <c r="K40" s="1"/>
      <c r="L40" s="1"/>
      <c r="M40" s="1"/>
      <c r="O40" s="49">
        <v>160</v>
      </c>
    </row>
    <row r="41" spans="6:15" x14ac:dyDescent="0.2">
      <c r="G41" s="1"/>
      <c r="I41" s="49"/>
      <c r="J41" s="49"/>
      <c r="K41" s="49"/>
      <c r="L41" s="49"/>
      <c r="M41" s="49"/>
      <c r="O41" s="49">
        <v>165</v>
      </c>
    </row>
    <row r="42" spans="6:15" x14ac:dyDescent="0.2">
      <c r="G42" s="49"/>
      <c r="I42" s="1"/>
      <c r="J42" s="1"/>
      <c r="K42" s="1"/>
      <c r="L42" s="1"/>
      <c r="M42" s="1"/>
      <c r="O42" s="49">
        <v>170</v>
      </c>
    </row>
    <row r="43" spans="6:15" x14ac:dyDescent="0.2">
      <c r="G43" s="1"/>
      <c r="I43" s="1"/>
      <c r="J43" s="1"/>
      <c r="K43" s="1"/>
      <c r="L43" s="1"/>
      <c r="M43" s="1"/>
      <c r="O43" s="49">
        <v>175</v>
      </c>
    </row>
    <row r="44" spans="6:15" x14ac:dyDescent="0.2">
      <c r="G44" s="1"/>
      <c r="I44" s="1"/>
      <c r="J44" s="1"/>
      <c r="K44" s="1"/>
      <c r="L44" s="1"/>
      <c r="M44" s="1"/>
      <c r="O44" s="49">
        <v>180</v>
      </c>
    </row>
    <row r="45" spans="6:15" x14ac:dyDescent="0.2">
      <c r="G45" s="1"/>
      <c r="I45" s="1"/>
      <c r="J45" s="1"/>
      <c r="K45" s="1"/>
      <c r="L45" s="1"/>
      <c r="M45" s="1"/>
      <c r="O45" s="49">
        <v>185</v>
      </c>
    </row>
    <row r="46" spans="6:15" x14ac:dyDescent="0.2">
      <c r="G46" s="1"/>
      <c r="I46" s="49"/>
      <c r="J46" s="49"/>
      <c r="K46" s="49"/>
      <c r="L46" s="49"/>
      <c r="M46" s="49"/>
      <c r="O46" s="49">
        <v>190</v>
      </c>
    </row>
    <row r="47" spans="6:15" x14ac:dyDescent="0.2">
      <c r="G47" s="49"/>
      <c r="I47" s="1"/>
      <c r="J47" s="1"/>
      <c r="K47" s="1"/>
      <c r="L47" s="1"/>
      <c r="M47" s="1"/>
      <c r="O47" s="49">
        <v>195</v>
      </c>
    </row>
    <row r="48" spans="6:15" x14ac:dyDescent="0.2">
      <c r="G48" s="1"/>
      <c r="I48" s="1"/>
      <c r="J48" s="1"/>
      <c r="K48" s="1"/>
      <c r="L48" s="1"/>
      <c r="M48" s="1"/>
      <c r="O48" s="49">
        <v>200</v>
      </c>
    </row>
    <row r="49" spans="7:13" x14ac:dyDescent="0.2">
      <c r="G49" s="1"/>
      <c r="I49" s="1"/>
      <c r="J49" s="1"/>
      <c r="K49" s="1"/>
      <c r="L49" s="1"/>
      <c r="M49" s="1"/>
    </row>
    <row r="50" spans="7:13" x14ac:dyDescent="0.2">
      <c r="G50" s="1"/>
      <c r="I50" s="1"/>
      <c r="J50" s="1"/>
      <c r="K50" s="1"/>
      <c r="L50" s="1"/>
      <c r="M50" s="1"/>
    </row>
    <row r="51" spans="7:13" x14ac:dyDescent="0.2">
      <c r="G51" s="1"/>
      <c r="I51" s="49"/>
      <c r="J51" s="49"/>
      <c r="K51" s="49"/>
      <c r="L51" s="49"/>
      <c r="M51" s="49"/>
    </row>
    <row r="52" spans="7:13" x14ac:dyDescent="0.2">
      <c r="G52" s="49"/>
      <c r="I52" s="1"/>
      <c r="J52" s="1"/>
      <c r="K52" s="1"/>
      <c r="L52" s="1"/>
      <c r="M52" s="1"/>
    </row>
    <row r="53" spans="7:13" x14ac:dyDescent="0.2">
      <c r="G53" s="1"/>
      <c r="I53" s="1"/>
      <c r="J53" s="1"/>
      <c r="K53" s="1"/>
      <c r="L53" s="1"/>
      <c r="M53" s="1"/>
    </row>
    <row r="54" spans="7:13" x14ac:dyDescent="0.2">
      <c r="G54" s="1"/>
      <c r="I54" s="1"/>
      <c r="J54" s="1"/>
      <c r="K54" s="1"/>
      <c r="L54" s="1"/>
      <c r="M54" s="1"/>
    </row>
    <row r="55" spans="7:13" x14ac:dyDescent="0.2">
      <c r="G55" s="1"/>
      <c r="I55" s="1"/>
      <c r="J55" s="1"/>
      <c r="K55" s="1"/>
      <c r="L55" s="1"/>
      <c r="M55" s="1"/>
    </row>
    <row r="56" spans="7:13" x14ac:dyDescent="0.2">
      <c r="G56" s="1"/>
      <c r="I56" s="49"/>
      <c r="J56" s="49"/>
      <c r="K56" s="49"/>
      <c r="L56" s="49"/>
      <c r="M56" s="49"/>
    </row>
    <row r="57" spans="7:13" x14ac:dyDescent="0.2">
      <c r="G57" s="49"/>
      <c r="I57" s="1"/>
      <c r="J57" s="1"/>
      <c r="K57" s="1"/>
      <c r="L57" s="1"/>
      <c r="M57" s="1"/>
    </row>
    <row r="58" spans="7:13" x14ac:dyDescent="0.2">
      <c r="G58" s="1"/>
      <c r="I58" s="1"/>
      <c r="J58" s="1"/>
      <c r="K58" s="1"/>
      <c r="L58" s="1"/>
      <c r="M58" s="1"/>
    </row>
    <row r="59" spans="7:13" x14ac:dyDescent="0.2">
      <c r="G59" s="1"/>
      <c r="I59" s="1"/>
      <c r="J59" s="1"/>
      <c r="K59" s="1"/>
      <c r="L59" s="1"/>
      <c r="M59" s="1"/>
    </row>
    <row r="60" spans="7:13" x14ac:dyDescent="0.2">
      <c r="G60" s="1"/>
      <c r="I60" s="1"/>
      <c r="J60" s="1"/>
      <c r="K60" s="1"/>
      <c r="L60" s="1"/>
      <c r="M60" s="1"/>
    </row>
    <row r="61" spans="7:13" x14ac:dyDescent="0.2">
      <c r="G61" s="1"/>
      <c r="I61" s="49"/>
      <c r="J61" s="49"/>
      <c r="K61" s="49"/>
      <c r="L61" s="49"/>
      <c r="M61" s="49"/>
    </row>
    <row r="62" spans="7:13" x14ac:dyDescent="0.2">
      <c r="G62" s="49"/>
      <c r="I62" s="1"/>
      <c r="J62" s="1"/>
      <c r="K62" s="1"/>
      <c r="L62" s="1"/>
      <c r="M62" s="1"/>
    </row>
    <row r="63" spans="7:13" x14ac:dyDescent="0.2">
      <c r="G63" s="1"/>
      <c r="I63" s="1"/>
      <c r="J63" s="1"/>
      <c r="K63" s="1"/>
      <c r="L63" s="1"/>
      <c r="M63" s="1"/>
    </row>
    <row r="64" spans="7:13" x14ac:dyDescent="0.2">
      <c r="G64" s="1"/>
      <c r="I64" s="1"/>
      <c r="J64" s="1"/>
      <c r="K64" s="1"/>
      <c r="L64" s="1"/>
      <c r="M64" s="1"/>
    </row>
    <row r="65" spans="7:13" x14ac:dyDescent="0.2">
      <c r="G65" s="1"/>
      <c r="I65" s="1"/>
      <c r="J65" s="1"/>
      <c r="K65" s="1"/>
      <c r="L65" s="1"/>
      <c r="M65" s="1"/>
    </row>
    <row r="66" spans="7:13" x14ac:dyDescent="0.2">
      <c r="G66" s="1"/>
      <c r="I66" s="49"/>
      <c r="J66" s="49"/>
      <c r="K66" s="49"/>
      <c r="L66" s="49"/>
      <c r="M66" s="49"/>
    </row>
    <row r="67" spans="7:13" x14ac:dyDescent="0.2">
      <c r="G67" s="49"/>
      <c r="I67" s="1"/>
      <c r="J67" s="1"/>
      <c r="K67" s="1"/>
      <c r="L67" s="1"/>
      <c r="M67" s="1"/>
    </row>
    <row r="68" spans="7:13" x14ac:dyDescent="0.2">
      <c r="G68" s="1"/>
      <c r="I68" s="1"/>
      <c r="J68" s="1"/>
      <c r="K68" s="1"/>
      <c r="L68" s="1"/>
      <c r="M68" s="1"/>
    </row>
    <row r="69" spans="7:13" x14ac:dyDescent="0.2">
      <c r="G69" s="1"/>
      <c r="I69" s="1"/>
      <c r="J69" s="1"/>
      <c r="K69" s="1"/>
      <c r="L69" s="1"/>
      <c r="M69" s="1"/>
    </row>
    <row r="70" spans="7:13" x14ac:dyDescent="0.2">
      <c r="G70" s="1"/>
      <c r="I70" s="1"/>
      <c r="J70" s="1"/>
      <c r="K70" s="1"/>
      <c r="L70" s="1"/>
      <c r="M70" s="1"/>
    </row>
    <row r="71" spans="7:13" x14ac:dyDescent="0.2">
      <c r="G71" s="1"/>
      <c r="I71" s="49"/>
      <c r="J71" s="49"/>
      <c r="K71" s="49"/>
      <c r="L71" s="49"/>
      <c r="M71" s="49"/>
    </row>
    <row r="72" spans="7:13" x14ac:dyDescent="0.2">
      <c r="G72" s="49"/>
      <c r="I72" s="1"/>
      <c r="J72" s="1"/>
      <c r="K72" s="1"/>
      <c r="L72" s="1"/>
      <c r="M72" s="1"/>
    </row>
    <row r="73" spans="7:13" x14ac:dyDescent="0.2">
      <c r="G73" s="1"/>
      <c r="I73" s="1"/>
      <c r="J73" s="1"/>
      <c r="K73" s="1"/>
      <c r="L73" s="1"/>
      <c r="M73" s="1"/>
    </row>
    <row r="74" spans="7:13" x14ac:dyDescent="0.2">
      <c r="G74" s="1"/>
      <c r="I74" s="1"/>
      <c r="J74" s="1"/>
      <c r="K74" s="1"/>
      <c r="L74" s="1"/>
      <c r="M74" s="1"/>
    </row>
    <row r="75" spans="7:13" x14ac:dyDescent="0.2">
      <c r="G75" s="1"/>
      <c r="I75" s="1"/>
      <c r="J75" s="1"/>
      <c r="K75" s="1"/>
      <c r="L75" s="1"/>
      <c r="M75" s="1"/>
    </row>
    <row r="76" spans="7:13" x14ac:dyDescent="0.2">
      <c r="G76" s="1"/>
      <c r="I76" s="49"/>
      <c r="J76" s="49"/>
      <c r="K76" s="49"/>
      <c r="L76" s="49"/>
      <c r="M76" s="49"/>
    </row>
    <row r="77" spans="7:13" x14ac:dyDescent="0.2">
      <c r="G77" s="49"/>
      <c r="I77" s="1"/>
      <c r="J77" s="1"/>
      <c r="K77" s="1"/>
      <c r="L77" s="1"/>
      <c r="M77" s="1"/>
    </row>
    <row r="78" spans="7:13" x14ac:dyDescent="0.2">
      <c r="G78" s="1"/>
      <c r="I78" s="1"/>
      <c r="J78" s="1"/>
      <c r="K78" s="1"/>
      <c r="L78" s="1"/>
      <c r="M78" s="1"/>
    </row>
    <row r="79" spans="7:13" x14ac:dyDescent="0.2">
      <c r="G79" s="1"/>
      <c r="I79" s="1"/>
      <c r="J79" s="1"/>
      <c r="K79" s="1"/>
      <c r="L79" s="1"/>
      <c r="M79" s="1"/>
    </row>
    <row r="80" spans="7:13" x14ac:dyDescent="0.2">
      <c r="G80" s="1"/>
      <c r="I80" s="1"/>
      <c r="J80" s="1"/>
      <c r="K80" s="1"/>
      <c r="L80" s="1"/>
      <c r="M80" s="1"/>
    </row>
    <row r="81" spans="7:13" x14ac:dyDescent="0.2">
      <c r="G81" s="1"/>
      <c r="I81" s="49"/>
      <c r="J81" s="49"/>
      <c r="K81" s="49"/>
      <c r="L81" s="49"/>
      <c r="M81" s="49"/>
    </row>
    <row r="82" spans="7:13" x14ac:dyDescent="0.2">
      <c r="G82" s="49"/>
      <c r="I82" s="1"/>
      <c r="J82" s="1"/>
      <c r="K82" s="1"/>
      <c r="L82" s="1"/>
      <c r="M82" s="1"/>
    </row>
    <row r="83" spans="7:13" x14ac:dyDescent="0.2">
      <c r="G83" s="1"/>
      <c r="I83" s="1"/>
      <c r="J83" s="1"/>
      <c r="K83" s="1"/>
      <c r="L83" s="1"/>
      <c r="M83" s="1"/>
    </row>
    <row r="84" spans="7:13" x14ac:dyDescent="0.2">
      <c r="G84" s="1"/>
      <c r="I84" s="1"/>
      <c r="J84" s="1"/>
      <c r="K84" s="1"/>
      <c r="L84" s="1"/>
      <c r="M84" s="1"/>
    </row>
    <row r="85" spans="7:13" x14ac:dyDescent="0.2">
      <c r="G85" s="1"/>
      <c r="I85" s="1"/>
      <c r="J85" s="1"/>
      <c r="K85" s="1"/>
      <c r="L85" s="1"/>
      <c r="M85" s="1"/>
    </row>
    <row r="86" spans="7:13" x14ac:dyDescent="0.2">
      <c r="G86" s="1"/>
      <c r="I86" s="49"/>
      <c r="J86" s="49"/>
      <c r="K86" s="49"/>
      <c r="L86" s="49"/>
      <c r="M86" s="49"/>
    </row>
    <row r="87" spans="7:13" x14ac:dyDescent="0.2">
      <c r="G87" s="49"/>
      <c r="I87" s="1"/>
      <c r="J87" s="1"/>
      <c r="K87" s="1"/>
      <c r="L87" s="1"/>
      <c r="M87" s="1"/>
    </row>
    <row r="88" spans="7:13" x14ac:dyDescent="0.2">
      <c r="G88" s="1"/>
      <c r="I88" s="1"/>
      <c r="J88" s="1"/>
      <c r="K88" s="1"/>
      <c r="L88" s="1"/>
      <c r="M88" s="1"/>
    </row>
    <row r="89" spans="7:13" x14ac:dyDescent="0.2">
      <c r="G89" s="1"/>
      <c r="I89" s="1"/>
      <c r="J89" s="1"/>
      <c r="K89" s="1"/>
      <c r="L89" s="1"/>
      <c r="M89" s="1"/>
    </row>
    <row r="90" spans="7:13" x14ac:dyDescent="0.2">
      <c r="G90" s="1"/>
      <c r="I90" s="1"/>
      <c r="J90" s="1"/>
      <c r="K90" s="1"/>
      <c r="L90" s="1"/>
      <c r="M90" s="1"/>
    </row>
    <row r="91" spans="7:13" x14ac:dyDescent="0.2">
      <c r="G91" s="1"/>
      <c r="I91" s="49"/>
      <c r="J91" s="49"/>
      <c r="K91" s="49"/>
      <c r="L91" s="49"/>
      <c r="M91" s="49"/>
    </row>
    <row r="92" spans="7:13" x14ac:dyDescent="0.2">
      <c r="G92" s="49"/>
      <c r="I92" s="1"/>
      <c r="J92" s="1"/>
      <c r="K92" s="1"/>
      <c r="L92" s="1"/>
      <c r="M92" s="1"/>
    </row>
    <row r="93" spans="7:13" x14ac:dyDescent="0.2">
      <c r="G93" s="1"/>
      <c r="I93" s="1"/>
      <c r="J93" s="1"/>
      <c r="K93" s="1"/>
      <c r="L93" s="1"/>
      <c r="M93" s="1"/>
    </row>
    <row r="94" spans="7:13" x14ac:dyDescent="0.2">
      <c r="G94" s="1"/>
      <c r="I94" s="1"/>
      <c r="J94" s="1"/>
      <c r="K94" s="1"/>
      <c r="L94" s="1"/>
      <c r="M94" s="1"/>
    </row>
    <row r="95" spans="7:13" x14ac:dyDescent="0.2">
      <c r="G95" s="1"/>
      <c r="I95" s="1"/>
      <c r="J95" s="1"/>
      <c r="K95" s="1"/>
      <c r="L95" s="1"/>
      <c r="M95" s="1"/>
    </row>
    <row r="96" spans="7:13" x14ac:dyDescent="0.2">
      <c r="G96" s="1"/>
    </row>
    <row r="97" spans="7:7" x14ac:dyDescent="0.2">
      <c r="G97" s="49"/>
    </row>
    <row r="98" spans="7:7" x14ac:dyDescent="0.2">
      <c r="G98" s="1"/>
    </row>
    <row r="99" spans="7:7" x14ac:dyDescent="0.2">
      <c r="G99" s="1"/>
    </row>
    <row r="100" spans="7:7" x14ac:dyDescent="0.2">
      <c r="G100" s="1"/>
    </row>
    <row r="101" spans="7:7" x14ac:dyDescent="0.2">
      <c r="G101" s="1"/>
    </row>
    <row r="102" spans="7:7" x14ac:dyDescent="0.2">
      <c r="G102" s="49"/>
    </row>
    <row r="103" spans="7:7" x14ac:dyDescent="0.2">
      <c r="G103" s="1"/>
    </row>
    <row r="104" spans="7:7" x14ac:dyDescent="0.2">
      <c r="G104" s="1"/>
    </row>
    <row r="105" spans="7:7" x14ac:dyDescent="0.2">
      <c r="G105" s="1"/>
    </row>
    <row r="106" spans="7:7" x14ac:dyDescent="0.2">
      <c r="G106" s="1"/>
    </row>
    <row r="107" spans="7:7" x14ac:dyDescent="0.2">
      <c r="G107" s="49"/>
    </row>
    <row r="108" spans="7:7" x14ac:dyDescent="0.2">
      <c r="G108" s="1"/>
    </row>
    <row r="109" spans="7:7" x14ac:dyDescent="0.2">
      <c r="G109" s="1"/>
    </row>
    <row r="110" spans="7:7" x14ac:dyDescent="0.2">
      <c r="G110" s="1"/>
    </row>
    <row r="111" spans="7:7" x14ac:dyDescent="0.2">
      <c r="G111" s="1"/>
    </row>
    <row r="112" spans="7:7" x14ac:dyDescent="0.2">
      <c r="G112" s="49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49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49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</sheetData>
  <mergeCells count="10">
    <mergeCell ref="B27:B29"/>
    <mergeCell ref="B17:B26"/>
    <mergeCell ref="D15:D16"/>
    <mergeCell ref="K9:K10"/>
    <mergeCell ref="J9:J10"/>
    <mergeCell ref="H9:H10"/>
    <mergeCell ref="G9:G10"/>
    <mergeCell ref="B15:B16"/>
    <mergeCell ref="C15:C16"/>
    <mergeCell ref="E15:E16"/>
  </mergeCells>
  <pageMargins left="0.511811024" right="0.511811024" top="0.78740157499999996" bottom="0.78740157499999996" header="0.31496062000000002" footer="0.31496062000000002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3E4F-017C-493F-BD84-6B070F1B1203}">
  <sheetPr>
    <tabColor rgb="FF00B050"/>
  </sheetPr>
  <dimension ref="B1:W138"/>
  <sheetViews>
    <sheetView showGridLines="0" zoomScale="115" zoomScaleNormal="115" workbookViewId="0"/>
  </sheetViews>
  <sheetFormatPr defaultRowHeight="12.75" x14ac:dyDescent="0.2"/>
  <cols>
    <col min="1" max="1" width="3.42578125" customWidth="1"/>
    <col min="2" max="2" width="10" bestFit="1" customWidth="1"/>
    <col min="3" max="3" width="25.5703125" bestFit="1" customWidth="1"/>
    <col min="4" max="4" width="7.28515625" bestFit="1" customWidth="1"/>
    <col min="5" max="5" width="22.5703125" bestFit="1" customWidth="1"/>
    <col min="6" max="6" width="10.7109375" customWidth="1"/>
    <col min="7" max="7" width="10.140625" bestFit="1" customWidth="1"/>
    <col min="8" max="8" width="7.42578125" bestFit="1" customWidth="1"/>
    <col min="9" max="9" width="5.7109375" customWidth="1"/>
    <col min="10" max="10" width="10.140625" customWidth="1"/>
    <col min="11" max="11" width="7.42578125" customWidth="1"/>
    <col min="12" max="12" width="5.7109375" customWidth="1"/>
    <col min="13" max="13" width="10.140625" customWidth="1"/>
    <col min="14" max="14" width="7.42578125" customWidth="1"/>
    <col min="15" max="15" width="5.7109375" customWidth="1"/>
    <col min="16" max="16" width="10.140625" customWidth="1"/>
    <col min="17" max="17" width="7.42578125" customWidth="1"/>
    <col min="18" max="18" width="5.7109375" customWidth="1"/>
    <col min="19" max="19" width="10.7109375" customWidth="1"/>
    <col min="20" max="20" width="7.42578125" customWidth="1"/>
    <col min="22" max="22" width="11.28515625" bestFit="1" customWidth="1"/>
  </cols>
  <sheetData>
    <row r="1" spans="2:23" ht="15" customHeight="1" thickBot="1" x14ac:dyDescent="0.25"/>
    <row r="2" spans="2:23" ht="15" customHeight="1" x14ac:dyDescent="0.2">
      <c r="G2" s="476" t="s">
        <v>37</v>
      </c>
      <c r="H2" s="478" t="s">
        <v>36</v>
      </c>
      <c r="J2" s="476" t="s">
        <v>37</v>
      </c>
      <c r="K2" s="478" t="s">
        <v>36</v>
      </c>
      <c r="M2" s="476" t="s">
        <v>37</v>
      </c>
      <c r="N2" s="478" t="s">
        <v>36</v>
      </c>
      <c r="P2" s="476" t="s">
        <v>37</v>
      </c>
      <c r="Q2" s="478" t="s">
        <v>36</v>
      </c>
      <c r="S2" s="476" t="s">
        <v>37</v>
      </c>
      <c r="T2" s="478" t="s">
        <v>36</v>
      </c>
    </row>
    <row r="3" spans="2:23" ht="15" customHeight="1" thickBot="1" x14ac:dyDescent="0.25">
      <c r="F3" s="49"/>
      <c r="G3" s="477"/>
      <c r="H3" s="479"/>
      <c r="I3" s="49"/>
      <c r="J3" s="477"/>
      <c r="K3" s="479"/>
      <c r="L3" s="49"/>
      <c r="M3" s="477"/>
      <c r="N3" s="479"/>
      <c r="O3" s="49"/>
      <c r="P3" s="477"/>
      <c r="Q3" s="479"/>
      <c r="S3" s="477"/>
      <c r="T3" s="479"/>
      <c r="V3" s="36">
        <v>500000</v>
      </c>
    </row>
    <row r="4" spans="2:23" ht="15" customHeight="1" x14ac:dyDescent="0.2">
      <c r="F4" s="49"/>
      <c r="G4" s="199">
        <v>63</v>
      </c>
      <c r="H4" s="190">
        <f>G4*$V$7</f>
        <v>182.06689272503081</v>
      </c>
      <c r="I4" s="49"/>
      <c r="J4" s="199">
        <v>97</v>
      </c>
      <c r="K4" s="190">
        <f>J4*$V$7</f>
        <v>280.32521578298395</v>
      </c>
      <c r="L4" s="49"/>
      <c r="M4" s="159">
        <v>124</v>
      </c>
      <c r="N4" s="152">
        <f>M4*$V$7</f>
        <v>358.35388409371143</v>
      </c>
      <c r="O4" s="49"/>
      <c r="P4" s="159">
        <v>151</v>
      </c>
      <c r="Q4" s="152">
        <f t="shared" ref="Q4:Q24" si="0">P4*$V$7</f>
        <v>436.38255240443897</v>
      </c>
      <c r="R4" s="1"/>
      <c r="S4" s="159">
        <v>178</v>
      </c>
      <c r="T4" s="152">
        <f t="shared" ref="T4:T24" si="1">S4*$V$7</f>
        <v>514.41122071516645</v>
      </c>
      <c r="V4" s="61"/>
    </row>
    <row r="5" spans="2:23" ht="15" customHeight="1" thickBot="1" x14ac:dyDescent="0.25">
      <c r="F5" s="49"/>
      <c r="G5" s="200">
        <v>67</v>
      </c>
      <c r="H5" s="190">
        <f t="shared" ref="H5:H30" si="2">G5*$V$7</f>
        <v>193.62669543773117</v>
      </c>
      <c r="I5" s="49"/>
      <c r="J5" s="200">
        <v>98</v>
      </c>
      <c r="K5" s="190">
        <f t="shared" ref="K5:K30" si="3">J5*$V$7</f>
        <v>283.21516646115907</v>
      </c>
      <c r="L5" s="49"/>
      <c r="M5" s="157">
        <v>125</v>
      </c>
      <c r="N5" s="152">
        <f t="shared" ref="N5:N30" si="4">M5*$V$7</f>
        <v>361.24383477188655</v>
      </c>
      <c r="O5" s="49"/>
      <c r="P5" s="157">
        <v>152</v>
      </c>
      <c r="Q5" s="153">
        <f t="shared" si="0"/>
        <v>439.27250308261404</v>
      </c>
      <c r="R5" s="1"/>
      <c r="S5" s="157">
        <v>179</v>
      </c>
      <c r="T5" s="153">
        <f t="shared" si="1"/>
        <v>517.30117139334152</v>
      </c>
      <c r="V5" s="24">
        <f>V3*0.15</f>
        <v>75000</v>
      </c>
    </row>
    <row r="6" spans="2:23" ht="15" customHeight="1" thickBot="1" x14ac:dyDescent="0.3">
      <c r="F6" s="49"/>
      <c r="G6" s="200">
        <v>68</v>
      </c>
      <c r="H6" s="190">
        <f t="shared" si="2"/>
        <v>196.51664611590627</v>
      </c>
      <c r="I6" s="49"/>
      <c r="J6" s="200">
        <v>99</v>
      </c>
      <c r="K6" s="190">
        <f t="shared" si="3"/>
        <v>286.10511713933414</v>
      </c>
      <c r="L6" s="49"/>
      <c r="M6" s="157">
        <v>126</v>
      </c>
      <c r="N6" s="152">
        <f t="shared" si="4"/>
        <v>364.13378545006162</v>
      </c>
      <c r="O6" s="49"/>
      <c r="P6" s="157">
        <v>153</v>
      </c>
      <c r="Q6" s="153">
        <f t="shared" si="0"/>
        <v>442.16245376078911</v>
      </c>
      <c r="R6" s="1"/>
      <c r="S6" s="157">
        <v>180</v>
      </c>
      <c r="T6" s="153">
        <f t="shared" si="1"/>
        <v>520.19112207151659</v>
      </c>
      <c r="V6" s="131">
        <v>25952</v>
      </c>
    </row>
    <row r="7" spans="2:23" ht="15" customHeight="1" x14ac:dyDescent="0.2">
      <c r="F7" s="49"/>
      <c r="G7" s="200">
        <v>70</v>
      </c>
      <c r="H7" s="190">
        <f t="shared" si="2"/>
        <v>202.29654747225646</v>
      </c>
      <c r="I7" s="49"/>
      <c r="J7" s="200">
        <v>100</v>
      </c>
      <c r="K7" s="190">
        <f t="shared" si="3"/>
        <v>288.99506781750921</v>
      </c>
      <c r="L7" s="49"/>
      <c r="M7" s="157">
        <v>127</v>
      </c>
      <c r="N7" s="152">
        <f t="shared" si="4"/>
        <v>367.02373612823675</v>
      </c>
      <c r="O7" s="49"/>
      <c r="P7" s="157">
        <v>154</v>
      </c>
      <c r="Q7" s="153">
        <f t="shared" si="0"/>
        <v>445.05240443896423</v>
      </c>
      <c r="R7" s="49"/>
      <c r="S7" s="157">
        <v>181</v>
      </c>
      <c r="T7" s="153">
        <f t="shared" si="1"/>
        <v>523.08107274969166</v>
      </c>
      <c r="V7" s="28">
        <f>V5/V6</f>
        <v>2.8899506781750923</v>
      </c>
    </row>
    <row r="8" spans="2:23" ht="15" customHeight="1" x14ac:dyDescent="0.2">
      <c r="F8" s="49"/>
      <c r="G8" s="200">
        <v>72</v>
      </c>
      <c r="H8" s="190">
        <f t="shared" si="2"/>
        <v>208.07644882860666</v>
      </c>
      <c r="I8" s="49"/>
      <c r="J8" s="200">
        <v>101</v>
      </c>
      <c r="K8" s="190">
        <f t="shared" si="3"/>
        <v>291.88501849568433</v>
      </c>
      <c r="L8" s="49"/>
      <c r="M8" s="157">
        <v>128</v>
      </c>
      <c r="N8" s="152">
        <f t="shared" si="4"/>
        <v>369.91368680641182</v>
      </c>
      <c r="O8" s="49"/>
      <c r="P8" s="157">
        <v>155</v>
      </c>
      <c r="Q8" s="153">
        <f t="shared" si="0"/>
        <v>447.9423551171393</v>
      </c>
      <c r="R8" s="1"/>
      <c r="S8" s="157">
        <v>182</v>
      </c>
      <c r="T8" s="153">
        <f t="shared" si="1"/>
        <v>525.97102342786684</v>
      </c>
    </row>
    <row r="9" spans="2:23" ht="15" customHeight="1" x14ac:dyDescent="0.2">
      <c r="F9" s="49"/>
      <c r="G9" s="200">
        <v>73</v>
      </c>
      <c r="H9" s="190">
        <f t="shared" si="2"/>
        <v>210.96639950678173</v>
      </c>
      <c r="I9" s="49"/>
      <c r="J9" s="200">
        <v>102</v>
      </c>
      <c r="K9" s="190">
        <f t="shared" si="3"/>
        <v>294.7749691738594</v>
      </c>
      <c r="L9" s="49"/>
      <c r="M9" s="157">
        <v>129</v>
      </c>
      <c r="N9" s="152">
        <f t="shared" si="4"/>
        <v>372.80363748458689</v>
      </c>
      <c r="O9" s="49"/>
      <c r="P9" s="157">
        <v>156</v>
      </c>
      <c r="Q9" s="153">
        <f t="shared" si="0"/>
        <v>450.83230579531443</v>
      </c>
      <c r="R9" s="1"/>
      <c r="S9" s="157">
        <v>183</v>
      </c>
      <c r="T9" s="153">
        <f t="shared" si="1"/>
        <v>528.86097410604191</v>
      </c>
      <c r="V9">
        <v>30000</v>
      </c>
    </row>
    <row r="10" spans="2:23" ht="15" customHeight="1" x14ac:dyDescent="0.2">
      <c r="F10" s="49"/>
      <c r="G10" s="200">
        <v>75</v>
      </c>
      <c r="H10" s="190">
        <f t="shared" si="2"/>
        <v>216.74630086313192</v>
      </c>
      <c r="I10" s="49"/>
      <c r="J10" s="200">
        <v>103</v>
      </c>
      <c r="K10" s="190">
        <f t="shared" si="3"/>
        <v>297.66491985203453</v>
      </c>
      <c r="L10" s="49"/>
      <c r="M10" s="157">
        <v>130</v>
      </c>
      <c r="N10" s="152">
        <f t="shared" si="4"/>
        <v>375.69358816276201</v>
      </c>
      <c r="O10" s="49"/>
      <c r="P10" s="157">
        <v>157</v>
      </c>
      <c r="Q10" s="153">
        <f t="shared" si="0"/>
        <v>453.72225647348949</v>
      </c>
      <c r="R10" s="1"/>
      <c r="S10" s="157">
        <v>184</v>
      </c>
      <c r="T10" s="153">
        <f t="shared" si="1"/>
        <v>531.75092478421698</v>
      </c>
      <c r="V10">
        <v>60000</v>
      </c>
    </row>
    <row r="11" spans="2:23" ht="15" customHeight="1" x14ac:dyDescent="0.2">
      <c r="F11" s="49"/>
      <c r="G11" s="200">
        <v>76</v>
      </c>
      <c r="H11" s="190">
        <f t="shared" si="2"/>
        <v>219.63625154130702</v>
      </c>
      <c r="I11" s="49"/>
      <c r="J11" s="200">
        <v>104</v>
      </c>
      <c r="K11" s="190">
        <f t="shared" si="3"/>
        <v>300.5548705302096</v>
      </c>
      <c r="L11" s="49"/>
      <c r="M11" s="157">
        <v>131</v>
      </c>
      <c r="N11" s="152">
        <f t="shared" si="4"/>
        <v>378.58353884093708</v>
      </c>
      <c r="O11" s="49"/>
      <c r="P11" s="157">
        <v>158</v>
      </c>
      <c r="Q11" s="153">
        <f t="shared" si="0"/>
        <v>456.61220715166456</v>
      </c>
      <c r="R11" s="1"/>
      <c r="S11" s="157">
        <v>185</v>
      </c>
      <c r="T11" s="153">
        <f t="shared" si="1"/>
        <v>534.64087546239205</v>
      </c>
      <c r="V11">
        <v>90000</v>
      </c>
    </row>
    <row r="12" spans="2:23" ht="15" customHeight="1" x14ac:dyDescent="0.2">
      <c r="F12" s="49"/>
      <c r="G12" s="200">
        <v>77</v>
      </c>
      <c r="H12" s="190">
        <f t="shared" si="2"/>
        <v>222.52620221948212</v>
      </c>
      <c r="I12" s="49"/>
      <c r="J12" s="200">
        <v>105</v>
      </c>
      <c r="K12" s="190">
        <f t="shared" si="3"/>
        <v>303.44482120838467</v>
      </c>
      <c r="L12" s="49"/>
      <c r="M12" s="157">
        <v>132</v>
      </c>
      <c r="N12" s="152">
        <f t="shared" si="4"/>
        <v>381.47348951911221</v>
      </c>
      <c r="O12" s="49"/>
      <c r="P12" s="157">
        <v>159</v>
      </c>
      <c r="Q12" s="153">
        <f t="shared" si="0"/>
        <v>459.50215782983969</v>
      </c>
      <c r="R12" s="49"/>
      <c r="S12" s="157">
        <v>186</v>
      </c>
      <c r="T12" s="153">
        <f t="shared" si="1"/>
        <v>537.53082614056723</v>
      </c>
      <c r="V12">
        <v>120000</v>
      </c>
    </row>
    <row r="13" spans="2:23" ht="15" customHeight="1" x14ac:dyDescent="0.2">
      <c r="F13" s="49"/>
      <c r="G13" s="200">
        <v>78</v>
      </c>
      <c r="H13" s="190">
        <f t="shared" si="2"/>
        <v>225.41615289765721</v>
      </c>
      <c r="I13" s="49"/>
      <c r="J13" s="200">
        <v>106</v>
      </c>
      <c r="K13" s="190">
        <f t="shared" si="3"/>
        <v>306.33477188655979</v>
      </c>
      <c r="L13" s="49"/>
      <c r="M13" s="157">
        <v>133</v>
      </c>
      <c r="N13" s="152">
        <f t="shared" si="4"/>
        <v>384.36344019728728</v>
      </c>
      <c r="O13" s="49"/>
      <c r="P13" s="157">
        <v>160</v>
      </c>
      <c r="Q13" s="153">
        <f t="shared" si="0"/>
        <v>462.39210850801476</v>
      </c>
      <c r="R13" s="1"/>
      <c r="S13" s="157">
        <v>187</v>
      </c>
      <c r="T13" s="153">
        <f t="shared" si="1"/>
        <v>540.4207768187423</v>
      </c>
      <c r="V13">
        <v>150000</v>
      </c>
    </row>
    <row r="14" spans="2:23" ht="15" customHeight="1" x14ac:dyDescent="0.2">
      <c r="F14" s="49"/>
      <c r="G14" s="200">
        <v>80</v>
      </c>
      <c r="H14" s="190">
        <f t="shared" si="2"/>
        <v>231.19605425400738</v>
      </c>
      <c r="I14" s="49"/>
      <c r="J14" s="200">
        <v>107</v>
      </c>
      <c r="K14" s="190">
        <f t="shared" si="3"/>
        <v>309.22472256473486</v>
      </c>
      <c r="L14" s="49"/>
      <c r="M14" s="157">
        <v>134</v>
      </c>
      <c r="N14" s="152">
        <f t="shared" si="4"/>
        <v>387.25339087546234</v>
      </c>
      <c r="O14" s="49"/>
      <c r="P14" s="157">
        <v>161</v>
      </c>
      <c r="Q14" s="153">
        <f t="shared" si="0"/>
        <v>465.28205918618988</v>
      </c>
      <c r="R14" s="1"/>
      <c r="S14" s="157">
        <v>188</v>
      </c>
      <c r="T14" s="153">
        <f t="shared" si="1"/>
        <v>543.31072749691737</v>
      </c>
      <c r="V14">
        <v>180000</v>
      </c>
    </row>
    <row r="15" spans="2:23" ht="15" customHeight="1" thickBot="1" x14ac:dyDescent="0.25">
      <c r="F15" s="49"/>
      <c r="G15" s="200">
        <v>81</v>
      </c>
      <c r="H15" s="190">
        <f t="shared" si="2"/>
        <v>234.08600493218248</v>
      </c>
      <c r="I15" s="49"/>
      <c r="J15" s="200">
        <v>108</v>
      </c>
      <c r="K15" s="190">
        <f t="shared" si="3"/>
        <v>312.11467324290999</v>
      </c>
      <c r="L15" s="49"/>
      <c r="M15" s="157">
        <v>135</v>
      </c>
      <c r="N15" s="152">
        <f t="shared" si="4"/>
        <v>390.14334155363747</v>
      </c>
      <c r="O15" s="49"/>
      <c r="P15" s="157">
        <v>162</v>
      </c>
      <c r="Q15" s="153">
        <f t="shared" si="0"/>
        <v>468.17200986436495</v>
      </c>
      <c r="R15" s="1"/>
      <c r="S15" s="157">
        <v>189</v>
      </c>
      <c r="T15" s="153">
        <f t="shared" si="1"/>
        <v>546.20067817509243</v>
      </c>
    </row>
    <row r="16" spans="2:23" ht="15" customHeight="1" x14ac:dyDescent="0.2">
      <c r="B16" s="486" t="s">
        <v>118</v>
      </c>
      <c r="C16" s="476" t="s">
        <v>112</v>
      </c>
      <c r="D16" s="493" t="s">
        <v>290</v>
      </c>
      <c r="E16" s="478" t="s">
        <v>38</v>
      </c>
      <c r="F16" s="49"/>
      <c r="G16" s="200">
        <v>82</v>
      </c>
      <c r="H16" s="190">
        <f t="shared" si="2"/>
        <v>236.97595561035757</v>
      </c>
      <c r="I16" s="49"/>
      <c r="J16" s="200">
        <v>109</v>
      </c>
      <c r="K16" s="190">
        <f t="shared" si="3"/>
        <v>315.00462392108506</v>
      </c>
      <c r="L16" s="49"/>
      <c r="M16" s="157">
        <v>136</v>
      </c>
      <c r="N16" s="152">
        <f t="shared" si="4"/>
        <v>393.03329223181254</v>
      </c>
      <c r="O16" s="49"/>
      <c r="P16" s="157">
        <v>163</v>
      </c>
      <c r="Q16" s="153">
        <f t="shared" si="0"/>
        <v>471.06196054254002</v>
      </c>
      <c r="R16" s="1"/>
      <c r="S16" s="157">
        <v>190</v>
      </c>
      <c r="T16" s="153">
        <f t="shared" si="1"/>
        <v>549.0906288532675</v>
      </c>
      <c r="V16">
        <v>200000</v>
      </c>
      <c r="W16">
        <f t="shared" ref="W16:W21" si="5">V16*0.15</f>
        <v>30000</v>
      </c>
    </row>
    <row r="17" spans="2:23" ht="15" customHeight="1" thickBot="1" x14ac:dyDescent="0.25">
      <c r="B17" s="487"/>
      <c r="C17" s="477"/>
      <c r="D17" s="494"/>
      <c r="E17" s="479"/>
      <c r="F17" s="49"/>
      <c r="G17" s="200">
        <v>83</v>
      </c>
      <c r="H17" s="190">
        <f t="shared" si="2"/>
        <v>239.86590628853267</v>
      </c>
      <c r="I17" s="49"/>
      <c r="J17" s="200">
        <v>110</v>
      </c>
      <c r="K17" s="190">
        <f t="shared" si="3"/>
        <v>317.89457459926018</v>
      </c>
      <c r="L17" s="49"/>
      <c r="M17" s="157">
        <v>137</v>
      </c>
      <c r="N17" s="152">
        <f t="shared" si="4"/>
        <v>395.92324290998766</v>
      </c>
      <c r="O17" s="49"/>
      <c r="P17" s="157">
        <v>164</v>
      </c>
      <c r="Q17" s="153">
        <f t="shared" si="0"/>
        <v>473.95191122071515</v>
      </c>
      <c r="R17" s="49"/>
      <c r="S17" s="157">
        <v>191</v>
      </c>
      <c r="T17" s="153">
        <f t="shared" si="1"/>
        <v>551.98057953144269</v>
      </c>
      <c r="V17">
        <v>400000</v>
      </c>
      <c r="W17">
        <f t="shared" si="5"/>
        <v>60000</v>
      </c>
    </row>
    <row r="18" spans="2:23" ht="15" customHeight="1" x14ac:dyDescent="0.2">
      <c r="B18" s="497" t="s">
        <v>289</v>
      </c>
      <c r="C18" s="155" t="s">
        <v>51</v>
      </c>
      <c r="D18" s="185">
        <v>63</v>
      </c>
      <c r="E18" s="186">
        <v>3750</v>
      </c>
      <c r="F18" s="49"/>
      <c r="G18" s="200">
        <v>84</v>
      </c>
      <c r="H18" s="190">
        <f t="shared" si="2"/>
        <v>242.75585696670777</v>
      </c>
      <c r="I18" s="49"/>
      <c r="J18" s="200">
        <v>111</v>
      </c>
      <c r="K18" s="190">
        <f t="shared" si="3"/>
        <v>320.78452527743525</v>
      </c>
      <c r="L18" s="49"/>
      <c r="M18" s="157">
        <v>138</v>
      </c>
      <c r="N18" s="152">
        <f t="shared" si="4"/>
        <v>398.81319358816273</v>
      </c>
      <c r="O18" s="49"/>
      <c r="P18" s="157">
        <v>165</v>
      </c>
      <c r="Q18" s="153">
        <f t="shared" si="0"/>
        <v>476.84186189889022</v>
      </c>
      <c r="R18" s="1"/>
      <c r="S18" s="157">
        <v>192</v>
      </c>
      <c r="T18" s="153">
        <f t="shared" si="1"/>
        <v>554.87053020961775</v>
      </c>
      <c r="V18">
        <v>600000</v>
      </c>
      <c r="W18">
        <f t="shared" si="5"/>
        <v>90000</v>
      </c>
    </row>
    <row r="19" spans="2:23" ht="15" customHeight="1" x14ac:dyDescent="0.2">
      <c r="B19" s="498"/>
      <c r="C19" s="156" t="s">
        <v>52</v>
      </c>
      <c r="D19" s="194">
        <v>67</v>
      </c>
      <c r="E19" s="195">
        <v>4000</v>
      </c>
      <c r="F19" s="49"/>
      <c r="G19" s="200">
        <v>85</v>
      </c>
      <c r="H19" s="190">
        <f t="shared" si="2"/>
        <v>245.64580764488284</v>
      </c>
      <c r="I19" s="49"/>
      <c r="J19" s="200">
        <v>112</v>
      </c>
      <c r="K19" s="190">
        <f t="shared" si="3"/>
        <v>323.67447595561032</v>
      </c>
      <c r="L19" s="49"/>
      <c r="M19" s="157">
        <v>139</v>
      </c>
      <c r="N19" s="152">
        <f t="shared" si="4"/>
        <v>401.70314426633786</v>
      </c>
      <c r="O19" s="49"/>
      <c r="P19" s="157">
        <v>166</v>
      </c>
      <c r="Q19" s="153">
        <f t="shared" si="0"/>
        <v>479.73181257706534</v>
      </c>
      <c r="R19" s="1"/>
      <c r="S19" s="157">
        <v>193</v>
      </c>
      <c r="T19" s="153">
        <f t="shared" si="1"/>
        <v>557.76048088779282</v>
      </c>
      <c r="V19">
        <v>800000</v>
      </c>
      <c r="W19">
        <f t="shared" si="5"/>
        <v>120000</v>
      </c>
    </row>
    <row r="20" spans="2:23" ht="15" customHeight="1" x14ac:dyDescent="0.2">
      <c r="B20" s="498"/>
      <c r="C20" s="156" t="s">
        <v>40</v>
      </c>
      <c r="D20" s="194">
        <v>70</v>
      </c>
      <c r="E20" s="195">
        <v>4280</v>
      </c>
      <c r="F20" s="49"/>
      <c r="G20" s="200">
        <v>86</v>
      </c>
      <c r="H20" s="190">
        <f t="shared" si="2"/>
        <v>248.53575832305793</v>
      </c>
      <c r="I20" s="49"/>
      <c r="J20" s="200">
        <v>113</v>
      </c>
      <c r="K20" s="190">
        <f t="shared" si="3"/>
        <v>326.56442663378544</v>
      </c>
      <c r="L20" s="49"/>
      <c r="M20" s="157">
        <v>140</v>
      </c>
      <c r="N20" s="152">
        <f t="shared" si="4"/>
        <v>404.59309494451293</v>
      </c>
      <c r="O20" s="49"/>
      <c r="P20" s="157">
        <v>167</v>
      </c>
      <c r="Q20" s="153">
        <f t="shared" si="0"/>
        <v>482.62176325524041</v>
      </c>
      <c r="R20" s="1"/>
      <c r="S20" s="157">
        <v>194</v>
      </c>
      <c r="T20" s="153">
        <f t="shared" si="1"/>
        <v>560.65043156596789</v>
      </c>
      <c r="V20">
        <v>1000000</v>
      </c>
      <c r="W20">
        <f t="shared" si="5"/>
        <v>150000</v>
      </c>
    </row>
    <row r="21" spans="2:23" ht="15" customHeight="1" x14ac:dyDescent="0.2">
      <c r="B21" s="498"/>
      <c r="C21" s="156" t="s">
        <v>41</v>
      </c>
      <c r="D21" s="194">
        <v>76</v>
      </c>
      <c r="E21" s="195">
        <v>4580</v>
      </c>
      <c r="F21" s="49"/>
      <c r="G21" s="200">
        <v>87</v>
      </c>
      <c r="H21" s="190">
        <f t="shared" si="2"/>
        <v>251.42570900123303</v>
      </c>
      <c r="I21" s="49"/>
      <c r="J21" s="200">
        <v>114</v>
      </c>
      <c r="K21" s="190">
        <f t="shared" si="3"/>
        <v>329.45437731196051</v>
      </c>
      <c r="L21" s="49"/>
      <c r="M21" s="157">
        <v>141</v>
      </c>
      <c r="N21" s="152">
        <f t="shared" si="4"/>
        <v>407.483045622688</v>
      </c>
      <c r="O21" s="49"/>
      <c r="P21" s="157">
        <v>168</v>
      </c>
      <c r="Q21" s="153">
        <f t="shared" si="0"/>
        <v>485.51171393341554</v>
      </c>
      <c r="R21" s="1"/>
      <c r="S21" s="157">
        <v>195</v>
      </c>
      <c r="T21" s="153">
        <f t="shared" si="1"/>
        <v>563.54038224414296</v>
      </c>
      <c r="V21">
        <v>1200000</v>
      </c>
      <c r="W21">
        <f t="shared" si="5"/>
        <v>180000</v>
      </c>
    </row>
    <row r="22" spans="2:23" ht="15" customHeight="1" x14ac:dyDescent="0.2">
      <c r="B22" s="498"/>
      <c r="C22" s="156" t="s">
        <v>42</v>
      </c>
      <c r="D22" s="194">
        <v>84</v>
      </c>
      <c r="E22" s="195">
        <v>5040</v>
      </c>
      <c r="F22" s="49"/>
      <c r="G22" s="200">
        <v>88</v>
      </c>
      <c r="H22" s="190">
        <f t="shared" si="2"/>
        <v>254.31565967940813</v>
      </c>
      <c r="I22" s="49"/>
      <c r="J22" s="200">
        <v>115</v>
      </c>
      <c r="K22" s="190">
        <f t="shared" si="3"/>
        <v>332.34432799013564</v>
      </c>
      <c r="L22" s="49"/>
      <c r="M22" s="157">
        <v>142</v>
      </c>
      <c r="N22" s="152">
        <f t="shared" si="4"/>
        <v>410.37299630086312</v>
      </c>
      <c r="O22" s="49"/>
      <c r="P22" s="157">
        <v>169</v>
      </c>
      <c r="Q22" s="153">
        <f t="shared" si="0"/>
        <v>488.4016646115906</v>
      </c>
      <c r="R22" s="49"/>
      <c r="S22" s="157">
        <v>196</v>
      </c>
      <c r="T22" s="153">
        <f t="shared" si="1"/>
        <v>566.43033292231814</v>
      </c>
    </row>
    <row r="23" spans="2:23" ht="15" customHeight="1" x14ac:dyDescent="0.2">
      <c r="B23" s="498"/>
      <c r="C23" s="156" t="s">
        <v>43</v>
      </c>
      <c r="D23" s="194">
        <v>90</v>
      </c>
      <c r="E23" s="195">
        <v>5400</v>
      </c>
      <c r="F23" s="49"/>
      <c r="G23" s="200">
        <v>89</v>
      </c>
      <c r="H23" s="190">
        <f t="shared" si="2"/>
        <v>257.20561035758323</v>
      </c>
      <c r="I23" s="49"/>
      <c r="J23" s="200">
        <v>116</v>
      </c>
      <c r="K23" s="190">
        <f t="shared" si="3"/>
        <v>335.23427866831071</v>
      </c>
      <c r="L23" s="49"/>
      <c r="M23" s="157">
        <v>143</v>
      </c>
      <c r="N23" s="152">
        <f t="shared" si="4"/>
        <v>413.26294697903819</v>
      </c>
      <c r="O23" s="49"/>
      <c r="P23" s="157">
        <v>170</v>
      </c>
      <c r="Q23" s="153">
        <f t="shared" si="0"/>
        <v>491.29161528976567</v>
      </c>
      <c r="R23" s="1"/>
      <c r="S23" s="157">
        <v>197</v>
      </c>
      <c r="T23" s="153">
        <f t="shared" si="1"/>
        <v>569.32028360049321</v>
      </c>
    </row>
    <row r="24" spans="2:23" ht="15" customHeight="1" x14ac:dyDescent="0.2">
      <c r="B24" s="498"/>
      <c r="C24" s="156" t="s">
        <v>44</v>
      </c>
      <c r="D24" s="194">
        <v>94</v>
      </c>
      <c r="E24" s="195">
        <v>5780</v>
      </c>
      <c r="F24" s="49"/>
      <c r="G24" s="200">
        <v>90</v>
      </c>
      <c r="H24" s="190">
        <f t="shared" si="2"/>
        <v>260.09556103575829</v>
      </c>
      <c r="I24" s="49"/>
      <c r="J24" s="200">
        <v>117</v>
      </c>
      <c r="K24" s="190">
        <f t="shared" si="3"/>
        <v>338.12422934648578</v>
      </c>
      <c r="L24" s="49"/>
      <c r="M24" s="157">
        <v>144</v>
      </c>
      <c r="N24" s="152">
        <f t="shared" si="4"/>
        <v>416.15289765721332</v>
      </c>
      <c r="O24" s="49"/>
      <c r="P24" s="157">
        <v>171</v>
      </c>
      <c r="Q24" s="153">
        <f t="shared" si="0"/>
        <v>494.1815659679408</v>
      </c>
      <c r="R24" s="1"/>
      <c r="S24" s="157">
        <v>198</v>
      </c>
      <c r="T24" s="153">
        <f t="shared" si="1"/>
        <v>572.21023427866828</v>
      </c>
    </row>
    <row r="25" spans="2:23" ht="15" customHeight="1" x14ac:dyDescent="0.2">
      <c r="B25" s="498"/>
      <c r="C25" s="156" t="s">
        <v>45</v>
      </c>
      <c r="D25" s="194">
        <v>103</v>
      </c>
      <c r="E25" s="195">
        <v>6360</v>
      </c>
      <c r="G25" s="200">
        <v>91</v>
      </c>
      <c r="H25" s="190">
        <f t="shared" si="2"/>
        <v>262.98551171393342</v>
      </c>
      <c r="J25" s="200">
        <v>118</v>
      </c>
      <c r="K25" s="190">
        <f t="shared" si="3"/>
        <v>341.0141800246609</v>
      </c>
      <c r="L25" s="1"/>
      <c r="M25" s="157">
        <v>145</v>
      </c>
      <c r="N25" s="152">
        <f t="shared" si="4"/>
        <v>419.04284833538838</v>
      </c>
      <c r="O25" s="1"/>
      <c r="P25" s="157">
        <v>172</v>
      </c>
      <c r="Q25" s="153">
        <f t="shared" ref="Q25:Q30" si="6">P25*$V$7</f>
        <v>497.07151664611587</v>
      </c>
      <c r="R25" s="1"/>
      <c r="S25" s="157">
        <v>199</v>
      </c>
      <c r="T25" s="153">
        <f t="shared" ref="T25:T30" si="7">S25*$V$7</f>
        <v>575.10018495684335</v>
      </c>
    </row>
    <row r="26" spans="2:23" ht="15" customHeight="1" x14ac:dyDescent="0.2">
      <c r="B26" s="498"/>
      <c r="C26" s="187" t="s">
        <v>46</v>
      </c>
      <c r="D26" s="196">
        <v>107</v>
      </c>
      <c r="E26" s="195">
        <v>6810</v>
      </c>
      <c r="G26" s="200">
        <v>92</v>
      </c>
      <c r="H26" s="190">
        <f t="shared" si="2"/>
        <v>265.87546239210849</v>
      </c>
      <c r="J26" s="200">
        <v>119</v>
      </c>
      <c r="K26" s="190">
        <f t="shared" si="3"/>
        <v>343.90413070283597</v>
      </c>
      <c r="L26" s="1"/>
      <c r="M26" s="157">
        <v>146</v>
      </c>
      <c r="N26" s="152">
        <f t="shared" si="4"/>
        <v>421.93279901356345</v>
      </c>
      <c r="O26" s="49"/>
      <c r="P26" s="157">
        <v>173</v>
      </c>
      <c r="Q26" s="153">
        <f t="shared" si="6"/>
        <v>499.96146732429099</v>
      </c>
      <c r="R26" s="1"/>
      <c r="S26" s="157">
        <v>200</v>
      </c>
      <c r="T26" s="153">
        <f t="shared" si="7"/>
        <v>577.99013563501842</v>
      </c>
    </row>
    <row r="27" spans="2:23" ht="15" customHeight="1" thickBot="1" x14ac:dyDescent="0.25">
      <c r="B27" s="499"/>
      <c r="C27" s="162" t="s">
        <v>47</v>
      </c>
      <c r="D27" s="197">
        <v>118</v>
      </c>
      <c r="E27" s="198">
        <v>7290</v>
      </c>
      <c r="G27" s="200">
        <v>93</v>
      </c>
      <c r="H27" s="190">
        <f t="shared" si="2"/>
        <v>268.76541307028361</v>
      </c>
      <c r="J27" s="200">
        <v>120</v>
      </c>
      <c r="K27" s="190">
        <f t="shared" si="3"/>
        <v>346.7940813810111</v>
      </c>
      <c r="L27" s="49"/>
      <c r="M27" s="157">
        <v>147</v>
      </c>
      <c r="N27" s="152">
        <f t="shared" si="4"/>
        <v>424.82274969173858</v>
      </c>
      <c r="O27" s="1"/>
      <c r="P27" s="157">
        <v>174</v>
      </c>
      <c r="Q27" s="153">
        <f t="shared" si="6"/>
        <v>502.85141800246606</v>
      </c>
      <c r="R27" s="49"/>
      <c r="S27" s="157">
        <v>201</v>
      </c>
      <c r="T27" s="153">
        <f t="shared" si="7"/>
        <v>580.8800863131936</v>
      </c>
    </row>
    <row r="28" spans="2:23" ht="15" customHeight="1" x14ac:dyDescent="0.2">
      <c r="G28" s="200">
        <v>94</v>
      </c>
      <c r="H28" s="190">
        <f t="shared" si="2"/>
        <v>271.65536374845868</v>
      </c>
      <c r="J28" s="200">
        <v>121</v>
      </c>
      <c r="K28" s="190">
        <f t="shared" si="3"/>
        <v>349.68403205918617</v>
      </c>
      <c r="L28" s="1"/>
      <c r="M28" s="157">
        <v>148</v>
      </c>
      <c r="N28" s="152">
        <f t="shared" si="4"/>
        <v>427.71270036991365</v>
      </c>
      <c r="O28" s="1"/>
      <c r="P28" s="157">
        <v>175</v>
      </c>
      <c r="Q28" s="153">
        <f t="shared" si="6"/>
        <v>505.74136868064113</v>
      </c>
      <c r="R28" s="1"/>
      <c r="S28" s="157">
        <v>202</v>
      </c>
      <c r="T28" s="153">
        <f t="shared" si="7"/>
        <v>583.77003699136867</v>
      </c>
    </row>
    <row r="29" spans="2:23" ht="15" customHeight="1" x14ac:dyDescent="0.2">
      <c r="G29" s="200">
        <v>95</v>
      </c>
      <c r="H29" s="190">
        <f t="shared" si="2"/>
        <v>274.54531442663375</v>
      </c>
      <c r="J29" s="200">
        <v>122</v>
      </c>
      <c r="K29" s="190">
        <f t="shared" si="3"/>
        <v>352.57398273736129</v>
      </c>
      <c r="L29" s="1"/>
      <c r="M29" s="157">
        <v>149</v>
      </c>
      <c r="N29" s="152">
        <f t="shared" si="4"/>
        <v>430.60265104808877</v>
      </c>
      <c r="O29" s="1"/>
      <c r="P29" s="157">
        <v>176</v>
      </c>
      <c r="Q29" s="153">
        <f t="shared" si="6"/>
        <v>508.63131935881626</v>
      </c>
      <c r="R29" s="1"/>
      <c r="S29" s="157">
        <v>203</v>
      </c>
      <c r="T29" s="153">
        <f t="shared" si="7"/>
        <v>586.65998766954374</v>
      </c>
    </row>
    <row r="30" spans="2:23" ht="15" customHeight="1" thickBot="1" x14ac:dyDescent="0.25">
      <c r="G30" s="201">
        <v>96</v>
      </c>
      <c r="H30" s="202">
        <f t="shared" si="2"/>
        <v>277.43526510480888</v>
      </c>
      <c r="J30" s="201">
        <v>123</v>
      </c>
      <c r="K30" s="202">
        <f t="shared" si="3"/>
        <v>355.46393341553636</v>
      </c>
      <c r="L30" s="1"/>
      <c r="M30" s="158">
        <v>150</v>
      </c>
      <c r="N30" s="203">
        <f t="shared" si="4"/>
        <v>433.49260172626384</v>
      </c>
      <c r="O30" s="1"/>
      <c r="P30" s="158">
        <v>177</v>
      </c>
      <c r="Q30" s="154">
        <f t="shared" si="6"/>
        <v>511.52127003699133</v>
      </c>
      <c r="R30" s="1"/>
      <c r="S30" s="158">
        <v>204</v>
      </c>
      <c r="T30" s="154">
        <f t="shared" si="7"/>
        <v>589.54993834771881</v>
      </c>
    </row>
    <row r="31" spans="2:23" ht="15" customHeight="1" x14ac:dyDescent="0.2">
      <c r="G31" s="1"/>
      <c r="J31" s="1"/>
      <c r="K31" s="1"/>
      <c r="L31" s="1"/>
      <c r="M31" s="1"/>
      <c r="N31" s="49"/>
      <c r="O31" s="49"/>
      <c r="P31" s="1"/>
      <c r="Q31" s="49"/>
      <c r="R31" s="1"/>
      <c r="S31" s="1"/>
    </row>
    <row r="32" spans="2:23" ht="15" customHeight="1" x14ac:dyDescent="0.2">
      <c r="G32" s="1"/>
      <c r="J32" s="1"/>
      <c r="K32" s="49"/>
      <c r="L32" s="49"/>
      <c r="M32" s="1"/>
      <c r="N32" s="1"/>
      <c r="O32" s="1"/>
      <c r="P32" s="1"/>
      <c r="Q32" s="1"/>
      <c r="R32" s="49"/>
      <c r="S32" s="49"/>
    </row>
    <row r="33" spans="7:19" ht="15" customHeight="1" x14ac:dyDescent="0.2">
      <c r="G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7:19" ht="15" customHeight="1" x14ac:dyDescent="0.2">
      <c r="G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7:19" ht="15" customHeight="1" x14ac:dyDescent="0.2">
      <c r="G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7:19" ht="15" customHeight="1" x14ac:dyDescent="0.2">
      <c r="G36" s="1"/>
      <c r="J36" s="1"/>
      <c r="K36" s="1"/>
      <c r="L36" s="1"/>
      <c r="M36" s="1"/>
      <c r="N36" s="49"/>
      <c r="O36" s="49"/>
      <c r="P36" s="1"/>
      <c r="Q36" s="49"/>
      <c r="R36" s="1"/>
      <c r="S36" s="1"/>
    </row>
    <row r="37" spans="7:19" ht="15" customHeight="1" x14ac:dyDescent="0.2">
      <c r="G37" s="1"/>
      <c r="J37" s="1"/>
      <c r="K37" s="49"/>
      <c r="L37" s="49"/>
      <c r="M37" s="1"/>
      <c r="N37" s="1"/>
      <c r="O37" s="1"/>
      <c r="P37" s="1"/>
      <c r="Q37" s="1"/>
      <c r="R37" s="49"/>
      <c r="S37" s="49"/>
    </row>
    <row r="38" spans="7:19" ht="15" customHeight="1" x14ac:dyDescent="0.2">
      <c r="G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7:19" ht="15" customHeight="1" x14ac:dyDescent="0.2">
      <c r="G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7:19" ht="15" customHeight="1" x14ac:dyDescent="0.2">
      <c r="G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7:19" ht="15" customHeight="1" x14ac:dyDescent="0.2">
      <c r="G41" s="1"/>
      <c r="J41" s="1"/>
      <c r="K41" s="1"/>
      <c r="L41" s="1"/>
      <c r="M41" s="1"/>
      <c r="N41" s="49"/>
      <c r="O41" s="49"/>
      <c r="P41" s="1"/>
      <c r="Q41" s="49"/>
      <c r="R41" s="1"/>
      <c r="S41" s="1"/>
    </row>
    <row r="42" spans="7:19" ht="15" customHeight="1" x14ac:dyDescent="0.2">
      <c r="G42" s="1"/>
      <c r="J42" s="1"/>
      <c r="K42" s="49"/>
      <c r="L42" s="49"/>
      <c r="M42" s="1"/>
      <c r="N42" s="1"/>
      <c r="O42" s="1"/>
      <c r="P42" s="1"/>
      <c r="Q42" s="1"/>
      <c r="R42" s="49"/>
      <c r="S42" s="49"/>
    </row>
    <row r="43" spans="7:19" ht="15" customHeight="1" x14ac:dyDescent="0.2">
      <c r="G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7:19" ht="15" customHeight="1" x14ac:dyDescent="0.2">
      <c r="G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7:19" x14ac:dyDescent="0.2">
      <c r="G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7:19" x14ac:dyDescent="0.2">
      <c r="G46" s="1"/>
      <c r="J46" s="1"/>
      <c r="K46" s="1"/>
      <c r="L46" s="1"/>
      <c r="M46" s="1"/>
      <c r="N46" s="49"/>
      <c r="O46" s="49"/>
      <c r="P46" s="1"/>
      <c r="Q46" s="49"/>
      <c r="R46" s="1"/>
      <c r="S46" s="1"/>
    </row>
    <row r="47" spans="7:19" x14ac:dyDescent="0.2">
      <c r="G47" s="1"/>
      <c r="J47" s="1"/>
      <c r="K47" s="49"/>
      <c r="L47" s="49"/>
      <c r="M47" s="1"/>
      <c r="N47" s="1"/>
      <c r="O47" s="1"/>
      <c r="P47" s="1"/>
      <c r="Q47" s="1"/>
      <c r="R47" s="49"/>
      <c r="S47" s="49"/>
    </row>
    <row r="48" spans="7:19" x14ac:dyDescent="0.2">
      <c r="G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7:19" x14ac:dyDescent="0.2"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7:19" x14ac:dyDescent="0.2">
      <c r="G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7:19" x14ac:dyDescent="0.2">
      <c r="G51" s="1"/>
      <c r="J51" s="1"/>
      <c r="K51" s="1"/>
      <c r="L51" s="1"/>
      <c r="M51" s="1"/>
      <c r="N51" s="49"/>
      <c r="O51" s="49"/>
      <c r="P51" s="1"/>
      <c r="Q51" s="49"/>
      <c r="R51" s="1"/>
      <c r="S51" s="1"/>
    </row>
    <row r="52" spans="7:19" x14ac:dyDescent="0.2">
      <c r="G52" s="1"/>
      <c r="J52" s="1"/>
      <c r="K52" s="49"/>
      <c r="L52" s="49"/>
      <c r="M52" s="1"/>
      <c r="N52" s="1"/>
      <c r="O52" s="1"/>
      <c r="P52" s="1"/>
      <c r="Q52" s="1"/>
      <c r="R52" s="49"/>
      <c r="S52" s="49"/>
    </row>
    <row r="53" spans="7:19" x14ac:dyDescent="0.2">
      <c r="G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7:19" x14ac:dyDescent="0.2">
      <c r="G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7:19" x14ac:dyDescent="0.2">
      <c r="G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7:19" x14ac:dyDescent="0.2">
      <c r="G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7:19" x14ac:dyDescent="0.2">
      <c r="G57" s="1"/>
      <c r="J57" s="1"/>
      <c r="K57" s="49"/>
      <c r="L57" s="49"/>
      <c r="M57" s="1"/>
      <c r="N57" s="49"/>
      <c r="O57" s="49"/>
      <c r="P57" s="1"/>
      <c r="Q57" s="49"/>
      <c r="R57" s="49"/>
      <c r="S57" s="49"/>
    </row>
    <row r="58" spans="7:19" x14ac:dyDescent="0.2">
      <c r="G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7:19" x14ac:dyDescent="0.2">
      <c r="G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7:19" x14ac:dyDescent="0.2">
      <c r="G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7:19" x14ac:dyDescent="0.2">
      <c r="G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7:19" x14ac:dyDescent="0.2">
      <c r="G62" s="1"/>
      <c r="J62" s="1"/>
      <c r="K62" s="49"/>
      <c r="L62" s="49"/>
      <c r="M62" s="1"/>
      <c r="N62" s="49"/>
      <c r="O62" s="49"/>
      <c r="P62" s="49"/>
      <c r="Q62" s="49"/>
      <c r="R62" s="49"/>
      <c r="S62" s="49"/>
    </row>
    <row r="63" spans="7:19" x14ac:dyDescent="0.2">
      <c r="G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7:19" x14ac:dyDescent="0.2">
      <c r="G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7:19" x14ac:dyDescent="0.2">
      <c r="G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 x14ac:dyDescent="0.2">
      <c r="G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7:19" x14ac:dyDescent="0.2">
      <c r="G67" s="1"/>
      <c r="J67" s="1"/>
      <c r="K67" s="49"/>
      <c r="L67" s="49"/>
      <c r="M67" s="1"/>
      <c r="N67" s="49"/>
      <c r="O67" s="49"/>
      <c r="P67" s="49"/>
      <c r="Q67" s="49"/>
      <c r="R67" s="49"/>
      <c r="S67" s="49"/>
    </row>
    <row r="68" spans="7:19" x14ac:dyDescent="0.2">
      <c r="G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7:19" x14ac:dyDescent="0.2">
      <c r="G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7:19" x14ac:dyDescent="0.2">
      <c r="G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7:19" x14ac:dyDescent="0.2">
      <c r="G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7:19" x14ac:dyDescent="0.2">
      <c r="G72" s="1"/>
      <c r="J72" s="1"/>
      <c r="K72" s="49"/>
      <c r="L72" s="49"/>
      <c r="M72" s="1"/>
      <c r="N72" s="49"/>
      <c r="O72" s="49"/>
      <c r="P72" s="49"/>
      <c r="Q72" s="49"/>
      <c r="R72" s="49"/>
      <c r="S72" s="49"/>
    </row>
    <row r="73" spans="7:19" x14ac:dyDescent="0.2">
      <c r="G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7:19" x14ac:dyDescent="0.2">
      <c r="G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7:19" x14ac:dyDescent="0.2">
      <c r="G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7:19" x14ac:dyDescent="0.2">
      <c r="G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7:19" x14ac:dyDescent="0.2">
      <c r="G77" s="1"/>
      <c r="J77" s="1"/>
      <c r="K77" s="49"/>
      <c r="L77" s="49"/>
      <c r="M77" s="1"/>
      <c r="N77" s="49"/>
      <c r="O77" s="49"/>
      <c r="P77" s="49"/>
      <c r="Q77" s="49"/>
      <c r="R77" s="49"/>
      <c r="S77" s="49"/>
    </row>
    <row r="78" spans="7:19" x14ac:dyDescent="0.2">
      <c r="G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7:19" x14ac:dyDescent="0.2">
      <c r="G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7:19" x14ac:dyDescent="0.2">
      <c r="G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7:19" x14ac:dyDescent="0.2">
      <c r="G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7:19" x14ac:dyDescent="0.2">
      <c r="G82" s="1"/>
      <c r="J82" s="1"/>
      <c r="K82" s="49"/>
      <c r="L82" s="49"/>
      <c r="M82" s="1"/>
      <c r="N82" s="49"/>
      <c r="O82" s="49"/>
      <c r="P82" s="49"/>
      <c r="Q82" s="49"/>
      <c r="R82" s="49"/>
      <c r="S82" s="49"/>
    </row>
    <row r="83" spans="7:19" x14ac:dyDescent="0.2">
      <c r="G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7:19" x14ac:dyDescent="0.2">
      <c r="G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7:19" x14ac:dyDescent="0.2">
      <c r="G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7:19" x14ac:dyDescent="0.2">
      <c r="G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7:19" x14ac:dyDescent="0.2">
      <c r="G87" s="1"/>
      <c r="J87" s="1"/>
    </row>
    <row r="88" spans="7:19" x14ac:dyDescent="0.2">
      <c r="G88" s="1"/>
      <c r="J88" s="1"/>
    </row>
    <row r="89" spans="7:19" x14ac:dyDescent="0.2">
      <c r="G89" s="1"/>
      <c r="J89" s="1"/>
    </row>
    <row r="90" spans="7:19" x14ac:dyDescent="0.2">
      <c r="G90" s="1"/>
      <c r="J90" s="1"/>
    </row>
    <row r="91" spans="7:19" x14ac:dyDescent="0.2">
      <c r="G91" s="1"/>
      <c r="J91" s="1"/>
    </row>
    <row r="92" spans="7:19" x14ac:dyDescent="0.2">
      <c r="G92" s="1"/>
      <c r="J92" s="1"/>
    </row>
    <row r="93" spans="7:19" x14ac:dyDescent="0.2">
      <c r="G93" s="1"/>
      <c r="J93" s="1"/>
    </row>
    <row r="94" spans="7:19" x14ac:dyDescent="0.2">
      <c r="G94" s="1"/>
      <c r="J94" s="1"/>
    </row>
    <row r="95" spans="7:19" x14ac:dyDescent="0.2">
      <c r="G95" s="1"/>
      <c r="J95" s="1"/>
    </row>
    <row r="96" spans="7:19" x14ac:dyDescent="0.2">
      <c r="G96" s="1"/>
      <c r="J96" s="1"/>
    </row>
    <row r="97" spans="7:10" x14ac:dyDescent="0.2">
      <c r="G97" s="1"/>
      <c r="J97" s="1"/>
    </row>
    <row r="98" spans="7:10" x14ac:dyDescent="0.2">
      <c r="G98" s="1"/>
      <c r="J98" s="1"/>
    </row>
    <row r="99" spans="7:10" x14ac:dyDescent="0.2">
      <c r="G99" s="1"/>
      <c r="J99" s="1"/>
    </row>
    <row r="100" spans="7:10" x14ac:dyDescent="0.2">
      <c r="G100" s="1"/>
      <c r="J100" s="1"/>
    </row>
    <row r="101" spans="7:10" x14ac:dyDescent="0.2">
      <c r="G101" s="1"/>
      <c r="J101" s="1"/>
    </row>
    <row r="102" spans="7:10" x14ac:dyDescent="0.2">
      <c r="G102" s="1"/>
      <c r="J102" s="1"/>
    </row>
    <row r="103" spans="7:10" x14ac:dyDescent="0.2">
      <c r="G103" s="1"/>
      <c r="J103" s="1"/>
    </row>
    <row r="104" spans="7:10" x14ac:dyDescent="0.2">
      <c r="G104" s="1"/>
      <c r="J104" s="1"/>
    </row>
    <row r="105" spans="7:10" x14ac:dyDescent="0.2">
      <c r="G105" s="1"/>
      <c r="J105" s="1"/>
    </row>
    <row r="106" spans="7:10" x14ac:dyDescent="0.2">
      <c r="G106" s="1"/>
      <c r="J106" s="1"/>
    </row>
    <row r="107" spans="7:10" x14ac:dyDescent="0.2">
      <c r="G107" s="1"/>
      <c r="J107" s="1"/>
    </row>
    <row r="108" spans="7:10" x14ac:dyDescent="0.2">
      <c r="G108" s="1"/>
      <c r="J108" s="1"/>
    </row>
    <row r="109" spans="7:10" x14ac:dyDescent="0.2">
      <c r="G109" s="1"/>
      <c r="J109" s="1"/>
    </row>
    <row r="110" spans="7:10" x14ac:dyDescent="0.2">
      <c r="G110" s="1"/>
      <c r="J110" s="1"/>
    </row>
    <row r="111" spans="7:10" x14ac:dyDescent="0.2">
      <c r="G111" s="1"/>
      <c r="J111" s="1"/>
    </row>
    <row r="112" spans="7:10" x14ac:dyDescent="0.2">
      <c r="G112" s="1"/>
    </row>
    <row r="113" spans="7:7" x14ac:dyDescent="0.2">
      <c r="G113" s="1"/>
    </row>
    <row r="114" spans="7:7" x14ac:dyDescent="0.2">
      <c r="G114" s="1"/>
    </row>
    <row r="115" spans="7:7" x14ac:dyDescent="0.2">
      <c r="G115" s="1"/>
    </row>
    <row r="116" spans="7:7" x14ac:dyDescent="0.2">
      <c r="G116" s="1"/>
    </row>
    <row r="117" spans="7:7" x14ac:dyDescent="0.2">
      <c r="G117" s="1"/>
    </row>
    <row r="118" spans="7:7" x14ac:dyDescent="0.2">
      <c r="G118" s="1"/>
    </row>
    <row r="119" spans="7:7" x14ac:dyDescent="0.2">
      <c r="G119" s="1"/>
    </row>
    <row r="120" spans="7:7" x14ac:dyDescent="0.2">
      <c r="G120" s="1"/>
    </row>
    <row r="121" spans="7:7" x14ac:dyDescent="0.2">
      <c r="G121" s="1"/>
    </row>
    <row r="122" spans="7:7" x14ac:dyDescent="0.2">
      <c r="G122" s="1"/>
    </row>
    <row r="123" spans="7:7" x14ac:dyDescent="0.2">
      <c r="G123" s="1"/>
    </row>
    <row r="124" spans="7:7" x14ac:dyDescent="0.2">
      <c r="G124" s="1"/>
    </row>
    <row r="125" spans="7:7" x14ac:dyDescent="0.2">
      <c r="G125" s="1"/>
    </row>
    <row r="126" spans="7:7" x14ac:dyDescent="0.2">
      <c r="G126" s="1"/>
    </row>
    <row r="127" spans="7:7" x14ac:dyDescent="0.2">
      <c r="G127" s="1"/>
    </row>
    <row r="128" spans="7:7" x14ac:dyDescent="0.2">
      <c r="G128" s="1"/>
    </row>
    <row r="129" spans="7:7" x14ac:dyDescent="0.2">
      <c r="G129" s="1"/>
    </row>
    <row r="130" spans="7:7" x14ac:dyDescent="0.2">
      <c r="G130" s="1"/>
    </row>
    <row r="131" spans="7:7" x14ac:dyDescent="0.2">
      <c r="G131" s="1"/>
    </row>
    <row r="132" spans="7:7" x14ac:dyDescent="0.2">
      <c r="G132" s="1"/>
    </row>
    <row r="133" spans="7:7" x14ac:dyDescent="0.2">
      <c r="G133" s="1"/>
    </row>
    <row r="134" spans="7:7" x14ac:dyDescent="0.2">
      <c r="G134" s="1"/>
    </row>
    <row r="135" spans="7:7" x14ac:dyDescent="0.2">
      <c r="G135" s="1"/>
    </row>
    <row r="136" spans="7:7" x14ac:dyDescent="0.2">
      <c r="G136" s="1"/>
    </row>
    <row r="137" spans="7:7" x14ac:dyDescent="0.2">
      <c r="G137" s="1"/>
    </row>
    <row r="138" spans="7:7" x14ac:dyDescent="0.2">
      <c r="G138" s="1"/>
    </row>
  </sheetData>
  <sortState xmlns:xlrd2="http://schemas.microsoft.com/office/spreadsheetml/2017/richdata2" ref="T15:T253">
    <sortCondition ref="T15:T253"/>
  </sortState>
  <mergeCells count="15">
    <mergeCell ref="B16:B17"/>
    <mergeCell ref="C16:C17"/>
    <mergeCell ref="E16:E17"/>
    <mergeCell ref="B18:B27"/>
    <mergeCell ref="D16:D17"/>
    <mergeCell ref="H2:H3"/>
    <mergeCell ref="G2:G3"/>
    <mergeCell ref="S2:S3"/>
    <mergeCell ref="T2:T3"/>
    <mergeCell ref="Q2:Q3"/>
    <mergeCell ref="P2:P3"/>
    <mergeCell ref="N2:N3"/>
    <mergeCell ref="M2:M3"/>
    <mergeCell ref="K2:K3"/>
    <mergeCell ref="J2:J3"/>
  </mergeCells>
  <pageMargins left="0.511811024" right="0.511811024" top="0.78740157499999996" bottom="0.78740157499999996" header="0.31496062000000002" footer="0.31496062000000002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F80FF-9BA2-4778-8A4A-303D92FD3831}">
  <sheetPr codeName="Planilha33">
    <tabColor theme="9"/>
  </sheetPr>
  <dimension ref="A1:K97"/>
  <sheetViews>
    <sheetView workbookViewId="0">
      <pane ySplit="1" topLeftCell="A62" activePane="bottomLeft" state="frozen"/>
      <selection pane="bottomLeft" activeCell="F86" sqref="F86"/>
    </sheetView>
  </sheetViews>
  <sheetFormatPr defaultRowHeight="12.75" x14ac:dyDescent="0.2"/>
  <cols>
    <col min="1" max="1" width="6.7109375" bestFit="1" customWidth="1"/>
    <col min="2" max="2" width="17.28515625" bestFit="1" customWidth="1"/>
    <col min="3" max="3" width="16" bestFit="1" customWidth="1"/>
    <col min="4" max="4" width="15" bestFit="1" customWidth="1"/>
    <col min="5" max="5" width="13.85546875" bestFit="1" customWidth="1"/>
    <col min="6" max="6" width="14" bestFit="1" customWidth="1"/>
    <col min="7" max="7" width="12.7109375" bestFit="1" customWidth="1"/>
    <col min="8" max="8" width="33.42578125" bestFit="1" customWidth="1"/>
    <col min="9" max="9" width="32.28515625" bestFit="1" customWidth="1"/>
    <col min="10" max="11" width="12.5703125" bestFit="1" customWidth="1"/>
  </cols>
  <sheetData>
    <row r="1" spans="1:10" x14ac:dyDescent="0.2">
      <c r="A1" s="12" t="s">
        <v>9</v>
      </c>
      <c r="B1" s="12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2" t="s">
        <v>60</v>
      </c>
      <c r="I1" s="12" t="s">
        <v>61</v>
      </c>
      <c r="J1" s="97" t="s">
        <v>176</v>
      </c>
    </row>
    <row r="2" spans="1:10" x14ac:dyDescent="0.2">
      <c r="A2" s="4">
        <v>43466</v>
      </c>
      <c r="B2" s="10">
        <v>18888.995124934823</v>
      </c>
      <c r="C2" s="10">
        <v>2431520.6991873225</v>
      </c>
      <c r="D2" s="10">
        <v>1526897.5073924982</v>
      </c>
      <c r="E2" s="10">
        <v>21185310.812459979</v>
      </c>
      <c r="F2" s="10">
        <v>1508008.5122675635</v>
      </c>
      <c r="G2" s="10">
        <v>18753790.113272656</v>
      </c>
      <c r="H2" s="22"/>
      <c r="I2" s="19"/>
    </row>
    <row r="3" spans="1:10" x14ac:dyDescent="0.2">
      <c r="A3" s="4">
        <v>43497</v>
      </c>
      <c r="B3" s="10">
        <v>63783.579382765398</v>
      </c>
      <c r="C3" s="10">
        <v>2431520.6991873225</v>
      </c>
      <c r="D3" s="10">
        <v>1614293.8773924983</v>
      </c>
      <c r="E3" s="10">
        <v>21185310.812459979</v>
      </c>
      <c r="F3" s="10">
        <v>1550510.298009733</v>
      </c>
      <c r="G3" s="10">
        <v>18753790.113272656</v>
      </c>
      <c r="H3" s="22"/>
      <c r="I3" s="19"/>
    </row>
    <row r="4" spans="1:10" x14ac:dyDescent="0.2">
      <c r="A4" s="4">
        <v>43525</v>
      </c>
      <c r="B4" s="10">
        <v>201858.34752696729</v>
      </c>
      <c r="C4" s="10">
        <v>2431520.6991873225</v>
      </c>
      <c r="D4" s="10">
        <v>1746539.0127674981</v>
      </c>
      <c r="E4" s="10">
        <v>21185310.812459979</v>
      </c>
      <c r="F4" s="10">
        <v>1544680.6652405309</v>
      </c>
      <c r="G4" s="10">
        <v>18753790.113272656</v>
      </c>
      <c r="H4" s="22"/>
      <c r="I4" s="19"/>
    </row>
    <row r="5" spans="1:10" x14ac:dyDescent="0.2">
      <c r="A5" s="4">
        <v>43556</v>
      </c>
      <c r="B5" s="10">
        <v>250603.06543363386</v>
      </c>
      <c r="C5" s="10">
        <v>2431520.6991873225</v>
      </c>
      <c r="D5" s="10">
        <v>1821301.0127674981</v>
      </c>
      <c r="E5" s="10">
        <v>21185310.812459979</v>
      </c>
      <c r="F5" s="10">
        <v>1570697.9473338644</v>
      </c>
      <c r="G5" s="10">
        <v>18753790.113272656</v>
      </c>
      <c r="H5" s="22"/>
      <c r="I5" s="19"/>
    </row>
    <row r="6" spans="1:10" x14ac:dyDescent="0.2">
      <c r="A6" s="4">
        <v>43586</v>
      </c>
      <c r="B6" s="10">
        <v>262991.20024296734</v>
      </c>
      <c r="C6" s="10">
        <v>2431520.6991873225</v>
      </c>
      <c r="D6" s="10">
        <v>1825861.2927674982</v>
      </c>
      <c r="E6" s="10">
        <v>21185310.812459979</v>
      </c>
      <c r="F6" s="10">
        <v>1562870.0925245308</v>
      </c>
      <c r="G6" s="10">
        <v>18753790.113272656</v>
      </c>
      <c r="H6" s="22"/>
      <c r="I6" s="19"/>
    </row>
    <row r="7" spans="1:10" x14ac:dyDescent="0.2">
      <c r="A7" s="4">
        <v>43617</v>
      </c>
      <c r="B7" s="10">
        <v>257909.86074296723</v>
      </c>
      <c r="C7" s="10">
        <v>2431520.6991873225</v>
      </c>
      <c r="D7" s="10">
        <v>1826676.2927674982</v>
      </c>
      <c r="E7" s="10">
        <v>21185310.812459979</v>
      </c>
      <c r="F7" s="10">
        <v>1568766.4320245311</v>
      </c>
      <c r="G7" s="10">
        <v>18753790.113272656</v>
      </c>
      <c r="H7" s="22"/>
      <c r="I7" s="19"/>
    </row>
    <row r="8" spans="1:10" x14ac:dyDescent="0.2">
      <c r="A8" s="4">
        <v>43647</v>
      </c>
      <c r="B8" s="10">
        <v>264366.29305296717</v>
      </c>
      <c r="C8" s="10">
        <v>2431520.6991873225</v>
      </c>
      <c r="D8" s="10">
        <v>1823873.5927674982</v>
      </c>
      <c r="E8" s="10">
        <v>21185310.812459979</v>
      </c>
      <c r="F8" s="10">
        <v>1559507.2997145311</v>
      </c>
      <c r="G8" s="10">
        <v>18753790.113272656</v>
      </c>
      <c r="H8" s="22"/>
      <c r="I8" s="19"/>
    </row>
    <row r="9" spans="1:10" x14ac:dyDescent="0.2">
      <c r="A9" s="4">
        <v>43678</v>
      </c>
      <c r="B9" s="10">
        <v>259059.93659296731</v>
      </c>
      <c r="C9" s="10">
        <v>2431520.6991873225</v>
      </c>
      <c r="D9" s="10">
        <v>1817651.7927674982</v>
      </c>
      <c r="E9" s="10">
        <v>21185310.812459979</v>
      </c>
      <c r="F9" s="10">
        <v>1558591.8561745309</v>
      </c>
      <c r="G9" s="10">
        <v>18753790.113272656</v>
      </c>
      <c r="H9" s="22"/>
      <c r="I9" s="19"/>
    </row>
    <row r="10" spans="1:10" x14ac:dyDescent="0.2">
      <c r="A10" s="4">
        <v>43709</v>
      </c>
      <c r="B10" s="10">
        <v>252965.46298296738</v>
      </c>
      <c r="C10" s="10">
        <v>2431520.6991873225</v>
      </c>
      <c r="D10" s="10">
        <v>1816605.4927674984</v>
      </c>
      <c r="E10" s="10">
        <v>21185310.812459979</v>
      </c>
      <c r="F10" s="10">
        <v>1563640.0297845309</v>
      </c>
      <c r="G10" s="10">
        <v>18753790.113272656</v>
      </c>
      <c r="H10" s="22"/>
      <c r="I10" s="19"/>
    </row>
    <row r="11" spans="1:10" x14ac:dyDescent="0.2">
      <c r="A11" s="4">
        <v>43739</v>
      </c>
      <c r="B11" s="10">
        <v>225736.91013096727</v>
      </c>
      <c r="C11" s="10">
        <v>2431520.6991873225</v>
      </c>
      <c r="D11" s="10">
        <v>1789508.3327674982</v>
      </c>
      <c r="E11" s="10">
        <v>21185310.812459979</v>
      </c>
      <c r="F11" s="10">
        <v>1563771.4226365308</v>
      </c>
      <c r="G11" s="10">
        <v>18753790.113272656</v>
      </c>
      <c r="H11" s="22"/>
      <c r="I11" s="19"/>
    </row>
    <row r="12" spans="1:10" x14ac:dyDescent="0.2">
      <c r="A12" s="4">
        <v>43770</v>
      </c>
      <c r="B12" s="10">
        <v>204545.4750969673</v>
      </c>
      <c r="C12" s="10">
        <v>2431520.6991873225</v>
      </c>
      <c r="D12" s="10">
        <v>1787918.1127674982</v>
      </c>
      <c r="E12" s="10">
        <v>21185310.812459979</v>
      </c>
      <c r="F12" s="10">
        <v>1583372.6376705309</v>
      </c>
      <c r="G12" s="10">
        <v>18753790.113272656</v>
      </c>
      <c r="H12" s="22"/>
      <c r="I12" s="19"/>
    </row>
    <row r="13" spans="1:10" x14ac:dyDescent="0.2">
      <c r="A13" s="4">
        <v>43800</v>
      </c>
      <c r="B13" s="10">
        <v>168811.57287625014</v>
      </c>
      <c r="C13" s="10">
        <v>2431520.6991873225</v>
      </c>
      <c r="D13" s="10">
        <v>1788184.4927674981</v>
      </c>
      <c r="E13" s="10">
        <v>21185310.812459979</v>
      </c>
      <c r="F13" s="10">
        <v>1619372.919891248</v>
      </c>
      <c r="G13" s="10">
        <v>18753790.113272656</v>
      </c>
      <c r="H13" s="22"/>
      <c r="I13" s="19"/>
    </row>
    <row r="14" spans="1:10" x14ac:dyDescent="0.2">
      <c r="A14" s="4">
        <v>43831</v>
      </c>
      <c r="B14" s="10">
        <v>392524.10670277406</v>
      </c>
      <c r="C14" s="10">
        <v>2825816.5652815267</v>
      </c>
      <c r="D14" s="10">
        <v>2301365.9465727257</v>
      </c>
      <c r="E14" s="10">
        <v>25598280.138872717</v>
      </c>
      <c r="F14" s="10">
        <v>1908841.8398699516</v>
      </c>
      <c r="G14" s="10">
        <v>22772463.573591191</v>
      </c>
      <c r="H14" s="22"/>
      <c r="I14" s="19"/>
    </row>
    <row r="15" spans="1:10" x14ac:dyDescent="0.2">
      <c r="A15" s="4">
        <v>43862</v>
      </c>
      <c r="B15" s="10">
        <v>195155.61414645379</v>
      </c>
      <c r="C15" s="10">
        <v>2825816.5652815267</v>
      </c>
      <c r="D15" s="10">
        <v>2024994.9465727261</v>
      </c>
      <c r="E15" s="11">
        <v>25598280.138872717</v>
      </c>
      <c r="F15" s="10">
        <v>1829839.3324262723</v>
      </c>
      <c r="G15" s="11">
        <v>22772463.573591191</v>
      </c>
      <c r="H15" s="19"/>
      <c r="I15" s="19"/>
    </row>
    <row r="16" spans="1:10" x14ac:dyDescent="0.2">
      <c r="A16" s="4">
        <v>43891</v>
      </c>
      <c r="B16" s="10">
        <v>278241.75271164207</v>
      </c>
      <c r="C16" s="10">
        <v>2825816.5652815267</v>
      </c>
      <c r="D16" s="10">
        <v>2082901.6865727264</v>
      </c>
      <c r="E16" s="11">
        <v>25598280.138872717</v>
      </c>
      <c r="F16" s="10">
        <v>1804659.9338610843</v>
      </c>
      <c r="G16" s="11">
        <v>22772463.573591191</v>
      </c>
      <c r="H16" s="19"/>
      <c r="I16" s="19"/>
    </row>
    <row r="17" spans="1:11" x14ac:dyDescent="0.2">
      <c r="A17" s="4">
        <v>43922</v>
      </c>
      <c r="B17" s="10">
        <v>254113.88752404164</v>
      </c>
      <c r="C17" s="10">
        <v>2825816.5652815267</v>
      </c>
      <c r="D17" s="10">
        <v>2142755.1465727263</v>
      </c>
      <c r="E17" s="11">
        <v>25598280.138872717</v>
      </c>
      <c r="F17" s="10">
        <v>1888641.2590486847</v>
      </c>
      <c r="G17" s="11">
        <v>22772463.573591191</v>
      </c>
      <c r="H17" s="19"/>
      <c r="I17" s="19"/>
    </row>
    <row r="18" spans="1:11" x14ac:dyDescent="0.2">
      <c r="A18" s="4">
        <v>43952</v>
      </c>
      <c r="B18" s="10">
        <v>225746.18497531925</v>
      </c>
      <c r="C18" s="10">
        <v>2825816.5652815267</v>
      </c>
      <c r="D18" s="10">
        <v>2126815.6265727263</v>
      </c>
      <c r="E18" s="11">
        <v>25598280.138872717</v>
      </c>
      <c r="F18" s="10">
        <v>1901069.441597407</v>
      </c>
      <c r="G18" s="11">
        <v>22772463.573591191</v>
      </c>
      <c r="H18" s="19"/>
      <c r="I18" s="19"/>
    </row>
    <row r="19" spans="1:11" x14ac:dyDescent="0.2">
      <c r="A19" s="4">
        <v>43983</v>
      </c>
      <c r="B19" s="10">
        <v>248906.54695985978</v>
      </c>
      <c r="C19" s="10">
        <v>2825816.5652815267</v>
      </c>
      <c r="D19" s="10">
        <v>2151836.2465727269</v>
      </c>
      <c r="E19" s="11">
        <v>25598280.138872717</v>
      </c>
      <c r="F19" s="10">
        <v>1902929.6996128671</v>
      </c>
      <c r="G19" s="11">
        <v>22772463.573591191</v>
      </c>
      <c r="H19" s="19"/>
      <c r="I19" s="19"/>
    </row>
    <row r="20" spans="1:11" x14ac:dyDescent="0.2">
      <c r="A20" s="4">
        <v>44013</v>
      </c>
      <c r="B20" s="10">
        <v>229373.24487558944</v>
      </c>
      <c r="C20" s="10">
        <v>2825816.5652815267</v>
      </c>
      <c r="D20" s="10">
        <v>2129471.5632393933</v>
      </c>
      <c r="E20" s="11">
        <v>25598280.138872717</v>
      </c>
      <c r="F20" s="10">
        <v>1900098.3183638039</v>
      </c>
      <c r="G20" s="11">
        <v>22772463.573591191</v>
      </c>
      <c r="H20" s="19"/>
      <c r="I20" s="19"/>
    </row>
    <row r="21" spans="1:11" x14ac:dyDescent="0.2">
      <c r="A21" s="4">
        <v>44044</v>
      </c>
      <c r="B21" s="10">
        <v>236647.26325350837</v>
      </c>
      <c r="C21" s="10">
        <v>2825816.5652815267</v>
      </c>
      <c r="D21" s="10">
        <v>2142677.4832393932</v>
      </c>
      <c r="E21" s="11">
        <v>25598280.138872717</v>
      </c>
      <c r="F21" s="10">
        <v>1906030.2199858848</v>
      </c>
      <c r="G21" s="11">
        <v>22772463.573591191</v>
      </c>
      <c r="H21" s="19"/>
      <c r="I21" s="19"/>
    </row>
    <row r="22" spans="1:11" x14ac:dyDescent="0.2">
      <c r="A22" s="4">
        <v>44075</v>
      </c>
      <c r="B22" s="10">
        <v>224208.26351366541</v>
      </c>
      <c r="C22" s="10">
        <v>2825816.5652815267</v>
      </c>
      <c r="D22" s="10">
        <v>2128373.4632393937</v>
      </c>
      <c r="E22" s="11">
        <v>25598280.138872717</v>
      </c>
      <c r="F22" s="10">
        <v>1904165.1997257282</v>
      </c>
      <c r="G22" s="11">
        <v>22772463.573591191</v>
      </c>
      <c r="H22" s="19"/>
      <c r="I22" s="19"/>
    </row>
    <row r="23" spans="1:11" x14ac:dyDescent="0.2">
      <c r="A23" s="4">
        <v>44105</v>
      </c>
      <c r="B23" s="10">
        <v>218997.04576100293</v>
      </c>
      <c r="C23" s="10">
        <v>2825816.5652815267</v>
      </c>
      <c r="D23" s="10">
        <v>2135655.3232393931</v>
      </c>
      <c r="E23" s="11">
        <v>25598280.138872717</v>
      </c>
      <c r="F23" s="10">
        <v>1916658.2774783901</v>
      </c>
      <c r="G23" s="11">
        <v>22772463.573591191</v>
      </c>
      <c r="H23" s="19"/>
      <c r="I23" s="19"/>
      <c r="K23" s="33"/>
    </row>
    <row r="24" spans="1:11" x14ac:dyDescent="0.2">
      <c r="A24" s="4">
        <v>44136</v>
      </c>
      <c r="B24" s="10">
        <v>158157.39452608291</v>
      </c>
      <c r="C24" s="10">
        <v>2825816.5652815267</v>
      </c>
      <c r="D24" s="10">
        <v>2112030.0432393933</v>
      </c>
      <c r="E24" s="11">
        <v>25598280.138872717</v>
      </c>
      <c r="F24" s="10">
        <v>1953872.6487133102</v>
      </c>
      <c r="G24" s="11">
        <v>22772463.573591191</v>
      </c>
      <c r="H24" s="19"/>
      <c r="I24" s="19"/>
    </row>
    <row r="25" spans="1:11" x14ac:dyDescent="0.2">
      <c r="A25" s="4">
        <v>44166</v>
      </c>
      <c r="B25" s="10">
        <v>163745.26033158659</v>
      </c>
      <c r="C25" s="10">
        <v>2825816.5652815267</v>
      </c>
      <c r="D25" s="10">
        <v>2119402.6632393934</v>
      </c>
      <c r="E25" s="11">
        <v>25598280.138872717</v>
      </c>
      <c r="F25" s="10">
        <v>1955657.4029078069</v>
      </c>
      <c r="G25" s="11">
        <v>22772463.573591191</v>
      </c>
      <c r="H25" s="19"/>
      <c r="I25" s="19"/>
    </row>
    <row r="26" spans="1:11" x14ac:dyDescent="0.2">
      <c r="A26" s="4">
        <v>44197</v>
      </c>
      <c r="B26" s="10">
        <f t="shared" ref="B26:B37" si="0">D26-F26</f>
        <v>-231156.73383605061</v>
      </c>
      <c r="C26" s="10">
        <v>3074806.7496135477</v>
      </c>
      <c r="D26" s="10">
        <v>1561701.5296134967</v>
      </c>
      <c r="E26" s="10">
        <v>25658425.595361955</v>
      </c>
      <c r="F26" s="10">
        <v>1792858.2634495473</v>
      </c>
      <c r="G26" s="10">
        <v>22583618.845748406</v>
      </c>
      <c r="H26" s="22">
        <v>2233187.2591666668</v>
      </c>
      <c r="I26" s="22">
        <v>26798247.109999999</v>
      </c>
    </row>
    <row r="27" spans="1:11" x14ac:dyDescent="0.2">
      <c r="A27" s="4">
        <v>44228</v>
      </c>
      <c r="B27" s="10">
        <f t="shared" si="0"/>
        <v>159342.74647390796</v>
      </c>
      <c r="C27" s="11">
        <v>3074806.7496135477</v>
      </c>
      <c r="D27" s="10">
        <v>2006818.3396134963</v>
      </c>
      <c r="E27" s="10">
        <v>25658425.595361955</v>
      </c>
      <c r="F27" s="10">
        <v>1847475.5931395884</v>
      </c>
      <c r="G27" s="10">
        <v>22583618.845748406</v>
      </c>
      <c r="H27" s="22">
        <v>2233187.2591666668</v>
      </c>
      <c r="I27" s="22">
        <v>26798247.109999999</v>
      </c>
    </row>
    <row r="28" spans="1:11" x14ac:dyDescent="0.2">
      <c r="A28" s="4">
        <v>44256</v>
      </c>
      <c r="B28" s="10">
        <f t="shared" si="0"/>
        <v>303183.46365366923</v>
      </c>
      <c r="C28" s="11">
        <v>3074806.7496135477</v>
      </c>
      <c r="D28" s="10">
        <v>2139121.6796134962</v>
      </c>
      <c r="E28" s="10">
        <v>25658425.595361955</v>
      </c>
      <c r="F28" s="10">
        <v>1835938.2159598269</v>
      </c>
      <c r="G28" s="10">
        <v>22583618.845748406</v>
      </c>
      <c r="H28" s="22">
        <v>2233187.2591666668</v>
      </c>
      <c r="I28" s="22">
        <v>26798247.109999999</v>
      </c>
    </row>
    <row r="29" spans="1:11" x14ac:dyDescent="0.2">
      <c r="A29" s="4">
        <v>44287</v>
      </c>
      <c r="B29" s="10">
        <f t="shared" si="0"/>
        <v>321961.78693845798</v>
      </c>
      <c r="C29" s="11">
        <v>3074806.7496135477</v>
      </c>
      <c r="D29" s="10">
        <v>2196865.479613496</v>
      </c>
      <c r="E29" s="10">
        <v>25658425.595361955</v>
      </c>
      <c r="F29" s="10">
        <v>1874903.692675038</v>
      </c>
      <c r="G29" s="10">
        <v>22583618.845748406</v>
      </c>
      <c r="H29" s="22">
        <v>2233187.2591666668</v>
      </c>
      <c r="I29" s="22">
        <v>26798247.109999999</v>
      </c>
    </row>
    <row r="30" spans="1:11" x14ac:dyDescent="0.2">
      <c r="A30" s="4">
        <v>44317</v>
      </c>
      <c r="B30" s="10">
        <f t="shared" si="0"/>
        <v>346440.3119867295</v>
      </c>
      <c r="C30" s="11">
        <v>3074806.7496135477</v>
      </c>
      <c r="D30" s="10">
        <v>2217095.5996134961</v>
      </c>
      <c r="E30" s="10">
        <v>25658425.595361955</v>
      </c>
      <c r="F30" s="10">
        <v>1870655.2876267666</v>
      </c>
      <c r="G30" s="10">
        <v>22583618.845748406</v>
      </c>
      <c r="H30" s="22">
        <v>2233187.2591666668</v>
      </c>
      <c r="I30" s="22">
        <v>26798247.109999999</v>
      </c>
    </row>
    <row r="31" spans="1:11" x14ac:dyDescent="0.2">
      <c r="A31" s="4">
        <v>44348</v>
      </c>
      <c r="B31" s="10">
        <f t="shared" si="0"/>
        <v>350001.42535751965</v>
      </c>
      <c r="C31" s="11">
        <v>3074806.7496135477</v>
      </c>
      <c r="D31" s="10">
        <v>2220178.479613496</v>
      </c>
      <c r="E31" s="10">
        <v>25658425.595361955</v>
      </c>
      <c r="F31" s="10">
        <v>1870177.0542559763</v>
      </c>
      <c r="G31" s="10">
        <v>22583618.845748406</v>
      </c>
      <c r="H31" s="22">
        <v>2233187.2591666668</v>
      </c>
      <c r="I31" s="22">
        <v>26798247.109999999</v>
      </c>
    </row>
    <row r="32" spans="1:11" x14ac:dyDescent="0.2">
      <c r="A32" s="4">
        <v>44378</v>
      </c>
      <c r="B32" s="10">
        <f t="shared" si="0"/>
        <v>326813.42523089238</v>
      </c>
      <c r="C32" s="11">
        <v>3074806.7496135477</v>
      </c>
      <c r="D32" s="10">
        <v>2221179.8396134963</v>
      </c>
      <c r="E32" s="10">
        <v>25658425.595361955</v>
      </c>
      <c r="F32" s="10">
        <v>1894366.414382604</v>
      </c>
      <c r="G32" s="10">
        <v>22583618.845748406</v>
      </c>
      <c r="H32" s="22">
        <v>2233187.2591666668</v>
      </c>
      <c r="I32" s="22">
        <v>26798247.109999999</v>
      </c>
    </row>
    <row r="33" spans="1:11" x14ac:dyDescent="0.2">
      <c r="A33" s="4">
        <v>44409</v>
      </c>
      <c r="B33" s="10">
        <f t="shared" si="0"/>
        <v>343159.01891934918</v>
      </c>
      <c r="C33" s="11">
        <v>3074806.7496135477</v>
      </c>
      <c r="D33" s="10">
        <v>2221413.499613496</v>
      </c>
      <c r="E33" s="10">
        <v>25658425.595361955</v>
      </c>
      <c r="F33" s="10">
        <v>1878254.4806941468</v>
      </c>
      <c r="G33" s="10">
        <v>22583618.845748406</v>
      </c>
      <c r="H33" s="22">
        <v>2233187.2591666668</v>
      </c>
      <c r="I33" s="22">
        <v>26798247.109999999</v>
      </c>
    </row>
    <row r="34" spans="1:11" x14ac:dyDescent="0.2">
      <c r="A34" s="4">
        <v>44440</v>
      </c>
      <c r="B34" s="10">
        <f t="shared" si="0"/>
        <v>340250.98454478267</v>
      </c>
      <c r="C34" s="11">
        <v>3074806.7496135477</v>
      </c>
      <c r="D34" s="10">
        <v>2221307.0996134961</v>
      </c>
      <c r="E34" s="10">
        <v>25658425.595361955</v>
      </c>
      <c r="F34" s="10">
        <v>1881056.1150687134</v>
      </c>
      <c r="G34" s="10">
        <v>22583618.845748406</v>
      </c>
      <c r="H34" s="22">
        <v>2233187.2591666668</v>
      </c>
      <c r="I34" s="22">
        <v>26798247.109999999</v>
      </c>
    </row>
    <row r="35" spans="1:11" x14ac:dyDescent="0.2">
      <c r="A35" s="4">
        <v>44470</v>
      </c>
      <c r="B35" s="10">
        <f t="shared" si="0"/>
        <v>310070.87710658461</v>
      </c>
      <c r="C35" s="11">
        <v>3074806.7496135477</v>
      </c>
      <c r="D35" s="10">
        <v>2221545.6596134962</v>
      </c>
      <c r="E35" s="10">
        <v>25658425.595361955</v>
      </c>
      <c r="F35" s="10">
        <v>1911474.7825069115</v>
      </c>
      <c r="G35" s="10">
        <v>22583618.845748406</v>
      </c>
      <c r="H35" s="22">
        <v>2233187.2591666668</v>
      </c>
      <c r="I35" s="22">
        <v>26798247.109999999</v>
      </c>
    </row>
    <row r="36" spans="1:11" x14ac:dyDescent="0.2">
      <c r="A36" s="4">
        <v>44501</v>
      </c>
      <c r="B36" s="10">
        <f t="shared" si="0"/>
        <v>261788.96983444109</v>
      </c>
      <c r="C36" s="11">
        <v>3074806.7496135477</v>
      </c>
      <c r="D36" s="10">
        <v>2221525.4296134962</v>
      </c>
      <c r="E36" s="10">
        <v>25658425.595361955</v>
      </c>
      <c r="F36" s="10">
        <v>1959736.4597790551</v>
      </c>
      <c r="G36" s="10">
        <v>22583618.845748406</v>
      </c>
      <c r="H36" s="22">
        <v>2233187.2591666668</v>
      </c>
      <c r="I36" s="22">
        <v>26798247.109999999</v>
      </c>
    </row>
    <row r="37" spans="1:11" x14ac:dyDescent="0.2">
      <c r="A37" s="4">
        <v>44531</v>
      </c>
      <c r="B37" s="10">
        <f t="shared" si="0"/>
        <v>242950.47340326454</v>
      </c>
      <c r="C37" s="11">
        <v>3074806.7496135477</v>
      </c>
      <c r="D37" s="10">
        <v>2209672.959613496</v>
      </c>
      <c r="E37" s="10">
        <v>25658425.595361955</v>
      </c>
      <c r="F37" s="10">
        <v>1966722.4862102314</v>
      </c>
      <c r="G37" s="10">
        <v>22583618.845748406</v>
      </c>
      <c r="H37" s="22">
        <v>2233187.2591666668</v>
      </c>
      <c r="I37" s="22">
        <v>26798247.109999999</v>
      </c>
    </row>
    <row r="38" spans="1:11" x14ac:dyDescent="0.2">
      <c r="A38" s="4">
        <v>44562</v>
      </c>
      <c r="B38" s="10">
        <f t="shared" ref="B38:B49" si="1">D38-F38</f>
        <v>388759.72102384781</v>
      </c>
      <c r="C38" s="10">
        <v>4125010.3696400393</v>
      </c>
      <c r="D38" s="10">
        <v>2456478.9933333336</v>
      </c>
      <c r="E38" s="10">
        <v>29658362.600000001</v>
      </c>
      <c r="F38" s="81">
        <v>2067719.2723094858</v>
      </c>
      <c r="G38" s="81">
        <v>25533352.230359968</v>
      </c>
      <c r="H38" s="22">
        <v>2617414.8225416667</v>
      </c>
      <c r="I38" s="19">
        <v>31408977.870499998</v>
      </c>
    </row>
    <row r="39" spans="1:11" x14ac:dyDescent="0.2">
      <c r="A39" s="4">
        <v>44593</v>
      </c>
      <c r="B39" s="10">
        <f t="shared" si="1"/>
        <v>328342.36586376466</v>
      </c>
      <c r="C39" s="10">
        <v>4125010.3696400393</v>
      </c>
      <c r="D39" s="10">
        <v>2419294.7733333339</v>
      </c>
      <c r="E39" s="10">
        <v>29658362.600000001</v>
      </c>
      <c r="F39" s="81">
        <v>2090952.4074695692</v>
      </c>
      <c r="G39" s="81">
        <v>25533352.230359968</v>
      </c>
      <c r="H39" s="22">
        <v>2617414.8225416667</v>
      </c>
      <c r="I39" s="19">
        <v>31408977.870499998</v>
      </c>
      <c r="K39" s="27"/>
    </row>
    <row r="40" spans="1:11" x14ac:dyDescent="0.2">
      <c r="A40" s="4">
        <v>44621</v>
      </c>
      <c r="B40" s="10">
        <f t="shared" si="1"/>
        <v>338179.64568661898</v>
      </c>
      <c r="C40" s="10">
        <v>4125010.3696400393</v>
      </c>
      <c r="D40" s="10">
        <v>2447498.8733333335</v>
      </c>
      <c r="E40" s="10">
        <v>29658362.600000001</v>
      </c>
      <c r="F40" s="81">
        <v>2109319.2276467145</v>
      </c>
      <c r="G40" s="81">
        <v>25533352.230359968</v>
      </c>
      <c r="H40" s="22">
        <v>2617414.8225416667</v>
      </c>
      <c r="I40" s="19">
        <v>31408977.870499998</v>
      </c>
    </row>
    <row r="41" spans="1:11" x14ac:dyDescent="0.2">
      <c r="A41" s="4">
        <v>44652</v>
      </c>
      <c r="B41" s="10">
        <f t="shared" si="1"/>
        <v>346599.73265419295</v>
      </c>
      <c r="C41" s="10">
        <v>4125010.3696400393</v>
      </c>
      <c r="D41" s="10">
        <v>2488311.1733333333</v>
      </c>
      <c r="E41" s="10">
        <v>29658362.600000001</v>
      </c>
      <c r="F41" s="81">
        <v>2141711.4406791404</v>
      </c>
      <c r="G41" s="81">
        <v>25533352.230359968</v>
      </c>
      <c r="H41" s="22">
        <v>2617414.8225416667</v>
      </c>
      <c r="I41" s="19">
        <v>31408977.870499998</v>
      </c>
    </row>
    <row r="42" spans="1:11" x14ac:dyDescent="0.2">
      <c r="A42" s="4">
        <v>44682</v>
      </c>
      <c r="B42" s="10">
        <f t="shared" si="1"/>
        <v>368418.43641773472</v>
      </c>
      <c r="C42" s="10">
        <v>4125010.3696400393</v>
      </c>
      <c r="D42" s="10">
        <v>2487444.6133333337</v>
      </c>
      <c r="E42" s="10">
        <v>29658362.600000001</v>
      </c>
      <c r="F42" s="81">
        <v>2119026.176915599</v>
      </c>
      <c r="G42" s="81">
        <v>25533352.230359968</v>
      </c>
      <c r="H42" s="22">
        <v>2617414.8225416667</v>
      </c>
      <c r="I42" s="19">
        <v>31408977.870499998</v>
      </c>
    </row>
    <row r="43" spans="1:11" x14ac:dyDescent="0.2">
      <c r="A43" s="4">
        <v>44713</v>
      </c>
      <c r="B43" s="10">
        <f t="shared" si="1"/>
        <v>371249.56834489619</v>
      </c>
      <c r="C43" s="10">
        <v>4125010.3696400393</v>
      </c>
      <c r="D43" s="10">
        <v>2486621.5733333337</v>
      </c>
      <c r="E43" s="10">
        <v>29658362.600000001</v>
      </c>
      <c r="F43" s="81">
        <v>2115372.0049884375</v>
      </c>
      <c r="G43" s="81">
        <v>25533352.230359968</v>
      </c>
      <c r="H43" s="22">
        <v>2617414.8225416667</v>
      </c>
      <c r="I43" s="19">
        <v>31408977.870499998</v>
      </c>
    </row>
    <row r="44" spans="1:11" x14ac:dyDescent="0.2">
      <c r="A44" s="4">
        <v>44743</v>
      </c>
      <c r="B44" s="10">
        <f t="shared" si="1"/>
        <v>343461.63271170016</v>
      </c>
      <c r="C44" s="10">
        <v>4125010.3696400393</v>
      </c>
      <c r="D44" s="10">
        <v>2483339.8733333335</v>
      </c>
      <c r="E44" s="10">
        <v>29658362.600000001</v>
      </c>
      <c r="F44" s="81">
        <v>2139878.2406216334</v>
      </c>
      <c r="G44" s="81">
        <v>25533352.230359968</v>
      </c>
      <c r="H44" s="22">
        <v>2617414.8225416667</v>
      </c>
      <c r="I44" s="19">
        <v>31408977.870499998</v>
      </c>
    </row>
    <row r="45" spans="1:11" x14ac:dyDescent="0.2">
      <c r="A45" s="4">
        <v>44774</v>
      </c>
      <c r="B45" s="10">
        <f t="shared" si="1"/>
        <v>368339.40565906651</v>
      </c>
      <c r="C45" s="10">
        <v>4125010.3696400393</v>
      </c>
      <c r="D45" s="10">
        <v>2480718.9733333336</v>
      </c>
      <c r="E45" s="10">
        <v>29658362.600000001</v>
      </c>
      <c r="F45" s="81">
        <v>2112379.5676742671</v>
      </c>
      <c r="G45" s="81">
        <v>25533352.230359968</v>
      </c>
      <c r="H45" s="22">
        <v>2617414.8225416667</v>
      </c>
      <c r="I45" s="19">
        <v>31408977.870499998</v>
      </c>
    </row>
    <row r="46" spans="1:11" x14ac:dyDescent="0.2">
      <c r="A46" s="4">
        <v>44805</v>
      </c>
      <c r="B46" s="10">
        <f t="shared" si="1"/>
        <v>359164.95015038131</v>
      </c>
      <c r="C46" s="10">
        <v>4125010.3696400393</v>
      </c>
      <c r="D46" s="10">
        <v>2478463.3733333335</v>
      </c>
      <c r="E46" s="10">
        <v>29658362.600000001</v>
      </c>
      <c r="F46" s="81">
        <v>2119298.4231829522</v>
      </c>
      <c r="G46" s="81">
        <v>25533352.230359968</v>
      </c>
      <c r="H46" s="22">
        <v>2617414.8225416667</v>
      </c>
      <c r="I46" s="19">
        <v>31408977.870499998</v>
      </c>
    </row>
    <row r="47" spans="1:11" x14ac:dyDescent="0.2">
      <c r="A47" s="4">
        <v>44835</v>
      </c>
      <c r="B47" s="10">
        <f t="shared" si="1"/>
        <v>338999.78428503731</v>
      </c>
      <c r="C47" s="10">
        <v>4125010.3696400393</v>
      </c>
      <c r="D47" s="10">
        <v>2477462.0133333332</v>
      </c>
      <c r="E47" s="10">
        <v>29658362.600000001</v>
      </c>
      <c r="F47" s="81">
        <v>2138462.2290482959</v>
      </c>
      <c r="G47" s="81">
        <v>25533352.230359968</v>
      </c>
      <c r="H47" s="22">
        <v>2617414.8225416667</v>
      </c>
      <c r="I47" s="19">
        <v>31408977.870499998</v>
      </c>
    </row>
    <row r="48" spans="1:11" x14ac:dyDescent="0.2">
      <c r="A48" s="4">
        <v>44866</v>
      </c>
      <c r="B48" s="10">
        <f t="shared" si="1"/>
        <v>281070.32498169458</v>
      </c>
      <c r="C48" s="10">
        <v>4125010.3696400393</v>
      </c>
      <c r="D48" s="10">
        <v>2476453.7933333335</v>
      </c>
      <c r="E48" s="10">
        <v>29658362.600000001</v>
      </c>
      <c r="F48" s="81">
        <v>2195383.4683516389</v>
      </c>
      <c r="G48" s="81">
        <v>25533352.230359968</v>
      </c>
      <c r="H48" s="22">
        <v>2617414.8225416667</v>
      </c>
      <c r="I48" s="19">
        <v>31408977.870499998</v>
      </c>
    </row>
    <row r="49" spans="1:9" x14ac:dyDescent="0.2">
      <c r="A49" s="4">
        <v>44896</v>
      </c>
      <c r="B49" s="10">
        <f t="shared" si="1"/>
        <v>292424.80186110409</v>
      </c>
      <c r="C49" s="10">
        <v>4125010.3696400393</v>
      </c>
      <c r="D49" s="10">
        <v>2476274.5733333337</v>
      </c>
      <c r="E49" s="10">
        <v>29658362.600000001</v>
      </c>
      <c r="F49" s="81">
        <v>2183849.7714722296</v>
      </c>
      <c r="G49" s="81">
        <v>25533352.230359968</v>
      </c>
      <c r="H49" s="22">
        <v>2617414.8225416667</v>
      </c>
      <c r="I49" s="19">
        <v>31408977.870499998</v>
      </c>
    </row>
    <row r="50" spans="1:9" x14ac:dyDescent="0.2">
      <c r="A50" s="4">
        <v>44927</v>
      </c>
      <c r="B50" s="27">
        <f>D50-F50</f>
        <v>170404.02181295352</v>
      </c>
      <c r="C50" s="27">
        <f>E50-G50</f>
        <v>3825913.5970324986</v>
      </c>
      <c r="D50" s="27">
        <v>2486594.94624</v>
      </c>
      <c r="E50" s="27">
        <v>31486139.354880001</v>
      </c>
      <c r="F50" s="27">
        <v>2316190.9244270464</v>
      </c>
      <c r="G50" s="27">
        <v>27660225.757847503</v>
      </c>
      <c r="H50" s="29">
        <v>2572291.6524999999</v>
      </c>
      <c r="I50" s="29">
        <v>33224425.014000002</v>
      </c>
    </row>
    <row r="51" spans="1:9" x14ac:dyDescent="0.2">
      <c r="A51" s="4">
        <v>44958</v>
      </c>
      <c r="B51" s="27">
        <f t="shared" ref="B51:B59" si="2">D51-F51</f>
        <v>242546.44711209694</v>
      </c>
      <c r="C51" s="27">
        <f>E51-G51</f>
        <v>3825913.5970324986</v>
      </c>
      <c r="D51" s="27">
        <v>2498594.94624</v>
      </c>
      <c r="E51" s="27">
        <v>31486139.354880001</v>
      </c>
      <c r="F51" s="27">
        <v>2256048.499127903</v>
      </c>
      <c r="G51" s="27">
        <v>27660225.757847503</v>
      </c>
      <c r="H51" s="29">
        <v>1647553.5144999998</v>
      </c>
      <c r="I51" s="1">
        <v>33224425.014000002</v>
      </c>
    </row>
    <row r="52" spans="1:9" x14ac:dyDescent="0.2">
      <c r="A52" s="4">
        <v>44986</v>
      </c>
      <c r="B52" s="27">
        <f t="shared" si="2"/>
        <v>258085.67296106834</v>
      </c>
      <c r="C52" s="27">
        <f>E52-G52</f>
        <v>3825913.5970324986</v>
      </c>
      <c r="D52" s="27">
        <v>2519594.94624</v>
      </c>
      <c r="E52" s="27">
        <v>31486139.354880001</v>
      </c>
      <c r="F52" s="27">
        <v>2261509.2732789316</v>
      </c>
      <c r="G52" s="27">
        <v>27660225.757847503</v>
      </c>
      <c r="H52" s="29">
        <v>2313062.7694999999</v>
      </c>
      <c r="I52" s="1">
        <v>33224425.014000002</v>
      </c>
    </row>
    <row r="53" spans="1:9" x14ac:dyDescent="0.2">
      <c r="A53" s="4">
        <v>45017</v>
      </c>
      <c r="B53" s="27">
        <f t="shared" si="2"/>
        <v>306221.41252782755</v>
      </c>
      <c r="C53" s="27">
        <f>E53-G53</f>
        <v>3825913.5970324986</v>
      </c>
      <c r="D53" s="27">
        <v>2564594.94624</v>
      </c>
      <c r="E53" s="27">
        <v>31486139.354880001</v>
      </c>
      <c r="F53" s="27">
        <v>2258373.5337121724</v>
      </c>
      <c r="G53" s="27">
        <v>27660225.757847503</v>
      </c>
      <c r="H53" s="29">
        <v>3057885.6269999999</v>
      </c>
      <c r="I53" s="1">
        <v>33224425.014000002</v>
      </c>
    </row>
    <row r="54" spans="1:9" x14ac:dyDescent="0.2">
      <c r="A54" s="4">
        <v>45047</v>
      </c>
      <c r="B54" s="27">
        <f t="shared" si="2"/>
        <v>304227.39199865609</v>
      </c>
      <c r="C54" s="27">
        <f t="shared" ref="C54:C61" si="3">E54-G54</f>
        <v>3825913.5970324986</v>
      </c>
      <c r="D54" s="27">
        <v>2564594.94624</v>
      </c>
      <c r="E54" s="27">
        <v>31486139.354880001</v>
      </c>
      <c r="F54" s="27">
        <v>2260367.5542413439</v>
      </c>
      <c r="G54" s="27">
        <v>27660225.757847503</v>
      </c>
      <c r="H54" s="29">
        <v>3457566.7124999999</v>
      </c>
      <c r="I54" s="1">
        <v>33224425.014000002</v>
      </c>
    </row>
    <row r="55" spans="1:9" x14ac:dyDescent="0.2">
      <c r="A55" s="115">
        <v>45078</v>
      </c>
      <c r="B55" s="27">
        <f t="shared" si="2"/>
        <v>270396.84395515081</v>
      </c>
      <c r="C55" s="27">
        <f t="shared" si="3"/>
        <v>3825913.5970324986</v>
      </c>
      <c r="D55" s="27">
        <v>2564594.94624</v>
      </c>
      <c r="E55" s="27">
        <v>31486139.354880001</v>
      </c>
      <c r="F55" s="27">
        <v>2294198.1022848492</v>
      </c>
      <c r="G55" s="27">
        <v>27660225.757847503</v>
      </c>
      <c r="H55" s="29">
        <v>2834636.5639999998</v>
      </c>
      <c r="I55" s="1">
        <v>33224425.014000002</v>
      </c>
    </row>
    <row r="56" spans="1:9" x14ac:dyDescent="0.2">
      <c r="A56" s="4">
        <v>45108</v>
      </c>
      <c r="B56" s="27">
        <f t="shared" si="2"/>
        <v>351532.9295389303</v>
      </c>
      <c r="C56" s="27">
        <f t="shared" si="3"/>
        <v>3825913.5970324986</v>
      </c>
      <c r="D56" s="27">
        <v>2564594.94624</v>
      </c>
      <c r="E56" s="27">
        <v>31486139.354880001</v>
      </c>
      <c r="F56" s="27">
        <v>2213062.0167010697</v>
      </c>
      <c r="G56" s="27">
        <v>27660225.757847503</v>
      </c>
      <c r="H56" s="29">
        <v>2876589.3689999995</v>
      </c>
      <c r="I56" s="1">
        <v>33224425.014000002</v>
      </c>
    </row>
    <row r="57" spans="1:9" x14ac:dyDescent="0.2">
      <c r="A57" s="4">
        <v>45139</v>
      </c>
      <c r="B57" s="27">
        <f t="shared" si="2"/>
        <v>356357.95199865615</v>
      </c>
      <c r="C57" s="27">
        <f t="shared" si="3"/>
        <v>3825913.5970324986</v>
      </c>
      <c r="D57" s="27">
        <v>2564594.94624</v>
      </c>
      <c r="E57" s="27">
        <v>31486139.354880001</v>
      </c>
      <c r="F57" s="27">
        <v>2208236.9942413438</v>
      </c>
      <c r="G57" s="27">
        <v>27660225.757847503</v>
      </c>
      <c r="H57" s="29">
        <v>2535589.0574999996</v>
      </c>
      <c r="I57" s="1">
        <v>33224425.014000002</v>
      </c>
    </row>
    <row r="58" spans="1:9" x14ac:dyDescent="0.2">
      <c r="A58" s="4">
        <v>45170</v>
      </c>
      <c r="B58" s="27">
        <f t="shared" si="2"/>
        <v>355455.99199865619</v>
      </c>
      <c r="C58" s="27">
        <f t="shared" si="3"/>
        <v>3825913.5970324986</v>
      </c>
      <c r="D58" s="27">
        <v>2564594.94624</v>
      </c>
      <c r="E58" s="27">
        <v>31486139.354880001</v>
      </c>
      <c r="F58" s="27">
        <v>2209138.9542413438</v>
      </c>
      <c r="G58" s="27">
        <v>27660225.757847503</v>
      </c>
      <c r="H58" s="29">
        <v>2940430.4344999995</v>
      </c>
      <c r="I58" s="1">
        <v>33224425.014000002</v>
      </c>
    </row>
    <row r="59" spans="1:9" x14ac:dyDescent="0.2">
      <c r="A59" s="4">
        <v>45200</v>
      </c>
      <c r="B59" s="27">
        <f t="shared" si="2"/>
        <v>333156.48037476093</v>
      </c>
      <c r="C59" s="27">
        <f t="shared" si="3"/>
        <v>3825913.5970324986</v>
      </c>
      <c r="D59" s="27">
        <v>2564594.94624</v>
      </c>
      <c r="E59" s="27">
        <v>31486139.354880001</v>
      </c>
      <c r="F59" s="27">
        <v>2231438.465865239</v>
      </c>
      <c r="G59" s="27">
        <v>27660225.757847503</v>
      </c>
      <c r="H59" s="29">
        <v>3113852.0560000003</v>
      </c>
      <c r="I59" s="1">
        <v>33224425.014000002</v>
      </c>
    </row>
    <row r="60" spans="1:9" x14ac:dyDescent="0.2">
      <c r="A60" s="4">
        <v>45231</v>
      </c>
      <c r="B60" s="27">
        <f>D60-F60</f>
        <v>253562.03137686895</v>
      </c>
      <c r="C60" s="27">
        <f t="shared" si="3"/>
        <v>3825913.5970324986</v>
      </c>
      <c r="D60" s="27">
        <v>2564594.94624</v>
      </c>
      <c r="E60" s="27">
        <v>31486139.354880001</v>
      </c>
      <c r="F60" s="27">
        <v>2311032.914863131</v>
      </c>
      <c r="G60" s="27">
        <v>27660225.757847503</v>
      </c>
      <c r="H60" s="29">
        <v>2778264.9210000006</v>
      </c>
      <c r="I60" s="1">
        <v>33224425.014000002</v>
      </c>
    </row>
    <row r="61" spans="1:9" x14ac:dyDescent="0.2">
      <c r="A61" s="4">
        <v>45261</v>
      </c>
      <c r="B61" s="27">
        <f>D61-F61</f>
        <v>463531.3713768702</v>
      </c>
      <c r="C61" s="27">
        <f t="shared" si="3"/>
        <v>3825913.5970324986</v>
      </c>
      <c r="D61" s="27">
        <v>3464594.94624</v>
      </c>
      <c r="E61" s="27">
        <v>31486139.354880001</v>
      </c>
      <c r="F61" s="27">
        <f>2840628.52486313+160435.05</f>
        <v>3001063.5748631298</v>
      </c>
      <c r="G61" s="27">
        <v>27660225.757847503</v>
      </c>
      <c r="H61" s="29">
        <v>3096702.3360000006</v>
      </c>
      <c r="I61" s="1">
        <v>33224425.014000002</v>
      </c>
    </row>
    <row r="62" spans="1:9" x14ac:dyDescent="0.2">
      <c r="A62" s="4">
        <v>45292</v>
      </c>
      <c r="B62" s="27">
        <f>D62-F62</f>
        <v>159332.14920110069</v>
      </c>
      <c r="C62" s="27">
        <f>E62-G62</f>
        <v>5282379.1259829774</v>
      </c>
      <c r="D62" s="27">
        <v>3089296.2266666666</v>
      </c>
      <c r="E62" s="27">
        <f>SUM($D$62:$D$73)</f>
        <v>41171371.879999995</v>
      </c>
      <c r="F62" s="27">
        <v>2929964.0774655659</v>
      </c>
      <c r="G62" s="27">
        <f>SUM($F$62:$F$73)</f>
        <v>35888992.754017018</v>
      </c>
      <c r="H62" s="29">
        <v>2572291.6524999999</v>
      </c>
      <c r="I62" s="29">
        <v>33224425.014000002</v>
      </c>
    </row>
    <row r="63" spans="1:9" x14ac:dyDescent="0.2">
      <c r="A63" s="4">
        <v>45323</v>
      </c>
      <c r="B63" s="27">
        <f t="shared" ref="B63:C73" si="4">D63-F63</f>
        <v>152573.72250110097</v>
      </c>
      <c r="C63" s="27">
        <f>E63-G63</f>
        <v>5282379.1259829774</v>
      </c>
      <c r="D63" s="27">
        <v>3064610.3866666667</v>
      </c>
      <c r="E63" s="27">
        <f t="shared" ref="E63:E73" si="5">SUM($D$62:$D$73)</f>
        <v>41171371.879999995</v>
      </c>
      <c r="F63" s="27">
        <v>2912036.6641655657</v>
      </c>
      <c r="G63" s="27">
        <f t="shared" ref="G63:G73" si="6">SUM($F$62:$F$73)</f>
        <v>35888992.754017018</v>
      </c>
      <c r="H63" s="29">
        <v>1647553.5144999998</v>
      </c>
      <c r="I63" s="1">
        <v>33224425.014000002</v>
      </c>
    </row>
    <row r="64" spans="1:9" x14ac:dyDescent="0.2">
      <c r="A64" s="4">
        <v>45352</v>
      </c>
      <c r="B64" s="27">
        <f t="shared" si="4"/>
        <v>105834.25129373558</v>
      </c>
      <c r="C64" s="27">
        <f>E64-G64</f>
        <v>5282379.1259829774</v>
      </c>
      <c r="D64" s="27">
        <v>2985380.8266666667</v>
      </c>
      <c r="E64" s="27">
        <f t="shared" si="5"/>
        <v>41171371.879999995</v>
      </c>
      <c r="F64" s="27">
        <v>2879546.5753729311</v>
      </c>
      <c r="G64" s="27">
        <f t="shared" si="6"/>
        <v>35888992.754017018</v>
      </c>
      <c r="H64" s="29">
        <v>2313062.7694999999</v>
      </c>
      <c r="I64" s="1">
        <v>33224425.014000002</v>
      </c>
    </row>
    <row r="65" spans="1:9" x14ac:dyDescent="0.2">
      <c r="A65" s="4">
        <v>45383</v>
      </c>
      <c r="B65" s="27">
        <f t="shared" si="4"/>
        <v>562497.77310110163</v>
      </c>
      <c r="C65" s="27">
        <f>E65-G65</f>
        <v>5282379.1259829774</v>
      </c>
      <c r="D65" s="27">
        <v>3549120.4933333336</v>
      </c>
      <c r="E65" s="27">
        <f t="shared" si="5"/>
        <v>41171371.879999995</v>
      </c>
      <c r="F65" s="27">
        <v>2986622.720232232</v>
      </c>
      <c r="G65" s="27">
        <f t="shared" si="6"/>
        <v>35888992.754017018</v>
      </c>
      <c r="H65" s="29">
        <v>3057885.6269999999</v>
      </c>
      <c r="I65" s="1">
        <v>33224425.014000002</v>
      </c>
    </row>
    <row r="66" spans="1:9" x14ac:dyDescent="0.2">
      <c r="A66" s="4">
        <v>45413</v>
      </c>
      <c r="B66" s="27">
        <f t="shared" si="4"/>
        <v>496212.77310110163</v>
      </c>
      <c r="C66" s="27">
        <f t="shared" si="4"/>
        <v>5282379.1259829774</v>
      </c>
      <c r="D66" s="27">
        <v>3549120.4933333336</v>
      </c>
      <c r="E66" s="27">
        <f t="shared" si="5"/>
        <v>41171371.879999995</v>
      </c>
      <c r="F66" s="27">
        <v>3052907.720232232</v>
      </c>
      <c r="G66" s="27">
        <f t="shared" si="6"/>
        <v>35888992.754017018</v>
      </c>
      <c r="H66" s="29">
        <v>3457566.7124999999</v>
      </c>
      <c r="I66" s="1">
        <v>33224425.014000002</v>
      </c>
    </row>
    <row r="67" spans="1:9" x14ac:dyDescent="0.2">
      <c r="A67" s="4">
        <v>45444</v>
      </c>
      <c r="B67" s="27">
        <f t="shared" si="4"/>
        <v>558719.59310110146</v>
      </c>
      <c r="C67" s="27">
        <f t="shared" si="4"/>
        <v>5282379.1259829774</v>
      </c>
      <c r="D67" s="27">
        <v>3549120.4933333336</v>
      </c>
      <c r="E67" s="27">
        <f t="shared" si="5"/>
        <v>41171371.879999995</v>
      </c>
      <c r="F67" s="27">
        <v>2990400.9002322322</v>
      </c>
      <c r="G67" s="27">
        <f t="shared" si="6"/>
        <v>35888992.754017018</v>
      </c>
      <c r="H67" s="29">
        <v>2834636.5639999998</v>
      </c>
      <c r="I67" s="1">
        <v>33224425.014000002</v>
      </c>
    </row>
    <row r="68" spans="1:9" x14ac:dyDescent="0.2">
      <c r="A68" s="4">
        <v>45474</v>
      </c>
      <c r="B68" s="27">
        <f t="shared" si="4"/>
        <v>573822.17310110154</v>
      </c>
      <c r="C68" s="27">
        <f t="shared" si="4"/>
        <v>5282379.1259829774</v>
      </c>
      <c r="D68" s="27">
        <v>3564120.4933333336</v>
      </c>
      <c r="E68" s="27">
        <f t="shared" si="5"/>
        <v>41171371.879999995</v>
      </c>
      <c r="F68" s="27">
        <v>2990298.3202322321</v>
      </c>
      <c r="G68" s="27">
        <f t="shared" si="6"/>
        <v>35888992.754017018</v>
      </c>
      <c r="H68" s="29">
        <v>2876589.3689999995</v>
      </c>
      <c r="I68" s="1">
        <v>33224425.014000002</v>
      </c>
    </row>
    <row r="69" spans="1:9" x14ac:dyDescent="0.2">
      <c r="A69" s="4">
        <v>45505</v>
      </c>
      <c r="B69" s="27">
        <f t="shared" si="4"/>
        <v>574100.02310110163</v>
      </c>
      <c r="C69" s="27">
        <f t="shared" si="4"/>
        <v>5282379.1259829774</v>
      </c>
      <c r="D69" s="27">
        <v>3564120.4933333336</v>
      </c>
      <c r="E69" s="27">
        <f t="shared" si="5"/>
        <v>41171371.879999995</v>
      </c>
      <c r="F69" s="27">
        <v>2990020.470232232</v>
      </c>
      <c r="G69" s="27">
        <f t="shared" si="6"/>
        <v>35888992.754017018</v>
      </c>
      <c r="H69" s="29">
        <v>2535589.0574999996</v>
      </c>
      <c r="I69" s="1">
        <v>33224425.014000002</v>
      </c>
    </row>
    <row r="70" spans="1:9" x14ac:dyDescent="0.2">
      <c r="A70" s="4">
        <v>45536</v>
      </c>
      <c r="B70" s="27">
        <f t="shared" si="4"/>
        <v>572327.18810110167</v>
      </c>
      <c r="C70" s="27">
        <f t="shared" si="4"/>
        <v>5282379.1259829774</v>
      </c>
      <c r="D70" s="27">
        <v>3564120.4933333336</v>
      </c>
      <c r="E70" s="27">
        <f t="shared" si="5"/>
        <v>41171371.879999995</v>
      </c>
      <c r="F70" s="27">
        <v>2991793.305232232</v>
      </c>
      <c r="G70" s="27">
        <f t="shared" si="6"/>
        <v>35888992.754017018</v>
      </c>
      <c r="H70" s="29">
        <v>2940430.4344999995</v>
      </c>
      <c r="I70" s="1">
        <v>33224425.014000002</v>
      </c>
    </row>
    <row r="71" spans="1:9" x14ac:dyDescent="0.2">
      <c r="A71" s="4">
        <v>45566</v>
      </c>
      <c r="B71" s="27">
        <f t="shared" si="4"/>
        <v>543141.53610110143</v>
      </c>
      <c r="C71" s="27">
        <f t="shared" si="4"/>
        <v>5282379.1259829774</v>
      </c>
      <c r="D71" s="27">
        <v>3564120.4933333336</v>
      </c>
      <c r="E71" s="27">
        <f t="shared" si="5"/>
        <v>41171371.879999995</v>
      </c>
      <c r="F71" s="27">
        <v>3020978.9572322322</v>
      </c>
      <c r="G71" s="27">
        <f t="shared" si="6"/>
        <v>35888992.754017018</v>
      </c>
      <c r="H71" s="29">
        <v>3113852.0560000003</v>
      </c>
      <c r="I71" s="1">
        <v>33224425.014000002</v>
      </c>
    </row>
    <row r="72" spans="1:9" x14ac:dyDescent="0.2">
      <c r="A72" s="4">
        <v>45597</v>
      </c>
      <c r="B72" s="27">
        <f>D72-F72</f>
        <v>484400.19663966773</v>
      </c>
      <c r="C72" s="27">
        <f t="shared" si="4"/>
        <v>5282379.1259829774</v>
      </c>
      <c r="D72" s="27">
        <v>3564120.4933333336</v>
      </c>
      <c r="E72" s="27">
        <f t="shared" si="5"/>
        <v>41171371.879999995</v>
      </c>
      <c r="F72" s="27">
        <v>3079720.2966936659</v>
      </c>
      <c r="G72" s="27">
        <f t="shared" si="6"/>
        <v>35888992.754017018</v>
      </c>
      <c r="H72" s="29">
        <v>2778264.9210000006</v>
      </c>
      <c r="I72" s="1">
        <v>33224425.014000002</v>
      </c>
    </row>
    <row r="73" spans="1:9" x14ac:dyDescent="0.2">
      <c r="A73" s="4">
        <v>45627</v>
      </c>
      <c r="B73" s="27">
        <f>D73-F73</f>
        <v>499417.74663966754</v>
      </c>
      <c r="C73" s="27">
        <f t="shared" si="4"/>
        <v>5282379.1259829774</v>
      </c>
      <c r="D73" s="27">
        <v>3564120.4933333336</v>
      </c>
      <c r="E73" s="27">
        <f t="shared" si="5"/>
        <v>41171371.879999995</v>
      </c>
      <c r="F73" s="27">
        <v>3064702.7466936661</v>
      </c>
      <c r="G73" s="27">
        <f t="shared" si="6"/>
        <v>35888992.754017018</v>
      </c>
      <c r="H73" s="29">
        <v>3096702.3360000006</v>
      </c>
      <c r="I73" s="1">
        <v>33224425.014000002</v>
      </c>
    </row>
    <row r="74" spans="1:9" x14ac:dyDescent="0.2">
      <c r="A74" s="215">
        <v>45658</v>
      </c>
      <c r="B74" s="27">
        <v>826759.43530493369</v>
      </c>
      <c r="C74" s="27">
        <v>10716384.824569613</v>
      </c>
      <c r="D74" s="27">
        <v>4181546.6697000004</v>
      </c>
      <c r="E74" s="27">
        <v>52357997.000400007</v>
      </c>
      <c r="F74" s="27">
        <v>3354787.2343950667</v>
      </c>
      <c r="G74" s="27">
        <v>41641612.175830394</v>
      </c>
      <c r="H74" s="29">
        <v>2572291.6524999999</v>
      </c>
      <c r="I74" s="1">
        <v>33224425.014000002</v>
      </c>
    </row>
    <row r="75" spans="1:9" x14ac:dyDescent="0.2">
      <c r="A75" s="215">
        <v>45689</v>
      </c>
      <c r="B75" s="27">
        <v>861841.22554735746</v>
      </c>
      <c r="C75" s="27">
        <v>10716384.824569613</v>
      </c>
      <c r="D75" s="27">
        <v>4341466.6697000004</v>
      </c>
      <c r="E75" s="27">
        <v>52357997.000400007</v>
      </c>
      <c r="F75" s="27">
        <v>3479625.444152643</v>
      </c>
      <c r="G75" s="27">
        <v>41641612.175830394</v>
      </c>
      <c r="H75" s="29">
        <v>1647553.5144999998</v>
      </c>
      <c r="I75" s="1">
        <v>33224425.014000002</v>
      </c>
    </row>
    <row r="76" spans="1:9" x14ac:dyDescent="0.2">
      <c r="A76" s="215">
        <v>45717</v>
      </c>
      <c r="B76" s="27">
        <v>469392.00009281188</v>
      </c>
      <c r="C76" s="27">
        <v>10716384.824569613</v>
      </c>
      <c r="D76" s="27">
        <v>3880886.6697</v>
      </c>
      <c r="E76" s="27">
        <v>52357997.000400007</v>
      </c>
      <c r="F76" s="27">
        <v>3411494.6696071881</v>
      </c>
      <c r="G76" s="27">
        <v>41641612.175830394</v>
      </c>
      <c r="H76" s="29">
        <v>2313062.7694999999</v>
      </c>
      <c r="I76" s="1">
        <v>33224425.014000002</v>
      </c>
    </row>
    <row r="77" spans="1:9" x14ac:dyDescent="0.2">
      <c r="A77" s="215">
        <v>45748</v>
      </c>
      <c r="B77" s="27">
        <v>737393.08459281223</v>
      </c>
      <c r="C77" s="27">
        <v>10716384.824569613</v>
      </c>
      <c r="D77" s="27">
        <v>4164399.6697000004</v>
      </c>
      <c r="E77" s="27">
        <v>52357997.000400007</v>
      </c>
      <c r="F77" s="27">
        <v>3427006.5851071882</v>
      </c>
      <c r="G77" s="27">
        <v>41641612.175830394</v>
      </c>
      <c r="H77" s="29">
        <v>3057885.6269999999</v>
      </c>
      <c r="I77" s="1">
        <v>33224425.014000002</v>
      </c>
    </row>
    <row r="78" spans="1:9" x14ac:dyDescent="0.2">
      <c r="A78" s="215">
        <v>45778</v>
      </c>
      <c r="B78" s="27">
        <v>947562.04712697817</v>
      </c>
      <c r="C78" s="27">
        <v>10716384.824569613</v>
      </c>
      <c r="D78" s="27">
        <v>4441699.6646999996</v>
      </c>
      <c r="E78" s="27">
        <v>52357997.000400007</v>
      </c>
      <c r="F78" s="27">
        <v>3494137.6175730214</v>
      </c>
      <c r="G78" s="27">
        <v>41641612.175830394</v>
      </c>
      <c r="H78" s="29">
        <v>3457566.7124999999</v>
      </c>
      <c r="I78" s="1">
        <v>33224425.014000002</v>
      </c>
    </row>
    <row r="79" spans="1:9" x14ac:dyDescent="0.2">
      <c r="A79" s="215">
        <v>45809</v>
      </c>
      <c r="B79" s="27">
        <v>957324.40046031168</v>
      </c>
      <c r="C79" s="27">
        <v>10716384.824569613</v>
      </c>
      <c r="D79" s="27">
        <v>4446699.6646999996</v>
      </c>
      <c r="E79" s="27">
        <v>52357997.000400007</v>
      </c>
      <c r="F79" s="27">
        <v>3489375.2642396879</v>
      </c>
      <c r="G79" s="27">
        <v>41641612.175830394</v>
      </c>
      <c r="H79" s="29">
        <v>2834636.5639999998</v>
      </c>
      <c r="I79" s="1">
        <v>33224425.014000002</v>
      </c>
    </row>
    <row r="80" spans="1:9" x14ac:dyDescent="0.2">
      <c r="A80" s="215">
        <v>45839</v>
      </c>
      <c r="B80" s="27">
        <v>1053165.1591484328</v>
      </c>
      <c r="C80" s="27">
        <v>10716384.824569613</v>
      </c>
      <c r="D80" s="27">
        <v>4496699.6646999996</v>
      </c>
      <c r="E80" s="27">
        <v>52357997.000400007</v>
      </c>
      <c r="F80" s="27">
        <v>3443534.5055515668</v>
      </c>
      <c r="G80" s="27">
        <v>41641612.175830394</v>
      </c>
      <c r="H80" s="29">
        <v>2876589.3689999995</v>
      </c>
      <c r="I80" s="1">
        <v>33224425.014000002</v>
      </c>
    </row>
    <row r="81" spans="1:9" x14ac:dyDescent="0.2">
      <c r="A81" s="215">
        <v>45870</v>
      </c>
      <c r="B81" s="27">
        <v>1077505.6967241899</v>
      </c>
      <c r="C81" s="27">
        <v>10716384.824569613</v>
      </c>
      <c r="D81" s="27">
        <v>4532399.6646999996</v>
      </c>
      <c r="E81" s="27">
        <v>52357997.000400007</v>
      </c>
      <c r="F81" s="27">
        <v>3454893.9679758097</v>
      </c>
      <c r="G81" s="27">
        <v>41641612.175830394</v>
      </c>
      <c r="H81" s="29">
        <v>2535589.0574999996</v>
      </c>
      <c r="I81" s="1">
        <v>33224425.014000002</v>
      </c>
    </row>
    <row r="82" spans="1:9" x14ac:dyDescent="0.2">
      <c r="A82" s="215">
        <v>45901</v>
      </c>
      <c r="B82" s="27">
        <v>959925.53793631168</v>
      </c>
      <c r="C82" s="27">
        <v>10716384.824569613</v>
      </c>
      <c r="D82" s="27">
        <v>4442399.6646999996</v>
      </c>
      <c r="E82" s="27">
        <v>52357997.000400007</v>
      </c>
      <c r="F82" s="27">
        <v>3482474.1267636879</v>
      </c>
      <c r="G82" s="27">
        <v>41641612.175830394</v>
      </c>
      <c r="H82" s="29">
        <v>2940430.4344999995</v>
      </c>
      <c r="I82" s="1">
        <v>33224425.014000002</v>
      </c>
    </row>
    <row r="83" spans="1:9" x14ac:dyDescent="0.2">
      <c r="A83" s="215">
        <v>45931</v>
      </c>
      <c r="B83" s="27">
        <v>1008629.372100906</v>
      </c>
      <c r="C83" s="27">
        <v>10716384.824569613</v>
      </c>
      <c r="D83" s="27">
        <v>4466599.6697000004</v>
      </c>
      <c r="E83" s="27">
        <v>52357997.000400007</v>
      </c>
      <c r="F83" s="27">
        <v>3457970.2975990945</v>
      </c>
      <c r="G83" s="27">
        <v>41641612.175830394</v>
      </c>
      <c r="H83" s="29">
        <v>3113852.0560000003</v>
      </c>
      <c r="I83" s="1">
        <v>33224425.014000002</v>
      </c>
    </row>
    <row r="84" spans="1:9" x14ac:dyDescent="0.2">
      <c r="A84" s="215">
        <v>45962</v>
      </c>
      <c r="B84" s="27">
        <v>920507.77610090561</v>
      </c>
      <c r="C84" s="27">
        <v>10716384.824569613</v>
      </c>
      <c r="D84" s="27">
        <v>4486599.6697000004</v>
      </c>
      <c r="E84" s="27">
        <v>52357997.000400007</v>
      </c>
      <c r="F84" s="27">
        <v>3566091.8935990948</v>
      </c>
      <c r="G84" s="27">
        <v>41641612.175830394</v>
      </c>
      <c r="H84" s="29">
        <v>2778264.9210000006</v>
      </c>
      <c r="I84" s="1">
        <v>33224425.014000002</v>
      </c>
    </row>
    <row r="85" spans="1:9" x14ac:dyDescent="0.2">
      <c r="A85" s="215">
        <v>45992</v>
      </c>
      <c r="B85" s="27">
        <v>896379.08943364816</v>
      </c>
      <c r="C85" s="27">
        <v>10716384.824569613</v>
      </c>
      <c r="D85" s="27">
        <v>4476599.6587000005</v>
      </c>
      <c r="E85" s="27">
        <v>52357997.000400007</v>
      </c>
      <c r="F85" s="27">
        <v>3580220.5692663523</v>
      </c>
      <c r="G85" s="27">
        <v>41641612.175830394</v>
      </c>
      <c r="H85" s="29">
        <v>3096702.3360000006</v>
      </c>
      <c r="I85" s="1">
        <v>33224425.014000002</v>
      </c>
    </row>
    <row r="86" spans="1:9" x14ac:dyDescent="0.2">
      <c r="A86" s="215">
        <v>46023</v>
      </c>
      <c r="B86" s="66">
        <f>D86-F86</f>
        <v>-342894.14575401554</v>
      </c>
      <c r="C86" s="66">
        <f>E86-G86</f>
        <v>6288310.6663753465</v>
      </c>
      <c r="D86" s="468">
        <f>[2]Total!$B$35-[2]Total!$B$32</f>
        <v>3495609.3475000001</v>
      </c>
      <c r="E86" s="66">
        <f>SUM($D$86:$D$97)</f>
        <v>55954864.507499993</v>
      </c>
      <c r="F86" s="468">
        <f>[2]Total!$D$35+[2]Total!$D$39+[2]Total!$D$70+497326.06/12-[2]Total!$B$32*[2]Total!$B$39</f>
        <v>3838503.4932540157</v>
      </c>
      <c r="G86" s="66">
        <f>SUM($F$86:$F$97)</f>
        <v>49666553.841124646</v>
      </c>
      <c r="H86" s="29">
        <v>2572291.6524999999</v>
      </c>
      <c r="I86" s="29">
        <v>33224425.014000002</v>
      </c>
    </row>
    <row r="87" spans="1:9" x14ac:dyDescent="0.2">
      <c r="A87" s="215">
        <v>46054</v>
      </c>
      <c r="B87" s="66">
        <f t="shared" ref="B87:B95" si="7">D87-F87</f>
        <v>-333175.3217323483</v>
      </c>
      <c r="C87" s="66">
        <f>E87-G87</f>
        <v>6288310.6663753465</v>
      </c>
      <c r="D87" s="468">
        <f>[2]Total!$P$35-[2]Total!$P$32</f>
        <v>3650042.4175</v>
      </c>
      <c r="E87" s="66">
        <f t="shared" ref="E87:E97" si="8">SUM($D$86:$D$97)</f>
        <v>55954864.507499993</v>
      </c>
      <c r="F87" s="468">
        <f>[2]Total!$R$35+[2]Total!$R$39+[2]Total!$R$40+497326.06/12-[2]Total!$P$32*[2]Total!$B$39</f>
        <v>3983217.7392323483</v>
      </c>
      <c r="G87" s="66">
        <f t="shared" ref="G87:G97" si="9">SUM($F$86:$F$97)</f>
        <v>49666553.841124646</v>
      </c>
      <c r="H87" s="29">
        <v>1647553.5144999998</v>
      </c>
      <c r="I87" s="1">
        <v>33224425.014000002</v>
      </c>
    </row>
    <row r="88" spans="1:9" x14ac:dyDescent="0.2">
      <c r="A88" s="215">
        <v>46082</v>
      </c>
      <c r="B88" s="66">
        <f t="shared" si="7"/>
        <v>657137.43737033755</v>
      </c>
      <c r="C88" s="66">
        <f>E88-G88</f>
        <v>6288310.6663753465</v>
      </c>
      <c r="D88" s="468">
        <f>[2]Total!$AD$35-[2]Total!$AD$32</f>
        <v>4860256.5752499998</v>
      </c>
      <c r="E88" s="66">
        <f t="shared" si="8"/>
        <v>55954864.507499993</v>
      </c>
      <c r="F88" s="468">
        <f>[2]Total!$AF$35+[2]Total!$AF$39+[2]Total!$AF$40+497326.06/12-[2]Total!$AD$32*[2]Total!$B$39</f>
        <v>4203119.1378796622</v>
      </c>
      <c r="G88" s="66">
        <f t="shared" si="9"/>
        <v>49666553.841124646</v>
      </c>
      <c r="H88" s="29">
        <v>2313062.7694999999</v>
      </c>
      <c r="I88" s="1">
        <v>33224425.014000002</v>
      </c>
    </row>
    <row r="89" spans="1:9" x14ac:dyDescent="0.2">
      <c r="A89" s="215">
        <v>46113</v>
      </c>
      <c r="B89" s="66">
        <f t="shared" si="7"/>
        <v>510865.0932603376</v>
      </c>
      <c r="C89" s="66">
        <f>E89-G89</f>
        <v>6288310.6663753465</v>
      </c>
      <c r="D89" s="468">
        <f>[2]Total!$AR$35-[2]Total!$AR$32</f>
        <v>4674335.2352499999</v>
      </c>
      <c r="E89" s="66">
        <f t="shared" si="8"/>
        <v>55954864.507499993</v>
      </c>
      <c r="F89" s="468">
        <f>[2]Total!$AT$35+[2]Total!$AT$39+[2]Total!$AT$40+497326.06/12-[2]Total!$AR$32*[2]Total!$B$39</f>
        <v>4163470.1419896623</v>
      </c>
      <c r="G89" s="66">
        <f t="shared" si="9"/>
        <v>49666553.841124646</v>
      </c>
      <c r="H89" s="29">
        <v>3057885.6269999999</v>
      </c>
      <c r="I89" s="1">
        <v>33224425.014000002</v>
      </c>
    </row>
    <row r="90" spans="1:9" x14ac:dyDescent="0.2">
      <c r="A90" s="215">
        <v>46143</v>
      </c>
      <c r="B90" s="66">
        <f t="shared" si="7"/>
        <v>642135.85735033825</v>
      </c>
      <c r="C90" s="66">
        <f t="shared" ref="C90:C97" si="10">E90-G90</f>
        <v>6288310.6663753465</v>
      </c>
      <c r="D90" s="468">
        <f>[2]Total!$BF$35-[2]Total!$BF$32</f>
        <v>4763068.2952500004</v>
      </c>
      <c r="E90" s="66">
        <f t="shared" si="8"/>
        <v>55954864.507499993</v>
      </c>
      <c r="F90" s="468">
        <f>[2]Total!$BH$35+[2]Total!$BH$39+[2]Total!$BH$40+497326.06/12-[2]Total!$BF$32*[2]Total!$B$39</f>
        <v>4120932.4378996622</v>
      </c>
      <c r="G90" s="66">
        <f t="shared" si="9"/>
        <v>49666553.841124646</v>
      </c>
      <c r="H90" s="29">
        <v>3457566.7124999999</v>
      </c>
      <c r="I90" s="1">
        <v>33224425.014000002</v>
      </c>
    </row>
    <row r="91" spans="1:9" x14ac:dyDescent="0.2">
      <c r="A91" s="215">
        <v>46174</v>
      </c>
      <c r="B91" s="66">
        <f t="shared" si="7"/>
        <v>573270.77435033862</v>
      </c>
      <c r="C91" s="66">
        <f t="shared" si="10"/>
        <v>6288310.6663753465</v>
      </c>
      <c r="D91" s="468">
        <f>[2]Total!$BT$35-[2]Total!$BT$32</f>
        <v>4772526.2952500004</v>
      </c>
      <c r="E91" s="66">
        <f t="shared" si="8"/>
        <v>55954864.507499993</v>
      </c>
      <c r="F91" s="468">
        <f>[2]Total!$BV$35+[2]Total!$BV$39+[2]Total!$BV$40+497326.06/12-[2]Total!$BT$32*[2]Total!$B$39</f>
        <v>4199255.5208996618</v>
      </c>
      <c r="G91" s="66">
        <f t="shared" si="9"/>
        <v>49666553.841124646</v>
      </c>
      <c r="H91" s="29">
        <v>2834636.5639999998</v>
      </c>
      <c r="I91" s="1">
        <v>33224425.014000002</v>
      </c>
    </row>
    <row r="92" spans="1:9" x14ac:dyDescent="0.2">
      <c r="A92" s="215">
        <v>46204</v>
      </c>
      <c r="B92" s="66">
        <f t="shared" si="7"/>
        <v>756876.30026033754</v>
      </c>
      <c r="C92" s="66">
        <f t="shared" si="10"/>
        <v>6288310.6663753465</v>
      </c>
      <c r="D92" s="468">
        <f>[2]Total!$CH$35-[2]Total!$CH$32</f>
        <v>4948793.2352499999</v>
      </c>
      <c r="E92" s="66">
        <f t="shared" si="8"/>
        <v>55954864.507499993</v>
      </c>
      <c r="F92" s="468">
        <f>[2]Total!$CJ$35+[2]Total!$CJ$39+[2]Total!$CJ$40+497326.06/12-[2]Total!$CH$32*[2]Total!$B$39</f>
        <v>4191916.9349896624</v>
      </c>
      <c r="G92" s="66">
        <f t="shared" si="9"/>
        <v>49666553.841124646</v>
      </c>
      <c r="H92" s="29">
        <v>2876589.3689999995</v>
      </c>
      <c r="I92" s="1">
        <v>33224425.014000002</v>
      </c>
    </row>
    <row r="93" spans="1:9" x14ac:dyDescent="0.2">
      <c r="A93" s="215">
        <v>46235</v>
      </c>
      <c r="B93" s="66">
        <f t="shared" si="7"/>
        <v>800383.0102603375</v>
      </c>
      <c r="C93" s="66">
        <f t="shared" si="10"/>
        <v>6288310.6663753465</v>
      </c>
      <c r="D93" s="468">
        <f>[2]Total!$CV$35-[2]Total!$CV$32</f>
        <v>4948793.2352499999</v>
      </c>
      <c r="E93" s="66">
        <f t="shared" si="8"/>
        <v>55954864.507499993</v>
      </c>
      <c r="F93" s="468">
        <f>[2]Total!$CX$35+[2]Total!$CX$39+[2]Total!$CX$40+497326.06/12-[2]Total!$CV$32*[2]Total!$B$39</f>
        <v>4148410.2249896624</v>
      </c>
      <c r="G93" s="66">
        <f t="shared" si="9"/>
        <v>49666553.841124646</v>
      </c>
      <c r="H93" s="29">
        <v>2535589.0574999996</v>
      </c>
      <c r="I93" s="1">
        <v>33224425.014000002</v>
      </c>
    </row>
    <row r="94" spans="1:9" x14ac:dyDescent="0.2">
      <c r="A94" s="215">
        <v>46266</v>
      </c>
      <c r="B94" s="66">
        <f t="shared" si="7"/>
        <v>775194.45026033744</v>
      </c>
      <c r="C94" s="66">
        <f t="shared" si="10"/>
        <v>6288310.6663753465</v>
      </c>
      <c r="D94" s="468">
        <f>[2]Total!$DJ$35-[2]Total!$DJ$32</f>
        <v>4948793.2352499999</v>
      </c>
      <c r="E94" s="66">
        <f t="shared" si="8"/>
        <v>55954864.507499993</v>
      </c>
      <c r="F94" s="468">
        <f>[2]Total!$DL$35+[2]Total!$DL$39+[2]Total!$DL$40+497326.06/12-[2]Total!$DJ$32*[2]Total!$B$39</f>
        <v>4173598.7849896625</v>
      </c>
      <c r="G94" s="66">
        <f t="shared" si="9"/>
        <v>49666553.841124646</v>
      </c>
      <c r="H94" s="29">
        <v>2940430.4344999995</v>
      </c>
      <c r="I94" s="1">
        <v>33224425.014000002</v>
      </c>
    </row>
    <row r="95" spans="1:9" x14ac:dyDescent="0.2">
      <c r="A95" s="215">
        <v>46296</v>
      </c>
      <c r="B95" s="66">
        <f t="shared" si="7"/>
        <v>787454.79071598407</v>
      </c>
      <c r="C95" s="66">
        <f t="shared" si="10"/>
        <v>6288310.6663753465</v>
      </c>
      <c r="D95" s="468">
        <f>[2]Total!$DX$35-[2]Total!$DX$32</f>
        <v>4995060.1652499996</v>
      </c>
      <c r="E95" s="66">
        <f t="shared" si="8"/>
        <v>55954864.507499993</v>
      </c>
      <c r="F95" s="468">
        <f>[2]Total!$DZ$35+[2]Total!$DZ$39+[2]Total!$DZ$40+497326.06/12-[2]Total!$DX$32*[2]Total!$B$39</f>
        <v>4207605.3745340155</v>
      </c>
      <c r="G95" s="66">
        <f t="shared" si="9"/>
        <v>49666553.841124646</v>
      </c>
      <c r="H95" s="29">
        <v>3113852.0560000003</v>
      </c>
      <c r="I95" s="1">
        <v>33224425.014000002</v>
      </c>
    </row>
    <row r="96" spans="1:9" x14ac:dyDescent="0.2">
      <c r="A96" s="215">
        <v>46327</v>
      </c>
      <c r="B96" s="66">
        <f>D96-F96</f>
        <v>733166.7800166877</v>
      </c>
      <c r="C96" s="66">
        <f t="shared" si="10"/>
        <v>6288310.6663753465</v>
      </c>
      <c r="D96" s="468">
        <f>[2]Total!$EL$35-[2]Total!$EL$32</f>
        <v>4948793.2352499999</v>
      </c>
      <c r="E96" s="66">
        <f t="shared" si="8"/>
        <v>55954864.507499993</v>
      </c>
      <c r="F96" s="468">
        <f>[2]Total!$EN$35+[2]Total!$EN$39+[2]Total!$EN$40+497326.06/12-[2]Total!$EL$32*[2]Total!$B$39</f>
        <v>4215626.4552333122</v>
      </c>
      <c r="G96" s="66">
        <f t="shared" si="9"/>
        <v>49666553.841124646</v>
      </c>
      <c r="H96" s="29">
        <v>2778264.9210000006</v>
      </c>
      <c r="I96" s="1">
        <v>33224425.014000002</v>
      </c>
    </row>
    <row r="97" spans="1:9" x14ac:dyDescent="0.2">
      <c r="A97" s="215">
        <v>46357</v>
      </c>
      <c r="B97" s="66">
        <f>D97-F97</f>
        <v>727895.64001668897</v>
      </c>
      <c r="C97" s="66">
        <f t="shared" si="10"/>
        <v>6288310.6663753465</v>
      </c>
      <c r="D97" s="468">
        <f>[2]Total!$EZ$35-[2]Total!$EZ$32</f>
        <v>4948793.2352499999</v>
      </c>
      <c r="E97" s="66">
        <f t="shared" si="8"/>
        <v>55954864.507499993</v>
      </c>
      <c r="F97" s="468">
        <f>[2]Total!$FB$35+[2]Total!$FB$39+[2]Total!$FB$40+497326.06/12-[2]Total!$EZ$32*[2]Total!$B$39</f>
        <v>4220897.5952333109</v>
      </c>
      <c r="G97" s="66">
        <f t="shared" si="9"/>
        <v>49666553.841124646</v>
      </c>
      <c r="H97" s="29">
        <v>3096702.3360000006</v>
      </c>
      <c r="I97" s="1">
        <v>33224425.014000002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9DB2-D6D6-4F30-A017-E9FD291738B9}">
  <sheetPr codeName="Planilha36">
    <tabColor theme="9"/>
  </sheetPr>
  <dimension ref="A1:F97"/>
  <sheetViews>
    <sheetView workbookViewId="0">
      <pane ySplit="1" topLeftCell="A71" activePane="bottomLeft" state="frozen"/>
      <selection pane="bottomLeft" activeCell="A86" sqref="A86:A97"/>
    </sheetView>
  </sheetViews>
  <sheetFormatPr defaultRowHeight="12.75" x14ac:dyDescent="0.2"/>
  <cols>
    <col min="1" max="1" width="10.140625" bestFit="1" customWidth="1"/>
    <col min="4" max="4" width="13.42578125" style="1" bestFit="1" customWidth="1"/>
    <col min="5" max="5" width="13.5703125" bestFit="1" customWidth="1"/>
    <col min="6" max="6" width="13.28515625" bestFit="1" customWidth="1"/>
  </cols>
  <sheetData>
    <row r="1" spans="1:6" x14ac:dyDescent="0.2">
      <c r="A1" s="3" t="s">
        <v>16</v>
      </c>
      <c r="B1" s="3" t="s">
        <v>17</v>
      </c>
      <c r="C1" s="2" t="s">
        <v>18</v>
      </c>
      <c r="D1" s="3" t="s">
        <v>58</v>
      </c>
      <c r="E1" s="3" t="s">
        <v>59</v>
      </c>
      <c r="F1" s="3" t="s">
        <v>175</v>
      </c>
    </row>
    <row r="2" spans="1:6" x14ac:dyDescent="0.2">
      <c r="A2" s="15">
        <v>43466</v>
      </c>
      <c r="B2" s="14">
        <v>0.15</v>
      </c>
      <c r="C2" s="25"/>
      <c r="D2" s="19"/>
      <c r="E2" s="11"/>
    </row>
    <row r="3" spans="1:6" x14ac:dyDescent="0.2">
      <c r="A3" s="15">
        <v>43497</v>
      </c>
      <c r="B3" s="14">
        <v>0.15</v>
      </c>
      <c r="C3" s="25"/>
      <c r="D3" s="19"/>
      <c r="E3" s="11"/>
    </row>
    <row r="4" spans="1:6" x14ac:dyDescent="0.2">
      <c r="A4" s="15">
        <v>43525</v>
      </c>
      <c r="B4" s="14">
        <v>0.15</v>
      </c>
      <c r="C4" s="25"/>
      <c r="D4" s="19"/>
      <c r="E4" s="11"/>
    </row>
    <row r="5" spans="1:6" x14ac:dyDescent="0.2">
      <c r="A5" s="15">
        <v>43556</v>
      </c>
      <c r="B5" s="14">
        <v>0.15</v>
      </c>
      <c r="C5" s="25"/>
      <c r="D5" s="19"/>
      <c r="E5" s="11"/>
    </row>
    <row r="6" spans="1:6" x14ac:dyDescent="0.2">
      <c r="A6" s="15">
        <v>43586</v>
      </c>
      <c r="B6" s="14">
        <v>0.15</v>
      </c>
      <c r="C6" s="25"/>
      <c r="D6" s="19"/>
      <c r="E6" s="11"/>
    </row>
    <row r="7" spans="1:6" x14ac:dyDescent="0.2">
      <c r="A7" s="15">
        <v>43617</v>
      </c>
      <c r="B7" s="14">
        <v>0.15</v>
      </c>
      <c r="C7" s="25"/>
      <c r="D7" s="19"/>
      <c r="E7" s="11"/>
    </row>
    <row r="8" spans="1:6" x14ac:dyDescent="0.2">
      <c r="A8" s="15">
        <v>43647</v>
      </c>
      <c r="B8" s="14">
        <v>0.15</v>
      </c>
      <c r="C8" s="25"/>
      <c r="D8" s="19"/>
      <c r="E8" s="11"/>
    </row>
    <row r="9" spans="1:6" x14ac:dyDescent="0.2">
      <c r="A9" s="15">
        <v>43678</v>
      </c>
      <c r="B9" s="14">
        <v>0.15</v>
      </c>
      <c r="C9" s="25"/>
      <c r="D9" s="19"/>
      <c r="E9" s="11"/>
    </row>
    <row r="10" spans="1:6" x14ac:dyDescent="0.2">
      <c r="A10" s="15">
        <v>43709</v>
      </c>
      <c r="B10" s="14">
        <v>0.15</v>
      </c>
      <c r="C10" s="25"/>
      <c r="D10" s="19"/>
      <c r="E10" s="11"/>
    </row>
    <row r="11" spans="1:6" x14ac:dyDescent="0.2">
      <c r="A11" s="15">
        <v>43739</v>
      </c>
      <c r="B11" s="14">
        <v>0.15</v>
      </c>
      <c r="C11" s="25"/>
      <c r="D11" s="19"/>
      <c r="E11" s="11"/>
    </row>
    <row r="12" spans="1:6" x14ac:dyDescent="0.2">
      <c r="A12" s="15">
        <v>43770</v>
      </c>
      <c r="B12" s="14">
        <v>0.15</v>
      </c>
      <c r="C12" s="25"/>
      <c r="D12" s="19"/>
      <c r="E12" s="11"/>
    </row>
    <row r="13" spans="1:6" x14ac:dyDescent="0.2">
      <c r="A13" s="15">
        <v>43800</v>
      </c>
      <c r="B13" s="14">
        <v>0.15</v>
      </c>
      <c r="C13" s="25"/>
      <c r="D13" s="19"/>
      <c r="E13" s="11"/>
    </row>
    <row r="14" spans="1:6" x14ac:dyDescent="0.2">
      <c r="A14" s="15">
        <v>43831</v>
      </c>
      <c r="B14" s="14">
        <v>0.15</v>
      </c>
      <c r="C14" s="25">
        <v>0.35</v>
      </c>
      <c r="D14" s="14"/>
      <c r="E14" s="11"/>
    </row>
    <row r="15" spans="1:6" x14ac:dyDescent="0.2">
      <c r="A15" s="15">
        <v>43862</v>
      </c>
      <c r="B15" s="14">
        <v>0.15</v>
      </c>
      <c r="C15" s="25">
        <v>0.35</v>
      </c>
      <c r="D15" s="14"/>
      <c r="E15" s="11"/>
    </row>
    <row r="16" spans="1:6" x14ac:dyDescent="0.2">
      <c r="A16" s="15">
        <v>43891</v>
      </c>
      <c r="B16" s="14">
        <v>0.15</v>
      </c>
      <c r="C16" s="25">
        <v>0.35</v>
      </c>
      <c r="D16" s="14"/>
      <c r="E16" s="11"/>
    </row>
    <row r="17" spans="1:5" x14ac:dyDescent="0.2">
      <c r="A17" s="15">
        <v>43922</v>
      </c>
      <c r="B17" s="14">
        <v>0.15</v>
      </c>
      <c r="C17" s="25">
        <v>0.35</v>
      </c>
      <c r="D17" s="14"/>
      <c r="E17" s="11"/>
    </row>
    <row r="18" spans="1:5" x14ac:dyDescent="0.2">
      <c r="A18" s="15">
        <v>43952</v>
      </c>
      <c r="B18" s="14">
        <v>0.15</v>
      </c>
      <c r="C18" s="25">
        <v>0.35</v>
      </c>
      <c r="D18" s="14"/>
      <c r="E18" s="11"/>
    </row>
    <row r="19" spans="1:5" x14ac:dyDescent="0.2">
      <c r="A19" s="15">
        <v>43983</v>
      </c>
      <c r="B19" s="14">
        <v>0.15</v>
      </c>
      <c r="C19" s="25">
        <v>0.35</v>
      </c>
      <c r="D19" s="14"/>
      <c r="E19" s="11"/>
    </row>
    <row r="20" spans="1:5" x14ac:dyDescent="0.2">
      <c r="A20" s="15">
        <v>44013</v>
      </c>
      <c r="B20" s="14">
        <v>0.15</v>
      </c>
      <c r="C20" s="25">
        <v>0.35</v>
      </c>
      <c r="D20" s="14"/>
      <c r="E20" s="11"/>
    </row>
    <row r="21" spans="1:5" x14ac:dyDescent="0.2">
      <c r="A21" s="15">
        <v>44044</v>
      </c>
      <c r="B21" s="14">
        <v>0.15</v>
      </c>
      <c r="C21" s="25">
        <v>0.35</v>
      </c>
      <c r="D21" s="14"/>
      <c r="E21" s="11"/>
    </row>
    <row r="22" spans="1:5" x14ac:dyDescent="0.2">
      <c r="A22" s="15">
        <v>44075</v>
      </c>
      <c r="B22" s="14">
        <v>0.15</v>
      </c>
      <c r="C22" s="25">
        <v>0.35</v>
      </c>
      <c r="D22" s="14"/>
      <c r="E22" s="11"/>
    </row>
    <row r="23" spans="1:5" x14ac:dyDescent="0.2">
      <c r="A23" s="15">
        <v>44105</v>
      </c>
      <c r="B23" s="14">
        <v>0.15</v>
      </c>
      <c r="C23" s="25">
        <v>0.35</v>
      </c>
      <c r="D23" s="14"/>
      <c r="E23" s="11"/>
    </row>
    <row r="24" spans="1:5" x14ac:dyDescent="0.2">
      <c r="A24" s="15">
        <v>44136</v>
      </c>
      <c r="B24" s="14">
        <v>0.15</v>
      </c>
      <c r="C24" s="25">
        <v>0.35</v>
      </c>
      <c r="D24" s="14"/>
      <c r="E24" s="11"/>
    </row>
    <row r="25" spans="1:5" x14ac:dyDescent="0.2">
      <c r="A25" s="15">
        <v>44166</v>
      </c>
      <c r="B25" s="14">
        <v>0.15</v>
      </c>
      <c r="C25" s="25">
        <v>0.35</v>
      </c>
      <c r="D25" s="14"/>
      <c r="E25" s="11"/>
    </row>
    <row r="26" spans="1:5" x14ac:dyDescent="0.2">
      <c r="A26" s="15">
        <v>44197</v>
      </c>
      <c r="B26" s="14">
        <v>0.17</v>
      </c>
      <c r="C26" s="25">
        <v>0.4</v>
      </c>
      <c r="D26" s="26">
        <v>3.0000000000000001E-3</v>
      </c>
      <c r="E26" s="14">
        <v>0.14000000000000001</v>
      </c>
    </row>
    <row r="27" spans="1:5" x14ac:dyDescent="0.2">
      <c r="A27" s="15">
        <v>44228</v>
      </c>
      <c r="B27" s="14">
        <v>0.17</v>
      </c>
      <c r="C27" s="25">
        <v>0.4</v>
      </c>
      <c r="D27" s="26">
        <v>3.0000000000000001E-3</v>
      </c>
      <c r="E27" s="14">
        <v>0.14000000000000001</v>
      </c>
    </row>
    <row r="28" spans="1:5" x14ac:dyDescent="0.2">
      <c r="A28" s="15">
        <v>44256</v>
      </c>
      <c r="B28" s="14">
        <v>0.17</v>
      </c>
      <c r="C28" s="25">
        <v>0.4</v>
      </c>
      <c r="D28" s="26">
        <v>3.0000000000000001E-3</v>
      </c>
      <c r="E28" s="14">
        <v>0.14000000000000001</v>
      </c>
    </row>
    <row r="29" spans="1:5" x14ac:dyDescent="0.2">
      <c r="A29" s="15">
        <v>44287</v>
      </c>
      <c r="B29" s="14">
        <v>0.17</v>
      </c>
      <c r="C29" s="25">
        <v>0.4</v>
      </c>
      <c r="D29" s="26">
        <v>3.0000000000000001E-3</v>
      </c>
      <c r="E29" s="14">
        <v>0.14000000000000001</v>
      </c>
    </row>
    <row r="30" spans="1:5" x14ac:dyDescent="0.2">
      <c r="A30" s="15">
        <v>44317</v>
      </c>
      <c r="B30" s="14">
        <v>0.17</v>
      </c>
      <c r="C30" s="25">
        <v>0.4</v>
      </c>
      <c r="D30" s="26">
        <v>3.0000000000000001E-3</v>
      </c>
      <c r="E30" s="14">
        <v>0.14000000000000001</v>
      </c>
    </row>
    <row r="31" spans="1:5" x14ac:dyDescent="0.2">
      <c r="A31" s="15">
        <v>44348</v>
      </c>
      <c r="B31" s="14">
        <v>0.17</v>
      </c>
      <c r="C31" s="25">
        <v>0.4</v>
      </c>
      <c r="D31" s="26">
        <v>3.0000000000000001E-3</v>
      </c>
      <c r="E31" s="14">
        <v>0.14000000000000001</v>
      </c>
    </row>
    <row r="32" spans="1:5" x14ac:dyDescent="0.2">
      <c r="A32" s="15">
        <v>44378</v>
      </c>
      <c r="B32" s="14">
        <v>0.17</v>
      </c>
      <c r="C32" s="25">
        <v>0.4</v>
      </c>
      <c r="D32" s="26">
        <v>3.0000000000000001E-3</v>
      </c>
      <c r="E32" s="14">
        <v>0.14000000000000001</v>
      </c>
    </row>
    <row r="33" spans="1:5" x14ac:dyDescent="0.2">
      <c r="A33" s="15">
        <v>44409</v>
      </c>
      <c r="B33" s="14">
        <v>0.17</v>
      </c>
      <c r="C33" s="25">
        <v>0.4</v>
      </c>
      <c r="D33" s="26">
        <v>3.0000000000000001E-3</v>
      </c>
      <c r="E33" s="14">
        <v>0.14000000000000001</v>
      </c>
    </row>
    <row r="34" spans="1:5" x14ac:dyDescent="0.2">
      <c r="A34" s="15">
        <v>44440</v>
      </c>
      <c r="B34" s="14">
        <v>0.17</v>
      </c>
      <c r="C34" s="25">
        <v>0.4</v>
      </c>
      <c r="D34" s="26">
        <v>3.0000000000000001E-3</v>
      </c>
      <c r="E34" s="14">
        <v>0.14000000000000001</v>
      </c>
    </row>
    <row r="35" spans="1:5" x14ac:dyDescent="0.2">
      <c r="A35" s="15">
        <v>44470</v>
      </c>
      <c r="B35" s="14">
        <v>0.17</v>
      </c>
      <c r="C35" s="25">
        <v>0.4</v>
      </c>
      <c r="D35" s="26">
        <v>3.0000000000000001E-3</v>
      </c>
      <c r="E35" s="14">
        <v>0.14000000000000001</v>
      </c>
    </row>
    <row r="36" spans="1:5" x14ac:dyDescent="0.2">
      <c r="A36" s="15">
        <v>44501</v>
      </c>
      <c r="B36" s="14">
        <v>0.17</v>
      </c>
      <c r="C36" s="25">
        <v>0.4</v>
      </c>
      <c r="D36" s="26">
        <v>3.0000000000000001E-3</v>
      </c>
      <c r="E36" s="14">
        <v>0.14000000000000001</v>
      </c>
    </row>
    <row r="37" spans="1:5" x14ac:dyDescent="0.2">
      <c r="A37" s="15">
        <v>44531</v>
      </c>
      <c r="B37" s="14">
        <v>0.17</v>
      </c>
      <c r="C37" s="25">
        <v>0.4</v>
      </c>
      <c r="D37" s="26">
        <v>3.0000000000000001E-3</v>
      </c>
      <c r="E37" s="14">
        <v>0.14000000000000001</v>
      </c>
    </row>
    <row r="38" spans="1:5" x14ac:dyDescent="0.2">
      <c r="A38" s="15">
        <v>44562</v>
      </c>
      <c r="B38" s="14">
        <v>0.18</v>
      </c>
      <c r="C38" s="25">
        <v>0.4</v>
      </c>
      <c r="D38" s="26">
        <v>3.0000000000000001E-3</v>
      </c>
      <c r="E38" s="14">
        <v>0.15</v>
      </c>
    </row>
    <row r="39" spans="1:5" x14ac:dyDescent="0.2">
      <c r="A39" s="15">
        <v>44593</v>
      </c>
      <c r="B39" s="14">
        <v>0.18</v>
      </c>
      <c r="C39" s="25">
        <v>0.4</v>
      </c>
      <c r="D39" s="26">
        <v>3.0000000000000001E-3</v>
      </c>
      <c r="E39" s="14">
        <v>0.15</v>
      </c>
    </row>
    <row r="40" spans="1:5" x14ac:dyDescent="0.2">
      <c r="A40" s="15">
        <v>44621</v>
      </c>
      <c r="B40" s="14">
        <v>0.18</v>
      </c>
      <c r="C40" s="25">
        <v>0.4</v>
      </c>
      <c r="D40" s="26">
        <v>3.0000000000000001E-3</v>
      </c>
      <c r="E40" s="14">
        <v>0.15</v>
      </c>
    </row>
    <row r="41" spans="1:5" x14ac:dyDescent="0.2">
      <c r="A41" s="15">
        <v>44652</v>
      </c>
      <c r="B41" s="14">
        <v>0.18</v>
      </c>
      <c r="C41" s="25">
        <v>0.4</v>
      </c>
      <c r="D41" s="26">
        <v>3.0000000000000001E-3</v>
      </c>
      <c r="E41" s="14">
        <v>0.15</v>
      </c>
    </row>
    <row r="42" spans="1:5" x14ac:dyDescent="0.2">
      <c r="A42" s="15">
        <v>44682</v>
      </c>
      <c r="B42" s="14">
        <v>0.18</v>
      </c>
      <c r="C42" s="25">
        <v>0.4</v>
      </c>
      <c r="D42" s="26">
        <v>3.0000000000000001E-3</v>
      </c>
      <c r="E42" s="14">
        <v>0.15</v>
      </c>
    </row>
    <row r="43" spans="1:5" x14ac:dyDescent="0.2">
      <c r="A43" s="15">
        <v>44713</v>
      </c>
      <c r="B43" s="14">
        <v>0.18</v>
      </c>
      <c r="C43" s="25">
        <v>0.4</v>
      </c>
      <c r="D43" s="26">
        <v>3.0000000000000001E-3</v>
      </c>
      <c r="E43" s="14">
        <v>0.15</v>
      </c>
    </row>
    <row r="44" spans="1:5" x14ac:dyDescent="0.2">
      <c r="A44" s="15">
        <v>44743</v>
      </c>
      <c r="B44" s="14">
        <v>0.18</v>
      </c>
      <c r="C44" s="25">
        <v>0.4</v>
      </c>
      <c r="D44" s="26">
        <v>3.0000000000000001E-3</v>
      </c>
      <c r="E44" s="14">
        <v>0.15</v>
      </c>
    </row>
    <row r="45" spans="1:5" x14ac:dyDescent="0.2">
      <c r="A45" s="15">
        <v>44774</v>
      </c>
      <c r="B45" s="14">
        <v>0.18</v>
      </c>
      <c r="C45" s="25">
        <v>0.4</v>
      </c>
      <c r="D45" s="26">
        <v>3.0000000000000001E-3</v>
      </c>
      <c r="E45" s="14">
        <v>0.15</v>
      </c>
    </row>
    <row r="46" spans="1:5" x14ac:dyDescent="0.2">
      <c r="A46" s="15">
        <v>44805</v>
      </c>
      <c r="B46" s="14">
        <v>0.18</v>
      </c>
      <c r="C46" s="25">
        <v>0.4</v>
      </c>
      <c r="D46" s="26">
        <v>3.0000000000000001E-3</v>
      </c>
      <c r="E46" s="14">
        <v>0.15</v>
      </c>
    </row>
    <row r="47" spans="1:5" x14ac:dyDescent="0.2">
      <c r="A47" s="15">
        <v>44835</v>
      </c>
      <c r="B47" s="14">
        <v>0.18</v>
      </c>
      <c r="C47" s="25">
        <v>0.4</v>
      </c>
      <c r="D47" s="26">
        <v>3.0000000000000001E-3</v>
      </c>
      <c r="E47" s="14">
        <v>0.15</v>
      </c>
    </row>
    <row r="48" spans="1:5" x14ac:dyDescent="0.2">
      <c r="A48" s="15">
        <v>44866</v>
      </c>
      <c r="B48" s="14">
        <v>0.18</v>
      </c>
      <c r="C48" s="25">
        <v>0.4</v>
      </c>
      <c r="D48" s="26">
        <v>3.0000000000000001E-3</v>
      </c>
      <c r="E48" s="14">
        <v>0.15</v>
      </c>
    </row>
    <row r="49" spans="1:6" x14ac:dyDescent="0.2">
      <c r="A49" s="15">
        <v>44896</v>
      </c>
      <c r="B49" s="14">
        <v>0.18</v>
      </c>
      <c r="C49" s="25">
        <v>0.4</v>
      </c>
      <c r="D49" s="26">
        <v>3.0000000000000001E-3</v>
      </c>
      <c r="E49" s="14">
        <v>0.15</v>
      </c>
    </row>
    <row r="50" spans="1:6" x14ac:dyDescent="0.2">
      <c r="A50" s="15">
        <v>44927</v>
      </c>
      <c r="B50" s="14">
        <v>0.11</v>
      </c>
      <c r="C50" s="25">
        <v>0.35</v>
      </c>
      <c r="D50" s="26">
        <v>5.0000000000000001E-3</v>
      </c>
      <c r="E50" s="14"/>
      <c r="F50" s="96">
        <v>0.05</v>
      </c>
    </row>
    <row r="51" spans="1:6" x14ac:dyDescent="0.2">
      <c r="A51" s="15">
        <v>44958</v>
      </c>
      <c r="B51" s="14">
        <v>0.11</v>
      </c>
      <c r="C51" s="25">
        <v>0.35</v>
      </c>
      <c r="D51" s="26">
        <v>5.0000000000000001E-3</v>
      </c>
      <c r="E51" s="14"/>
      <c r="F51" s="96">
        <v>0.05</v>
      </c>
    </row>
    <row r="52" spans="1:6" x14ac:dyDescent="0.2">
      <c r="A52" s="15">
        <v>44986</v>
      </c>
      <c r="B52" s="14">
        <v>0.11</v>
      </c>
      <c r="C52" s="25">
        <v>0.35</v>
      </c>
      <c r="D52" s="26">
        <v>5.0000000000000001E-3</v>
      </c>
      <c r="E52" s="14"/>
      <c r="F52" s="96">
        <v>0.05</v>
      </c>
    </row>
    <row r="53" spans="1:6" x14ac:dyDescent="0.2">
      <c r="A53" s="15">
        <v>45017</v>
      </c>
      <c r="B53" s="14">
        <v>0.11</v>
      </c>
      <c r="C53" s="25">
        <v>0.35</v>
      </c>
      <c r="D53" s="26">
        <v>5.0000000000000001E-3</v>
      </c>
      <c r="E53" s="14"/>
      <c r="F53" s="96">
        <v>0.05</v>
      </c>
    </row>
    <row r="54" spans="1:6" x14ac:dyDescent="0.2">
      <c r="A54" s="15">
        <v>45047</v>
      </c>
      <c r="B54" s="14">
        <v>0.11</v>
      </c>
      <c r="C54" s="25">
        <v>0.35</v>
      </c>
      <c r="D54" s="26">
        <v>5.0000000000000001E-3</v>
      </c>
      <c r="E54" s="14"/>
      <c r="F54" s="96">
        <v>0.05</v>
      </c>
    </row>
    <row r="55" spans="1:6" x14ac:dyDescent="0.2">
      <c r="A55" s="15">
        <v>45078</v>
      </c>
      <c r="B55" s="14">
        <v>0.11</v>
      </c>
      <c r="C55" s="25">
        <v>0.35</v>
      </c>
      <c r="D55" s="26">
        <v>5.0000000000000001E-3</v>
      </c>
      <c r="E55" s="14"/>
      <c r="F55" s="96">
        <v>0.05</v>
      </c>
    </row>
    <row r="56" spans="1:6" x14ac:dyDescent="0.2">
      <c r="A56" s="15">
        <v>45108</v>
      </c>
      <c r="B56" s="14">
        <v>0.11</v>
      </c>
      <c r="C56" s="25">
        <v>0.35</v>
      </c>
      <c r="D56" s="26">
        <v>5.0000000000000001E-3</v>
      </c>
      <c r="E56" s="14"/>
      <c r="F56" s="96">
        <v>0.05</v>
      </c>
    </row>
    <row r="57" spans="1:6" x14ac:dyDescent="0.2">
      <c r="A57" s="15">
        <v>45139</v>
      </c>
      <c r="B57" s="14">
        <v>0.11</v>
      </c>
      <c r="C57" s="25">
        <v>0.35</v>
      </c>
      <c r="D57" s="26">
        <v>5.0000000000000001E-3</v>
      </c>
      <c r="E57" s="14"/>
      <c r="F57" s="96">
        <v>0.05</v>
      </c>
    </row>
    <row r="58" spans="1:6" x14ac:dyDescent="0.2">
      <c r="A58" s="15">
        <v>45170</v>
      </c>
      <c r="B58" s="14">
        <v>0.11</v>
      </c>
      <c r="C58" s="25">
        <v>0.35</v>
      </c>
      <c r="D58" s="26">
        <v>5.0000000000000001E-3</v>
      </c>
      <c r="E58" s="14"/>
      <c r="F58" s="96">
        <v>0.05</v>
      </c>
    </row>
    <row r="59" spans="1:6" x14ac:dyDescent="0.2">
      <c r="A59" s="15">
        <v>45200</v>
      </c>
      <c r="B59" s="14">
        <v>0.11</v>
      </c>
      <c r="C59" s="25">
        <v>0.35</v>
      </c>
      <c r="D59" s="26">
        <v>5.0000000000000001E-3</v>
      </c>
      <c r="E59" s="14"/>
      <c r="F59" s="96">
        <v>0.05</v>
      </c>
    </row>
    <row r="60" spans="1:6" x14ac:dyDescent="0.2">
      <c r="A60" s="15">
        <v>45231</v>
      </c>
      <c r="B60" s="14">
        <v>0.11</v>
      </c>
      <c r="C60" s="25">
        <v>0.35</v>
      </c>
      <c r="D60" s="26">
        <v>5.0000000000000001E-3</v>
      </c>
      <c r="E60" s="14"/>
      <c r="F60" s="96">
        <v>0.05</v>
      </c>
    </row>
    <row r="61" spans="1:6" x14ac:dyDescent="0.2">
      <c r="A61" s="15">
        <v>45261</v>
      </c>
      <c r="B61" s="14">
        <v>0.11</v>
      </c>
      <c r="C61" s="25">
        <v>0.35</v>
      </c>
      <c r="D61" s="26">
        <v>5.0000000000000001E-3</v>
      </c>
      <c r="E61" s="14"/>
      <c r="F61" s="96">
        <v>0.05</v>
      </c>
    </row>
    <row r="62" spans="1:6" x14ac:dyDescent="0.2">
      <c r="A62" s="15">
        <v>45292</v>
      </c>
      <c r="B62" s="14">
        <v>0.2</v>
      </c>
      <c r="C62" s="25">
        <v>0.4</v>
      </c>
      <c r="D62" s="26">
        <v>7.0000000000000001E-3</v>
      </c>
      <c r="E62" s="96">
        <v>0.05</v>
      </c>
      <c r="F62" s="96">
        <v>0.05</v>
      </c>
    </row>
    <row r="63" spans="1:6" x14ac:dyDescent="0.2">
      <c r="A63" s="15">
        <v>45323</v>
      </c>
      <c r="B63" s="14">
        <v>0.2</v>
      </c>
      <c r="C63" s="25">
        <v>0.4</v>
      </c>
      <c r="D63" s="26">
        <v>7.0000000000000001E-3</v>
      </c>
      <c r="E63" s="96">
        <v>0.05</v>
      </c>
      <c r="F63" s="96">
        <v>0.05</v>
      </c>
    </row>
    <row r="64" spans="1:6" x14ac:dyDescent="0.2">
      <c r="A64" s="15">
        <v>45352</v>
      </c>
      <c r="B64" s="14">
        <v>0.2</v>
      </c>
      <c r="C64" s="25">
        <v>0.4</v>
      </c>
      <c r="D64" s="26">
        <v>7.0000000000000001E-3</v>
      </c>
      <c r="E64" s="96">
        <v>0.05</v>
      </c>
      <c r="F64" s="96">
        <v>0.05</v>
      </c>
    </row>
    <row r="65" spans="1:6" x14ac:dyDescent="0.2">
      <c r="A65" s="15">
        <v>45383</v>
      </c>
      <c r="B65" s="14">
        <v>0.2</v>
      </c>
      <c r="C65" s="25">
        <v>0.4</v>
      </c>
      <c r="D65" s="26">
        <v>7.0000000000000001E-3</v>
      </c>
      <c r="E65" s="96">
        <v>0.05</v>
      </c>
      <c r="F65" s="96">
        <v>0.05</v>
      </c>
    </row>
    <row r="66" spans="1:6" x14ac:dyDescent="0.2">
      <c r="A66" s="15">
        <v>45413</v>
      </c>
      <c r="B66" s="14">
        <v>0.2</v>
      </c>
      <c r="C66" s="25">
        <v>0.4</v>
      </c>
      <c r="D66" s="26">
        <v>7.0000000000000001E-3</v>
      </c>
      <c r="E66" s="96">
        <v>0.05</v>
      </c>
      <c r="F66" s="96">
        <v>0.05</v>
      </c>
    </row>
    <row r="67" spans="1:6" x14ac:dyDescent="0.2">
      <c r="A67" s="15">
        <v>45444</v>
      </c>
      <c r="B67" s="14">
        <v>0.2</v>
      </c>
      <c r="C67" s="25">
        <v>0.4</v>
      </c>
      <c r="D67" s="26">
        <v>7.0000000000000001E-3</v>
      </c>
      <c r="E67" s="96">
        <v>0.05</v>
      </c>
      <c r="F67" s="96">
        <v>0.05</v>
      </c>
    </row>
    <row r="68" spans="1:6" x14ac:dyDescent="0.2">
      <c r="A68" s="15">
        <v>45474</v>
      </c>
      <c r="B68" s="14">
        <v>0.2</v>
      </c>
      <c r="C68" s="25">
        <v>0.4</v>
      </c>
      <c r="D68" s="26">
        <v>7.0000000000000001E-3</v>
      </c>
      <c r="E68" s="96">
        <v>0.05</v>
      </c>
      <c r="F68" s="96">
        <v>0.05</v>
      </c>
    </row>
    <row r="69" spans="1:6" x14ac:dyDescent="0.2">
      <c r="A69" s="15">
        <v>45505</v>
      </c>
      <c r="B69" s="14">
        <v>0.2</v>
      </c>
      <c r="C69" s="25">
        <v>0.4</v>
      </c>
      <c r="D69" s="26">
        <v>7.0000000000000001E-3</v>
      </c>
      <c r="E69" s="96">
        <v>0.05</v>
      </c>
      <c r="F69" s="96">
        <v>0.05</v>
      </c>
    </row>
    <row r="70" spans="1:6" x14ac:dyDescent="0.2">
      <c r="A70" s="15">
        <v>45536</v>
      </c>
      <c r="B70" s="14">
        <v>0.2</v>
      </c>
      <c r="C70" s="25">
        <v>0.4</v>
      </c>
      <c r="D70" s="26">
        <v>7.0000000000000001E-3</v>
      </c>
      <c r="E70" s="96">
        <v>0.05</v>
      </c>
      <c r="F70" s="96">
        <v>0.05</v>
      </c>
    </row>
    <row r="71" spans="1:6" x14ac:dyDescent="0.2">
      <c r="A71" s="15">
        <v>45566</v>
      </c>
      <c r="B71" s="14">
        <v>0.2</v>
      </c>
      <c r="C71" s="25">
        <v>0.4</v>
      </c>
      <c r="D71" s="26">
        <v>7.0000000000000001E-3</v>
      </c>
      <c r="E71" s="96">
        <v>0.05</v>
      </c>
      <c r="F71" s="96">
        <v>0.05</v>
      </c>
    </row>
    <row r="72" spans="1:6" x14ac:dyDescent="0.2">
      <c r="A72" s="15">
        <v>45597</v>
      </c>
      <c r="B72" s="14">
        <v>0.2</v>
      </c>
      <c r="C72" s="25">
        <v>0.4</v>
      </c>
      <c r="D72" s="26">
        <v>7.0000000000000001E-3</v>
      </c>
      <c r="E72" s="96">
        <v>0.05</v>
      </c>
      <c r="F72" s="96">
        <v>0.05</v>
      </c>
    </row>
    <row r="73" spans="1:6" x14ac:dyDescent="0.2">
      <c r="A73" s="15">
        <v>45627</v>
      </c>
      <c r="B73" s="14">
        <v>0.2</v>
      </c>
      <c r="C73" s="25">
        <v>0.4</v>
      </c>
      <c r="D73" s="26">
        <v>7.0000000000000001E-3</v>
      </c>
      <c r="E73" s="96">
        <v>0.05</v>
      </c>
      <c r="F73" s="96">
        <v>0.05</v>
      </c>
    </row>
    <row r="74" spans="1:6" x14ac:dyDescent="0.2">
      <c r="A74" s="15">
        <v>45658</v>
      </c>
      <c r="B74" s="14">
        <v>0.17</v>
      </c>
      <c r="C74" s="25">
        <v>0.35</v>
      </c>
      <c r="D74" s="26">
        <v>5.0000000000000001E-3</v>
      </c>
      <c r="E74" s="96">
        <v>0.05</v>
      </c>
      <c r="F74" s="96">
        <v>0.05</v>
      </c>
    </row>
    <row r="75" spans="1:6" x14ac:dyDescent="0.2">
      <c r="A75" s="15">
        <v>45689</v>
      </c>
      <c r="B75" s="14">
        <v>0.17</v>
      </c>
      <c r="C75" s="25">
        <v>0.35</v>
      </c>
      <c r="D75" s="26">
        <v>5.0000000000000001E-3</v>
      </c>
      <c r="E75" s="96">
        <v>0.05</v>
      </c>
      <c r="F75" s="96">
        <v>0.05</v>
      </c>
    </row>
    <row r="76" spans="1:6" x14ac:dyDescent="0.2">
      <c r="A76" s="15">
        <v>45717</v>
      </c>
      <c r="B76" s="14">
        <v>0.17</v>
      </c>
      <c r="C76" s="25">
        <v>0.35</v>
      </c>
      <c r="D76" s="26">
        <v>5.0000000000000001E-3</v>
      </c>
      <c r="E76" s="96">
        <v>0.05</v>
      </c>
      <c r="F76" s="96">
        <v>0.05</v>
      </c>
    </row>
    <row r="77" spans="1:6" x14ac:dyDescent="0.2">
      <c r="A77" s="15">
        <v>45748</v>
      </c>
      <c r="B77" s="14">
        <v>0.17</v>
      </c>
      <c r="C77" s="25">
        <v>0.35</v>
      </c>
      <c r="D77" s="26">
        <v>5.0000000000000001E-3</v>
      </c>
      <c r="E77" s="96">
        <v>0.05</v>
      </c>
      <c r="F77" s="96">
        <v>0.05</v>
      </c>
    </row>
    <row r="78" spans="1:6" x14ac:dyDescent="0.2">
      <c r="A78" s="15">
        <v>45778</v>
      </c>
      <c r="B78" s="14">
        <v>0.17</v>
      </c>
      <c r="C78" s="25">
        <v>0.35</v>
      </c>
      <c r="D78" s="26">
        <v>5.0000000000000001E-3</v>
      </c>
      <c r="E78" s="96">
        <v>0.05</v>
      </c>
      <c r="F78" s="96">
        <v>0.05</v>
      </c>
    </row>
    <row r="79" spans="1:6" x14ac:dyDescent="0.2">
      <c r="A79" s="15">
        <v>45809</v>
      </c>
      <c r="B79" s="14">
        <v>0.17</v>
      </c>
      <c r="C79" s="25">
        <v>0.35</v>
      </c>
      <c r="D79" s="26">
        <v>5.0000000000000001E-3</v>
      </c>
      <c r="E79" s="96">
        <v>0.05</v>
      </c>
      <c r="F79" s="96">
        <v>0.05</v>
      </c>
    </row>
    <row r="80" spans="1:6" x14ac:dyDescent="0.2">
      <c r="A80" s="15">
        <v>45839</v>
      </c>
      <c r="B80" s="14">
        <v>0.17</v>
      </c>
      <c r="C80" s="25">
        <v>0.35</v>
      </c>
      <c r="D80" s="26">
        <v>5.0000000000000001E-3</v>
      </c>
      <c r="E80" s="96">
        <v>0.05</v>
      </c>
      <c r="F80" s="96">
        <v>0.05</v>
      </c>
    </row>
    <row r="81" spans="1:6" x14ac:dyDescent="0.2">
      <c r="A81" s="15">
        <v>45870</v>
      </c>
      <c r="B81" s="14">
        <v>0.17</v>
      </c>
      <c r="C81" s="25">
        <v>0.35</v>
      </c>
      <c r="D81" s="26">
        <v>5.0000000000000001E-3</v>
      </c>
      <c r="E81" s="96">
        <v>0.05</v>
      </c>
      <c r="F81" s="96">
        <v>0.05</v>
      </c>
    </row>
    <row r="82" spans="1:6" x14ac:dyDescent="0.2">
      <c r="A82" s="15">
        <v>45901</v>
      </c>
      <c r="B82" s="14">
        <v>0.17</v>
      </c>
      <c r="C82" s="25">
        <v>0.35</v>
      </c>
      <c r="D82" s="26">
        <v>5.0000000000000001E-3</v>
      </c>
      <c r="E82" s="96">
        <v>0.05</v>
      </c>
      <c r="F82" s="96">
        <v>0.05</v>
      </c>
    </row>
    <row r="83" spans="1:6" x14ac:dyDescent="0.2">
      <c r="A83" s="15">
        <v>45931</v>
      </c>
      <c r="B83" s="14">
        <v>0.17</v>
      </c>
      <c r="C83" s="25">
        <v>0.35</v>
      </c>
      <c r="D83" s="26">
        <v>5.0000000000000001E-3</v>
      </c>
      <c r="E83" s="96">
        <v>0.05</v>
      </c>
      <c r="F83" s="96">
        <v>0.05</v>
      </c>
    </row>
    <row r="84" spans="1:6" x14ac:dyDescent="0.2">
      <c r="A84" s="15">
        <v>45962</v>
      </c>
      <c r="B84" s="14">
        <v>0.17</v>
      </c>
      <c r="C84" s="25">
        <v>0.35</v>
      </c>
      <c r="D84" s="26">
        <v>5.0000000000000001E-3</v>
      </c>
      <c r="E84" s="96">
        <v>0.05</v>
      </c>
      <c r="F84" s="96">
        <v>0.05</v>
      </c>
    </row>
    <row r="85" spans="1:6" x14ac:dyDescent="0.2">
      <c r="A85" s="15">
        <v>45992</v>
      </c>
      <c r="B85" s="14">
        <v>0.17</v>
      </c>
      <c r="C85" s="25">
        <v>0.35</v>
      </c>
      <c r="D85" s="26">
        <v>5.0000000000000001E-3</v>
      </c>
      <c r="E85" s="96">
        <v>0.05</v>
      </c>
      <c r="F85" s="96">
        <v>0.05</v>
      </c>
    </row>
    <row r="86" spans="1:6" x14ac:dyDescent="0.2">
      <c r="A86" s="15">
        <v>46023</v>
      </c>
      <c r="B86" s="14">
        <v>0.17</v>
      </c>
      <c r="C86" s="25">
        <v>0.35</v>
      </c>
      <c r="D86" s="26">
        <v>5.0000000000000001E-3</v>
      </c>
      <c r="E86" s="96">
        <v>0.05</v>
      </c>
      <c r="F86" s="96">
        <v>0.05</v>
      </c>
    </row>
    <row r="87" spans="1:6" x14ac:dyDescent="0.2">
      <c r="A87" s="15">
        <v>46054</v>
      </c>
      <c r="B87" s="14">
        <v>0.17</v>
      </c>
      <c r="C87" s="25">
        <v>0.35</v>
      </c>
      <c r="D87" s="26">
        <v>5.0000000000000001E-3</v>
      </c>
      <c r="E87" s="96">
        <v>0.05</v>
      </c>
      <c r="F87" s="96">
        <v>0.05</v>
      </c>
    </row>
    <row r="88" spans="1:6" x14ac:dyDescent="0.2">
      <c r="A88" s="15">
        <v>46082</v>
      </c>
      <c r="B88" s="14">
        <v>0.17</v>
      </c>
      <c r="C88" s="25">
        <v>0.35</v>
      </c>
      <c r="D88" s="26">
        <v>5.0000000000000001E-3</v>
      </c>
      <c r="E88" s="96">
        <v>0.05</v>
      </c>
      <c r="F88" s="96">
        <v>0.05</v>
      </c>
    </row>
    <row r="89" spans="1:6" x14ac:dyDescent="0.2">
      <c r="A89" s="15">
        <v>46113</v>
      </c>
      <c r="B89" s="14">
        <v>0.17</v>
      </c>
      <c r="C89" s="25">
        <v>0.35</v>
      </c>
      <c r="D89" s="26">
        <v>5.0000000000000001E-3</v>
      </c>
      <c r="E89" s="96">
        <v>0.05</v>
      </c>
      <c r="F89" s="96">
        <v>0.05</v>
      </c>
    </row>
    <row r="90" spans="1:6" x14ac:dyDescent="0.2">
      <c r="A90" s="15">
        <v>46143</v>
      </c>
      <c r="B90" s="14">
        <v>0.17</v>
      </c>
      <c r="C90" s="25">
        <v>0.35</v>
      </c>
      <c r="D90" s="26">
        <v>5.0000000000000001E-3</v>
      </c>
      <c r="E90" s="96">
        <v>0.05</v>
      </c>
      <c r="F90" s="96">
        <v>0.05</v>
      </c>
    </row>
    <row r="91" spans="1:6" x14ac:dyDescent="0.2">
      <c r="A91" s="15">
        <v>46174</v>
      </c>
      <c r="B91" s="14">
        <v>0.17</v>
      </c>
      <c r="C91" s="25">
        <v>0.35</v>
      </c>
      <c r="D91" s="26">
        <v>5.0000000000000001E-3</v>
      </c>
      <c r="E91" s="96">
        <v>0.05</v>
      </c>
      <c r="F91" s="96">
        <v>0.05</v>
      </c>
    </row>
    <row r="92" spans="1:6" x14ac:dyDescent="0.2">
      <c r="A92" s="15">
        <v>46204</v>
      </c>
      <c r="B92" s="14">
        <v>0.17</v>
      </c>
      <c r="C92" s="25">
        <v>0.35</v>
      </c>
      <c r="D92" s="26">
        <v>5.0000000000000001E-3</v>
      </c>
      <c r="E92" s="96">
        <v>0.05</v>
      </c>
      <c r="F92" s="96">
        <v>0.05</v>
      </c>
    </row>
    <row r="93" spans="1:6" x14ac:dyDescent="0.2">
      <c r="A93" s="15">
        <v>46235</v>
      </c>
      <c r="B93" s="14">
        <v>0.17</v>
      </c>
      <c r="C93" s="25">
        <v>0.35</v>
      </c>
      <c r="D93" s="26">
        <v>5.0000000000000001E-3</v>
      </c>
      <c r="E93" s="96">
        <v>0.05</v>
      </c>
      <c r="F93" s="96">
        <v>0.05</v>
      </c>
    </row>
    <row r="94" spans="1:6" x14ac:dyDescent="0.2">
      <c r="A94" s="15">
        <v>46266</v>
      </c>
      <c r="B94" s="14">
        <v>0.17</v>
      </c>
      <c r="C94" s="25">
        <v>0.35</v>
      </c>
      <c r="D94" s="26">
        <v>5.0000000000000001E-3</v>
      </c>
      <c r="E94" s="96">
        <v>0.05</v>
      </c>
      <c r="F94" s="96">
        <v>0.05</v>
      </c>
    </row>
    <row r="95" spans="1:6" x14ac:dyDescent="0.2">
      <c r="A95" s="15">
        <v>46296</v>
      </c>
      <c r="B95" s="14">
        <v>0.17</v>
      </c>
      <c r="C95" s="25">
        <v>0.35</v>
      </c>
      <c r="D95" s="26">
        <v>5.0000000000000001E-3</v>
      </c>
      <c r="E95" s="96">
        <v>0.05</v>
      </c>
      <c r="F95" s="96">
        <v>0.05</v>
      </c>
    </row>
    <row r="96" spans="1:6" x14ac:dyDescent="0.2">
      <c r="A96" s="15">
        <v>46327</v>
      </c>
      <c r="B96" s="14">
        <v>0.17</v>
      </c>
      <c r="C96" s="25">
        <v>0.35</v>
      </c>
      <c r="D96" s="26">
        <v>5.0000000000000001E-3</v>
      </c>
      <c r="E96" s="96">
        <v>0.05</v>
      </c>
      <c r="F96" s="96">
        <v>0.05</v>
      </c>
    </row>
    <row r="97" spans="1:6" x14ac:dyDescent="0.2">
      <c r="A97" s="15">
        <v>46357</v>
      </c>
      <c r="B97" s="14">
        <v>0.17</v>
      </c>
      <c r="C97" s="25">
        <v>0.35</v>
      </c>
      <c r="D97" s="26">
        <v>5.0000000000000001E-3</v>
      </c>
      <c r="E97" s="96">
        <v>0.05</v>
      </c>
      <c r="F97" s="96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9FB6-785E-4A5E-A4D6-02867C124D95}">
  <sheetPr>
    <tabColor theme="9"/>
  </sheetPr>
  <dimension ref="A1:J37"/>
  <sheetViews>
    <sheetView zoomScale="130" zoomScaleNormal="130" workbookViewId="0"/>
  </sheetViews>
  <sheetFormatPr defaultRowHeight="12.75" x14ac:dyDescent="0.2"/>
  <cols>
    <col min="1" max="1" width="21.7109375" style="1" bestFit="1" customWidth="1"/>
    <col min="2" max="2" width="14" style="1" bestFit="1" customWidth="1"/>
    <col min="3" max="3" width="9.140625" style="1"/>
    <col min="5" max="5" width="11.5703125" bestFit="1" customWidth="1"/>
    <col min="6" max="6" width="14" bestFit="1" customWidth="1"/>
    <col min="7" max="8" width="13" bestFit="1" customWidth="1"/>
    <col min="10" max="10" width="13" bestFit="1" customWidth="1"/>
  </cols>
  <sheetData>
    <row r="1" spans="1:3" x14ac:dyDescent="0.2">
      <c r="A1" s="53" t="s">
        <v>405</v>
      </c>
      <c r="B1" s="53" t="s">
        <v>406</v>
      </c>
      <c r="C1" s="1" t="s">
        <v>426</v>
      </c>
    </row>
    <row r="2" spans="1:3" x14ac:dyDescent="0.2">
      <c r="A2" s="53" t="s">
        <v>407</v>
      </c>
      <c r="B2" s="1">
        <v>700000</v>
      </c>
    </row>
    <row r="3" spans="1:3" x14ac:dyDescent="0.2">
      <c r="A3" s="53" t="s">
        <v>408</v>
      </c>
      <c r="B3" s="1">
        <v>700000</v>
      </c>
    </row>
    <row r="4" spans="1:3" x14ac:dyDescent="0.2">
      <c r="A4" s="53" t="s">
        <v>409</v>
      </c>
      <c r="B4" s="1">
        <v>680000</v>
      </c>
    </row>
    <row r="5" spans="1:3" x14ac:dyDescent="0.2">
      <c r="A5" s="53" t="s">
        <v>410</v>
      </c>
      <c r="B5" s="1">
        <v>464000</v>
      </c>
    </row>
    <row r="6" spans="1:3" x14ac:dyDescent="0.2">
      <c r="A6" s="53" t="s">
        <v>411</v>
      </c>
      <c r="B6" s="1">
        <v>345000</v>
      </c>
    </row>
    <row r="7" spans="1:3" x14ac:dyDescent="0.2">
      <c r="A7" s="53" t="s">
        <v>412</v>
      </c>
      <c r="B7" s="1">
        <v>200000</v>
      </c>
    </row>
    <row r="8" spans="1:3" x14ac:dyDescent="0.2">
      <c r="A8" s="53" t="s">
        <v>413</v>
      </c>
      <c r="B8" s="1">
        <v>300000</v>
      </c>
    </row>
    <row r="9" spans="1:3" x14ac:dyDescent="0.2">
      <c r="A9" s="53" t="s">
        <v>414</v>
      </c>
      <c r="B9" s="1">
        <v>188000</v>
      </c>
    </row>
    <row r="10" spans="1:3" x14ac:dyDescent="0.2">
      <c r="A10" s="53" t="s">
        <v>415</v>
      </c>
      <c r="B10" s="1">
        <v>113000</v>
      </c>
    </row>
    <row r="11" spans="1:3" x14ac:dyDescent="0.2">
      <c r="A11" s="53" t="s">
        <v>416</v>
      </c>
      <c r="B11" s="1">
        <v>90000</v>
      </c>
    </row>
    <row r="12" spans="1:3" x14ac:dyDescent="0.2">
      <c r="A12" s="53" t="s">
        <v>417</v>
      </c>
      <c r="B12" s="1">
        <v>50000</v>
      </c>
    </row>
    <row r="13" spans="1:3" x14ac:dyDescent="0.2">
      <c r="A13" s="53" t="s">
        <v>418</v>
      </c>
      <c r="B13" s="1">
        <v>72000</v>
      </c>
    </row>
    <row r="14" spans="1:3" x14ac:dyDescent="0.2">
      <c r="A14" s="53" t="s">
        <v>419</v>
      </c>
      <c r="B14" s="1">
        <v>50000</v>
      </c>
    </row>
    <row r="15" spans="1:3" x14ac:dyDescent="0.2">
      <c r="A15" s="53" t="s">
        <v>67</v>
      </c>
      <c r="B15" s="1">
        <v>50000</v>
      </c>
    </row>
    <row r="16" spans="1:3" x14ac:dyDescent="0.2">
      <c r="A16" s="53" t="s">
        <v>420</v>
      </c>
      <c r="B16" s="1">
        <v>50000</v>
      </c>
    </row>
    <row r="17" spans="1:10" x14ac:dyDescent="0.2">
      <c r="A17" s="53" t="s">
        <v>421</v>
      </c>
      <c r="B17" s="1">
        <v>35000</v>
      </c>
    </row>
    <row r="18" spans="1:10" x14ac:dyDescent="0.2">
      <c r="A18" s="53" t="s">
        <v>422</v>
      </c>
      <c r="B18" s="1">
        <v>35000</v>
      </c>
    </row>
    <row r="19" spans="1:10" x14ac:dyDescent="0.2">
      <c r="A19" s="53" t="s">
        <v>423</v>
      </c>
      <c r="B19" s="1">
        <v>15000</v>
      </c>
    </row>
    <row r="20" spans="1:10" x14ac:dyDescent="0.2">
      <c r="A20" s="53" t="s">
        <v>424</v>
      </c>
      <c r="B20" s="1">
        <v>17000</v>
      </c>
    </row>
    <row r="21" spans="1:10" x14ac:dyDescent="0.2">
      <c r="A21" s="53" t="s">
        <v>512</v>
      </c>
      <c r="B21" s="1">
        <v>50000</v>
      </c>
      <c r="G21" s="2" t="s">
        <v>509</v>
      </c>
      <c r="H21">
        <f>SUM('TOTAIS  20 E 21'!BV9:CG9)</f>
        <v>11290205.163448647</v>
      </c>
    </row>
    <row r="22" spans="1:10" x14ac:dyDescent="0.2">
      <c r="A22" s="53" t="s">
        <v>20</v>
      </c>
      <c r="B22" s="1">
        <v>100000</v>
      </c>
      <c r="G22" s="2"/>
    </row>
    <row r="23" spans="1:10" x14ac:dyDescent="0.2">
      <c r="A23" s="53" t="s">
        <v>7</v>
      </c>
      <c r="B23" s="1">
        <f>SUM(B2:B22)</f>
        <v>4304000</v>
      </c>
      <c r="G23" s="2" t="s">
        <v>507</v>
      </c>
      <c r="H23" s="117">
        <f>SUM('TOTAIS  20 E 21'!BV12:CG12)</f>
        <v>3744962.1400000006</v>
      </c>
      <c r="J23" s="117"/>
    </row>
    <row r="24" spans="1:10" x14ac:dyDescent="0.2">
      <c r="A24" s="53" t="s">
        <v>97</v>
      </c>
      <c r="B24" s="1">
        <v>3400000</v>
      </c>
      <c r="G24" s="2" t="s">
        <v>508</v>
      </c>
      <c r="H24" s="117">
        <f>H21-H26</f>
        <v>8233098.2934486456</v>
      </c>
    </row>
    <row r="25" spans="1:10" ht="15" x14ac:dyDescent="0.25">
      <c r="A25" s="53" t="s">
        <v>425</v>
      </c>
      <c r="B25" s="1">
        <f>B23-B24</f>
        <v>904000</v>
      </c>
      <c r="E25" s="353">
        <v>6364485.9900000002</v>
      </c>
      <c r="G25" s="2" t="s">
        <v>510</v>
      </c>
      <c r="H25" s="117">
        <f>SUM('TOTAIS  20 E 21'!BV13:CG13)</f>
        <v>687855.2699999999</v>
      </c>
    </row>
    <row r="26" spans="1:10" x14ac:dyDescent="0.2">
      <c r="A26" s="53">
        <v>2025</v>
      </c>
      <c r="B26" s="1">
        <f>B25*12-B21*2</f>
        <v>10748000</v>
      </c>
      <c r="C26" s="381">
        <f>B26/B27-1</f>
        <v>-4.8024385349878629E-2</v>
      </c>
      <c r="E26" s="29">
        <f>'[9]Discrepância Estimativa Sucumb'!$Q$37</f>
        <v>0</v>
      </c>
      <c r="G26" s="2" t="s">
        <v>511</v>
      </c>
      <c r="H26" s="117">
        <f>H23-H25</f>
        <v>3057106.8700000006</v>
      </c>
    </row>
    <row r="27" spans="1:10" x14ac:dyDescent="0.2">
      <c r="A27" s="1">
        <v>2024</v>
      </c>
      <c r="B27" s="29">
        <f>H21</f>
        <v>11290205.163448647</v>
      </c>
      <c r="C27" s="350">
        <f>B27/B28-1</f>
        <v>0.74782996663721768</v>
      </c>
      <c r="G27" s="2"/>
      <c r="H27" s="117"/>
    </row>
    <row r="28" spans="1:10" x14ac:dyDescent="0.2">
      <c r="A28" s="1">
        <v>2023</v>
      </c>
      <c r="B28" s="1">
        <v>6459555.7800000003</v>
      </c>
      <c r="C28" s="350">
        <f>B28/B29-1</f>
        <v>0.67574247734709925</v>
      </c>
    </row>
    <row r="29" spans="1:10" x14ac:dyDescent="0.2">
      <c r="A29" s="1">
        <v>2022</v>
      </c>
      <c r="B29" s="1">
        <v>3854742.52</v>
      </c>
      <c r="C29" s="350">
        <f>B29/B30-1</f>
        <v>-0.36159306058996832</v>
      </c>
    </row>
    <row r="30" spans="1:10" x14ac:dyDescent="0.2">
      <c r="A30" s="1">
        <v>2021</v>
      </c>
      <c r="B30" s="1">
        <v>6038064.8799999999</v>
      </c>
      <c r="C30" s="350">
        <f>B30/B31-1</f>
        <v>-0.19154056958402299</v>
      </c>
    </row>
    <row r="31" spans="1:10" x14ac:dyDescent="0.2">
      <c r="A31" s="1">
        <v>2020</v>
      </c>
      <c r="B31" s="1">
        <v>7468605.9100000001</v>
      </c>
    </row>
    <row r="32" spans="1:10" ht="15" x14ac:dyDescent="0.25">
      <c r="A32" s="53" t="s">
        <v>427</v>
      </c>
      <c r="B32" s="214">
        <f t="shared" ref="B32:B37" si="0">B26-F32</f>
        <v>7003037.8599999994</v>
      </c>
      <c r="C32" s="350">
        <f>B32/B33-1</f>
        <v>-2.869988960689466</v>
      </c>
      <c r="F32" s="351">
        <f>F33</f>
        <v>3744962.1400000006</v>
      </c>
      <c r="G32" s="117"/>
    </row>
    <row r="33" spans="1:7" ht="15" x14ac:dyDescent="0.25">
      <c r="A33" s="53" t="s">
        <v>428</v>
      </c>
      <c r="B33" s="214">
        <f>E26-F33</f>
        <v>-3744962.1400000006</v>
      </c>
      <c r="C33" s="350">
        <f>B33/B34-1</f>
        <v>-1.7406012396912036</v>
      </c>
      <c r="F33" s="351">
        <f>H23</f>
        <v>3744962.1400000006</v>
      </c>
      <c r="G33" s="117"/>
    </row>
    <row r="34" spans="1:7" ht="15" x14ac:dyDescent="0.25">
      <c r="A34" s="53" t="s">
        <v>429</v>
      </c>
      <c r="B34" s="214">
        <f t="shared" si="0"/>
        <v>5056651.1900000004</v>
      </c>
      <c r="C34" s="350">
        <f>B34/B35-1</f>
        <v>0.75106524799012297</v>
      </c>
      <c r="F34" s="351">
        <f>Sucumbências!D5</f>
        <v>1402904.59</v>
      </c>
      <c r="G34" s="117"/>
    </row>
    <row r="35" spans="1:7" ht="15" x14ac:dyDescent="0.25">
      <c r="A35" s="53" t="s">
        <v>430</v>
      </c>
      <c r="B35" s="214">
        <f t="shared" si="0"/>
        <v>2887757.15</v>
      </c>
      <c r="C35" s="350">
        <f>B35/B36-1</f>
        <v>-0.47665091376678259</v>
      </c>
      <c r="F35" s="351">
        <f>Sucumbências!D4</f>
        <v>966985.37</v>
      </c>
      <c r="G35" s="117"/>
    </row>
    <row r="36" spans="1:7" ht="15" x14ac:dyDescent="0.25">
      <c r="A36" s="53" t="s">
        <v>431</v>
      </c>
      <c r="B36" s="214">
        <f t="shared" si="0"/>
        <v>5517841.2000000002</v>
      </c>
      <c r="C36" s="350">
        <f>B36/B37-1</f>
        <v>-0.22981766089508937</v>
      </c>
      <c r="F36" s="351">
        <f>Sucumbências!D3</f>
        <v>520223.68</v>
      </c>
      <c r="G36" s="117"/>
    </row>
    <row r="37" spans="1:7" ht="15" x14ac:dyDescent="0.25">
      <c r="A37" s="53" t="s">
        <v>432</v>
      </c>
      <c r="B37" s="214">
        <f t="shared" si="0"/>
        <v>7164330.9900000002</v>
      </c>
      <c r="F37" s="351">
        <f>Sucumbências!D2</f>
        <v>304274.92</v>
      </c>
      <c r="G37" s="117"/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E6E7-E771-40F9-92AC-48324B6822BC}">
  <sheetPr>
    <tabColor rgb="FFFFFF00"/>
  </sheetPr>
  <dimension ref="A1:B11"/>
  <sheetViews>
    <sheetView showGridLines="0" workbookViewId="0">
      <pane xSplit="1" topLeftCell="B1" activePane="topRight" state="frozen"/>
      <selection activeCell="AB3" sqref="AB3"/>
      <selection pane="topRight" activeCell="B11" sqref="B11"/>
    </sheetView>
  </sheetViews>
  <sheetFormatPr defaultColWidth="9.140625" defaultRowHeight="12.75" x14ac:dyDescent="0.2"/>
  <cols>
    <col min="1" max="1" width="7.140625" style="1" bestFit="1" customWidth="1"/>
    <col min="2" max="2" width="12.85546875" style="1" bestFit="1" customWidth="1"/>
    <col min="3" max="16384" width="9.140625" style="1"/>
  </cols>
  <sheetData>
    <row r="1" spans="1:2" x14ac:dyDescent="0.2">
      <c r="A1" s="53" t="s">
        <v>16</v>
      </c>
      <c r="B1" s="53" t="s">
        <v>127</v>
      </c>
    </row>
    <row r="2" spans="1:2" x14ac:dyDescent="0.2">
      <c r="A2" s="1">
        <v>2018</v>
      </c>
      <c r="B2" s="55">
        <v>2001473.8518485751</v>
      </c>
    </row>
    <row r="3" spans="1:2" x14ac:dyDescent="0.2">
      <c r="A3" s="1">
        <v>2019</v>
      </c>
      <c r="B3" s="55">
        <v>2232162.9113602415</v>
      </c>
    </row>
    <row r="4" spans="1:2" x14ac:dyDescent="0.2">
      <c r="A4" s="1">
        <v>2020</v>
      </c>
      <c r="B4" s="55">
        <v>7468605.9088248769</v>
      </c>
    </row>
    <row r="5" spans="1:2" x14ac:dyDescent="0.2">
      <c r="A5" s="1">
        <v>2021</v>
      </c>
      <c r="B5" s="55">
        <v>6038064.8846166348</v>
      </c>
    </row>
    <row r="6" spans="1:2" x14ac:dyDescent="0.2">
      <c r="A6" s="1">
        <v>2022</v>
      </c>
      <c r="B6" s="55">
        <v>3854742.5200625616</v>
      </c>
    </row>
    <row r="7" spans="1:2" x14ac:dyDescent="0.2">
      <c r="A7" s="1">
        <v>2023</v>
      </c>
      <c r="B7" s="55">
        <v>6459555.370000001</v>
      </c>
    </row>
    <row r="8" spans="1:2" x14ac:dyDescent="0.2">
      <c r="A8" s="1">
        <v>2024</v>
      </c>
      <c r="B8" s="55">
        <f>'[10]Proj Premissas Resultado'!$D$2</f>
        <v>43830796.599904001</v>
      </c>
    </row>
    <row r="9" spans="1:2" x14ac:dyDescent="0.2">
      <c r="A9" s="53" t="s">
        <v>434</v>
      </c>
      <c r="B9" s="29">
        <f>'[10]Proj Premissas Resultado'!$E$2</f>
        <v>52060791.124377199</v>
      </c>
    </row>
    <row r="10" spans="1:2" x14ac:dyDescent="0.2">
      <c r="A10" s="53" t="s">
        <v>433</v>
      </c>
      <c r="B10" s="29">
        <f>'[10]Proj Premissas Resultado'!$F$2</f>
        <v>54427190.720939793</v>
      </c>
    </row>
    <row r="11" spans="1:2" x14ac:dyDescent="0.2">
      <c r="A11" s="53" t="s">
        <v>435</v>
      </c>
      <c r="B11" s="29">
        <f>'[10]Proj Premissas Resultado'!$G$2</f>
        <v>56793590.317502394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2F7D-FDEF-4887-8921-48FA7DEC6B92}">
  <sheetPr>
    <tabColor rgb="FFFFFF00"/>
  </sheetPr>
  <dimension ref="A1:AW58"/>
  <sheetViews>
    <sheetView topLeftCell="B1" zoomScale="85" zoomScaleNormal="85" workbookViewId="0">
      <pane xSplit="3" ySplit="1" topLeftCell="Y2" activePane="bottomRight" state="frozen"/>
      <selection activeCell="X3" sqref="X3"/>
      <selection pane="topRight" activeCell="X3" sqref="X3"/>
      <selection pane="bottomLeft" activeCell="X3" sqref="X3"/>
      <selection pane="bottomRight" activeCell="X3" sqref="X3"/>
    </sheetView>
  </sheetViews>
  <sheetFormatPr defaultRowHeight="12.75" x14ac:dyDescent="0.2"/>
  <cols>
    <col min="1" max="1" width="3" bestFit="1" customWidth="1"/>
    <col min="2" max="2" width="22.28515625" bestFit="1" customWidth="1"/>
    <col min="3" max="3" width="6.42578125" bestFit="1" customWidth="1"/>
    <col min="4" max="4" width="54" bestFit="1" customWidth="1"/>
    <col min="5" max="5" width="17.85546875" bestFit="1" customWidth="1"/>
    <col min="6" max="6" width="12.85546875" bestFit="1" customWidth="1"/>
    <col min="7" max="7" width="17.85546875" bestFit="1" customWidth="1"/>
    <col min="8" max="8" width="18" bestFit="1" customWidth="1"/>
    <col min="9" max="9" width="18.140625" bestFit="1" customWidth="1"/>
    <col min="10" max="10" width="18" bestFit="1" customWidth="1"/>
    <col min="11" max="11" width="18.140625" bestFit="1" customWidth="1"/>
    <col min="12" max="12" width="18" bestFit="1" customWidth="1"/>
    <col min="13" max="13" width="18.140625" bestFit="1" customWidth="1"/>
    <col min="14" max="14" width="18" bestFit="1" customWidth="1"/>
    <col min="15" max="15" width="18.140625" bestFit="1" customWidth="1"/>
    <col min="16" max="16" width="24.7109375" bestFit="1" customWidth="1"/>
    <col min="17" max="17" width="18.140625" bestFit="1" customWidth="1"/>
    <col min="18" max="18" width="18" bestFit="1" customWidth="1"/>
    <col min="19" max="19" width="18.140625" bestFit="1" customWidth="1"/>
    <col min="20" max="20" width="18" bestFit="1" customWidth="1"/>
    <col min="21" max="21" width="20.140625" bestFit="1" customWidth="1"/>
    <col min="22" max="22" width="24.28515625" bestFit="1" customWidth="1"/>
    <col min="23" max="23" width="18.140625" bestFit="1" customWidth="1"/>
    <col min="24" max="24" width="24.5703125" bestFit="1" customWidth="1"/>
    <col min="25" max="25" width="18.140625" bestFit="1" customWidth="1"/>
    <col min="26" max="26" width="18" bestFit="1" customWidth="1"/>
    <col min="27" max="27" width="18.140625" bestFit="1" customWidth="1"/>
    <col min="28" max="28" width="18.42578125" bestFit="1" customWidth="1"/>
    <col min="29" max="29" width="7.140625" bestFit="1" customWidth="1"/>
    <col min="30" max="30" width="24.7109375" bestFit="1" customWidth="1"/>
    <col min="31" max="31" width="7.5703125" bestFit="1" customWidth="1"/>
    <col min="32" max="32" width="24.85546875" bestFit="1" customWidth="1"/>
    <col min="33" max="33" width="7" bestFit="1" customWidth="1"/>
    <col min="34" max="34" width="24.5703125" bestFit="1" customWidth="1"/>
    <col min="35" max="35" width="6.28515625" bestFit="1" customWidth="1"/>
    <col min="36" max="36" width="23.7109375" bestFit="1" customWidth="1"/>
    <col min="37" max="37" width="7.5703125" bestFit="1" customWidth="1"/>
    <col min="38" max="38" width="25.140625" bestFit="1" customWidth="1"/>
    <col min="39" max="39" width="7" bestFit="1" customWidth="1"/>
    <col min="40" max="40" width="24.5703125" bestFit="1" customWidth="1"/>
    <col min="41" max="41" width="7.140625" bestFit="1" customWidth="1"/>
    <col min="42" max="42" width="24.7109375" bestFit="1" customWidth="1"/>
    <col min="43" max="43" width="7.7109375" bestFit="1" customWidth="1"/>
    <col min="44" max="44" width="25" bestFit="1" customWidth="1"/>
    <col min="45" max="45" width="7.5703125" bestFit="1" customWidth="1"/>
    <col min="46" max="46" width="25" bestFit="1" customWidth="1"/>
    <col min="47" max="47" width="16.28515625" bestFit="1" customWidth="1"/>
    <col min="48" max="48" width="19.7109375" customWidth="1"/>
    <col min="49" max="49" width="18.28515625" bestFit="1" customWidth="1"/>
  </cols>
  <sheetData>
    <row r="1" spans="1:49" ht="30" x14ac:dyDescent="0.2">
      <c r="A1" t="s">
        <v>75</v>
      </c>
      <c r="B1" s="2" t="s">
        <v>76</v>
      </c>
      <c r="C1" s="2" t="s">
        <v>227</v>
      </c>
      <c r="D1" s="249" t="s">
        <v>387</v>
      </c>
      <c r="E1" s="345">
        <v>45413</v>
      </c>
      <c r="F1" s="249" t="s">
        <v>541</v>
      </c>
      <c r="G1" s="345">
        <v>45444</v>
      </c>
      <c r="H1" s="249" t="s">
        <v>540</v>
      </c>
      <c r="I1" s="345">
        <v>45474</v>
      </c>
      <c r="J1" s="249" t="s">
        <v>543</v>
      </c>
      <c r="K1" s="345">
        <v>45505</v>
      </c>
      <c r="L1" s="249" t="s">
        <v>544</v>
      </c>
      <c r="M1" s="345">
        <v>45536</v>
      </c>
      <c r="N1" s="249" t="s">
        <v>545</v>
      </c>
      <c r="O1" s="345">
        <v>45566</v>
      </c>
      <c r="P1" s="249" t="s">
        <v>546</v>
      </c>
      <c r="Q1" s="345">
        <v>45597</v>
      </c>
      <c r="R1" s="249" t="s">
        <v>547</v>
      </c>
      <c r="S1" s="345">
        <v>45627</v>
      </c>
      <c r="T1" s="249" t="s">
        <v>548</v>
      </c>
      <c r="U1" s="249" t="s">
        <v>396</v>
      </c>
      <c r="V1" s="249" t="s">
        <v>559</v>
      </c>
      <c r="W1" s="412">
        <v>45658</v>
      </c>
      <c r="X1" s="249" t="s">
        <v>549</v>
      </c>
      <c r="Y1" s="412">
        <v>45689</v>
      </c>
      <c r="Z1" s="418" t="s">
        <v>550</v>
      </c>
      <c r="AA1" s="412">
        <v>45717</v>
      </c>
      <c r="AB1" s="418" t="s">
        <v>551</v>
      </c>
      <c r="AC1" s="412">
        <v>45748</v>
      </c>
      <c r="AD1" s="249" t="s">
        <v>552</v>
      </c>
      <c r="AE1" s="412">
        <v>45778</v>
      </c>
      <c r="AF1" s="249" t="s">
        <v>539</v>
      </c>
      <c r="AG1" s="412">
        <v>45809</v>
      </c>
      <c r="AH1" s="249" t="s">
        <v>553</v>
      </c>
      <c r="AI1" s="412">
        <v>45839</v>
      </c>
      <c r="AJ1" s="249" t="s">
        <v>542</v>
      </c>
      <c r="AK1" s="412">
        <v>45870</v>
      </c>
      <c r="AL1" s="249" t="s">
        <v>554</v>
      </c>
      <c r="AM1" s="412">
        <v>45901</v>
      </c>
      <c r="AN1" s="249" t="s">
        <v>555</v>
      </c>
      <c r="AO1" s="412">
        <v>45931</v>
      </c>
      <c r="AP1" s="249" t="s">
        <v>556</v>
      </c>
      <c r="AQ1" s="412">
        <v>45962</v>
      </c>
      <c r="AR1" s="249" t="s">
        <v>557</v>
      </c>
      <c r="AS1" s="412">
        <v>45992</v>
      </c>
      <c r="AT1" s="249" t="s">
        <v>558</v>
      </c>
      <c r="AU1" s="412" t="s">
        <v>538</v>
      </c>
      <c r="AV1" s="418" t="s">
        <v>381</v>
      </c>
      <c r="AW1" s="249" t="s">
        <v>382</v>
      </c>
    </row>
    <row r="2" spans="1:49" ht="14.25" x14ac:dyDescent="0.2">
      <c r="A2">
        <v>1</v>
      </c>
      <c r="D2" s="422" t="s">
        <v>324</v>
      </c>
      <c r="E2" s="266">
        <v>3629988.73</v>
      </c>
      <c r="F2" s="266"/>
      <c r="G2" s="266">
        <v>4068124.12</v>
      </c>
      <c r="I2" s="266">
        <v>4640246.4200030006</v>
      </c>
      <c r="K2" s="266">
        <v>3454209.97</v>
      </c>
      <c r="M2" s="266">
        <v>4253136.8799960008</v>
      </c>
      <c r="O2" s="354">
        <v>4658140.6700220024</v>
      </c>
      <c r="P2" s="355"/>
      <c r="Q2" s="354">
        <v>6144338.9999359995</v>
      </c>
      <c r="R2" s="356"/>
      <c r="S2" s="354">
        <v>5312105.9099210007</v>
      </c>
      <c r="U2" s="344">
        <f>E2+G2+I2+K2+M2+O2+Q2+S2</f>
        <v>36160291.699878007</v>
      </c>
      <c r="W2" s="354">
        <v>4402653.9400060009</v>
      </c>
      <c r="Y2" s="354">
        <v>4486254.2799999993</v>
      </c>
      <c r="AA2" s="354">
        <v>4398194.34</v>
      </c>
      <c r="AU2" s="344">
        <f>W2+Y2+AA2+AC2+AE2+AG2+AI2+AK2+AM2+AO2+AQ2+AS2</f>
        <v>13287102.560006</v>
      </c>
      <c r="AV2" s="332"/>
      <c r="AW2" s="332"/>
    </row>
    <row r="3" spans="1:49" x14ac:dyDescent="0.2">
      <c r="A3">
        <v>2</v>
      </c>
      <c r="B3" s="110"/>
      <c r="C3" s="110"/>
      <c r="D3" s="424" t="s">
        <v>325</v>
      </c>
      <c r="E3" s="263">
        <v>-206846.93</v>
      </c>
      <c r="F3" s="332">
        <f>F4+F5</f>
        <v>1</v>
      </c>
      <c r="G3" s="263">
        <v>-232543.66999999998</v>
      </c>
      <c r="H3" s="332">
        <f>H4+H5</f>
        <v>1</v>
      </c>
      <c r="I3" s="263">
        <v>-254841.8</v>
      </c>
      <c r="J3" s="332">
        <f>J4+J5</f>
        <v>1</v>
      </c>
      <c r="K3" s="263">
        <v>-185496.52000000002</v>
      </c>
      <c r="L3" s="332">
        <f>L4+L5</f>
        <v>1</v>
      </c>
      <c r="M3" s="263">
        <v>-237694.88</v>
      </c>
      <c r="N3" s="332">
        <f>N4+N5</f>
        <v>0.99999999999999989</v>
      </c>
      <c r="O3" s="357">
        <v>-239568.59999999998</v>
      </c>
      <c r="P3" s="332">
        <f>P4+P5</f>
        <v>1</v>
      </c>
      <c r="Q3" s="357">
        <v>-288343.15999999997</v>
      </c>
      <c r="R3" s="332">
        <f>R4+R5</f>
        <v>1</v>
      </c>
      <c r="S3" s="357">
        <v>-206248.81</v>
      </c>
      <c r="T3" s="332">
        <f>T4+T5</f>
        <v>0.99999999999999989</v>
      </c>
      <c r="U3" s="344">
        <f t="shared" ref="U3:U51" si="0">E3+G3+I3+K3+M3+O3+Q3+S3</f>
        <v>-1851584.3699999999</v>
      </c>
      <c r="V3" s="332">
        <f>V4+V5</f>
        <v>1</v>
      </c>
      <c r="W3" s="357">
        <v>-214931.80000000002</v>
      </c>
      <c r="X3" s="332">
        <f>X4+X5</f>
        <v>0.99999999999999989</v>
      </c>
      <c r="Y3" s="357">
        <v>-206349.57</v>
      </c>
      <c r="Z3" s="332">
        <f>Z4+Z5</f>
        <v>1</v>
      </c>
      <c r="AA3" s="357">
        <v>-201311.21000000002</v>
      </c>
      <c r="AB3" s="332">
        <f>AB4+AB5</f>
        <v>1</v>
      </c>
      <c r="AC3" s="332"/>
      <c r="AD3" s="332"/>
      <c r="AE3" s="332"/>
      <c r="AF3" s="332"/>
      <c r="AG3" s="332"/>
      <c r="AH3" s="332"/>
      <c r="AI3" s="332"/>
      <c r="AJ3" s="332"/>
      <c r="AK3" s="332"/>
      <c r="AL3" s="332"/>
      <c r="AM3" s="332"/>
      <c r="AN3" s="332"/>
      <c r="AO3" s="332"/>
      <c r="AP3" s="332"/>
      <c r="AQ3" s="332"/>
      <c r="AR3" s="332"/>
      <c r="AS3" s="332"/>
      <c r="AT3" s="332"/>
      <c r="AU3" s="344">
        <f t="shared" ref="AU3:AU54" si="1">W3+Y3+AA3+AC3+AE3+AG3+AI3+AK3+AM3+AO3+AQ3+AS3</f>
        <v>-622592.58000000007</v>
      </c>
      <c r="AV3" s="332">
        <f>AV4+AV5</f>
        <v>0.99999999999999989</v>
      </c>
      <c r="AW3" s="332">
        <f>X3/V3-1</f>
        <v>0</v>
      </c>
    </row>
    <row r="4" spans="1:49" x14ac:dyDescent="0.2">
      <c r="A4">
        <v>3</v>
      </c>
      <c r="B4" s="2" t="s">
        <v>97</v>
      </c>
      <c r="C4" s="2"/>
      <c r="D4" s="429" t="s">
        <v>326</v>
      </c>
      <c r="E4" s="263">
        <v>-165768.84</v>
      </c>
      <c r="F4" s="332">
        <f>E4/E3</f>
        <v>0.80140826842341828</v>
      </c>
      <c r="G4" s="263">
        <v>-200839.05</v>
      </c>
      <c r="H4" s="332">
        <f>G4/G3</f>
        <v>0.86366165116427385</v>
      </c>
      <c r="I4" s="263">
        <v>-217214.83</v>
      </c>
      <c r="J4" s="332">
        <f>I4/I3</f>
        <v>0.85235165502676558</v>
      </c>
      <c r="K4" s="263">
        <v>-152998.14000000001</v>
      </c>
      <c r="L4" s="332">
        <f>K4/K3</f>
        <v>0.82480329011024034</v>
      </c>
      <c r="M4" s="263">
        <v>-206261.21</v>
      </c>
      <c r="N4" s="332">
        <f>M4/M3</f>
        <v>0.86775621755083654</v>
      </c>
      <c r="O4" s="357">
        <v>-207841.8</v>
      </c>
      <c r="P4" s="332">
        <f>O4/O3</f>
        <v>0.86756695159549291</v>
      </c>
      <c r="Q4" s="357">
        <v>-283258.96999999997</v>
      </c>
      <c r="R4" s="332">
        <f>Q4/Q3</f>
        <v>0.98236757202771863</v>
      </c>
      <c r="S4" s="357">
        <v>-194131.24</v>
      </c>
      <c r="T4" s="332">
        <f>S4/S3</f>
        <v>0.94124780647219242</v>
      </c>
      <c r="U4" s="344">
        <f t="shared" si="0"/>
        <v>-1628314.0799999998</v>
      </c>
      <c r="V4" s="332">
        <f>U4/U3</f>
        <v>0.87941662631338802</v>
      </c>
      <c r="W4" s="357">
        <v>-204134.38</v>
      </c>
      <c r="X4" s="332">
        <f>W4/W3</f>
        <v>0.94976350637737172</v>
      </c>
      <c r="Y4" s="357">
        <v>-198673.46</v>
      </c>
      <c r="Z4" s="332">
        <f>Y4/Y3</f>
        <v>0.9628004555570433</v>
      </c>
      <c r="AA4" s="357">
        <v>-195732.17</v>
      </c>
      <c r="AB4" s="332">
        <f>AA4/AA3</f>
        <v>0.97228649114969801</v>
      </c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44">
        <f t="shared" si="1"/>
        <v>-598540.01</v>
      </c>
      <c r="AV4" s="332">
        <f>AU4/AU3</f>
        <v>0.96136707893306395</v>
      </c>
      <c r="AW4" s="332">
        <f t="shared" ref="AW4:AW49" si="2">X4/V4-1</f>
        <v>7.9992665545664865E-2</v>
      </c>
    </row>
    <row r="5" spans="1:49" x14ac:dyDescent="0.2">
      <c r="A5">
        <v>4</v>
      </c>
      <c r="B5" s="110"/>
      <c r="C5" s="110"/>
      <c r="D5" s="425" t="s">
        <v>327</v>
      </c>
      <c r="E5" s="263">
        <v>-41078.090000000004</v>
      </c>
      <c r="F5" s="332">
        <f>SUM(F6:F9)</f>
        <v>0.19859173157658178</v>
      </c>
      <c r="G5" s="263">
        <v>-31704.62</v>
      </c>
      <c r="H5" s="332">
        <f>SUM(H6:H9)</f>
        <v>0.13633834883572621</v>
      </c>
      <c r="I5" s="263">
        <v>-37626.969999999994</v>
      </c>
      <c r="J5" s="332">
        <f>SUM(J6:J9)</f>
        <v>0.1476483449732344</v>
      </c>
      <c r="K5" s="263">
        <v>-32498.38</v>
      </c>
      <c r="L5" s="332">
        <f>SUM(L6:L9)</f>
        <v>0.17519670988975963</v>
      </c>
      <c r="M5" s="263">
        <v>-31433.670000000002</v>
      </c>
      <c r="N5" s="332">
        <f>SUM(N6:N9)</f>
        <v>0.13224378244916338</v>
      </c>
      <c r="O5" s="357">
        <v>-31726.799999999999</v>
      </c>
      <c r="P5" s="332">
        <f>SUM(P6:P9)</f>
        <v>0.13243304840450709</v>
      </c>
      <c r="Q5" s="357">
        <v>-5084.1900000000005</v>
      </c>
      <c r="R5" s="332">
        <f>SUM(R6:R9)</f>
        <v>1.7632427972281362E-2</v>
      </c>
      <c r="S5" s="357">
        <v>-12117.57</v>
      </c>
      <c r="T5" s="332">
        <f>SUM(T6:T9)</f>
        <v>5.8752193527807507E-2</v>
      </c>
      <c r="U5" s="344">
        <f t="shared" si="0"/>
        <v>-223270.29</v>
      </c>
      <c r="V5" s="332">
        <f>SUM(V6:V9)</f>
        <v>0.12058337368661196</v>
      </c>
      <c r="W5" s="357">
        <v>-10797.42</v>
      </c>
      <c r="X5" s="332">
        <f>SUM(X6:X9)</f>
        <v>5.0236493622628206E-2</v>
      </c>
      <c r="Y5" s="357">
        <v>-7676.1100000000006</v>
      </c>
      <c r="Z5" s="332">
        <f>SUM(Z6:Z9)</f>
        <v>3.7199544442956672E-2</v>
      </c>
      <c r="AA5" s="357">
        <v>-5579.04</v>
      </c>
      <c r="AB5" s="332">
        <f>SUM(AB6:AB9)</f>
        <v>2.7713508850301976E-2</v>
      </c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44">
        <f t="shared" si="1"/>
        <v>-24052.57</v>
      </c>
      <c r="AV5" s="332">
        <f>SUM(AV6:AV9)</f>
        <v>3.863292106693593E-2</v>
      </c>
      <c r="AW5" s="332">
        <f t="shared" si="2"/>
        <v>-0.58338789099408128</v>
      </c>
    </row>
    <row r="6" spans="1:49" x14ac:dyDescent="0.2">
      <c r="A6">
        <v>5</v>
      </c>
      <c r="B6" s="2" t="s">
        <v>97</v>
      </c>
      <c r="C6" s="2"/>
      <c r="D6" s="430" t="s">
        <v>328</v>
      </c>
      <c r="E6" s="257">
        <v>0</v>
      </c>
      <c r="F6" s="333">
        <f>E6/E3</f>
        <v>0</v>
      </c>
      <c r="G6" s="257">
        <v>0</v>
      </c>
      <c r="H6" s="333">
        <f>G6/G3</f>
        <v>0</v>
      </c>
      <c r="I6" s="257">
        <v>0</v>
      </c>
      <c r="J6" s="333">
        <f>I6/I3</f>
        <v>0</v>
      </c>
      <c r="K6" s="257">
        <v>0</v>
      </c>
      <c r="L6" s="333">
        <f>K6/K3</f>
        <v>0</v>
      </c>
      <c r="M6" s="257">
        <v>0</v>
      </c>
      <c r="N6" s="333">
        <f>M6/M3</f>
        <v>0</v>
      </c>
      <c r="O6" s="358">
        <v>-379.93</v>
      </c>
      <c r="P6" s="333">
        <f>O6/O3</f>
        <v>1.5858923080904594E-3</v>
      </c>
      <c r="Q6" s="358">
        <v>-4189.25</v>
      </c>
      <c r="R6" s="333">
        <f>Q6/Q3</f>
        <v>1.4528695600062093E-2</v>
      </c>
      <c r="S6" s="358">
        <v>-11743.11</v>
      </c>
      <c r="T6" s="333">
        <f>S6/S3</f>
        <v>5.6936619416131422E-2</v>
      </c>
      <c r="U6" s="344">
        <f t="shared" si="0"/>
        <v>-16312.29</v>
      </c>
      <c r="V6" s="333">
        <f>U6/$U$3</f>
        <v>8.8099091050331136E-3</v>
      </c>
      <c r="W6" s="358">
        <v>-10130.86</v>
      </c>
      <c r="X6" s="333">
        <f>W6/W3</f>
        <v>4.713523080344556E-2</v>
      </c>
      <c r="Y6" s="358">
        <v>-3222.51</v>
      </c>
      <c r="Z6" s="333">
        <f>Y6/Y3</f>
        <v>1.5616751709247565E-2</v>
      </c>
      <c r="AA6" s="358">
        <v>-5578.97</v>
      </c>
      <c r="AB6" s="333">
        <f>AA6/AA3</f>
        <v>2.7713161129973834E-2</v>
      </c>
      <c r="AC6" s="333"/>
      <c r="AD6" s="333"/>
      <c r="AE6" s="333"/>
      <c r="AF6" s="333"/>
      <c r="AG6" s="333"/>
      <c r="AH6" s="333"/>
      <c r="AI6" s="333"/>
      <c r="AJ6" s="333"/>
      <c r="AK6" s="333"/>
      <c r="AL6" s="333"/>
      <c r="AM6" s="333"/>
      <c r="AN6" s="333"/>
      <c r="AO6" s="333"/>
      <c r="AP6" s="333"/>
      <c r="AQ6" s="333"/>
      <c r="AR6" s="333"/>
      <c r="AS6" s="333"/>
      <c r="AT6" s="333"/>
      <c r="AU6" s="344">
        <f t="shared" si="1"/>
        <v>-18932.34</v>
      </c>
      <c r="AV6" s="333">
        <f>AU6/AU3</f>
        <v>3.0408875094528106E-2</v>
      </c>
      <c r="AW6" s="332">
        <f t="shared" si="2"/>
        <v>4.3502516588414215</v>
      </c>
    </row>
    <row r="7" spans="1:49" x14ac:dyDescent="0.2">
      <c r="A7">
        <v>6</v>
      </c>
      <c r="B7" s="2" t="s">
        <v>97</v>
      </c>
      <c r="C7" s="2"/>
      <c r="D7" s="430" t="s">
        <v>329</v>
      </c>
      <c r="E7" s="257">
        <v>-31292.27</v>
      </c>
      <c r="F7" s="333">
        <f>E7/$E$3</f>
        <v>0.15128225495055692</v>
      </c>
      <c r="G7" s="257">
        <v>-31704.62</v>
      </c>
      <c r="H7" s="333">
        <f t="shared" ref="H7:H10" si="3">G7/$G$3</f>
        <v>0.13633834883572621</v>
      </c>
      <c r="I7" s="257">
        <v>-32652.85</v>
      </c>
      <c r="J7" s="333">
        <f>I7/I3</f>
        <v>0.12812988293129307</v>
      </c>
      <c r="K7" s="257">
        <v>-32498.45</v>
      </c>
      <c r="L7" s="333">
        <f>K7/K3</f>
        <v>0.17519708725532962</v>
      </c>
      <c r="M7" s="257">
        <v>-31418.74</v>
      </c>
      <c r="N7" s="333">
        <f>M7/M3</f>
        <v>0.1321809708311765</v>
      </c>
      <c r="O7" s="358">
        <v>-31346.799999999999</v>
      </c>
      <c r="P7" s="333">
        <f>O7/O3</f>
        <v>0.13084686390453507</v>
      </c>
      <c r="Q7" s="358">
        <v>0</v>
      </c>
      <c r="R7" s="333">
        <f>Q7/Q3</f>
        <v>0</v>
      </c>
      <c r="S7" s="358">
        <v>0</v>
      </c>
      <c r="T7" s="333">
        <f>S7/S3</f>
        <v>0</v>
      </c>
      <c r="U7" s="344">
        <f t="shared" si="0"/>
        <v>-190913.72999999998</v>
      </c>
      <c r="V7" s="333">
        <f t="shared" ref="V7:V10" si="4">U7/$U$3</f>
        <v>0.10310830718451139</v>
      </c>
      <c r="W7" s="358">
        <v>0</v>
      </c>
      <c r="X7" s="333">
        <f>W7/W3</f>
        <v>0</v>
      </c>
      <c r="Y7" s="358">
        <v>0</v>
      </c>
      <c r="Z7" s="333">
        <f>Y7/Y3</f>
        <v>0</v>
      </c>
      <c r="AA7" s="358">
        <v>0</v>
      </c>
      <c r="AB7" s="333">
        <f>AA7/AA3</f>
        <v>0</v>
      </c>
      <c r="AC7" s="333"/>
      <c r="AD7" s="333"/>
      <c r="AE7" s="333"/>
      <c r="AF7" s="333"/>
      <c r="AG7" s="333"/>
      <c r="AH7" s="333"/>
      <c r="AI7" s="333"/>
      <c r="AJ7" s="333"/>
      <c r="AK7" s="333"/>
      <c r="AL7" s="333"/>
      <c r="AM7" s="333"/>
      <c r="AN7" s="333"/>
      <c r="AO7" s="333"/>
      <c r="AP7" s="333"/>
      <c r="AQ7" s="333"/>
      <c r="AR7" s="333"/>
      <c r="AS7" s="333"/>
      <c r="AT7" s="333"/>
      <c r="AU7" s="344">
        <f t="shared" si="1"/>
        <v>0</v>
      </c>
      <c r="AV7" s="333">
        <f>AU7/AU3</f>
        <v>0</v>
      </c>
      <c r="AW7" s="332">
        <f t="shared" si="2"/>
        <v>-1</v>
      </c>
    </row>
    <row r="8" spans="1:49" x14ac:dyDescent="0.2">
      <c r="A8">
        <v>7</v>
      </c>
      <c r="B8" s="2" t="s">
        <v>97</v>
      </c>
      <c r="C8" s="2"/>
      <c r="D8" s="430" t="s">
        <v>330</v>
      </c>
      <c r="E8" s="257">
        <v>-9780.2000000000007</v>
      </c>
      <c r="F8" s="333">
        <f>E8/$E$3</f>
        <v>4.728230677632006E-2</v>
      </c>
      <c r="G8" s="257">
        <v>0</v>
      </c>
      <c r="H8" s="333">
        <f t="shared" si="3"/>
        <v>0</v>
      </c>
      <c r="I8" s="257">
        <v>-4959.67</v>
      </c>
      <c r="J8" s="333">
        <f>I8/I3</f>
        <v>1.9461760197895323E-2</v>
      </c>
      <c r="K8" s="257">
        <v>0</v>
      </c>
      <c r="L8" s="333">
        <f>K8/K3</f>
        <v>0</v>
      </c>
      <c r="M8" s="257">
        <v>0</v>
      </c>
      <c r="N8" s="333">
        <f>M8/M3</f>
        <v>0</v>
      </c>
      <c r="O8" s="358">
        <v>0</v>
      </c>
      <c r="P8" s="333">
        <f>O8/O3</f>
        <v>0</v>
      </c>
      <c r="Q8" s="358">
        <v>0</v>
      </c>
      <c r="R8" s="333">
        <f>Q8/Q3</f>
        <v>0</v>
      </c>
      <c r="S8" s="358">
        <v>0</v>
      </c>
      <c r="T8" s="333">
        <f>S8/S3</f>
        <v>0</v>
      </c>
      <c r="U8" s="344">
        <f t="shared" si="0"/>
        <v>-14739.87</v>
      </c>
      <c r="V8" s="333">
        <f t="shared" si="4"/>
        <v>7.9606796421596501E-3</v>
      </c>
      <c r="W8" s="358">
        <v>0</v>
      </c>
      <c r="X8" s="333">
        <f>W8/W3</f>
        <v>0</v>
      </c>
      <c r="Y8" s="358">
        <v>-4442.21</v>
      </c>
      <c r="Z8" s="333">
        <f>Y8/Y3</f>
        <v>2.1527595138676567E-2</v>
      </c>
      <c r="AA8" s="358">
        <v>0</v>
      </c>
      <c r="AB8" s="333">
        <f>AA8/AA3</f>
        <v>0</v>
      </c>
      <c r="AC8" s="333"/>
      <c r="AD8" s="333"/>
      <c r="AE8" s="333"/>
      <c r="AF8" s="333"/>
      <c r="AG8" s="333"/>
      <c r="AH8" s="333"/>
      <c r="AI8" s="333"/>
      <c r="AJ8" s="333"/>
      <c r="AK8" s="333"/>
      <c r="AL8" s="333"/>
      <c r="AM8" s="333"/>
      <c r="AN8" s="333"/>
      <c r="AO8" s="333"/>
      <c r="AP8" s="333"/>
      <c r="AQ8" s="333"/>
      <c r="AR8" s="333"/>
      <c r="AS8" s="333"/>
      <c r="AT8" s="333"/>
      <c r="AU8" s="344">
        <f t="shared" si="1"/>
        <v>-4442.21</v>
      </c>
      <c r="AV8" s="333">
        <f>AU8/AU3</f>
        <v>7.13501918060122E-3</v>
      </c>
      <c r="AW8" s="332">
        <f t="shared" si="2"/>
        <v>-1</v>
      </c>
    </row>
    <row r="9" spans="1:49" x14ac:dyDescent="0.2">
      <c r="A9">
        <v>8</v>
      </c>
      <c r="B9" s="2" t="s">
        <v>97</v>
      </c>
      <c r="C9" s="2"/>
      <c r="D9" s="430" t="s">
        <v>331</v>
      </c>
      <c r="E9" s="257">
        <v>-5.62</v>
      </c>
      <c r="F9" s="333">
        <f>E9/$E$3</f>
        <v>2.7169849704803453E-5</v>
      </c>
      <c r="G9" s="257">
        <v>0</v>
      </c>
      <c r="H9" s="333">
        <f t="shared" si="3"/>
        <v>0</v>
      </c>
      <c r="I9" s="257">
        <v>-14.45</v>
      </c>
      <c r="J9" s="333">
        <f>I9/I3</f>
        <v>5.6701844045992453E-5</v>
      </c>
      <c r="K9" s="257">
        <v>7.0000000000000007E-2</v>
      </c>
      <c r="L9" s="333">
        <f>K9/K3</f>
        <v>-3.7736556998481696E-7</v>
      </c>
      <c r="M9" s="257">
        <v>-14.93</v>
      </c>
      <c r="N9" s="333">
        <f>M9/M3</f>
        <v>6.2811617986891429E-5</v>
      </c>
      <c r="O9" s="358">
        <v>-7.0000000000000007E-2</v>
      </c>
      <c r="P9" s="333">
        <f>O9/O3</f>
        <v>2.921918815737956E-7</v>
      </c>
      <c r="Q9" s="358">
        <v>-894.94</v>
      </c>
      <c r="R9" s="333">
        <f>Q9/Q3</f>
        <v>3.1037323722192685E-3</v>
      </c>
      <c r="S9" s="358">
        <v>-374.46</v>
      </c>
      <c r="T9" s="333">
        <f>S9/S3</f>
        <v>1.8155741116760867E-3</v>
      </c>
      <c r="U9" s="344">
        <f t="shared" si="0"/>
        <v>-1304.4000000000001</v>
      </c>
      <c r="V9" s="333">
        <f t="shared" si="4"/>
        <v>7.0447775490781455E-4</v>
      </c>
      <c r="W9" s="358">
        <v>-666.56</v>
      </c>
      <c r="X9" s="333">
        <f>W9/W3</f>
        <v>3.1012628191826428E-3</v>
      </c>
      <c r="Y9" s="358">
        <v>-11.39</v>
      </c>
      <c r="Z9" s="333">
        <f>Y9/Y3</f>
        <v>5.5197595032545989E-5</v>
      </c>
      <c r="AA9" s="358">
        <v>-7.0000000000000007E-2</v>
      </c>
      <c r="AB9" s="333">
        <f>AA9/AA3</f>
        <v>3.4772032814268018E-7</v>
      </c>
      <c r="AC9" s="333"/>
      <c r="AD9" s="333"/>
      <c r="AE9" s="333"/>
      <c r="AF9" s="333"/>
      <c r="AG9" s="333"/>
      <c r="AH9" s="333"/>
      <c r="AI9" s="333"/>
      <c r="AJ9" s="333"/>
      <c r="AK9" s="333"/>
      <c r="AL9" s="333"/>
      <c r="AM9" s="333"/>
      <c r="AN9" s="333"/>
      <c r="AO9" s="333"/>
      <c r="AP9" s="333"/>
      <c r="AQ9" s="333"/>
      <c r="AR9" s="333"/>
      <c r="AS9" s="333"/>
      <c r="AT9" s="333"/>
      <c r="AU9" s="344">
        <f t="shared" si="1"/>
        <v>-678.02</v>
      </c>
      <c r="AV9" s="333">
        <f>AU9/AU3</f>
        <v>1.0890267918066095E-3</v>
      </c>
      <c r="AW9" s="332">
        <f t="shared" si="2"/>
        <v>3.4022153965506874</v>
      </c>
    </row>
    <row r="10" spans="1:49" ht="15" x14ac:dyDescent="0.25">
      <c r="A10">
        <v>9</v>
      </c>
      <c r="B10" s="2" t="s">
        <v>97</v>
      </c>
      <c r="C10" s="2"/>
      <c r="D10" s="431" t="s">
        <v>332</v>
      </c>
      <c r="E10" s="267"/>
      <c r="F10" s="333">
        <f>E10/$E$3</f>
        <v>0</v>
      </c>
      <c r="G10" s="244"/>
      <c r="H10" s="333">
        <f t="shared" si="3"/>
        <v>0</v>
      </c>
      <c r="I10" s="244"/>
      <c r="J10" s="333">
        <f>I10/I3</f>
        <v>0</v>
      </c>
      <c r="K10" s="244"/>
      <c r="L10" s="333">
        <f>K10/K3</f>
        <v>0</v>
      </c>
      <c r="M10" s="244"/>
      <c r="N10" s="333">
        <f>M10/M3</f>
        <v>0</v>
      </c>
      <c r="O10" s="359"/>
      <c r="P10" s="333">
        <f>O10/O3</f>
        <v>0</v>
      </c>
      <c r="Q10" s="360"/>
      <c r="R10" s="333">
        <f>Q10/Q3</f>
        <v>0</v>
      </c>
      <c r="S10" s="360"/>
      <c r="T10" s="333">
        <f>S10/S3</f>
        <v>0</v>
      </c>
      <c r="U10" s="344">
        <f t="shared" si="0"/>
        <v>0</v>
      </c>
      <c r="V10" s="333">
        <f t="shared" si="4"/>
        <v>0</v>
      </c>
      <c r="W10" s="413"/>
      <c r="X10" s="333">
        <f>W10/W3</f>
        <v>0</v>
      </c>
      <c r="Y10" s="419"/>
      <c r="Z10" s="333">
        <f>Y10/Y3</f>
        <v>0</v>
      </c>
      <c r="AA10" s="358"/>
      <c r="AB10" s="333">
        <f>AA10/AA3</f>
        <v>0</v>
      </c>
      <c r="AC10" s="333"/>
      <c r="AD10" s="333"/>
      <c r="AE10" s="333"/>
      <c r="AF10" s="333"/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44">
        <f t="shared" si="1"/>
        <v>0</v>
      </c>
      <c r="AV10" s="333">
        <f>AU10/AU3</f>
        <v>0</v>
      </c>
      <c r="AW10" s="332" t="e">
        <f t="shared" si="2"/>
        <v>#DIV/0!</v>
      </c>
    </row>
    <row r="11" spans="1:49" ht="15" x14ac:dyDescent="0.2">
      <c r="A11">
        <v>10</v>
      </c>
      <c r="B11" s="110"/>
      <c r="C11" s="110"/>
      <c r="D11" s="426" t="s">
        <v>333</v>
      </c>
      <c r="E11" s="281">
        <v>3423141.8</v>
      </c>
      <c r="F11" s="330">
        <f>SUM(F12:F18)</f>
        <v>0.99999999999999989</v>
      </c>
      <c r="G11" s="281">
        <v>3835580.45</v>
      </c>
      <c r="H11" s="330">
        <f>SUM(H12:H18)</f>
        <v>0.99999999999999989</v>
      </c>
      <c r="I11" s="281">
        <v>4385404.6200030008</v>
      </c>
      <c r="J11" s="330">
        <f>SUM(J12:J18)</f>
        <v>1</v>
      </c>
      <c r="K11" s="281">
        <v>3268713.45</v>
      </c>
      <c r="L11" s="330">
        <f>SUM(L12:L18)</f>
        <v>1</v>
      </c>
      <c r="M11" s="281">
        <v>4015441.9999960009</v>
      </c>
      <c r="N11" s="330">
        <f>SUM(N12:N18)</f>
        <v>1</v>
      </c>
      <c r="O11" s="361">
        <v>4418572.0699999994</v>
      </c>
      <c r="P11" s="330">
        <f>SUM(P12:P18)</f>
        <v>1</v>
      </c>
      <c r="Q11" s="361">
        <v>5855995.8399999999</v>
      </c>
      <c r="R11" s="330">
        <f>SUM(R12:R18)</f>
        <v>1</v>
      </c>
      <c r="S11" s="361">
        <v>5105857.0999999996</v>
      </c>
      <c r="T11" s="330">
        <f>SUM(T12:T18)</f>
        <v>0.99999999999999989</v>
      </c>
      <c r="U11" s="344">
        <f t="shared" si="0"/>
        <v>34308707.329999</v>
      </c>
      <c r="V11" s="330">
        <f>SUM(V12:V18)</f>
        <v>1.0000000000000002</v>
      </c>
      <c r="W11" s="361">
        <v>4203289.71</v>
      </c>
      <c r="X11" s="330">
        <f>SUM(X12:X18)</f>
        <v>1</v>
      </c>
      <c r="Y11" s="361">
        <v>4281453.96</v>
      </c>
      <c r="Z11" s="330">
        <f>SUM(Z12:Z18)</f>
        <v>1.0000000000000002</v>
      </c>
      <c r="AA11" s="361">
        <v>4202462.17</v>
      </c>
      <c r="AB11" s="330">
        <f>SUM(AB12:AB18)</f>
        <v>1</v>
      </c>
      <c r="AC11" s="330"/>
      <c r="AD11" s="330"/>
      <c r="AE11" s="330"/>
      <c r="AF11" s="330"/>
      <c r="AG11" s="330"/>
      <c r="AH11" s="330"/>
      <c r="AI11" s="330"/>
      <c r="AJ11" s="330"/>
      <c r="AK11" s="330"/>
      <c r="AL11" s="330"/>
      <c r="AM11" s="330"/>
      <c r="AN11" s="330"/>
      <c r="AO11" s="330"/>
      <c r="AP11" s="330"/>
      <c r="AQ11" s="330"/>
      <c r="AR11" s="330"/>
      <c r="AS11" s="330"/>
      <c r="AT11" s="330"/>
      <c r="AU11" s="344">
        <f t="shared" si="1"/>
        <v>12687205.84</v>
      </c>
      <c r="AV11" s="330">
        <f>SUM(AV12:AV18)</f>
        <v>1.0000000000000002</v>
      </c>
      <c r="AW11" s="332">
        <f t="shared" si="2"/>
        <v>0</v>
      </c>
    </row>
    <row r="12" spans="1:49" x14ac:dyDescent="0.2">
      <c r="A12">
        <v>11</v>
      </c>
      <c r="B12" s="110"/>
      <c r="C12" s="110"/>
      <c r="D12" s="430" t="s">
        <v>334</v>
      </c>
      <c r="E12" s="256">
        <v>3300568.8499999996</v>
      </c>
      <c r="F12" s="329">
        <f>E12/E11</f>
        <v>0.9641928505561761</v>
      </c>
      <c r="G12" s="256">
        <v>3630920.75</v>
      </c>
      <c r="H12" s="329">
        <f>G12/G11</f>
        <v>0.94664179185708375</v>
      </c>
      <c r="I12" s="256">
        <v>3830477.2300030012</v>
      </c>
      <c r="J12" s="329">
        <f>I12/I11</f>
        <v>0.87346039007009124</v>
      </c>
      <c r="K12" s="256">
        <v>2964903.08</v>
      </c>
      <c r="L12" s="329">
        <f>K12/K11</f>
        <v>0.90705506167877759</v>
      </c>
      <c r="M12" s="256">
        <v>3711576.5199960009</v>
      </c>
      <c r="N12" s="329">
        <f>M12/M11</f>
        <v>0.92432577036343633</v>
      </c>
      <c r="O12" s="362">
        <v>3617089.25</v>
      </c>
      <c r="P12" s="329">
        <f>O12/O11</f>
        <v>0.81861044534235705</v>
      </c>
      <c r="Q12" s="362">
        <v>5152175.71</v>
      </c>
      <c r="R12" s="329">
        <f>Q12/Q11</f>
        <v>0.87981205089107439</v>
      </c>
      <c r="S12" s="362">
        <v>3627014.84</v>
      </c>
      <c r="T12" s="329">
        <f>S12/S11</f>
        <v>0.71036356266218259</v>
      </c>
      <c r="U12" s="344">
        <f t="shared" si="0"/>
        <v>29834726.229999002</v>
      </c>
      <c r="V12" s="329">
        <f t="shared" ref="V12:V18" si="5">U12/$U$11</f>
        <v>0.86959633725144703</v>
      </c>
      <c r="W12" s="363">
        <v>3803079.12</v>
      </c>
      <c r="X12" s="329">
        <f>W12/W11</f>
        <v>0.90478634174373862</v>
      </c>
      <c r="Y12" s="363">
        <v>3486184.91</v>
      </c>
      <c r="Z12" s="329">
        <f>Y12/Y11</f>
        <v>0.81425257460902378</v>
      </c>
      <c r="AA12" s="363">
        <v>3450368.47</v>
      </c>
      <c r="AB12" s="329">
        <f>AA12/AA11</f>
        <v>0.82103498625901972</v>
      </c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44">
        <f t="shared" si="1"/>
        <v>10739632.5</v>
      </c>
      <c r="AV12" s="329">
        <f>AU12/AU11</f>
        <v>0.84649312350086381</v>
      </c>
      <c r="AW12" s="332">
        <f t="shared" si="2"/>
        <v>4.0467056937610213E-2</v>
      </c>
    </row>
    <row r="13" spans="1:49" x14ac:dyDescent="0.2">
      <c r="A13">
        <v>12</v>
      </c>
      <c r="B13" s="110"/>
      <c r="C13" s="110"/>
      <c r="D13" s="430" t="s">
        <v>335</v>
      </c>
      <c r="E13" s="256">
        <v>112128.08</v>
      </c>
      <c r="F13" s="329">
        <f>E13/E11</f>
        <v>3.27558969365511E-2</v>
      </c>
      <c r="G13" s="256">
        <v>187391.46</v>
      </c>
      <c r="H13" s="329">
        <f>G13/G11</f>
        <v>4.8856089043836891E-2</v>
      </c>
      <c r="I13" s="256">
        <v>410618.00999999995</v>
      </c>
      <c r="J13" s="329">
        <f>I13/I11</f>
        <v>9.363286756416081E-2</v>
      </c>
      <c r="K13" s="256">
        <v>303810.37</v>
      </c>
      <c r="L13" s="329">
        <f>K13/K11</f>
        <v>9.2944938321222373E-2</v>
      </c>
      <c r="M13" s="256">
        <v>300715.48</v>
      </c>
      <c r="N13" s="329">
        <f>M13/M11</f>
        <v>7.4889758088972386E-2</v>
      </c>
      <c r="O13" s="363">
        <v>777922.42999999993</v>
      </c>
      <c r="P13" s="329">
        <f>O13/O11</f>
        <v>0.17605742707734084</v>
      </c>
      <c r="Q13" s="363">
        <v>292277.13</v>
      </c>
      <c r="R13" s="329">
        <f>Q13/Q11</f>
        <v>4.9910747545886237E-2</v>
      </c>
      <c r="S13" s="363">
        <v>943376.74</v>
      </c>
      <c r="T13" s="329">
        <f>S13/S11</f>
        <v>0.18476363938975104</v>
      </c>
      <c r="U13" s="344">
        <f t="shared" si="0"/>
        <v>3328239.7</v>
      </c>
      <c r="V13" s="329">
        <f t="shared" si="5"/>
        <v>9.7008600994122535E-2</v>
      </c>
      <c r="W13" s="363">
        <v>294420.53000000003</v>
      </c>
      <c r="X13" s="329">
        <f>W13/W11</f>
        <v>7.0045262238181541E-2</v>
      </c>
      <c r="Y13" s="363">
        <v>366114.72</v>
      </c>
      <c r="Z13" s="329">
        <f>Y13/Y11</f>
        <v>8.5511773201457003E-2</v>
      </c>
      <c r="AA13" s="363">
        <v>397295.7</v>
      </c>
      <c r="AB13" s="329">
        <f>AA13/AA11</f>
        <v>9.4538792719221554E-2</v>
      </c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44">
        <f t="shared" si="1"/>
        <v>1057830.95</v>
      </c>
      <c r="AV13" s="329">
        <f>AU13/AU11</f>
        <v>8.3377771539332096E-2</v>
      </c>
      <c r="AW13" s="332">
        <f t="shared" si="2"/>
        <v>-0.27794791884046055</v>
      </c>
    </row>
    <row r="14" spans="1:49" x14ac:dyDescent="0.2">
      <c r="A14">
        <v>13</v>
      </c>
      <c r="B14" s="110"/>
      <c r="C14" s="110"/>
      <c r="D14" s="430" t="s">
        <v>336</v>
      </c>
      <c r="E14" s="256">
        <v>6500</v>
      </c>
      <c r="F14" s="329">
        <f>E14/E11</f>
        <v>1.8988404161346751E-3</v>
      </c>
      <c r="G14" s="256">
        <v>4800</v>
      </c>
      <c r="H14" s="329">
        <f>G14/G11</f>
        <v>1.2514403132907824E-3</v>
      </c>
      <c r="I14" s="256">
        <v>5000</v>
      </c>
      <c r="J14" s="329">
        <f>I14/I11</f>
        <v>1.1401456497750894E-3</v>
      </c>
      <c r="K14" s="256">
        <v>0</v>
      </c>
      <c r="L14" s="329">
        <f>K14/K11</f>
        <v>0</v>
      </c>
      <c r="M14" s="256">
        <v>3150</v>
      </c>
      <c r="N14" s="329">
        <f>M14/M11</f>
        <v>7.8447154759130804E-4</v>
      </c>
      <c r="O14" s="362">
        <v>5600</v>
      </c>
      <c r="P14" s="329">
        <f>O14/O11</f>
        <v>1.2673777662293513E-3</v>
      </c>
      <c r="Q14" s="362">
        <v>0</v>
      </c>
      <c r="R14" s="329">
        <f>Q14/Q11</f>
        <v>0</v>
      </c>
      <c r="S14" s="362">
        <v>9750</v>
      </c>
      <c r="T14" s="329">
        <f>S14/S11</f>
        <v>1.909571656441384E-3</v>
      </c>
      <c r="U14" s="344">
        <f t="shared" si="0"/>
        <v>34800</v>
      </c>
      <c r="V14" s="329">
        <f t="shared" si="5"/>
        <v>1.0143197662702793E-3</v>
      </c>
      <c r="W14" s="363">
        <v>5150</v>
      </c>
      <c r="X14" s="329">
        <f>W14/W11</f>
        <v>1.2252307966656908E-3</v>
      </c>
      <c r="Y14" s="363">
        <v>0</v>
      </c>
      <c r="Z14" s="329">
        <f>Y14/Y11</f>
        <v>0</v>
      </c>
      <c r="AA14" s="363">
        <v>0</v>
      </c>
      <c r="AB14" s="329">
        <f>AA14/AA11</f>
        <v>0</v>
      </c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44">
        <f t="shared" si="1"/>
        <v>5150</v>
      </c>
      <c r="AV14" s="329">
        <f>AU14/AU11</f>
        <v>4.0592074133164688E-4</v>
      </c>
      <c r="AW14" s="332">
        <f t="shared" si="2"/>
        <v>0.20793347168116938</v>
      </c>
    </row>
    <row r="15" spans="1:49" x14ac:dyDescent="0.2">
      <c r="B15" s="110"/>
      <c r="C15" s="110"/>
      <c r="D15" s="432" t="s">
        <v>273</v>
      </c>
      <c r="E15" s="256">
        <v>0</v>
      </c>
      <c r="F15" s="329">
        <f>E15/E11</f>
        <v>0</v>
      </c>
      <c r="G15" s="256">
        <v>0</v>
      </c>
      <c r="H15" s="329">
        <f>G15/G11</f>
        <v>0</v>
      </c>
      <c r="I15" s="256">
        <v>0</v>
      </c>
      <c r="J15" s="329">
        <f>I15/I11</f>
        <v>0</v>
      </c>
      <c r="K15" s="256">
        <v>0</v>
      </c>
      <c r="L15" s="329">
        <f>K15/K11</f>
        <v>0</v>
      </c>
      <c r="M15" s="256">
        <v>0</v>
      </c>
      <c r="N15" s="329">
        <f>M15/M11</f>
        <v>0</v>
      </c>
      <c r="O15" s="362">
        <v>0</v>
      </c>
      <c r="P15" s="329">
        <f>O15/O11</f>
        <v>0</v>
      </c>
      <c r="Q15" s="362">
        <v>400000</v>
      </c>
      <c r="R15" s="329">
        <f>Q15/Q11</f>
        <v>6.830605945239196E-2</v>
      </c>
      <c r="S15" s="362">
        <v>500000</v>
      </c>
      <c r="T15" s="329">
        <f>S15/S11</f>
        <v>9.7926751612378668E-2</v>
      </c>
      <c r="U15" s="344">
        <f t="shared" si="0"/>
        <v>900000</v>
      </c>
      <c r="V15" s="329">
        <f t="shared" si="5"/>
        <v>2.6232407748369289E-2</v>
      </c>
      <c r="W15" s="363">
        <v>0</v>
      </c>
      <c r="X15" s="329">
        <f>W15/W11</f>
        <v>0</v>
      </c>
      <c r="Y15" s="363">
        <v>400000</v>
      </c>
      <c r="Z15" s="329">
        <f>Y15/Y11</f>
        <v>9.3426206082571073E-2</v>
      </c>
      <c r="AA15" s="363">
        <v>350000</v>
      </c>
      <c r="AB15" s="329">
        <f>AA15/AA11</f>
        <v>8.3284509376083213E-2</v>
      </c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44">
        <f t="shared" si="1"/>
        <v>750000</v>
      </c>
      <c r="AV15" s="329">
        <f>AU15/AU11</f>
        <v>5.911467106771557E-2</v>
      </c>
      <c r="AW15" s="332">
        <f t="shared" si="2"/>
        <v>-1</v>
      </c>
    </row>
    <row r="16" spans="1:49" x14ac:dyDescent="0.2">
      <c r="B16" s="110"/>
      <c r="C16" s="110"/>
      <c r="D16" s="432" t="s">
        <v>513</v>
      </c>
      <c r="E16" s="256">
        <v>0</v>
      </c>
      <c r="F16" s="329">
        <f>E16/E11</f>
        <v>0</v>
      </c>
      <c r="G16" s="256">
        <v>0</v>
      </c>
      <c r="H16" s="329">
        <f>G16/G11</f>
        <v>0</v>
      </c>
      <c r="I16" s="256">
        <v>0</v>
      </c>
      <c r="J16" s="329">
        <f>I16/I11</f>
        <v>0</v>
      </c>
      <c r="K16" s="256">
        <v>0</v>
      </c>
      <c r="L16" s="329">
        <f>K16/K11</f>
        <v>0</v>
      </c>
      <c r="M16" s="256">
        <v>0</v>
      </c>
      <c r="N16" s="329">
        <f>M16/M11</f>
        <v>0</v>
      </c>
      <c r="O16" s="362">
        <v>0</v>
      </c>
      <c r="P16" s="329">
        <f>O16/O11</f>
        <v>0</v>
      </c>
      <c r="Q16" s="362">
        <v>0</v>
      </c>
      <c r="R16" s="329">
        <f>Q16/Q11</f>
        <v>0</v>
      </c>
      <c r="S16" s="362">
        <v>0</v>
      </c>
      <c r="T16" s="329">
        <f>S16/S11</f>
        <v>0</v>
      </c>
      <c r="U16" s="344">
        <f t="shared" si="0"/>
        <v>0</v>
      </c>
      <c r="V16" s="329">
        <f t="shared" si="5"/>
        <v>0</v>
      </c>
      <c r="W16" s="363">
        <v>0</v>
      </c>
      <c r="X16" s="329">
        <f>W16/W11</f>
        <v>0</v>
      </c>
      <c r="Y16" s="363">
        <v>0</v>
      </c>
      <c r="Z16" s="329">
        <f>Y16/Y11</f>
        <v>0</v>
      </c>
      <c r="AA16" s="363">
        <v>0</v>
      </c>
      <c r="AB16" s="329">
        <f>AA16/AA11</f>
        <v>0</v>
      </c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44">
        <f t="shared" si="1"/>
        <v>0</v>
      </c>
      <c r="AV16" s="329">
        <f>AU16/AU11</f>
        <v>0</v>
      </c>
      <c r="AW16" s="332" t="e">
        <f t="shared" si="2"/>
        <v>#DIV/0!</v>
      </c>
    </row>
    <row r="17" spans="1:49" x14ac:dyDescent="0.2">
      <c r="B17" s="110"/>
      <c r="C17" s="110"/>
      <c r="D17" s="432" t="s">
        <v>514</v>
      </c>
      <c r="E17" s="256">
        <v>0</v>
      </c>
      <c r="F17" s="329">
        <f>E17/E11</f>
        <v>0</v>
      </c>
      <c r="G17" s="256">
        <v>0</v>
      </c>
      <c r="H17" s="329">
        <f>G17/G11</f>
        <v>0</v>
      </c>
      <c r="I17" s="256">
        <v>0</v>
      </c>
      <c r="J17" s="329">
        <f>I17/I11</f>
        <v>0</v>
      </c>
      <c r="K17" s="256">
        <v>0</v>
      </c>
      <c r="L17" s="329">
        <f>K17/K11</f>
        <v>0</v>
      </c>
      <c r="M17" s="256">
        <v>0</v>
      </c>
      <c r="N17" s="329">
        <f>M17/M11</f>
        <v>0</v>
      </c>
      <c r="O17" s="362">
        <v>14862.39</v>
      </c>
      <c r="P17" s="329">
        <f>O17/O11</f>
        <v>3.3636183283981156E-3</v>
      </c>
      <c r="Q17" s="362">
        <v>0</v>
      </c>
      <c r="R17" s="329">
        <f>Q17/Q11</f>
        <v>0</v>
      </c>
      <c r="S17" s="362">
        <v>23224.43</v>
      </c>
      <c r="T17" s="329">
        <f>S17/S11</f>
        <v>4.5485859758981504E-3</v>
      </c>
      <c r="U17" s="344">
        <f t="shared" si="0"/>
        <v>38086.82</v>
      </c>
      <c r="V17" s="329">
        <f t="shared" si="5"/>
        <v>1.1101211023097181E-3</v>
      </c>
      <c r="W17" s="363">
        <v>97542.06</v>
      </c>
      <c r="X17" s="329">
        <f>W17/W11</f>
        <v>2.3206123472274291E-2</v>
      </c>
      <c r="Y17" s="363">
        <v>24806.33</v>
      </c>
      <c r="Z17" s="329">
        <f>Y17/Y11</f>
        <v>5.793903246830664E-3</v>
      </c>
      <c r="AA17" s="363">
        <v>0</v>
      </c>
      <c r="AB17" s="329">
        <f>AA17/AA11</f>
        <v>0</v>
      </c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44">
        <f t="shared" si="1"/>
        <v>122348.39</v>
      </c>
      <c r="AV17" s="329">
        <f>AU17/AU11</f>
        <v>9.6434464406861074E-3</v>
      </c>
      <c r="AW17" s="332">
        <f t="shared" si="2"/>
        <v>19.904136876590876</v>
      </c>
    </row>
    <row r="18" spans="1:49" x14ac:dyDescent="0.2">
      <c r="A18">
        <v>14</v>
      </c>
      <c r="B18" s="110"/>
      <c r="C18" s="110"/>
      <c r="D18" s="430" t="s">
        <v>337</v>
      </c>
      <c r="E18" s="256">
        <v>3944.87</v>
      </c>
      <c r="F18" s="329">
        <f>E18/E11</f>
        <v>1.1524120911380301E-3</v>
      </c>
      <c r="G18" s="256">
        <v>12468.24</v>
      </c>
      <c r="H18" s="329">
        <f>G18/G11</f>
        <v>3.2506787857884715E-3</v>
      </c>
      <c r="I18" s="256">
        <v>139309.38</v>
      </c>
      <c r="J18" s="329">
        <f>I18/I11</f>
        <v>3.176659671597297E-2</v>
      </c>
      <c r="K18" s="256">
        <v>0</v>
      </c>
      <c r="L18" s="329">
        <f>K18/K11</f>
        <v>0</v>
      </c>
      <c r="M18" s="256">
        <v>0</v>
      </c>
      <c r="N18" s="329">
        <f>M18/M11</f>
        <v>0</v>
      </c>
      <c r="O18" s="362">
        <v>3098</v>
      </c>
      <c r="P18" s="329">
        <f>O18/O11</f>
        <v>7.0113148567473753E-4</v>
      </c>
      <c r="Q18" s="362">
        <v>11543</v>
      </c>
      <c r="R18" s="329">
        <f>Q18/Q11</f>
        <v>1.9711421106474009E-3</v>
      </c>
      <c r="S18" s="362">
        <v>2491.0899999999997</v>
      </c>
      <c r="T18" s="329">
        <f>S18/S11</f>
        <v>4.8788870334816065E-4</v>
      </c>
      <c r="U18" s="344">
        <f t="shared" si="0"/>
        <v>172854.58</v>
      </c>
      <c r="V18" s="329">
        <f t="shared" si="5"/>
        <v>5.0382131374812431E-3</v>
      </c>
      <c r="W18" s="363">
        <v>3098</v>
      </c>
      <c r="X18" s="329">
        <f>W18/W11</f>
        <v>7.3704174913986594E-4</v>
      </c>
      <c r="Y18" s="363">
        <v>4348</v>
      </c>
      <c r="Z18" s="329">
        <f>Y18/Y11</f>
        <v>1.0155428601175476E-3</v>
      </c>
      <c r="AA18" s="363">
        <v>4798</v>
      </c>
      <c r="AB18" s="329">
        <f>AA18/AA11</f>
        <v>1.1417116456755637E-3</v>
      </c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44">
        <f t="shared" si="1"/>
        <v>12244</v>
      </c>
      <c r="AV18" s="329">
        <f>AU18/AU11</f>
        <v>9.6506671007081258E-4</v>
      </c>
      <c r="AW18" s="332">
        <f t="shared" si="2"/>
        <v>-0.85370969249857187</v>
      </c>
    </row>
    <row r="19" spans="1:49" ht="14.25" x14ac:dyDescent="0.2">
      <c r="A19">
        <v>15</v>
      </c>
      <c r="B19" s="110"/>
      <c r="C19" s="110"/>
      <c r="D19" s="423" t="s">
        <v>338</v>
      </c>
      <c r="E19" s="272">
        <v>-1565135.04</v>
      </c>
      <c r="F19" s="342">
        <f>SUM(F20:F24)</f>
        <v>0.99999999999999989</v>
      </c>
      <c r="G19" s="272">
        <v>-1492450.0903999999</v>
      </c>
      <c r="H19" s="342">
        <f>SUM(H20:H24)</f>
        <v>1</v>
      </c>
      <c r="I19" s="272">
        <v>-1637052.2888</v>
      </c>
      <c r="J19" s="342">
        <f>SUM(J20:J24)</f>
        <v>1</v>
      </c>
      <c r="K19" s="272">
        <v>-1570621.0914000003</v>
      </c>
      <c r="L19" s="342">
        <f>SUM(L20:L24)</f>
        <v>0.99999999999999989</v>
      </c>
      <c r="M19" s="272">
        <v>-1612226.2650000001</v>
      </c>
      <c r="N19" s="342">
        <f>SUM(N20:N24)</f>
        <v>0.99999999999999989</v>
      </c>
      <c r="O19" s="364">
        <v>-1713951.5512000001</v>
      </c>
      <c r="P19" s="342">
        <f>SUM(P20:P24)</f>
        <v>1</v>
      </c>
      <c r="Q19" s="364">
        <v>-1715154.4735999997</v>
      </c>
      <c r="R19" s="342">
        <f>SUM(R20:R24)</f>
        <v>1</v>
      </c>
      <c r="S19" s="364">
        <v>-1702156.0195000002</v>
      </c>
      <c r="T19" s="342">
        <f>SUM(T20:T24)</f>
        <v>0.99999999999999989</v>
      </c>
      <c r="U19" s="344">
        <f t="shared" si="0"/>
        <v>-13008746.819900002</v>
      </c>
      <c r="V19" s="342">
        <f>SUM(V20:V24)</f>
        <v>0.99999999999999989</v>
      </c>
      <c r="W19" s="364">
        <v>-1668331.1248000001</v>
      </c>
      <c r="X19" s="342">
        <f>SUM(X20:X24)</f>
        <v>1</v>
      </c>
      <c r="Y19" s="364">
        <v>-1655218.0781999996</v>
      </c>
      <c r="Z19" s="342">
        <f>SUM(Z20:Z24)</f>
        <v>1</v>
      </c>
      <c r="AA19" s="364">
        <v>-1624745.6630999998</v>
      </c>
      <c r="AB19" s="342">
        <f>SUM(AB20:AB24)</f>
        <v>1</v>
      </c>
      <c r="AC19" s="346"/>
      <c r="AD19" s="346"/>
      <c r="AE19" s="346"/>
      <c r="AF19" s="346"/>
      <c r="AG19" s="346"/>
      <c r="AH19" s="346"/>
      <c r="AI19" s="346"/>
      <c r="AJ19" s="346"/>
      <c r="AK19" s="346"/>
      <c r="AL19" s="346"/>
      <c r="AM19" s="346"/>
      <c r="AN19" s="346"/>
      <c r="AO19" s="346"/>
      <c r="AP19" s="346"/>
      <c r="AQ19" s="346"/>
      <c r="AR19" s="346"/>
      <c r="AS19" s="346"/>
      <c r="AT19" s="346"/>
      <c r="AU19" s="344">
        <f t="shared" si="1"/>
        <v>-4948294.8660999993</v>
      </c>
      <c r="AV19" s="342">
        <f>SUM(AV20:AV24)</f>
        <v>1</v>
      </c>
      <c r="AW19" s="332">
        <f t="shared" si="2"/>
        <v>0</v>
      </c>
    </row>
    <row r="20" spans="1:49" x14ac:dyDescent="0.2">
      <c r="A20">
        <v>16</v>
      </c>
      <c r="B20" s="2" t="s">
        <v>97</v>
      </c>
      <c r="C20" s="2"/>
      <c r="D20" s="433" t="s">
        <v>340</v>
      </c>
      <c r="E20" s="279">
        <v>-69000.39</v>
      </c>
      <c r="F20" s="341">
        <f>E20/$E$19</f>
        <v>4.4085902006257553E-2</v>
      </c>
      <c r="G20" s="257">
        <v>-43713.2</v>
      </c>
      <c r="H20" s="341">
        <f>G20/$G$19</f>
        <v>2.9289555664996594E-2</v>
      </c>
      <c r="I20" s="257">
        <v>-150696.85</v>
      </c>
      <c r="J20" s="341">
        <f>I20/I19</f>
        <v>9.2053779241507636E-2</v>
      </c>
      <c r="K20" s="257">
        <v>-78157.039999999994</v>
      </c>
      <c r="L20" s="341">
        <f>K20/K19</f>
        <v>4.9761868364019843E-2</v>
      </c>
      <c r="M20" s="257">
        <v>-45044.93</v>
      </c>
      <c r="N20" s="341">
        <f>M20/M19</f>
        <v>2.7939583281754807E-2</v>
      </c>
      <c r="O20" s="358">
        <v>-101101.62999999999</v>
      </c>
      <c r="P20" s="341">
        <f>O20/O19</f>
        <v>5.8987449166351902E-2</v>
      </c>
      <c r="Q20" s="358">
        <v>-36733.81</v>
      </c>
      <c r="R20" s="341">
        <f>Q20/Q19</f>
        <v>2.1417202103608823E-2</v>
      </c>
      <c r="S20" s="358">
        <v>-39949.51</v>
      </c>
      <c r="T20" s="341">
        <f>S20/S19</f>
        <v>2.3469946081520171E-2</v>
      </c>
      <c r="U20" s="344">
        <f t="shared" si="0"/>
        <v>-564397.36</v>
      </c>
      <c r="V20" s="341">
        <f>U20/$U$19</f>
        <v>4.3385990042993122E-2</v>
      </c>
      <c r="W20" s="358">
        <v>-18249.39</v>
      </c>
      <c r="X20" s="341">
        <f>W20/W19</f>
        <v>1.0938709785317791E-2</v>
      </c>
      <c r="Y20" s="358">
        <v>-43101.16</v>
      </c>
      <c r="Z20" s="341">
        <f>Y20/Y19</f>
        <v>2.6039565763365292E-2</v>
      </c>
      <c r="AA20" s="358">
        <v>-24888.15</v>
      </c>
      <c r="AB20" s="341">
        <f>AA20/AA19</f>
        <v>1.5318182140898065E-2</v>
      </c>
      <c r="AC20" s="341"/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1"/>
      <c r="AP20" s="341"/>
      <c r="AQ20" s="341"/>
      <c r="AR20" s="341"/>
      <c r="AS20" s="341"/>
      <c r="AT20" s="341"/>
      <c r="AU20" s="344">
        <f t="shared" si="1"/>
        <v>-86238.700000000012</v>
      </c>
      <c r="AV20" s="341">
        <f>AU20/AU19</f>
        <v>1.7427963032439309E-2</v>
      </c>
      <c r="AW20" s="332">
        <f t="shared" si="2"/>
        <v>-0.74787460711445952</v>
      </c>
    </row>
    <row r="21" spans="1:49" x14ac:dyDescent="0.2">
      <c r="A21">
        <v>17</v>
      </c>
      <c r="B21" s="2" t="s">
        <v>97</v>
      </c>
      <c r="C21" s="2"/>
      <c r="D21" s="433" t="s">
        <v>341</v>
      </c>
      <c r="E21" s="252">
        <v>-138202.63</v>
      </c>
      <c r="F21" s="341">
        <f t="shared" ref="F21:F24" si="6">E21/$E$19</f>
        <v>8.830077052009519E-2</v>
      </c>
      <c r="G21" s="257">
        <v>-165444.51</v>
      </c>
      <c r="H21" s="341">
        <f t="shared" ref="H21:H23" si="7">G21/$G$19</f>
        <v>0.11085429996232457</v>
      </c>
      <c r="I21" s="257">
        <v>-169686.16</v>
      </c>
      <c r="J21" s="341">
        <f>I21/I19</f>
        <v>0.10365347592188651</v>
      </c>
      <c r="K21" s="257">
        <v>-165603.79999999999</v>
      </c>
      <c r="L21" s="341">
        <f>K21/K19</f>
        <v>0.10543841599146372</v>
      </c>
      <c r="M21" s="257">
        <v>-198728.85</v>
      </c>
      <c r="N21" s="341">
        <f>M21/M19</f>
        <v>0.1232636226776767</v>
      </c>
      <c r="O21" s="358">
        <v>-216962.07</v>
      </c>
      <c r="P21" s="341">
        <f>O21/O19</f>
        <v>0.12658588269201479</v>
      </c>
      <c r="Q21" s="358">
        <v>-264809.08</v>
      </c>
      <c r="R21" s="341">
        <f>Q21/Q19</f>
        <v>0.15439372026018314</v>
      </c>
      <c r="S21" s="358">
        <v>-254639.2</v>
      </c>
      <c r="T21" s="341">
        <f>S21/S19</f>
        <v>0.14959803747884345</v>
      </c>
      <c r="U21" s="344">
        <f t="shared" si="0"/>
        <v>-1574076.3</v>
      </c>
      <c r="V21" s="341">
        <f t="shared" ref="V21:V24" si="8">U21/$U$19</f>
        <v>0.12100137867177739</v>
      </c>
      <c r="W21" s="414">
        <v>-217634.95</v>
      </c>
      <c r="X21" s="341">
        <f>W21/W19</f>
        <v>0.13045069217065056</v>
      </c>
      <c r="Y21" s="414">
        <v>-151787.51</v>
      </c>
      <c r="Z21" s="341">
        <f>Y21/Y19</f>
        <v>9.1702423988181916E-2</v>
      </c>
      <c r="AA21" s="414">
        <v>-127979.75</v>
      </c>
      <c r="AB21" s="341">
        <f>AA21/AA19</f>
        <v>7.8769097777319691E-2</v>
      </c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4">
        <f t="shared" si="1"/>
        <v>-497402.21</v>
      </c>
      <c r="AV21" s="341">
        <f>AU21/AU19</f>
        <v>0.10051992119702191</v>
      </c>
      <c r="AW21" s="332">
        <f t="shared" si="2"/>
        <v>7.8092610204921087E-2</v>
      </c>
    </row>
    <row r="22" spans="1:49" x14ac:dyDescent="0.2">
      <c r="A22">
        <v>18</v>
      </c>
      <c r="B22" s="2" t="s">
        <v>397</v>
      </c>
      <c r="C22" s="2">
        <v>1</v>
      </c>
      <c r="D22" s="433" t="s">
        <v>342</v>
      </c>
      <c r="E22" s="252">
        <v>-1261018.94</v>
      </c>
      <c r="F22" s="341">
        <f t="shared" si="6"/>
        <v>0.80569337965879284</v>
      </c>
      <c r="G22" s="257">
        <v>-1247698.2404</v>
      </c>
      <c r="H22" s="341">
        <f t="shared" si="7"/>
        <v>0.83600667682334184</v>
      </c>
      <c r="I22" s="257">
        <v>-1257014.5288</v>
      </c>
      <c r="J22" s="341">
        <f>I22/I19</f>
        <v>0.76785239995078158</v>
      </c>
      <c r="K22" s="257">
        <v>-1275862.1514000001</v>
      </c>
      <c r="L22" s="341">
        <f>K22/K19</f>
        <v>0.81232969453042192</v>
      </c>
      <c r="M22" s="257">
        <v>-1300087.375</v>
      </c>
      <c r="N22" s="341">
        <f>M22/M19</f>
        <v>0.80639262814639723</v>
      </c>
      <c r="O22" s="358">
        <v>-1339147.3012000001</v>
      </c>
      <c r="P22" s="341">
        <f>O22/O19</f>
        <v>0.78132156084716287</v>
      </c>
      <c r="Q22" s="358">
        <v>-1351942.3735999998</v>
      </c>
      <c r="R22" s="341">
        <f>Q22/Q19</f>
        <v>0.78823359318904906</v>
      </c>
      <c r="S22" s="358">
        <v>-1333428.7895000002</v>
      </c>
      <c r="T22" s="341">
        <f>S22/S19</f>
        <v>0.78337636164027324</v>
      </c>
      <c r="U22" s="344">
        <f t="shared" si="0"/>
        <v>-10366199.699900001</v>
      </c>
      <c r="V22" s="341">
        <f t="shared" si="8"/>
        <v>0.79686382119778132</v>
      </c>
      <c r="W22" s="414">
        <v>-1388902.2948</v>
      </c>
      <c r="X22" s="341">
        <f>W22/W19</f>
        <v>0.83250997008552596</v>
      </c>
      <c r="Y22" s="414">
        <v>-1404814.5481999996</v>
      </c>
      <c r="Z22" s="341">
        <f>Y22/Y19</f>
        <v>0.84871870764467094</v>
      </c>
      <c r="AA22" s="414">
        <v>-1420450.1930999998</v>
      </c>
      <c r="AB22" s="341">
        <f>AA22/AA19</f>
        <v>0.87426003057598189</v>
      </c>
      <c r="AC22" s="341"/>
      <c r="AD22" s="341"/>
      <c r="AE22" s="341"/>
      <c r="AF22" s="341"/>
      <c r="AG22" s="341"/>
      <c r="AH22" s="341"/>
      <c r="AI22" s="341"/>
      <c r="AJ22" s="341"/>
      <c r="AK22" s="341"/>
      <c r="AL22" s="341"/>
      <c r="AM22" s="341"/>
      <c r="AN22" s="341"/>
      <c r="AO22" s="341"/>
      <c r="AP22" s="341"/>
      <c r="AQ22" s="341"/>
      <c r="AR22" s="341"/>
      <c r="AS22" s="341"/>
      <c r="AT22" s="341"/>
      <c r="AU22" s="344">
        <f t="shared" si="1"/>
        <v>-4214167.0360999992</v>
      </c>
      <c r="AV22" s="341">
        <f>AU22/AU19</f>
        <v>0.85164024176703856</v>
      </c>
      <c r="AW22" s="332">
        <f t="shared" si="2"/>
        <v>4.4733049662317725E-2</v>
      </c>
    </row>
    <row r="23" spans="1:49" x14ac:dyDescent="0.2">
      <c r="A23">
        <v>19</v>
      </c>
      <c r="B23" s="2" t="s">
        <v>97</v>
      </c>
      <c r="C23" s="2"/>
      <c r="D23" s="433" t="s">
        <v>343</v>
      </c>
      <c r="E23" s="252">
        <v>-20420.989999999998</v>
      </c>
      <c r="F23" s="341">
        <f t="shared" si="6"/>
        <v>1.3047430079899046E-2</v>
      </c>
      <c r="G23" s="257">
        <v>-35594.14</v>
      </c>
      <c r="H23" s="341">
        <f t="shared" si="7"/>
        <v>2.3849467549337089E-2</v>
      </c>
      <c r="I23" s="257">
        <v>-59654.75</v>
      </c>
      <c r="J23" s="341">
        <f>I23/I19</f>
        <v>3.6440344885824275E-2</v>
      </c>
      <c r="K23" s="257">
        <v>-50998.1</v>
      </c>
      <c r="L23" s="341">
        <f>K23/K19</f>
        <v>3.2470021114094402E-2</v>
      </c>
      <c r="M23" s="257">
        <v>-68365.11</v>
      </c>
      <c r="N23" s="341">
        <f>M23/M19</f>
        <v>4.2404165894171182E-2</v>
      </c>
      <c r="O23" s="358">
        <v>-56740.55</v>
      </c>
      <c r="P23" s="341">
        <f>O23/O19</f>
        <v>3.3105107294470415E-2</v>
      </c>
      <c r="Q23" s="358">
        <v>-61669.21</v>
      </c>
      <c r="R23" s="341">
        <f>Q23/Q19</f>
        <v>3.5955484447159014E-2</v>
      </c>
      <c r="S23" s="358">
        <v>-74138.52</v>
      </c>
      <c r="T23" s="341">
        <f>S23/S19</f>
        <v>4.3555654799363117E-2</v>
      </c>
      <c r="U23" s="344">
        <f t="shared" si="0"/>
        <v>-427581.37000000005</v>
      </c>
      <c r="V23" s="341">
        <f t="shared" si="8"/>
        <v>3.286875945236413E-2</v>
      </c>
      <c r="W23" s="414">
        <v>-43544.49</v>
      </c>
      <c r="X23" s="341">
        <f>W23/W19</f>
        <v>2.6100627958505613E-2</v>
      </c>
      <c r="Y23" s="414">
        <v>-55514.86</v>
      </c>
      <c r="Z23" s="341">
        <f>Y23/Y19</f>
        <v>3.353930260378183E-2</v>
      </c>
      <c r="AA23" s="414">
        <v>-51427.57</v>
      </c>
      <c r="AB23" s="341">
        <f>AA23/AA19</f>
        <v>3.1652689505800351E-2</v>
      </c>
      <c r="AC23" s="341"/>
      <c r="AD23" s="341"/>
      <c r="AE23" s="341"/>
      <c r="AF23" s="341"/>
      <c r="AG23" s="341"/>
      <c r="AH23" s="341"/>
      <c r="AI23" s="341"/>
      <c r="AJ23" s="341"/>
      <c r="AK23" s="341"/>
      <c r="AL23" s="341"/>
      <c r="AM23" s="341"/>
      <c r="AN23" s="341"/>
      <c r="AO23" s="341"/>
      <c r="AP23" s="341"/>
      <c r="AQ23" s="341"/>
      <c r="AR23" s="341"/>
      <c r="AS23" s="341"/>
      <c r="AT23" s="341"/>
      <c r="AU23" s="344">
        <f t="shared" si="1"/>
        <v>-150486.92000000001</v>
      </c>
      <c r="AV23" s="341">
        <f>AU23/AU19</f>
        <v>3.0411874003500188E-2</v>
      </c>
      <c r="AW23" s="332">
        <f t="shared" si="2"/>
        <v>-0.20591381015360199</v>
      </c>
    </row>
    <row r="24" spans="1:49" x14ac:dyDescent="0.2">
      <c r="A24">
        <v>20</v>
      </c>
      <c r="B24" s="2" t="s">
        <v>397</v>
      </c>
      <c r="C24" s="2">
        <v>1</v>
      </c>
      <c r="D24" s="433" t="s">
        <v>344</v>
      </c>
      <c r="E24" s="252">
        <v>-76492.09</v>
      </c>
      <c r="F24" s="341">
        <f t="shared" si="6"/>
        <v>4.8872517734955316E-2</v>
      </c>
      <c r="G24" s="284">
        <v>0</v>
      </c>
      <c r="H24" s="341">
        <f t="shared" ref="H24" si="9">G24/$F$18</f>
        <v>0</v>
      </c>
      <c r="I24" s="284">
        <v>0</v>
      </c>
      <c r="J24" s="341">
        <f>I24/I19</f>
        <v>0</v>
      </c>
      <c r="K24" s="284">
        <v>0</v>
      </c>
      <c r="L24" s="341">
        <f>K24/K19</f>
        <v>0</v>
      </c>
      <c r="M24" s="284">
        <v>0</v>
      </c>
      <c r="N24" s="341">
        <f>M24/M19</f>
        <v>0</v>
      </c>
      <c r="O24" s="358">
        <v>0</v>
      </c>
      <c r="P24" s="341">
        <f>O24/O19</f>
        <v>0</v>
      </c>
      <c r="Q24" s="358">
        <v>0</v>
      </c>
      <c r="R24" s="341">
        <f>Q24/Q19</f>
        <v>0</v>
      </c>
      <c r="S24" s="358">
        <v>0</v>
      </c>
      <c r="T24" s="341">
        <f>S24/S19</f>
        <v>0</v>
      </c>
      <c r="U24" s="344">
        <f t="shared" si="0"/>
        <v>-76492.09</v>
      </c>
      <c r="V24" s="341">
        <f t="shared" si="8"/>
        <v>5.8800506350840014E-3</v>
      </c>
      <c r="W24" s="414"/>
      <c r="X24" s="341">
        <f>W24/W19</f>
        <v>0</v>
      </c>
      <c r="Y24" s="414"/>
      <c r="Z24" s="341">
        <f>Y24/Y19</f>
        <v>0</v>
      </c>
      <c r="AA24" s="436"/>
      <c r="AB24" s="341">
        <f>AA24/AA19</f>
        <v>0</v>
      </c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4">
        <f t="shared" si="1"/>
        <v>0</v>
      </c>
      <c r="AV24" s="341">
        <f>AU24/AU19</f>
        <v>0</v>
      </c>
      <c r="AW24" s="332">
        <f t="shared" si="2"/>
        <v>-1</v>
      </c>
    </row>
    <row r="25" spans="1:49" ht="14.25" x14ac:dyDescent="0.2">
      <c r="A25">
        <v>21</v>
      </c>
      <c r="B25" s="110"/>
      <c r="C25" s="110"/>
      <c r="D25" s="427" t="s">
        <v>345</v>
      </c>
      <c r="E25" s="324">
        <v>1858006.7599999998</v>
      </c>
      <c r="F25" s="343">
        <f>E25/E2</f>
        <v>0.51184918141605351</v>
      </c>
      <c r="G25" s="324">
        <v>2343130.3596000001</v>
      </c>
      <c r="H25" s="343">
        <f>G25/G2</f>
        <v>0.57597317350287724</v>
      </c>
      <c r="I25" s="324">
        <v>2748352.3312030006</v>
      </c>
      <c r="J25" s="343">
        <f>I25/I2</f>
        <v>0.5922858577845147</v>
      </c>
      <c r="K25" s="324">
        <v>1698092.3585999999</v>
      </c>
      <c r="L25" s="343">
        <f>K25/K2</f>
        <v>0.49160079246717009</v>
      </c>
      <c r="M25" s="324">
        <v>2403215.7349960008</v>
      </c>
      <c r="N25" s="343">
        <f>M25/M2</f>
        <v>0.56504547180204101</v>
      </c>
      <c r="O25" s="365">
        <v>2704620.5187999993</v>
      </c>
      <c r="P25" s="343">
        <f>O25/O2</f>
        <v>0.58062233633387117</v>
      </c>
      <c r="Q25" s="365">
        <v>4140841.3664000002</v>
      </c>
      <c r="R25" s="343">
        <f>Q25/Q2</f>
        <v>0.67392788165547701</v>
      </c>
      <c r="S25" s="365">
        <v>3403701.0804999992</v>
      </c>
      <c r="T25" s="343">
        <f>S25/S2</f>
        <v>0.64074420544650201</v>
      </c>
      <c r="U25" s="344">
        <f t="shared" si="0"/>
        <v>21299960.510099001</v>
      </c>
      <c r="V25" s="343">
        <f>U25/U2</f>
        <v>0.58904282871619806</v>
      </c>
      <c r="W25" s="365">
        <v>2534958.5851999996</v>
      </c>
      <c r="X25" s="343">
        <f>W25/W2</f>
        <v>0.57577965921085872</v>
      </c>
      <c r="Y25" s="365">
        <v>2626235.8818000006</v>
      </c>
      <c r="Z25" s="343">
        <f>Y25/Y2</f>
        <v>0.58539612734568425</v>
      </c>
      <c r="AA25" s="365">
        <v>2577716.5069000004</v>
      </c>
      <c r="AB25" s="343">
        <f>AA25/AA2</f>
        <v>0.58608517669548921</v>
      </c>
      <c r="AC25" s="343"/>
      <c r="AD25" s="343"/>
      <c r="AE25" s="343"/>
      <c r="AF25" s="343"/>
      <c r="AG25" s="343"/>
      <c r="AH25" s="343"/>
      <c r="AI25" s="343"/>
      <c r="AJ25" s="343"/>
      <c r="AK25" s="343"/>
      <c r="AL25" s="343"/>
      <c r="AM25" s="343"/>
      <c r="AN25" s="343"/>
      <c r="AO25" s="343"/>
      <c r="AP25" s="343"/>
      <c r="AQ25" s="343"/>
      <c r="AR25" s="343"/>
      <c r="AS25" s="343"/>
      <c r="AT25" s="343"/>
      <c r="AU25" s="344">
        <f t="shared" si="1"/>
        <v>7738910.9739000006</v>
      </c>
      <c r="AV25" s="343">
        <f>AU25/AU2</f>
        <v>0.58243781433538555</v>
      </c>
      <c r="AW25" s="332">
        <f t="shared" si="2"/>
        <v>-2.2516477340444041E-2</v>
      </c>
    </row>
    <row r="26" spans="1:49" ht="14.25" x14ac:dyDescent="0.2">
      <c r="A26">
        <v>22</v>
      </c>
      <c r="B26" s="110"/>
      <c r="C26" s="110"/>
      <c r="D26" s="423" t="s">
        <v>346</v>
      </c>
      <c r="E26" s="272">
        <v>-594460.91</v>
      </c>
      <c r="F26" s="342">
        <f>F36+F35+F34+F27</f>
        <v>1</v>
      </c>
      <c r="G26" s="272">
        <v>-646297.59</v>
      </c>
      <c r="H26" s="342">
        <f>H27+H34+H35+H36</f>
        <v>1</v>
      </c>
      <c r="I26" s="272">
        <v>-685485.38000000012</v>
      </c>
      <c r="J26" s="342">
        <f>J36+J35+J34+J27</f>
        <v>0.99999999999999989</v>
      </c>
      <c r="K26" s="272">
        <v>-695251.10000000009</v>
      </c>
      <c r="L26" s="342">
        <f>L36+L35+L34+L27</f>
        <v>0.99999999999999989</v>
      </c>
      <c r="M26" s="272">
        <v>-706999.54</v>
      </c>
      <c r="N26" s="342">
        <f>N36+N35+N34+N27</f>
        <v>1</v>
      </c>
      <c r="O26" s="364">
        <v>-861161.45</v>
      </c>
      <c r="P26" s="342">
        <f>P36+P35+P34+P27</f>
        <v>1</v>
      </c>
      <c r="Q26" s="364">
        <v>-837267.46999999986</v>
      </c>
      <c r="R26" s="342">
        <f>R36+R35+R34+R27</f>
        <v>1</v>
      </c>
      <c r="S26" s="364">
        <v>-887861.64999999991</v>
      </c>
      <c r="T26" s="342">
        <f>T36+T35+T34+T27</f>
        <v>1</v>
      </c>
      <c r="U26" s="344">
        <f t="shared" si="0"/>
        <v>-5914785.0899999999</v>
      </c>
      <c r="V26" s="342">
        <f>V27+V34+V35+V36</f>
        <v>1</v>
      </c>
      <c r="W26" s="364">
        <v>-748877.49880000006</v>
      </c>
      <c r="X26" s="342">
        <f>X36+X35+X34+X27</f>
        <v>0.99999999999999989</v>
      </c>
      <c r="Y26" s="364">
        <v>-824323.63699999999</v>
      </c>
      <c r="Z26" s="342">
        <f>Z36+Z35+Z34+Z27</f>
        <v>1</v>
      </c>
      <c r="AA26" s="364">
        <v>-843251.59349999996</v>
      </c>
      <c r="AB26" s="342">
        <f>AB36+AB35+AB34+AB27</f>
        <v>1</v>
      </c>
      <c r="AC26" s="346"/>
      <c r="AD26" s="346"/>
      <c r="AE26" s="346"/>
      <c r="AF26" s="346"/>
      <c r="AG26" s="346"/>
      <c r="AH26" s="346"/>
      <c r="AI26" s="346"/>
      <c r="AJ26" s="346"/>
      <c r="AK26" s="346"/>
      <c r="AL26" s="346"/>
      <c r="AM26" s="346"/>
      <c r="AN26" s="346"/>
      <c r="AO26" s="346"/>
      <c r="AP26" s="346"/>
      <c r="AQ26" s="346"/>
      <c r="AR26" s="346"/>
      <c r="AS26" s="346"/>
      <c r="AT26" s="346"/>
      <c r="AU26" s="344">
        <f t="shared" si="1"/>
        <v>-2416452.7292999998</v>
      </c>
      <c r="AV26" s="342">
        <f>AV36+AV35+AV34+AV27</f>
        <v>1</v>
      </c>
      <c r="AW26" s="332">
        <f t="shared" si="2"/>
        <v>0</v>
      </c>
    </row>
    <row r="27" spans="1:49" x14ac:dyDescent="0.2">
      <c r="A27">
        <v>23</v>
      </c>
      <c r="B27" s="110"/>
      <c r="C27" s="110"/>
      <c r="D27" s="425" t="s">
        <v>347</v>
      </c>
      <c r="E27" s="259">
        <v>-159350.01999999999</v>
      </c>
      <c r="F27" s="336">
        <f>SUM(F28:F33)</f>
        <v>0.2680580292487188</v>
      </c>
      <c r="G27" s="259">
        <v>-152360.52000000002</v>
      </c>
      <c r="H27" s="336">
        <f>SUM(H28:H33)</f>
        <v>0.23574359916768375</v>
      </c>
      <c r="I27" s="259">
        <v>-137491.99</v>
      </c>
      <c r="J27" s="336">
        <f>SUM(J28:J33)</f>
        <v>0.20057610856704189</v>
      </c>
      <c r="K27" s="259">
        <v>-134159.91</v>
      </c>
      <c r="L27" s="336">
        <f>SUM(L28:L33)</f>
        <v>0.19296612403777566</v>
      </c>
      <c r="M27" s="259">
        <v>-134726.97</v>
      </c>
      <c r="N27" s="336">
        <f>SUM(N28:N33)</f>
        <v>0.19056160913485176</v>
      </c>
      <c r="O27" s="366">
        <v>-273507.59000000003</v>
      </c>
      <c r="P27" s="336">
        <f>SUM(P28:P33)</f>
        <v>0.31760315095386593</v>
      </c>
      <c r="Q27" s="366">
        <v>-148715.63</v>
      </c>
      <c r="R27" s="336">
        <f>SUM(R28:R33)</f>
        <v>0.17762021734822686</v>
      </c>
      <c r="S27" s="366">
        <v>-183752.81</v>
      </c>
      <c r="T27" s="336">
        <f>SUM(T28:T33)</f>
        <v>0.20696108453383477</v>
      </c>
      <c r="U27" s="344">
        <f t="shared" si="0"/>
        <v>-1324065.44</v>
      </c>
      <c r="V27" s="336">
        <f>SUM(V28:V33)</f>
        <v>0.22385689756312005</v>
      </c>
      <c r="W27" s="366">
        <v>-168400.93</v>
      </c>
      <c r="X27" s="336">
        <f>SUM(X28:X33)</f>
        <v>0.22487113081891943</v>
      </c>
      <c r="Y27" s="366">
        <v>-266652.53999999998</v>
      </c>
      <c r="Z27" s="336">
        <f>SUM(Z28:Z33)</f>
        <v>0.32348040021082153</v>
      </c>
      <c r="AA27" s="366">
        <v>-252778.65999999997</v>
      </c>
      <c r="AB27" s="336">
        <f>SUM(AB28:AB33)</f>
        <v>0.2997665962904581</v>
      </c>
      <c r="AC27" s="410"/>
      <c r="AD27" s="410"/>
      <c r="AE27" s="410"/>
      <c r="AF27" s="410"/>
      <c r="AG27" s="410"/>
      <c r="AH27" s="410"/>
      <c r="AI27" s="410"/>
      <c r="AJ27" s="410"/>
      <c r="AK27" s="410"/>
      <c r="AL27" s="410"/>
      <c r="AM27" s="410"/>
      <c r="AN27" s="410"/>
      <c r="AO27" s="410"/>
      <c r="AP27" s="410"/>
      <c r="AQ27" s="410"/>
      <c r="AR27" s="410"/>
      <c r="AS27" s="410"/>
      <c r="AT27" s="410"/>
      <c r="AU27" s="344">
        <f t="shared" si="1"/>
        <v>-687832.12999999989</v>
      </c>
      <c r="AV27" s="336">
        <f>SUM(AV28:AV33)</f>
        <v>0.28464539018698365</v>
      </c>
      <c r="AW27" s="332">
        <f t="shared" si="2"/>
        <v>4.530721486986522E-3</v>
      </c>
    </row>
    <row r="28" spans="1:49" x14ac:dyDescent="0.2">
      <c r="A28">
        <v>24</v>
      </c>
      <c r="B28" s="2" t="s">
        <v>97</v>
      </c>
      <c r="C28" s="2"/>
      <c r="D28" s="433" t="s">
        <v>349</v>
      </c>
      <c r="E28" s="252">
        <v>-28028.559999999998</v>
      </c>
      <c r="F28" s="335">
        <f>E28/$E$26</f>
        <v>4.7149542599865812E-2</v>
      </c>
      <c r="G28" s="271">
        <v>-8354.27</v>
      </c>
      <c r="H28" s="335">
        <f>G28/$G$26</f>
        <v>1.2926351775503296E-2</v>
      </c>
      <c r="I28" s="271">
        <v>-45328.1</v>
      </c>
      <c r="J28" s="335">
        <f>I28/I26</f>
        <v>6.6125553253958511E-2</v>
      </c>
      <c r="K28" s="271">
        <v>-28179.51</v>
      </c>
      <c r="L28" s="335">
        <f>K28/K26</f>
        <v>4.0531413758280996E-2</v>
      </c>
      <c r="M28" s="271">
        <v>-28715.68</v>
      </c>
      <c r="N28" s="335">
        <f>M28/M26</f>
        <v>4.0616264050185945E-2</v>
      </c>
      <c r="O28" s="358">
        <v>-28290.78</v>
      </c>
      <c r="P28" s="335">
        <f>O28/O26</f>
        <v>3.2851888574436307E-2</v>
      </c>
      <c r="Q28" s="358">
        <v>-27886.19</v>
      </c>
      <c r="R28" s="335">
        <f>Q28/Q26</f>
        <v>3.3306190672856312E-2</v>
      </c>
      <c r="S28" s="358">
        <v>-25292.07</v>
      </c>
      <c r="T28" s="335">
        <f>S28/S26</f>
        <v>2.8486498994522404E-2</v>
      </c>
      <c r="U28" s="344">
        <f t="shared" si="0"/>
        <v>-220075.16</v>
      </c>
      <c r="V28" s="335">
        <f>U28/$U$26</f>
        <v>3.7207634199943516E-2</v>
      </c>
      <c r="W28" s="414">
        <v>-31228.29</v>
      </c>
      <c r="X28" s="335">
        <f>W28/W26</f>
        <v>4.1700131263177433E-2</v>
      </c>
      <c r="Y28" s="414">
        <v>-30476.55</v>
      </c>
      <c r="Z28" s="335">
        <f>Y28/Y26</f>
        <v>3.6971583286043753E-2</v>
      </c>
      <c r="AA28" s="414">
        <v>-29928.35</v>
      </c>
      <c r="AB28" s="335">
        <f>AA28/AA26</f>
        <v>3.5491602068345215E-2</v>
      </c>
      <c r="AC28" s="335"/>
      <c r="AD28" s="335"/>
      <c r="AE28" s="335"/>
      <c r="AF28" s="335"/>
      <c r="AG28" s="335"/>
      <c r="AH28" s="335"/>
      <c r="AI28" s="335"/>
      <c r="AJ28" s="335"/>
      <c r="AK28" s="335"/>
      <c r="AL28" s="335"/>
      <c r="AM28" s="335"/>
      <c r="AN28" s="335"/>
      <c r="AO28" s="335"/>
      <c r="AP28" s="335"/>
      <c r="AQ28" s="335"/>
      <c r="AR28" s="335"/>
      <c r="AS28" s="335"/>
      <c r="AT28" s="335"/>
      <c r="AU28" s="344">
        <f t="shared" si="1"/>
        <v>-91633.19</v>
      </c>
      <c r="AV28" s="335">
        <f>AU28/AU26</f>
        <v>3.7920539015279801E-2</v>
      </c>
      <c r="AW28" s="332">
        <f t="shared" si="2"/>
        <v>0.12074127151144531</v>
      </c>
    </row>
    <row r="29" spans="1:49" x14ac:dyDescent="0.2">
      <c r="A29">
        <v>25</v>
      </c>
      <c r="B29" s="2" t="s">
        <v>97</v>
      </c>
      <c r="C29" s="2"/>
      <c r="D29" s="433" t="s">
        <v>350</v>
      </c>
      <c r="E29" s="252">
        <v>-11955.59</v>
      </c>
      <c r="F29" s="335">
        <f t="shared" ref="F29:F36" si="10">E29/$E$26</f>
        <v>2.0111650402715293E-2</v>
      </c>
      <c r="G29" s="257">
        <v>-13545.1</v>
      </c>
      <c r="H29" s="335">
        <f t="shared" ref="H29:H36" si="11">G29/$G$26</f>
        <v>2.0957992431938358E-2</v>
      </c>
      <c r="I29" s="257">
        <v>5548.51</v>
      </c>
      <c r="J29" s="335">
        <f>I29/I26</f>
        <v>-8.094279122335183E-3</v>
      </c>
      <c r="K29" s="257">
        <v>-10241.26</v>
      </c>
      <c r="L29" s="335">
        <f>K29/K26</f>
        <v>1.4730303914657595E-2</v>
      </c>
      <c r="M29" s="257">
        <v>-5992.55</v>
      </c>
      <c r="N29" s="335">
        <f>M29/M26</f>
        <v>8.4760309745038863E-3</v>
      </c>
      <c r="O29" s="358">
        <v>-13795.05</v>
      </c>
      <c r="P29" s="335">
        <f>O29/O26</f>
        <v>1.6019121617671113E-2</v>
      </c>
      <c r="Q29" s="358">
        <v>-1860.3</v>
      </c>
      <c r="R29" s="335">
        <f>Q29/Q26</f>
        <v>2.2218706287490189E-3</v>
      </c>
      <c r="S29" s="358">
        <v>-7664.7900000000009</v>
      </c>
      <c r="T29" s="335">
        <f>S29/S26</f>
        <v>8.6328652667901594E-3</v>
      </c>
      <c r="U29" s="344">
        <f t="shared" si="0"/>
        <v>-59506.130000000012</v>
      </c>
      <c r="V29" s="335">
        <f t="shared" ref="V29:V41" si="12">U29/$U$26</f>
        <v>1.0060573477235166E-2</v>
      </c>
      <c r="W29" s="414">
        <v>-1521.59</v>
      </c>
      <c r="X29" s="335">
        <f>W29/W26</f>
        <v>2.0318276386167202E-3</v>
      </c>
      <c r="Y29" s="414">
        <v>-9308.48</v>
      </c>
      <c r="Z29" s="335">
        <f>Y29/Y26</f>
        <v>1.1292263841756123E-2</v>
      </c>
      <c r="AA29" s="414">
        <v>-6626.51</v>
      </c>
      <c r="AB29" s="335">
        <f>AA29/AA26</f>
        <v>7.8582834009195395E-3</v>
      </c>
      <c r="AC29" s="335"/>
      <c r="AD29" s="335"/>
      <c r="AE29" s="335"/>
      <c r="AF29" s="335"/>
      <c r="AG29" s="335"/>
      <c r="AH29" s="335"/>
      <c r="AI29" s="335"/>
      <c r="AJ29" s="335"/>
      <c r="AK29" s="335"/>
      <c r="AL29" s="335"/>
      <c r="AM29" s="335"/>
      <c r="AN29" s="335"/>
      <c r="AO29" s="335"/>
      <c r="AP29" s="335"/>
      <c r="AQ29" s="335"/>
      <c r="AR29" s="335"/>
      <c r="AS29" s="335"/>
      <c r="AT29" s="335"/>
      <c r="AU29" s="344">
        <f t="shared" si="1"/>
        <v>-17456.580000000002</v>
      </c>
      <c r="AV29" s="335">
        <f>AU29/AU26</f>
        <v>7.2240519288191661E-3</v>
      </c>
      <c r="AW29" s="332">
        <f t="shared" si="2"/>
        <v>-0.79804057460399314</v>
      </c>
    </row>
    <row r="30" spans="1:49" x14ac:dyDescent="0.2">
      <c r="A30">
        <v>26</v>
      </c>
      <c r="B30" s="2" t="s">
        <v>97</v>
      </c>
      <c r="C30" s="2"/>
      <c r="D30" s="433" t="s">
        <v>351</v>
      </c>
      <c r="E30" s="252">
        <v>-57562.549999999996</v>
      </c>
      <c r="F30" s="335">
        <f t="shared" si="10"/>
        <v>9.6831514119237863E-2</v>
      </c>
      <c r="G30" s="257">
        <v>-66297.600000000006</v>
      </c>
      <c r="H30" s="335">
        <f t="shared" si="11"/>
        <v>0.1025806084160085</v>
      </c>
      <c r="I30" s="257">
        <v>-37082.65</v>
      </c>
      <c r="J30" s="335">
        <f>I30/I26</f>
        <v>5.4096923263337864E-2</v>
      </c>
      <c r="K30" s="257">
        <v>-37925.609999999993</v>
      </c>
      <c r="L30" s="335">
        <f>K30/K26</f>
        <v>5.4549514556683172E-2</v>
      </c>
      <c r="M30" s="257">
        <v>-39556.859999999993</v>
      </c>
      <c r="N30" s="335">
        <f>M30/M26</f>
        <v>5.5950333433031643E-2</v>
      </c>
      <c r="O30" s="358">
        <v>-71752.91</v>
      </c>
      <c r="P30" s="335">
        <f>O30/O26</f>
        <v>8.33210892103914E-2</v>
      </c>
      <c r="Q30" s="358">
        <v>-35357.480000000003</v>
      </c>
      <c r="R30" s="335">
        <f>Q30/Q26</f>
        <v>4.2229611524259997E-2</v>
      </c>
      <c r="S30" s="358">
        <v>-82781.58</v>
      </c>
      <c r="T30" s="335">
        <f>S30/S26</f>
        <v>9.323702628669682E-2</v>
      </c>
      <c r="U30" s="344">
        <f t="shared" si="0"/>
        <v>-428317.23999999993</v>
      </c>
      <c r="V30" s="335">
        <f t="shared" si="12"/>
        <v>7.241467500216478E-2</v>
      </c>
      <c r="W30" s="414">
        <v>-48394.3</v>
      </c>
      <c r="X30" s="335">
        <f>W30/W26</f>
        <v>6.462245170611608E-2</v>
      </c>
      <c r="Y30" s="414">
        <v>-133784.15</v>
      </c>
      <c r="Z30" s="335">
        <f>Y30/Y26</f>
        <v>0.16229566155216291</v>
      </c>
      <c r="AA30" s="414">
        <v>-106129.56999999998</v>
      </c>
      <c r="AB30" s="335">
        <f>AA30/AA26</f>
        <v>0.12585753862557034</v>
      </c>
      <c r="AC30" s="335"/>
      <c r="AD30" s="335"/>
      <c r="AE30" s="335"/>
      <c r="AF30" s="335"/>
      <c r="AG30" s="335"/>
      <c r="AH30" s="335"/>
      <c r="AI30" s="335"/>
      <c r="AJ30" s="335"/>
      <c r="AK30" s="335"/>
      <c r="AL30" s="335"/>
      <c r="AM30" s="335"/>
      <c r="AN30" s="335"/>
      <c r="AO30" s="335"/>
      <c r="AP30" s="335"/>
      <c r="AQ30" s="335"/>
      <c r="AR30" s="335"/>
      <c r="AS30" s="335"/>
      <c r="AT30" s="335"/>
      <c r="AU30" s="344">
        <f t="shared" si="1"/>
        <v>-288308.02</v>
      </c>
      <c r="AV30" s="335">
        <f>AU30/AU26</f>
        <v>0.11931043239712674</v>
      </c>
      <c r="AW30" s="332">
        <f t="shared" si="2"/>
        <v>-0.10760558265041942</v>
      </c>
    </row>
    <row r="31" spans="1:49" x14ac:dyDescent="0.2">
      <c r="A31">
        <v>27</v>
      </c>
      <c r="B31" s="2" t="s">
        <v>97</v>
      </c>
      <c r="C31" s="2"/>
      <c r="D31" s="433" t="s">
        <v>352</v>
      </c>
      <c r="E31" s="252">
        <v>-7231.5300000000007</v>
      </c>
      <c r="F31" s="335">
        <f t="shared" si="10"/>
        <v>1.2164853699127164E-2</v>
      </c>
      <c r="G31" s="257">
        <v>-5268.5</v>
      </c>
      <c r="H31" s="335">
        <f t="shared" si="11"/>
        <v>8.1518174932386795E-3</v>
      </c>
      <c r="I31" s="257">
        <v>-4922.4799999999996</v>
      </c>
      <c r="J31" s="335">
        <f>I31/I26</f>
        <v>7.1810138386904747E-3</v>
      </c>
      <c r="K31" s="257">
        <v>-4773.74</v>
      </c>
      <c r="L31" s="335">
        <f>K31/K26</f>
        <v>6.8662099204158025E-3</v>
      </c>
      <c r="M31" s="257">
        <v>-4733.74</v>
      </c>
      <c r="N31" s="335">
        <f>M31/M26</f>
        <v>6.6955347665431288E-3</v>
      </c>
      <c r="O31" s="358">
        <v>-5213.74</v>
      </c>
      <c r="P31" s="335">
        <f>O31/O26</f>
        <v>6.0543118830969503E-3</v>
      </c>
      <c r="Q31" s="358">
        <v>-5887.36</v>
      </c>
      <c r="R31" s="335">
        <f>Q31/Q26</f>
        <v>7.0316359000547352E-3</v>
      </c>
      <c r="S31" s="358">
        <v>-5727.88</v>
      </c>
      <c r="T31" s="335">
        <f>S31/S26</f>
        <v>6.4513204281320185E-3</v>
      </c>
      <c r="U31" s="344">
        <f t="shared" si="0"/>
        <v>-43758.969999999994</v>
      </c>
      <c r="V31" s="335">
        <f t="shared" si="12"/>
        <v>7.398234988111799E-3</v>
      </c>
      <c r="W31" s="414">
        <v>-8625.2900000000009</v>
      </c>
      <c r="X31" s="335">
        <f>W31/W26</f>
        <v>1.1517624730107595E-2</v>
      </c>
      <c r="Y31" s="414">
        <v>-8967.49</v>
      </c>
      <c r="Z31" s="335">
        <f>Y31/Y26</f>
        <v>1.0878603496844771E-2</v>
      </c>
      <c r="AA31" s="414">
        <v>-15225.14</v>
      </c>
      <c r="AB31" s="335">
        <f>AA31/AA26</f>
        <v>1.8055275693943888E-2</v>
      </c>
      <c r="AC31" s="335"/>
      <c r="AD31" s="335"/>
      <c r="AE31" s="335"/>
      <c r="AF31" s="335"/>
      <c r="AG31" s="335"/>
      <c r="AH31" s="335"/>
      <c r="AI31" s="335"/>
      <c r="AJ31" s="335"/>
      <c r="AK31" s="335"/>
      <c r="AL31" s="335"/>
      <c r="AM31" s="335"/>
      <c r="AN31" s="335"/>
      <c r="AO31" s="335"/>
      <c r="AP31" s="335"/>
      <c r="AQ31" s="335"/>
      <c r="AR31" s="335"/>
      <c r="AS31" s="335"/>
      <c r="AT31" s="335"/>
      <c r="AU31" s="344">
        <f t="shared" si="1"/>
        <v>-32817.919999999998</v>
      </c>
      <c r="AV31" s="335">
        <f>AU31/AU26</f>
        <v>1.3581031237266008E-2</v>
      </c>
      <c r="AW31" s="332">
        <f t="shared" si="2"/>
        <v>0.556807096370314</v>
      </c>
    </row>
    <row r="32" spans="1:49" x14ac:dyDescent="0.2">
      <c r="A32">
        <v>28</v>
      </c>
      <c r="B32" s="2" t="s">
        <v>97</v>
      </c>
      <c r="C32" s="2"/>
      <c r="D32" s="433" t="s">
        <v>353</v>
      </c>
      <c r="E32" s="252">
        <v>-37496.6</v>
      </c>
      <c r="F32" s="335">
        <f t="shared" si="10"/>
        <v>6.3076645359238168E-2</v>
      </c>
      <c r="G32" s="257">
        <v>-40796.76</v>
      </c>
      <c r="H32" s="335">
        <f t="shared" si="11"/>
        <v>6.3123800291441601E-2</v>
      </c>
      <c r="I32" s="257">
        <v>-36780.47</v>
      </c>
      <c r="J32" s="335">
        <f>I32/I26</f>
        <v>5.3656096939660468E-2</v>
      </c>
      <c r="K32" s="257">
        <v>-34695.78</v>
      </c>
      <c r="L32" s="335">
        <f>K32/K26</f>
        <v>4.9903955563680512E-2</v>
      </c>
      <c r="M32" s="257">
        <v>-37222.89</v>
      </c>
      <c r="N32" s="335">
        <f>M32/M26</f>
        <v>5.2649100733502596E-2</v>
      </c>
      <c r="O32" s="358">
        <v>-137704.1</v>
      </c>
      <c r="P32" s="335">
        <f>O32/O26</f>
        <v>0.1599050909675532</v>
      </c>
      <c r="Q32" s="358">
        <v>-43561.63</v>
      </c>
      <c r="R32" s="335">
        <f>Q32/Q26</f>
        <v>5.2028332117095157E-2</v>
      </c>
      <c r="S32" s="358">
        <v>-42967.49</v>
      </c>
      <c r="T32" s="335">
        <f>S32/S26</f>
        <v>4.839435288144274E-2</v>
      </c>
      <c r="U32" s="344">
        <f t="shared" si="0"/>
        <v>-411225.72</v>
      </c>
      <c r="V32" s="335">
        <f t="shared" si="12"/>
        <v>6.9525048457846836E-2</v>
      </c>
      <c r="W32" s="414">
        <v>-50914.1</v>
      </c>
      <c r="X32" s="335">
        <f>W32/W26</f>
        <v>6.7987220982850552E-2</v>
      </c>
      <c r="Y32" s="414">
        <v>-65071.91</v>
      </c>
      <c r="Z32" s="335">
        <f>Y32/Y26</f>
        <v>7.8939759918591298E-2</v>
      </c>
      <c r="AA32" s="414">
        <v>-62148.17</v>
      </c>
      <c r="AB32" s="335">
        <f>AA32/AA26</f>
        <v>7.3700625624729399E-2</v>
      </c>
      <c r="AC32" s="335"/>
      <c r="AD32" s="335"/>
      <c r="AE32" s="335"/>
      <c r="AF32" s="335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5"/>
      <c r="AU32" s="344">
        <f t="shared" si="1"/>
        <v>-178134.18</v>
      </c>
      <c r="AV32" s="335">
        <f>AU32/AU26</f>
        <v>7.3717221048889323E-2</v>
      </c>
      <c r="AW32" s="332">
        <f t="shared" si="2"/>
        <v>-2.2119042116578669E-2</v>
      </c>
    </row>
    <row r="33" spans="1:49" x14ac:dyDescent="0.2">
      <c r="A33">
        <v>29</v>
      </c>
      <c r="B33" s="2" t="s">
        <v>97</v>
      </c>
      <c r="C33" s="2"/>
      <c r="D33" s="433" t="s">
        <v>354</v>
      </c>
      <c r="E33" s="252">
        <v>-17075.189999999999</v>
      </c>
      <c r="F33" s="335">
        <f t="shared" si="10"/>
        <v>2.8723823068534476E-2</v>
      </c>
      <c r="G33" s="257">
        <v>-18098.29</v>
      </c>
      <c r="H33" s="335">
        <f t="shared" si="11"/>
        <v>2.8003028759553322E-2</v>
      </c>
      <c r="I33" s="257">
        <v>-18926.8</v>
      </c>
      <c r="J33" s="335">
        <f>I33/I26</f>
        <v>2.7610800393729762E-2</v>
      </c>
      <c r="K33" s="257">
        <v>-18344.009999999998</v>
      </c>
      <c r="L33" s="335">
        <f>K33/K26</f>
        <v>2.638472632405759E-2</v>
      </c>
      <c r="M33" s="257">
        <v>-18505.25</v>
      </c>
      <c r="N33" s="335">
        <f>M33/M26</f>
        <v>2.6174345177084554E-2</v>
      </c>
      <c r="O33" s="358">
        <v>-16751.009999999998</v>
      </c>
      <c r="P33" s="335">
        <f>O33/O26</f>
        <v>1.945164870071692E-2</v>
      </c>
      <c r="Q33" s="358">
        <v>-34162.67</v>
      </c>
      <c r="R33" s="335">
        <f>Q33/Q26</f>
        <v>4.0802576505211657E-2</v>
      </c>
      <c r="S33" s="358">
        <v>-19319</v>
      </c>
      <c r="T33" s="335">
        <f>S33/S26</f>
        <v>2.1759020676250632E-2</v>
      </c>
      <c r="U33" s="344">
        <f t="shared" si="0"/>
        <v>-161182.21999999997</v>
      </c>
      <c r="V33" s="335">
        <f t="shared" si="12"/>
        <v>2.7250731437817966E-2</v>
      </c>
      <c r="W33" s="414">
        <v>-27717.360000000001</v>
      </c>
      <c r="X33" s="335">
        <f>W33/W26</f>
        <v>3.701187449805108E-2</v>
      </c>
      <c r="Y33" s="414">
        <v>-19043.96</v>
      </c>
      <c r="Z33" s="335">
        <f>Y33/Y26</f>
        <v>2.3102528115422703E-2</v>
      </c>
      <c r="AA33" s="414">
        <v>-32720.92</v>
      </c>
      <c r="AB33" s="335">
        <f>AA33/AA26</f>
        <v>3.8803270876949729E-2</v>
      </c>
      <c r="AC33" s="335"/>
      <c r="AD33" s="335"/>
      <c r="AE33" s="335"/>
      <c r="AF33" s="335"/>
      <c r="AG33" s="335"/>
      <c r="AH33" s="335"/>
      <c r="AI33" s="335"/>
      <c r="AJ33" s="335"/>
      <c r="AK33" s="335"/>
      <c r="AL33" s="335"/>
      <c r="AM33" s="335"/>
      <c r="AN33" s="335"/>
      <c r="AO33" s="335"/>
      <c r="AP33" s="335"/>
      <c r="AQ33" s="335"/>
      <c r="AR33" s="335"/>
      <c r="AS33" s="335"/>
      <c r="AT33" s="335"/>
      <c r="AU33" s="344">
        <f t="shared" si="1"/>
        <v>-79482.239999999991</v>
      </c>
      <c r="AV33" s="335">
        <f>AU33/AU26</f>
        <v>3.2892114559602614E-2</v>
      </c>
      <c r="AW33" s="332">
        <f t="shared" si="2"/>
        <v>0.35819747013053793</v>
      </c>
    </row>
    <row r="34" spans="1:49" x14ac:dyDescent="0.2">
      <c r="A34">
        <v>30</v>
      </c>
      <c r="B34" s="2" t="s">
        <v>97</v>
      </c>
      <c r="C34" s="2"/>
      <c r="D34" s="429" t="s">
        <v>355</v>
      </c>
      <c r="E34" s="260">
        <v>-52394.22</v>
      </c>
      <c r="F34" s="335">
        <f t="shared" si="10"/>
        <v>8.8137368023071525E-2</v>
      </c>
      <c r="G34" s="263">
        <v>-41642.620000000003</v>
      </c>
      <c r="H34" s="335">
        <f t="shared" si="11"/>
        <v>6.4432578187395076E-2</v>
      </c>
      <c r="I34" s="263">
        <v>-48085.99</v>
      </c>
      <c r="J34" s="335">
        <f>I34/I26</f>
        <v>7.0148819220622896E-2</v>
      </c>
      <c r="K34" s="263">
        <v>-53139.99</v>
      </c>
      <c r="L34" s="335">
        <f>K34/K26</f>
        <v>7.6432802479564563E-2</v>
      </c>
      <c r="M34" s="263">
        <v>-57899.24</v>
      </c>
      <c r="N34" s="335">
        <f>M34/M26</f>
        <v>8.1894310709169624E-2</v>
      </c>
      <c r="O34" s="357">
        <v>-60817.24</v>
      </c>
      <c r="P34" s="335">
        <f>O34/O26</f>
        <v>7.0622343812533642E-2</v>
      </c>
      <c r="Q34" s="357">
        <v>-81642.240000000005</v>
      </c>
      <c r="R34" s="335">
        <f>Q34/Q26</f>
        <v>9.7510345170821008E-2</v>
      </c>
      <c r="S34" s="357">
        <v>-82098.929999999993</v>
      </c>
      <c r="T34" s="335">
        <f>S34/S26</f>
        <v>9.246815649712993E-2</v>
      </c>
      <c r="U34" s="344">
        <f t="shared" si="0"/>
        <v>-477720.47</v>
      </c>
      <c r="V34" s="335">
        <f t="shared" si="12"/>
        <v>8.0767172894865055E-2</v>
      </c>
      <c r="W34" s="415">
        <v>-47101.599999999999</v>
      </c>
      <c r="X34" s="335">
        <f>W34/W26</f>
        <v>6.2896268182013104E-2</v>
      </c>
      <c r="Y34" s="415">
        <v>-78225.320000000007</v>
      </c>
      <c r="Z34" s="335">
        <f>Y34/Y26</f>
        <v>9.489636896096916E-2</v>
      </c>
      <c r="AA34" s="415">
        <v>-60110.36</v>
      </c>
      <c r="AB34" s="335">
        <f>AA34/AA26</f>
        <v>7.1284015901477218E-2</v>
      </c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335"/>
      <c r="AU34" s="344">
        <f t="shared" si="1"/>
        <v>-185437.28000000003</v>
      </c>
      <c r="AV34" s="335">
        <f>AU34/AU26</f>
        <v>7.6739461008913532E-2</v>
      </c>
      <c r="AW34" s="332">
        <f t="shared" si="2"/>
        <v>-0.22126445772856973</v>
      </c>
    </row>
    <row r="35" spans="1:49" x14ac:dyDescent="0.2">
      <c r="A35">
        <v>31</v>
      </c>
      <c r="B35" s="2" t="s">
        <v>97</v>
      </c>
      <c r="C35" s="2">
        <v>1</v>
      </c>
      <c r="D35" s="429" t="s">
        <v>356</v>
      </c>
      <c r="E35" s="260">
        <v>-377876.51</v>
      </c>
      <c r="F35" s="335">
        <f t="shared" si="10"/>
        <v>0.63566250302311722</v>
      </c>
      <c r="G35" s="263">
        <v>-447513.51</v>
      </c>
      <c r="H35" s="335">
        <f t="shared" si="11"/>
        <v>0.6924263944725525</v>
      </c>
      <c r="I35" s="263">
        <v>-494827.37000000005</v>
      </c>
      <c r="J35" s="335">
        <f>I35/I26</f>
        <v>0.72186422123255201</v>
      </c>
      <c r="K35" s="263">
        <v>-502670.66000000003</v>
      </c>
      <c r="L35" s="335">
        <f>K35/K26</f>
        <v>0.72300591829340499</v>
      </c>
      <c r="M35" s="263">
        <v>-508838.19</v>
      </c>
      <c r="N35" s="335">
        <f>M35/M26</f>
        <v>0.71971502272830334</v>
      </c>
      <c r="O35" s="357">
        <v>-521239.39</v>
      </c>
      <c r="P35" s="335">
        <f>O35/O26</f>
        <v>0.60527487615707842</v>
      </c>
      <c r="Q35" s="357">
        <v>-600306.92999999982</v>
      </c>
      <c r="R35" s="335">
        <f>Q35/Q26</f>
        <v>0.7169834628831333</v>
      </c>
      <c r="S35" s="357">
        <v>-615099.82999999996</v>
      </c>
      <c r="T35" s="335">
        <f>S35/S26</f>
        <v>0.69278792478535367</v>
      </c>
      <c r="U35" s="344">
        <f t="shared" si="0"/>
        <v>-4068372.39</v>
      </c>
      <c r="V35" s="335">
        <f t="shared" si="12"/>
        <v>0.68783097409207816</v>
      </c>
      <c r="W35" s="415">
        <v>-526895.42879999999</v>
      </c>
      <c r="X35" s="335">
        <f>W35/W26</f>
        <v>0.70358026465516221</v>
      </c>
      <c r="Y35" s="415">
        <v>-475823.33700000006</v>
      </c>
      <c r="Z35" s="335">
        <f>Y35/Y26</f>
        <v>0.57722879175427555</v>
      </c>
      <c r="AA35" s="415">
        <v>-522863.83350000001</v>
      </c>
      <c r="AB35" s="335">
        <f>AA35/AA26</f>
        <v>0.62005673932948224</v>
      </c>
      <c r="AC35" s="335"/>
      <c r="AD35" s="335"/>
      <c r="AE35" s="335"/>
      <c r="AF35" s="335"/>
      <c r="AG35" s="335"/>
      <c r="AH35" s="335"/>
      <c r="AI35" s="335"/>
      <c r="AJ35" s="335"/>
      <c r="AK35" s="3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44">
        <f t="shared" si="1"/>
        <v>-1525582.5993000001</v>
      </c>
      <c r="AV35" s="335">
        <f>AU35/AU26</f>
        <v>0.63133144745683989</v>
      </c>
      <c r="AW35" s="332">
        <f t="shared" si="2"/>
        <v>2.2897035981656266E-2</v>
      </c>
    </row>
    <row r="36" spans="1:49" x14ac:dyDescent="0.2">
      <c r="A36">
        <v>32</v>
      </c>
      <c r="B36" s="2" t="s">
        <v>97</v>
      </c>
      <c r="C36" s="2"/>
      <c r="D36" s="429" t="s">
        <v>357</v>
      </c>
      <c r="E36" s="260">
        <v>-4840.16</v>
      </c>
      <c r="F36" s="335">
        <f t="shared" si="10"/>
        <v>8.1420997050924669E-3</v>
      </c>
      <c r="G36" s="263">
        <v>-4780.9400000000005</v>
      </c>
      <c r="H36" s="335">
        <f t="shared" si="11"/>
        <v>7.397428172368708E-3</v>
      </c>
      <c r="I36" s="263">
        <v>-5080.03</v>
      </c>
      <c r="J36" s="335">
        <f>I36/I26</f>
        <v>7.4108509797831124E-3</v>
      </c>
      <c r="K36" s="263">
        <v>-5280.54</v>
      </c>
      <c r="L36" s="335">
        <f>K36/K26</f>
        <v>7.5951551892546433E-3</v>
      </c>
      <c r="M36" s="263">
        <v>-5535.14</v>
      </c>
      <c r="N36" s="335">
        <f>M36/M26</f>
        <v>7.8290574276752706E-3</v>
      </c>
      <c r="O36" s="357">
        <v>-5597.23</v>
      </c>
      <c r="P36" s="335">
        <f>O36/O26</f>
        <v>6.4996290765221782E-3</v>
      </c>
      <c r="Q36" s="357">
        <v>-6602.67</v>
      </c>
      <c r="R36" s="335">
        <f>Q36/Q26</f>
        <v>7.8859745978187845E-3</v>
      </c>
      <c r="S36" s="357">
        <v>-6910.08</v>
      </c>
      <c r="T36" s="335">
        <f>S36/S26</f>
        <v>7.7828341836816591E-3</v>
      </c>
      <c r="U36" s="344">
        <f t="shared" si="0"/>
        <v>-44626.79</v>
      </c>
      <c r="V36" s="335">
        <f t="shared" si="12"/>
        <v>7.5449554499367284E-3</v>
      </c>
      <c r="W36" s="415">
        <v>-6479.54</v>
      </c>
      <c r="X36" s="335">
        <f>W36/W26</f>
        <v>8.6523363439051162E-3</v>
      </c>
      <c r="Y36" s="415">
        <v>-3622.44</v>
      </c>
      <c r="Z36" s="335">
        <f>Y36/Y26</f>
        <v>4.3944390739337732E-3</v>
      </c>
      <c r="AA36" s="415">
        <v>-7498.74</v>
      </c>
      <c r="AB36" s="335">
        <f>AA36/AA26</f>
        <v>8.8926484785824475E-3</v>
      </c>
      <c r="AC36" s="335"/>
      <c r="AD36" s="335"/>
      <c r="AE36" s="335"/>
      <c r="AF36" s="335"/>
      <c r="AG36" s="335"/>
      <c r="AH36" s="335"/>
      <c r="AI36" s="335"/>
      <c r="AJ36" s="335"/>
      <c r="AK36" s="335"/>
      <c r="AL36" s="335"/>
      <c r="AM36" s="335"/>
      <c r="AN36" s="335"/>
      <c r="AO36" s="335"/>
      <c r="AP36" s="335"/>
      <c r="AQ36" s="335"/>
      <c r="AR36" s="335"/>
      <c r="AS36" s="335"/>
      <c r="AT36" s="335"/>
      <c r="AU36" s="344">
        <f t="shared" si="1"/>
        <v>-17600.72</v>
      </c>
      <c r="AV36" s="335">
        <f>AU36/AU26</f>
        <v>7.2837013472630994E-3</v>
      </c>
      <c r="AW36" s="332">
        <f t="shared" si="2"/>
        <v>0.1467710314946491</v>
      </c>
    </row>
    <row r="37" spans="1:49" ht="14.25" x14ac:dyDescent="0.2">
      <c r="A37">
        <v>33</v>
      </c>
      <c r="B37" s="110"/>
      <c r="C37" s="110"/>
      <c r="D37" s="423" t="s">
        <v>358</v>
      </c>
      <c r="E37" s="262">
        <v>1263545.8499999996</v>
      </c>
      <c r="F37" s="337">
        <f>E37/E2</f>
        <v>0.34808533689304311</v>
      </c>
      <c r="G37" s="262">
        <v>1696832.7696000002</v>
      </c>
      <c r="H37" s="337">
        <f>G37/G2</f>
        <v>0.41710447359703473</v>
      </c>
      <c r="I37" s="262">
        <v>2062866.9512030005</v>
      </c>
      <c r="J37" s="337">
        <f>I37/I2</f>
        <v>0.44455978508177302</v>
      </c>
      <c r="K37" s="262">
        <v>1002841.2585999998</v>
      </c>
      <c r="L37" s="337">
        <f>K37/K2</f>
        <v>0.29032434834874843</v>
      </c>
      <c r="M37" s="262">
        <v>1696216.1949960007</v>
      </c>
      <c r="N37" s="337">
        <f>M37/M2</f>
        <v>0.39881533156713161</v>
      </c>
      <c r="O37" s="367">
        <v>1843459.0687999993</v>
      </c>
      <c r="P37" s="337">
        <f>O37/O2</f>
        <v>0.39574997823998559</v>
      </c>
      <c r="Q37" s="367">
        <v>3303573.8964000004</v>
      </c>
      <c r="R37" s="337">
        <f>Q37/Q2</f>
        <v>0.53766139798510648</v>
      </c>
      <c r="S37" s="367">
        <v>2515839.4304999993</v>
      </c>
      <c r="T37" s="337">
        <f>S37/S2</f>
        <v>0.4736049079521108</v>
      </c>
      <c r="U37" s="344">
        <f t="shared" si="0"/>
        <v>15385175.420099</v>
      </c>
      <c r="V37" s="337">
        <f>U37/U2</f>
        <v>0.42547155171734702</v>
      </c>
      <c r="W37" s="367">
        <v>1786081.0863999994</v>
      </c>
      <c r="X37" s="337">
        <f>W37/W2</f>
        <v>0.40568282466406275</v>
      </c>
      <c r="Y37" s="367">
        <v>1801912.2448000005</v>
      </c>
      <c r="Z37" s="337">
        <f>Y37/Y2</f>
        <v>0.40165183075623628</v>
      </c>
      <c r="AA37" s="367">
        <v>1734464.9134000004</v>
      </c>
      <c r="AB37" s="337">
        <f>AA37/AA2</f>
        <v>0.39435840695479601</v>
      </c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44">
        <f t="shared" si="1"/>
        <v>5322458.2445999999</v>
      </c>
      <c r="AV37" s="337">
        <f>AU37/AU2</f>
        <v>0.40057327928065578</v>
      </c>
      <c r="AW37" s="332">
        <f t="shared" si="2"/>
        <v>-4.65101061949037E-2</v>
      </c>
    </row>
    <row r="38" spans="1:49" ht="14.25" x14ac:dyDescent="0.2">
      <c r="A38">
        <v>34</v>
      </c>
      <c r="B38" s="2" t="s">
        <v>97</v>
      </c>
      <c r="C38" s="2"/>
      <c r="D38" s="425" t="s">
        <v>362</v>
      </c>
      <c r="E38" s="272">
        <v>-13257.33</v>
      </c>
      <c r="F38" s="335"/>
      <c r="G38" s="272">
        <v>-22935.85</v>
      </c>
      <c r="H38" s="335"/>
      <c r="I38" s="272">
        <v>-15620.210000000001</v>
      </c>
      <c r="J38" s="334"/>
      <c r="K38" s="272">
        <v>-6625.4000000000015</v>
      </c>
      <c r="L38" s="334"/>
      <c r="M38" s="272">
        <v>-3678.0299999999988</v>
      </c>
      <c r="N38" s="334"/>
      <c r="O38" s="364">
        <v>23899.430000000004</v>
      </c>
      <c r="P38" s="334"/>
      <c r="Q38" s="364">
        <v>34886.639999999999</v>
      </c>
      <c r="R38" s="334"/>
      <c r="S38" s="364">
        <v>13914.510000000002</v>
      </c>
      <c r="T38" s="334"/>
      <c r="U38" s="344">
        <f t="shared" si="0"/>
        <v>10583.760000000002</v>
      </c>
      <c r="V38" s="335">
        <f t="shared" si="12"/>
        <v>-1.7893735510177264E-3</v>
      </c>
      <c r="W38" s="364">
        <v>68133.19</v>
      </c>
      <c r="X38" s="334"/>
      <c r="Y38" s="364">
        <v>-9075.2800000000025</v>
      </c>
      <c r="Z38" s="334"/>
      <c r="AA38" s="364">
        <v>-27419.26</v>
      </c>
      <c r="AB38" s="334"/>
      <c r="AC38" s="420"/>
      <c r="AD38" s="420"/>
      <c r="AE38" s="420"/>
      <c r="AF38" s="420"/>
      <c r="AG38" s="420"/>
      <c r="AH38" s="420"/>
      <c r="AI38" s="420"/>
      <c r="AJ38" s="420"/>
      <c r="AK38" s="420"/>
      <c r="AL38" s="420"/>
      <c r="AM38" s="420"/>
      <c r="AN38" s="420"/>
      <c r="AO38" s="420"/>
      <c r="AP38" s="420"/>
      <c r="AQ38" s="420"/>
      <c r="AR38" s="420"/>
      <c r="AS38" s="420"/>
      <c r="AT38" s="420"/>
      <c r="AU38" s="344">
        <f t="shared" si="1"/>
        <v>31638.650000000005</v>
      </c>
      <c r="AV38" s="334">
        <f>AU38/AU26</f>
        <v>-1.3093014242064284E-2</v>
      </c>
      <c r="AW38" s="332">
        <f t="shared" si="2"/>
        <v>-1</v>
      </c>
    </row>
    <row r="39" spans="1:49" ht="14.25" x14ac:dyDescent="0.2">
      <c r="A39">
        <v>35</v>
      </c>
      <c r="B39" s="110"/>
      <c r="C39" s="110"/>
      <c r="D39" s="430" t="s">
        <v>359</v>
      </c>
      <c r="E39" s="250">
        <v>417.34</v>
      </c>
      <c r="F39" s="335"/>
      <c r="G39" s="256">
        <v>0</v>
      </c>
      <c r="H39" s="335"/>
      <c r="I39" s="256">
        <v>0</v>
      </c>
      <c r="J39" s="338"/>
      <c r="K39" s="256">
        <v>0</v>
      </c>
      <c r="L39" s="338"/>
      <c r="M39" s="256">
        <v>0</v>
      </c>
      <c r="N39" s="338"/>
      <c r="O39" s="363">
        <v>0</v>
      </c>
      <c r="P39" s="338"/>
      <c r="Q39" s="363">
        <v>0</v>
      </c>
      <c r="R39" s="338"/>
      <c r="S39" s="363">
        <v>0</v>
      </c>
      <c r="T39" s="338"/>
      <c r="U39" s="344">
        <f t="shared" si="0"/>
        <v>417.34</v>
      </c>
      <c r="V39" s="335">
        <f t="shared" si="12"/>
        <v>-7.0558776633421172E-5</v>
      </c>
      <c r="W39" s="416">
        <v>0</v>
      </c>
      <c r="X39" s="338"/>
      <c r="Y39" s="363">
        <v>0</v>
      </c>
      <c r="Z39" s="338"/>
      <c r="AA39" s="363">
        <v>0</v>
      </c>
      <c r="AB39" s="338"/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44">
        <f t="shared" si="1"/>
        <v>0</v>
      </c>
      <c r="AV39" s="334">
        <f>AU39/AU26</f>
        <v>0</v>
      </c>
      <c r="AW39" s="332">
        <f t="shared" si="2"/>
        <v>-1</v>
      </c>
    </row>
    <row r="40" spans="1:49" ht="14.25" x14ac:dyDescent="0.2">
      <c r="A40">
        <v>36</v>
      </c>
      <c r="B40" s="110"/>
      <c r="C40" s="110"/>
      <c r="D40" s="430" t="s">
        <v>360</v>
      </c>
      <c r="E40" s="250">
        <v>4179.58</v>
      </c>
      <c r="F40" s="335"/>
      <c r="G40" s="256">
        <v>0</v>
      </c>
      <c r="H40" s="335"/>
      <c r="I40" s="256">
        <v>13410.47</v>
      </c>
      <c r="J40" s="338"/>
      <c r="K40" s="256">
        <v>22837.03</v>
      </c>
      <c r="L40" s="338"/>
      <c r="M40" s="256">
        <v>26523.64</v>
      </c>
      <c r="N40" s="338"/>
      <c r="O40" s="363">
        <v>35961.980000000003</v>
      </c>
      <c r="P40" s="338"/>
      <c r="Q40" s="363">
        <v>47746.04</v>
      </c>
      <c r="R40" s="338"/>
      <c r="S40" s="363">
        <v>65531.21</v>
      </c>
      <c r="T40" s="338"/>
      <c r="U40" s="344">
        <f t="shared" si="0"/>
        <v>216189.95</v>
      </c>
      <c r="V40" s="335">
        <f t="shared" si="12"/>
        <v>-3.6550770097379823E-2</v>
      </c>
      <c r="W40" s="416">
        <v>82059.86</v>
      </c>
      <c r="X40" s="338"/>
      <c r="Y40" s="414">
        <v>18015.32</v>
      </c>
      <c r="Z40" s="338"/>
      <c r="AA40" s="363">
        <v>22165.99</v>
      </c>
      <c r="AB40" s="338"/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44">
        <f t="shared" si="1"/>
        <v>122241.17</v>
      </c>
      <c r="AV40" s="334">
        <f>AU40/AU26</f>
        <v>-5.0587031361218032E-2</v>
      </c>
      <c r="AW40" s="332">
        <f t="shared" si="2"/>
        <v>-1</v>
      </c>
    </row>
    <row r="41" spans="1:49" ht="14.25" x14ac:dyDescent="0.2">
      <c r="A41">
        <v>37</v>
      </c>
      <c r="B41" s="110"/>
      <c r="C41" s="110"/>
      <c r="D41" s="434" t="s">
        <v>361</v>
      </c>
      <c r="E41" s="252">
        <v>-17854.25</v>
      </c>
      <c r="F41" s="335"/>
      <c r="G41" s="257">
        <v>-22935.85</v>
      </c>
      <c r="H41" s="335"/>
      <c r="I41" s="257">
        <v>-29030.68</v>
      </c>
      <c r="J41" s="335"/>
      <c r="K41" s="257">
        <v>-29462.43</v>
      </c>
      <c r="L41" s="335"/>
      <c r="M41" s="257">
        <v>-30201.67</v>
      </c>
      <c r="N41" s="335"/>
      <c r="O41" s="358">
        <v>-12062.55</v>
      </c>
      <c r="P41" s="335"/>
      <c r="Q41" s="358">
        <v>-12859.4</v>
      </c>
      <c r="R41" s="335"/>
      <c r="S41" s="358">
        <v>-51616.7</v>
      </c>
      <c r="T41" s="335"/>
      <c r="U41" s="344">
        <f t="shared" si="0"/>
        <v>-206023.52999999997</v>
      </c>
      <c r="V41" s="335">
        <f t="shared" si="12"/>
        <v>3.483195532299551E-2</v>
      </c>
      <c r="W41" s="414">
        <v>-13926.67</v>
      </c>
      <c r="X41" s="335"/>
      <c r="Y41" s="358">
        <v>-27090.600000000002</v>
      </c>
      <c r="Z41" s="335"/>
      <c r="AA41" s="358">
        <v>-49585.25</v>
      </c>
      <c r="AB41" s="335"/>
      <c r="AC41" s="335"/>
      <c r="AD41" s="335"/>
      <c r="AE41" s="335"/>
      <c r="AF41" s="335"/>
      <c r="AG41" s="335"/>
      <c r="AH41" s="335"/>
      <c r="AI41" s="335"/>
      <c r="AJ41" s="335"/>
      <c r="AK41" s="335"/>
      <c r="AL41" s="335"/>
      <c r="AM41" s="335"/>
      <c r="AN41" s="335"/>
      <c r="AO41" s="335"/>
      <c r="AP41" s="335"/>
      <c r="AQ41" s="335"/>
      <c r="AR41" s="335"/>
      <c r="AS41" s="335"/>
      <c r="AT41" s="335"/>
      <c r="AU41" s="344">
        <f t="shared" si="1"/>
        <v>-90602.52</v>
      </c>
      <c r="AV41" s="334">
        <f>AU41/AU26</f>
        <v>3.7494017119153754E-2</v>
      </c>
      <c r="AW41" s="332">
        <f t="shared" si="2"/>
        <v>-1</v>
      </c>
    </row>
    <row r="42" spans="1:49" ht="14.25" x14ac:dyDescent="0.2">
      <c r="A42">
        <v>38</v>
      </c>
      <c r="B42" s="2" t="s">
        <v>97</v>
      </c>
      <c r="C42" s="2"/>
      <c r="D42" s="429" t="s">
        <v>363</v>
      </c>
      <c r="E42" s="272">
        <v>-411975.31</v>
      </c>
      <c r="F42" s="342">
        <f>E42/E45</f>
        <v>0.1458955689852936</v>
      </c>
      <c r="G42" s="272">
        <v>-492544.97</v>
      </c>
      <c r="H42" s="342">
        <f>G42/G45</f>
        <v>0.16874536743422655</v>
      </c>
      <c r="I42" s="272">
        <v>-554238.27</v>
      </c>
      <c r="J42" s="342">
        <f>I42/I45</f>
        <v>0.17432544292722599</v>
      </c>
      <c r="K42" s="272">
        <v>-542504.02</v>
      </c>
      <c r="L42" s="342">
        <f>K42/K45</f>
        <v>0.17889125256543245</v>
      </c>
      <c r="M42" s="272">
        <v>-510593.21</v>
      </c>
      <c r="N42" s="342">
        <f>M42/M45</f>
        <v>0.16453314080418016</v>
      </c>
      <c r="O42" s="368">
        <v>-580081.46</v>
      </c>
      <c r="P42" s="342">
        <f>O42/O45</f>
        <v>0.17046396078151288</v>
      </c>
      <c r="Q42" s="368">
        <v>-572999.98</v>
      </c>
      <c r="R42" s="342">
        <f>Q42/Q45</f>
        <v>0.1503553604447346</v>
      </c>
      <c r="S42" s="368">
        <v>-660493.47</v>
      </c>
      <c r="T42" s="342">
        <f>S42/S45</f>
        <v>0.16616445404380245</v>
      </c>
      <c r="U42" s="344">
        <f t="shared" si="0"/>
        <v>-4325430.6900000004</v>
      </c>
      <c r="V42" s="342">
        <f>U42/U45</f>
        <v>0.16479898601287027</v>
      </c>
      <c r="W42" s="364">
        <v>-837857.96</v>
      </c>
      <c r="X42" s="342">
        <f>W42/W45</f>
        <v>0.24399189534534763</v>
      </c>
      <c r="Y42" s="364">
        <v>-648920.18000000005</v>
      </c>
      <c r="Z42" s="342">
        <f>Y42/Y45</f>
        <v>0.1718547846014582</v>
      </c>
      <c r="AA42" s="364">
        <v>-721284.57</v>
      </c>
      <c r="AB42" s="342">
        <f>AA42/AA45</f>
        <v>0.18980647115725119</v>
      </c>
      <c r="AC42" s="346"/>
      <c r="AD42" s="346"/>
      <c r="AE42" s="346"/>
      <c r="AF42" s="346"/>
      <c r="AG42" s="346"/>
      <c r="AH42" s="346"/>
      <c r="AI42" s="346"/>
      <c r="AJ42" s="346"/>
      <c r="AK42" s="346"/>
      <c r="AL42" s="346"/>
      <c r="AM42" s="346"/>
      <c r="AN42" s="346"/>
      <c r="AO42" s="346"/>
      <c r="AP42" s="346"/>
      <c r="AQ42" s="346"/>
      <c r="AR42" s="346"/>
      <c r="AS42" s="346"/>
      <c r="AT42" s="346"/>
      <c r="AU42" s="344">
        <f t="shared" si="1"/>
        <v>-2208062.71</v>
      </c>
      <c r="AV42" s="342">
        <f>AU42/AU45</f>
        <v>0.20054986915071213</v>
      </c>
      <c r="AW42" s="332">
        <f t="shared" si="2"/>
        <v>0.48054245507489135</v>
      </c>
    </row>
    <row r="43" spans="1:49" ht="14.25" x14ac:dyDescent="0.2">
      <c r="A43">
        <v>39</v>
      </c>
      <c r="B43" s="2" t="s">
        <v>97</v>
      </c>
      <c r="C43" s="2"/>
      <c r="D43" s="429" t="s">
        <v>364</v>
      </c>
      <c r="E43" s="272">
        <v>-32092.9664204</v>
      </c>
      <c r="F43" s="342">
        <f>E43/E45</f>
        <v>1.1365296615300025E-2</v>
      </c>
      <c r="G43" s="272">
        <v>-32092.9664204</v>
      </c>
      <c r="H43" s="342">
        <f>G43/G45</f>
        <v>1.0995015157021486E-2</v>
      </c>
      <c r="I43" s="272">
        <v>-32092.9664204</v>
      </c>
      <c r="J43" s="342">
        <f>I43/I45</f>
        <v>1.0094251676422163E-2</v>
      </c>
      <c r="K43" s="272">
        <v>-32092.9664204</v>
      </c>
      <c r="L43" s="342">
        <f>K43/K45</f>
        <v>1.0582688330098861E-2</v>
      </c>
      <c r="M43" s="272">
        <v>-32092.9664204</v>
      </c>
      <c r="N43" s="342">
        <f>M43/M45</f>
        <v>1.0341611403080543E-2</v>
      </c>
      <c r="O43" s="369">
        <v>-32092.9664204</v>
      </c>
      <c r="P43" s="342">
        <f>O43/O45</f>
        <v>9.4309067716962982E-3</v>
      </c>
      <c r="Q43" s="369">
        <v>-32092.9664204</v>
      </c>
      <c r="R43" s="342">
        <f>Q43/Q45</f>
        <v>8.4212036689425476E-3</v>
      </c>
      <c r="S43" s="369">
        <v>-32092.9664204</v>
      </c>
      <c r="T43" s="342">
        <f>S43/S45</f>
        <v>8.0738273519825286E-3</v>
      </c>
      <c r="U43" s="344">
        <f t="shared" si="0"/>
        <v>-256743.73136320006</v>
      </c>
      <c r="V43" s="342">
        <f>U43/U45</f>
        <v>9.7819407190214685E-3</v>
      </c>
      <c r="W43" s="364">
        <v>-32092.9664204</v>
      </c>
      <c r="X43" s="342">
        <f>W43/W45</f>
        <v>9.3457651272633273E-3</v>
      </c>
      <c r="Y43" s="364">
        <v>-32092.9664204</v>
      </c>
      <c r="Z43" s="342">
        <f>Y43/Y45</f>
        <v>8.4992422818468555E-3</v>
      </c>
      <c r="AA43" s="364">
        <v>-32092.9664204</v>
      </c>
      <c r="AB43" s="342">
        <f>AA43/AA45</f>
        <v>8.4452835379859644E-3</v>
      </c>
      <c r="AC43" s="346"/>
      <c r="AD43" s="346"/>
      <c r="AE43" s="346"/>
      <c r="AF43" s="346"/>
      <c r="AG43" s="346"/>
      <c r="AH43" s="346"/>
      <c r="AI43" s="346"/>
      <c r="AJ43" s="346"/>
      <c r="AK43" s="346"/>
      <c r="AL43" s="346"/>
      <c r="AM43" s="346"/>
      <c r="AN43" s="346"/>
      <c r="AO43" s="346"/>
      <c r="AP43" s="346"/>
      <c r="AQ43" s="346"/>
      <c r="AR43" s="346"/>
      <c r="AS43" s="346"/>
      <c r="AT43" s="346"/>
      <c r="AU43" s="344">
        <f t="shared" si="1"/>
        <v>-96278.8992612</v>
      </c>
      <c r="AV43" s="342">
        <f>AU43/AU45</f>
        <v>8.7446432392349286E-3</v>
      </c>
      <c r="AW43" s="332">
        <f t="shared" si="2"/>
        <v>-4.4589882957476568E-2</v>
      </c>
    </row>
    <row r="44" spans="1:49" ht="14.25" x14ac:dyDescent="0.2">
      <c r="B44" s="2" t="s">
        <v>97</v>
      </c>
      <c r="C44" s="2"/>
      <c r="D44" s="435" t="s">
        <v>273</v>
      </c>
      <c r="E44" s="272">
        <v>0</v>
      </c>
      <c r="F44" s="346"/>
      <c r="G44" s="272">
        <v>0</v>
      </c>
      <c r="H44" s="342"/>
      <c r="I44" s="272">
        <v>0</v>
      </c>
      <c r="J44" s="342"/>
      <c r="K44" s="272">
        <v>0</v>
      </c>
      <c r="L44" s="342"/>
      <c r="M44" s="272">
        <v>0</v>
      </c>
      <c r="N44" s="342"/>
      <c r="O44" s="370">
        <v>0</v>
      </c>
      <c r="P44" s="342"/>
      <c r="Q44" s="370">
        <v>-400000</v>
      </c>
      <c r="R44" s="342"/>
      <c r="S44" s="370">
        <v>-500000</v>
      </c>
      <c r="T44" s="342"/>
      <c r="U44" s="344"/>
      <c r="V44" s="342"/>
      <c r="W44" s="417">
        <v>0</v>
      </c>
      <c r="X44" s="342"/>
      <c r="Y44" s="417">
        <v>-400000</v>
      </c>
      <c r="Z44" s="342"/>
      <c r="AA44" s="417">
        <v>-350000</v>
      </c>
      <c r="AB44" s="342"/>
      <c r="AC44" s="346"/>
      <c r="AD44" s="346"/>
      <c r="AE44" s="346"/>
      <c r="AF44" s="346"/>
      <c r="AG44" s="346"/>
      <c r="AH44" s="346"/>
      <c r="AI44" s="346"/>
      <c r="AJ44" s="346"/>
      <c r="AK44" s="346"/>
      <c r="AL44" s="346"/>
      <c r="AM44" s="346"/>
      <c r="AN44" s="346"/>
      <c r="AO44" s="346"/>
      <c r="AP44" s="346"/>
      <c r="AQ44" s="346"/>
      <c r="AR44" s="346"/>
      <c r="AS44" s="346"/>
      <c r="AT44" s="346"/>
      <c r="AU44" s="344">
        <f t="shared" si="1"/>
        <v>-750000</v>
      </c>
      <c r="AV44" s="342"/>
      <c r="AW44" s="332" t="e">
        <f t="shared" si="2"/>
        <v>#DIV/0!</v>
      </c>
    </row>
    <row r="45" spans="1:49" ht="14.25" x14ac:dyDescent="0.2">
      <c r="A45">
        <v>40</v>
      </c>
      <c r="D45" s="423" t="s">
        <v>365</v>
      </c>
      <c r="E45" s="275">
        <v>-2823768.4863584</v>
      </c>
      <c r="F45" s="335"/>
      <c r="G45" s="275">
        <v>-2918865.1367984</v>
      </c>
      <c r="H45" s="331"/>
      <c r="I45" s="275">
        <v>-3179330.9151744</v>
      </c>
      <c r="J45" s="331"/>
      <c r="K45" s="275">
        <v>-3032591.0977763999</v>
      </c>
      <c r="L45" s="331"/>
      <c r="M45" s="275">
        <v>-3103284.8914474002</v>
      </c>
      <c r="N45" s="331"/>
      <c r="O45" s="371">
        <v>-3402956.5976324002</v>
      </c>
      <c r="P45" s="331"/>
      <c r="Q45" s="371">
        <v>-3810971.4100323999</v>
      </c>
      <c r="R45" s="331"/>
      <c r="S45" s="371">
        <v>-3974938.4054539599</v>
      </c>
      <c r="T45" s="331"/>
      <c r="U45" s="344">
        <f t="shared" si="0"/>
        <v>-26246706.940673761</v>
      </c>
      <c r="V45" s="331"/>
      <c r="W45" s="371">
        <v>-3433958.1600204003</v>
      </c>
      <c r="X45" s="331"/>
      <c r="Y45" s="371">
        <v>-3775979.7116203997</v>
      </c>
      <c r="Z45" s="331"/>
      <c r="AA45" s="371">
        <v>-3800105.2630203995</v>
      </c>
      <c r="AB45" s="331"/>
      <c r="AC45" s="411"/>
      <c r="AD45" s="411"/>
      <c r="AE45" s="411"/>
      <c r="AF45" s="411"/>
      <c r="AG45" s="411"/>
      <c r="AH45" s="411"/>
      <c r="AI45" s="411"/>
      <c r="AJ45" s="411"/>
      <c r="AK45" s="411"/>
      <c r="AL45" s="411"/>
      <c r="AM45" s="411"/>
      <c r="AN45" s="411"/>
      <c r="AO45" s="411"/>
      <c r="AP45" s="411"/>
      <c r="AQ45" s="411"/>
      <c r="AR45" s="411"/>
      <c r="AS45" s="411"/>
      <c r="AT45" s="411"/>
      <c r="AU45" s="344">
        <f t="shared" si="1"/>
        <v>-11010043.1346612</v>
      </c>
      <c r="AV45" s="331"/>
      <c r="AW45" s="332" t="e">
        <f t="shared" si="2"/>
        <v>#DIV/0!</v>
      </c>
    </row>
    <row r="46" spans="1:49" ht="14.25" x14ac:dyDescent="0.2">
      <c r="A46">
        <v>41</v>
      </c>
      <c r="B46" s="2" t="s">
        <v>97</v>
      </c>
      <c r="D46" s="423" t="s">
        <v>36</v>
      </c>
      <c r="E46" s="273">
        <v>383.54</v>
      </c>
      <c r="F46" s="339"/>
      <c r="G46" s="273">
        <v>71862.999599999996</v>
      </c>
      <c r="H46" s="339"/>
      <c r="I46" s="273">
        <v>117913.68119999999</v>
      </c>
      <c r="J46" s="339"/>
      <c r="K46" s="273">
        <v>166138.17860000001</v>
      </c>
      <c r="L46" s="339"/>
      <c r="M46" s="273">
        <v>210966.61499999993</v>
      </c>
      <c r="N46" s="339"/>
      <c r="O46" s="372">
        <v>60473.808800000028</v>
      </c>
      <c r="P46" s="339"/>
      <c r="Q46" s="372">
        <v>166287.37640000021</v>
      </c>
      <c r="R46" s="339"/>
      <c r="S46" s="372">
        <v>182109.13050000006</v>
      </c>
      <c r="T46" s="339"/>
      <c r="U46" s="344">
        <f t="shared" si="0"/>
        <v>976135.33010000025</v>
      </c>
      <c r="V46" s="339"/>
      <c r="W46" s="372">
        <v>297950.14519999997</v>
      </c>
      <c r="X46" s="339"/>
      <c r="Y46" s="372">
        <v>176908.93180000043</v>
      </c>
      <c r="Z46" s="339"/>
      <c r="AA46" s="372">
        <v>123900.0169000001</v>
      </c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  <c r="AO46" s="339"/>
      <c r="AP46" s="339"/>
      <c r="AQ46" s="339"/>
      <c r="AR46" s="339"/>
      <c r="AS46" s="339"/>
      <c r="AT46" s="339"/>
      <c r="AU46" s="344">
        <f t="shared" si="1"/>
        <v>598759.09390000044</v>
      </c>
      <c r="AV46" s="339"/>
      <c r="AW46" s="332" t="e">
        <f t="shared" si="2"/>
        <v>#DIV/0!</v>
      </c>
    </row>
    <row r="47" spans="1:49" ht="14.25" x14ac:dyDescent="0.2">
      <c r="B47" s="2" t="s">
        <v>97</v>
      </c>
      <c r="D47" s="221" t="s">
        <v>561</v>
      </c>
      <c r="E47" s="273"/>
      <c r="F47" s="339"/>
      <c r="G47" s="273"/>
      <c r="H47" s="339"/>
      <c r="I47" s="273"/>
      <c r="J47" s="339"/>
      <c r="K47" s="273"/>
      <c r="L47" s="339"/>
      <c r="M47" s="273"/>
      <c r="N47" s="339"/>
      <c r="O47" s="372"/>
      <c r="P47" s="339"/>
      <c r="Q47" s="372"/>
      <c r="R47" s="339"/>
      <c r="S47" s="372"/>
      <c r="T47" s="339"/>
      <c r="U47" s="344"/>
      <c r="V47" s="339"/>
      <c r="W47" s="372">
        <v>27817.521199999999</v>
      </c>
      <c r="X47" s="339"/>
      <c r="Y47" s="372">
        <v>16808.613000000001</v>
      </c>
      <c r="Z47" s="339"/>
      <c r="AA47" s="372">
        <v>14253.5965</v>
      </c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  <c r="AO47" s="339"/>
      <c r="AP47" s="339"/>
      <c r="AQ47" s="339"/>
      <c r="AR47" s="339"/>
      <c r="AS47" s="339"/>
      <c r="AT47" s="339"/>
      <c r="AU47" s="344"/>
      <c r="AV47" s="339"/>
      <c r="AW47" s="332"/>
    </row>
    <row r="48" spans="1:49" ht="14.25" x14ac:dyDescent="0.2">
      <c r="A48">
        <v>42</v>
      </c>
      <c r="D48" s="423" t="s">
        <v>366</v>
      </c>
      <c r="E48" s="282">
        <v>806220.24357959954</v>
      </c>
      <c r="G48" s="282">
        <v>1149258.9831796002</v>
      </c>
      <c r="I48" s="282">
        <v>1460915.5047826006</v>
      </c>
      <c r="K48" s="282">
        <v>421618.87217959977</v>
      </c>
      <c r="M48" s="282">
        <v>1149851.9885756008</v>
      </c>
      <c r="O48" s="373">
        <v>1255184.0723795993</v>
      </c>
      <c r="Q48" s="373">
        <v>2333367.5899796006</v>
      </c>
      <c r="S48" s="373">
        <v>1337167.5040795992</v>
      </c>
      <c r="U48" s="344">
        <f t="shared" si="0"/>
        <v>9913584.7587358002</v>
      </c>
      <c r="W48" s="373">
        <v>968695.77998560062</v>
      </c>
      <c r="Y48" s="373">
        <v>710274.56837960007</v>
      </c>
      <c r="AA48" s="373">
        <v>598089.07697960048</v>
      </c>
      <c r="AU48" s="344">
        <f t="shared" si="1"/>
        <v>2277059.425344801</v>
      </c>
      <c r="AW48" s="332" t="e">
        <f t="shared" si="2"/>
        <v>#DIV/0!</v>
      </c>
    </row>
    <row r="49" spans="1:49" ht="14.25" x14ac:dyDescent="0.2">
      <c r="A49">
        <v>43</v>
      </c>
      <c r="D49" s="423" t="s">
        <v>367</v>
      </c>
      <c r="E49" s="282">
        <v>806220.24364159955</v>
      </c>
      <c r="F49" s="282"/>
      <c r="G49" s="282">
        <v>1149258.9832056006</v>
      </c>
      <c r="H49" s="282"/>
      <c r="I49" s="282">
        <v>1460915.5048286007</v>
      </c>
      <c r="J49" s="282"/>
      <c r="K49" s="282">
        <v>421618.87222360028</v>
      </c>
      <c r="L49" s="282"/>
      <c r="M49" s="282">
        <v>1149851.988548601</v>
      </c>
      <c r="N49" s="282"/>
      <c r="O49" s="373">
        <v>1255184.0723896022</v>
      </c>
      <c r="P49" s="282"/>
      <c r="Q49" s="373">
        <v>2333367.5899035996</v>
      </c>
      <c r="R49" s="282"/>
      <c r="S49" s="373">
        <v>1337167.504467045</v>
      </c>
      <c r="T49" s="282"/>
      <c r="U49" s="344">
        <f t="shared" si="0"/>
        <v>9913584.7592082471</v>
      </c>
      <c r="V49" s="282"/>
      <c r="W49" s="373">
        <v>968695.77641300065</v>
      </c>
      <c r="X49" s="282"/>
      <c r="Y49" s="373">
        <v>710274.56963100005</v>
      </c>
      <c r="Z49" s="282"/>
      <c r="AA49" s="373">
        <v>598089.08000826417</v>
      </c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344">
        <f t="shared" si="1"/>
        <v>2277059.4260522649</v>
      </c>
      <c r="AV49" s="282"/>
      <c r="AW49" s="332" t="e">
        <f t="shared" si="2"/>
        <v>#DIV/0!</v>
      </c>
    </row>
    <row r="50" spans="1:49" ht="15" x14ac:dyDescent="0.2">
      <c r="A50">
        <v>44</v>
      </c>
      <c r="D50" s="428" t="s">
        <v>370</v>
      </c>
      <c r="E50" s="268">
        <v>80550.75</v>
      </c>
      <c r="F50" s="268"/>
      <c r="G50" s="268">
        <v>80550.75</v>
      </c>
      <c r="H50" s="268"/>
      <c r="I50" s="268">
        <v>49448.25</v>
      </c>
      <c r="J50" s="268"/>
      <c r="K50" s="268">
        <v>49448.25</v>
      </c>
      <c r="L50" s="268"/>
      <c r="M50" s="268">
        <v>980874.71</v>
      </c>
      <c r="N50" s="268"/>
      <c r="O50" s="374">
        <v>13733.96</v>
      </c>
      <c r="P50" s="268"/>
      <c r="Q50" s="374">
        <v>13733.96</v>
      </c>
      <c r="R50" s="268"/>
      <c r="S50" s="374">
        <v>118852.22</v>
      </c>
      <c r="T50" s="268"/>
      <c r="U50" s="344">
        <f t="shared" si="0"/>
        <v>1387192.8499999999</v>
      </c>
      <c r="V50" s="268"/>
      <c r="W50" s="421">
        <v>32185.22</v>
      </c>
      <c r="X50" s="268"/>
      <c r="Y50" s="374">
        <v>32185.22</v>
      </c>
      <c r="Z50" s="268"/>
      <c r="AA50" s="374">
        <v>118852.22</v>
      </c>
      <c r="AB50" s="268"/>
      <c r="AC50" s="268"/>
      <c r="AD50" s="268"/>
      <c r="AE50" s="268"/>
      <c r="AF50" s="268"/>
      <c r="AG50" s="268"/>
      <c r="AH50" s="268"/>
      <c r="AI50" s="268"/>
      <c r="AJ50" s="268"/>
      <c r="AK50" s="268"/>
      <c r="AL50" s="268"/>
      <c r="AM50" s="268"/>
      <c r="AN50" s="268"/>
      <c r="AO50" s="268"/>
      <c r="AP50" s="268"/>
      <c r="AQ50" s="268"/>
      <c r="AR50" s="268"/>
      <c r="AS50" s="268"/>
      <c r="AT50" s="268"/>
      <c r="AU50" s="344">
        <f t="shared" si="1"/>
        <v>183222.66</v>
      </c>
      <c r="AV50" s="268"/>
    </row>
    <row r="51" spans="1:49" ht="15" x14ac:dyDescent="0.2">
      <c r="A51">
        <v>45</v>
      </c>
      <c r="D51" s="428" t="s">
        <v>371</v>
      </c>
      <c r="E51" s="268">
        <v>8399.23</v>
      </c>
      <c r="F51" s="268"/>
      <c r="G51" s="268">
        <v>20197.809999999998</v>
      </c>
      <c r="H51" s="268"/>
      <c r="I51" s="268">
        <v>31977.920000000002</v>
      </c>
      <c r="J51" s="268"/>
      <c r="K51" s="268">
        <v>24195.62</v>
      </c>
      <c r="L51" s="268"/>
      <c r="M51" s="268">
        <v>35984.350000000006</v>
      </c>
      <c r="N51" s="268"/>
      <c r="O51" s="374">
        <v>21199.910000000003</v>
      </c>
      <c r="P51" s="268"/>
      <c r="Q51" s="374">
        <v>41244.340000000004</v>
      </c>
      <c r="R51" s="268"/>
      <c r="S51" s="374">
        <v>36354.519999999997</v>
      </c>
      <c r="T51" s="268"/>
      <c r="U51" s="344">
        <f t="shared" si="0"/>
        <v>219553.7</v>
      </c>
      <c r="V51" s="268"/>
      <c r="W51" s="421">
        <v>24487.549999999996</v>
      </c>
      <c r="X51" s="268"/>
      <c r="Y51" s="374">
        <v>30262.640000000003</v>
      </c>
      <c r="Z51" s="268"/>
      <c r="AA51" s="374">
        <v>46184.350000000006</v>
      </c>
      <c r="AB51" s="268"/>
      <c r="AC51" s="268"/>
      <c r="AD51" s="268"/>
      <c r="AE51" s="268"/>
      <c r="AF51" s="268"/>
      <c r="AG51" s="268"/>
      <c r="AH51" s="268"/>
      <c r="AI51" s="268"/>
      <c r="AJ51" s="268"/>
      <c r="AK51" s="268"/>
      <c r="AL51" s="268"/>
      <c r="AM51" s="268"/>
      <c r="AN51" s="268"/>
      <c r="AO51" s="268"/>
      <c r="AP51" s="268"/>
      <c r="AQ51" s="268"/>
      <c r="AR51" s="268"/>
      <c r="AS51" s="268"/>
      <c r="AT51" s="268"/>
      <c r="AU51" s="344">
        <f t="shared" si="1"/>
        <v>100934.54000000001</v>
      </c>
      <c r="AV51" s="268"/>
    </row>
    <row r="52" spans="1:49" ht="15" x14ac:dyDescent="0.2">
      <c r="A52">
        <v>46</v>
      </c>
      <c r="D52" s="428" t="s">
        <v>394</v>
      </c>
      <c r="F52" s="340">
        <f>E48/E2</f>
        <v>0.22209993020545812</v>
      </c>
      <c r="H52" s="340">
        <f>G48/G2</f>
        <v>0.28250342154742325</v>
      </c>
      <c r="J52" s="340">
        <f>I48/I2</f>
        <v>0.31483575925729734</v>
      </c>
      <c r="L52" s="340">
        <f>K48/K2</f>
        <v>0.12205942193479331</v>
      </c>
      <c r="N52" s="340">
        <f>M48/M2</f>
        <v>0.2703538637526009</v>
      </c>
      <c r="O52" s="374"/>
      <c r="P52" s="340">
        <f>O48/O2</f>
        <v>0.26946031931956888</v>
      </c>
      <c r="Q52" s="374"/>
      <c r="R52" s="340">
        <f>Q48/Q2</f>
        <v>0.37975892769000952</v>
      </c>
      <c r="S52" s="374"/>
      <c r="T52" s="340">
        <f>S48/S2</f>
        <v>0.25172079148163762</v>
      </c>
      <c r="V52" s="340">
        <f>U48/U2</f>
        <v>0.2741566589400396</v>
      </c>
      <c r="W52" s="340"/>
      <c r="X52" s="340">
        <f>W48/W2</f>
        <v>0.22002541948238619</v>
      </c>
      <c r="Y52" s="340"/>
      <c r="Z52" s="340">
        <f>Y48/Y2</f>
        <v>0.15832240529611713</v>
      </c>
      <c r="AA52" s="340"/>
      <c r="AB52" s="340">
        <f>AA48/AA2</f>
        <v>0.13598514088843117</v>
      </c>
      <c r="AC52" s="340"/>
      <c r="AD52" s="340"/>
      <c r="AE52" s="340"/>
      <c r="AF52" s="340"/>
      <c r="AG52" s="340"/>
      <c r="AH52" s="340"/>
      <c r="AI52" s="340"/>
      <c r="AJ52" s="340"/>
      <c r="AK52" s="340"/>
      <c r="AL52" s="340"/>
      <c r="AM52" s="340"/>
      <c r="AN52" s="340"/>
      <c r="AO52" s="340"/>
      <c r="AP52" s="340"/>
      <c r="AQ52" s="340"/>
      <c r="AR52" s="340"/>
      <c r="AS52" s="340"/>
      <c r="AT52" s="340"/>
      <c r="AU52" s="344">
        <f t="shared" si="1"/>
        <v>0</v>
      </c>
      <c r="AV52" s="340">
        <f>AU48/AU2</f>
        <v>0.17137366217061645</v>
      </c>
    </row>
    <row r="53" spans="1:49" ht="15" x14ac:dyDescent="0.2">
      <c r="A53">
        <v>47</v>
      </c>
      <c r="D53" s="428" t="s">
        <v>372</v>
      </c>
      <c r="E53" s="320"/>
      <c r="F53" s="320"/>
      <c r="G53" s="320"/>
      <c r="H53" s="320"/>
      <c r="I53" s="266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44"/>
      <c r="V53" s="320"/>
      <c r="X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44">
        <f t="shared" si="1"/>
        <v>0</v>
      </c>
      <c r="AV53" s="320"/>
    </row>
    <row r="54" spans="1:49" ht="15" x14ac:dyDescent="0.2">
      <c r="A54">
        <v>48</v>
      </c>
      <c r="D54" s="428" t="s">
        <v>373</v>
      </c>
      <c r="E54" s="320"/>
      <c r="F54" s="320"/>
      <c r="G54" s="320"/>
      <c r="H54" s="320"/>
      <c r="I54" s="263"/>
      <c r="J54" s="320"/>
      <c r="K54" s="320"/>
      <c r="L54" s="320"/>
      <c r="M54" s="320"/>
      <c r="N54" s="320"/>
      <c r="O54" s="320"/>
      <c r="P54" s="320"/>
      <c r="Q54" s="320"/>
      <c r="R54" s="320"/>
      <c r="S54" s="320"/>
      <c r="T54" s="320"/>
      <c r="U54" s="344"/>
      <c r="V54" s="320"/>
      <c r="W54" s="371"/>
      <c r="X54" s="320"/>
      <c r="Y54" s="371"/>
      <c r="Z54" s="320"/>
      <c r="AA54" s="320"/>
      <c r="AB54" s="320"/>
      <c r="AC54" s="320"/>
      <c r="AD54" s="320"/>
      <c r="AE54" s="320"/>
      <c r="AF54" s="320"/>
      <c r="AG54" s="320"/>
      <c r="AH54" s="320"/>
      <c r="AI54" s="320"/>
      <c r="AJ54" s="320"/>
      <c r="AK54" s="320"/>
      <c r="AL54" s="320"/>
      <c r="AM54" s="320"/>
      <c r="AN54" s="320"/>
      <c r="AO54" s="320"/>
      <c r="AP54" s="320"/>
      <c r="AQ54" s="320"/>
      <c r="AR54" s="320"/>
      <c r="AS54" s="320"/>
      <c r="AT54" s="320"/>
      <c r="AU54" s="344">
        <f t="shared" si="1"/>
        <v>0</v>
      </c>
      <c r="AV54" s="320"/>
    </row>
    <row r="55" spans="1:49" x14ac:dyDescent="0.2">
      <c r="W55" s="372"/>
    </row>
    <row r="56" spans="1:49" x14ac:dyDescent="0.2">
      <c r="W56" s="372"/>
    </row>
    <row r="57" spans="1:49" x14ac:dyDescent="0.2">
      <c r="W57" s="372"/>
    </row>
    <row r="58" spans="1:49" ht="14.25" x14ac:dyDescent="0.2">
      <c r="W58" s="374"/>
    </row>
  </sheetData>
  <autoFilter ref="A1:AW54" xr:uid="{9F36D5BA-8BAA-449B-98D0-C373D38C93E2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174D-FAEC-404F-9A52-6CB12DEA4CDC}">
  <sheetPr>
    <tabColor rgb="FFFFFF00"/>
  </sheetPr>
  <dimension ref="A1:H256"/>
  <sheetViews>
    <sheetView topLeftCell="A236" zoomScaleNormal="100" workbookViewId="0">
      <selection activeCell="X3" sqref="X3"/>
    </sheetView>
  </sheetViews>
  <sheetFormatPr defaultRowHeight="12.75" x14ac:dyDescent="0.2"/>
  <cols>
    <col min="1" max="1" width="6.85546875" bestFit="1" customWidth="1"/>
    <col min="2" max="2" width="4.28515625" bestFit="1" customWidth="1"/>
    <col min="3" max="4" width="38.42578125" bestFit="1" customWidth="1"/>
    <col min="5" max="5" width="38.42578125" customWidth="1"/>
    <col min="6" max="6" width="14.7109375" bestFit="1" customWidth="1"/>
    <col min="7" max="7" width="8.28515625" bestFit="1" customWidth="1"/>
    <col min="8" max="8" width="45.42578125" style="378" bestFit="1" customWidth="1"/>
  </cols>
  <sheetData>
    <row r="1" spans="1:8" x14ac:dyDescent="0.2">
      <c r="A1" t="s">
        <v>9</v>
      </c>
      <c r="B1" t="s">
        <v>75</v>
      </c>
      <c r="C1" s="2" t="s">
        <v>483</v>
      </c>
      <c r="D1" s="2" t="s">
        <v>467</v>
      </c>
      <c r="E1" s="2" t="s">
        <v>485</v>
      </c>
      <c r="F1" t="s">
        <v>468</v>
      </c>
      <c r="G1" s="375" t="s">
        <v>469</v>
      </c>
      <c r="H1" s="378" t="s">
        <v>470</v>
      </c>
    </row>
    <row r="2" spans="1:8" x14ac:dyDescent="0.2">
      <c r="A2" s="77">
        <v>45292</v>
      </c>
      <c r="B2" s="377">
        <v>1</v>
      </c>
      <c r="C2" s="377"/>
      <c r="D2" s="2" t="s">
        <v>455</v>
      </c>
      <c r="E2" s="2"/>
      <c r="F2">
        <v>1292391.9923</v>
      </c>
      <c r="G2" s="352">
        <f>F2/$F$7</f>
        <v>0.45168808712452918</v>
      </c>
      <c r="H2" s="378">
        <f>G2</f>
        <v>0.45168808712452918</v>
      </c>
    </row>
    <row r="3" spans="1:8" x14ac:dyDescent="0.2">
      <c r="A3" s="77">
        <v>45292</v>
      </c>
      <c r="B3" s="377">
        <v>2</v>
      </c>
      <c r="C3" s="377"/>
      <c r="D3" s="2" t="s">
        <v>142</v>
      </c>
      <c r="E3" s="2"/>
      <c r="F3">
        <v>382983.25</v>
      </c>
      <c r="G3" s="352">
        <f>F3/$F$7</f>
        <v>0.13385178229507305</v>
      </c>
      <c r="H3" s="378">
        <f>G3</f>
        <v>0.13385178229507305</v>
      </c>
    </row>
    <row r="4" spans="1:8" x14ac:dyDescent="0.2">
      <c r="A4" s="77">
        <v>45292</v>
      </c>
      <c r="B4" s="377">
        <v>3</v>
      </c>
      <c r="C4" s="377"/>
      <c r="D4" s="2" t="s">
        <v>453</v>
      </c>
      <c r="E4" s="2"/>
      <c r="F4">
        <v>680191.5</v>
      </c>
      <c r="G4" s="352">
        <f>F4/$F$7</f>
        <v>0.23772539550217714</v>
      </c>
      <c r="H4" s="378">
        <f>G4</f>
        <v>0.23772539550217714</v>
      </c>
    </row>
    <row r="5" spans="1:8" x14ac:dyDescent="0.2">
      <c r="A5" s="77">
        <v>45292</v>
      </c>
      <c r="B5" s="377">
        <v>4</v>
      </c>
      <c r="C5" s="377"/>
      <c r="D5" s="2" t="s">
        <v>454</v>
      </c>
      <c r="E5" s="2"/>
      <c r="F5">
        <v>141836.54999999999</v>
      </c>
      <c r="G5" s="352">
        <f>F5/$F$7</f>
        <v>4.9571554401097812E-2</v>
      </c>
      <c r="H5" s="378">
        <f>G5</f>
        <v>4.9571554401097812E-2</v>
      </c>
    </row>
    <row r="6" spans="1:8" x14ac:dyDescent="0.2">
      <c r="A6" s="77">
        <v>45292</v>
      </c>
      <c r="B6" s="377">
        <v>5</v>
      </c>
      <c r="C6" s="377"/>
      <c r="D6" s="2" t="s">
        <v>331</v>
      </c>
      <c r="E6" s="2"/>
      <c r="F6">
        <v>363845.4967204</v>
      </c>
      <c r="G6" s="352">
        <f>F6/$F$7</f>
        <v>0.12716318067712282</v>
      </c>
      <c r="H6" s="378">
        <f>G6</f>
        <v>0.12716318067712282</v>
      </c>
    </row>
    <row r="7" spans="1:8" x14ac:dyDescent="0.2">
      <c r="A7" s="77">
        <v>45292</v>
      </c>
      <c r="B7" s="377">
        <v>6</v>
      </c>
      <c r="C7" s="377"/>
      <c r="D7" s="2" t="s">
        <v>452</v>
      </c>
      <c r="E7" s="2"/>
      <c r="F7">
        <f>F2+F3+F4+F5+F6</f>
        <v>2861248.7890204</v>
      </c>
      <c r="G7" s="379"/>
    </row>
    <row r="8" spans="1:8" x14ac:dyDescent="0.2">
      <c r="A8" s="77">
        <v>45323</v>
      </c>
      <c r="B8" s="377">
        <v>1</v>
      </c>
      <c r="C8" s="377"/>
      <c r="D8" s="2" t="s">
        <v>455</v>
      </c>
      <c r="E8" s="2"/>
      <c r="F8">
        <v>1274352.82</v>
      </c>
      <c r="G8" s="352">
        <f>F8/$F$13</f>
        <v>0.48071103986906499</v>
      </c>
      <c r="H8" s="378">
        <f>G8</f>
        <v>0.48071103986906499</v>
      </c>
    </row>
    <row r="9" spans="1:8" x14ac:dyDescent="0.2">
      <c r="A9" s="77">
        <v>45323</v>
      </c>
      <c r="B9" s="377">
        <v>2</v>
      </c>
      <c r="C9" s="377"/>
      <c r="D9" s="2" t="s">
        <v>142</v>
      </c>
      <c r="E9" s="2"/>
      <c r="F9">
        <v>346542.42000000004</v>
      </c>
      <c r="G9" s="352">
        <f t="shared" ref="G9:G12" si="0">F9/$F$13</f>
        <v>0.13072264169113093</v>
      </c>
      <c r="H9" s="378">
        <f>G9</f>
        <v>0.13072264169113093</v>
      </c>
    </row>
    <row r="10" spans="1:8" x14ac:dyDescent="0.2">
      <c r="A10" s="77">
        <v>45323</v>
      </c>
      <c r="B10" s="377">
        <v>3</v>
      </c>
      <c r="C10" s="377"/>
      <c r="D10" s="2" t="s">
        <v>453</v>
      </c>
      <c r="E10" s="2"/>
      <c r="F10">
        <v>630667.98999999976</v>
      </c>
      <c r="G10" s="352">
        <f t="shared" si="0"/>
        <v>0.23790041543207235</v>
      </c>
      <c r="H10" s="378">
        <f>G10</f>
        <v>0.23790041543207235</v>
      </c>
    </row>
    <row r="11" spans="1:8" x14ac:dyDescent="0.2">
      <c r="A11" s="77">
        <v>45323</v>
      </c>
      <c r="B11" s="377">
        <v>4</v>
      </c>
      <c r="C11" s="377"/>
      <c r="D11" s="2" t="s">
        <v>454</v>
      </c>
      <c r="E11" s="2"/>
      <c r="F11">
        <v>85576.06</v>
      </c>
      <c r="G11" s="352">
        <f t="shared" si="0"/>
        <v>3.2280979132998266E-2</v>
      </c>
      <c r="H11" s="378">
        <f>G11</f>
        <v>3.2280979132998266E-2</v>
      </c>
    </row>
    <row r="12" spans="1:8" x14ac:dyDescent="0.2">
      <c r="A12" s="77">
        <v>45323</v>
      </c>
      <c r="B12" s="377">
        <v>5</v>
      </c>
      <c r="C12" s="377"/>
      <c r="D12" s="2" t="s">
        <v>331</v>
      </c>
      <c r="E12" s="2"/>
      <c r="F12">
        <v>313835.44182040001</v>
      </c>
      <c r="G12" s="352">
        <f t="shared" si="0"/>
        <v>0.11838492387473347</v>
      </c>
      <c r="H12" s="378">
        <f>G12</f>
        <v>0.11838492387473347</v>
      </c>
    </row>
    <row r="13" spans="1:8" x14ac:dyDescent="0.2">
      <c r="A13" s="77">
        <v>45323</v>
      </c>
      <c r="B13" s="377">
        <v>6</v>
      </c>
      <c r="C13" s="377"/>
      <c r="D13" s="2" t="s">
        <v>452</v>
      </c>
      <c r="E13" s="2"/>
      <c r="F13">
        <f>F8+F9+F10+F11+F12</f>
        <v>2650974.7318203999</v>
      </c>
      <c r="G13" s="379"/>
    </row>
    <row r="14" spans="1:8" x14ac:dyDescent="0.2">
      <c r="A14" s="77">
        <v>45352</v>
      </c>
      <c r="B14" s="377">
        <v>1</v>
      </c>
      <c r="C14" s="377"/>
      <c r="D14" s="2" t="s">
        <v>455</v>
      </c>
      <c r="E14" s="2"/>
      <c r="F14">
        <v>1307419.74</v>
      </c>
      <c r="G14" s="352">
        <f>F14/$F$19</f>
        <v>0.48678892702302046</v>
      </c>
      <c r="H14" s="378">
        <f>G14</f>
        <v>0.48678892702302046</v>
      </c>
    </row>
    <row r="15" spans="1:8" x14ac:dyDescent="0.2">
      <c r="A15" s="77">
        <v>45352</v>
      </c>
      <c r="B15" s="377">
        <v>2</v>
      </c>
      <c r="C15" s="377"/>
      <c r="D15" s="2" t="s">
        <v>142</v>
      </c>
      <c r="E15" s="2"/>
      <c r="F15">
        <v>373244.79000000004</v>
      </c>
      <c r="G15" s="352">
        <f t="shared" ref="G15:G18" si="1">F15/$F$19</f>
        <v>0.13896947191651904</v>
      </c>
      <c r="H15" s="378">
        <f>G15</f>
        <v>0.13896947191651904</v>
      </c>
    </row>
    <row r="16" spans="1:8" x14ac:dyDescent="0.2">
      <c r="A16" s="77">
        <v>45352</v>
      </c>
      <c r="B16" s="377">
        <v>3</v>
      </c>
      <c r="C16" s="377"/>
      <c r="D16" s="2" t="s">
        <v>453</v>
      </c>
      <c r="E16" s="2"/>
      <c r="F16">
        <v>650151.32999999996</v>
      </c>
      <c r="G16" s="352">
        <f t="shared" si="1"/>
        <v>0.24206951956629449</v>
      </c>
      <c r="H16" s="378">
        <f>G16</f>
        <v>0.24206951956629449</v>
      </c>
    </row>
    <row r="17" spans="1:8" x14ac:dyDescent="0.2">
      <c r="A17" s="77">
        <v>45352</v>
      </c>
      <c r="B17" s="377">
        <v>4</v>
      </c>
      <c r="C17" s="377"/>
      <c r="D17" s="2" t="s">
        <v>454</v>
      </c>
      <c r="E17" s="2"/>
      <c r="F17">
        <v>70716.88</v>
      </c>
      <c r="G17" s="352">
        <f t="shared" si="1"/>
        <v>2.6329871795889893E-2</v>
      </c>
      <c r="H17" s="378">
        <f>G17</f>
        <v>2.6329871795889893E-2</v>
      </c>
    </row>
    <row r="18" spans="1:8" x14ac:dyDescent="0.2">
      <c r="A18" s="77">
        <v>45352</v>
      </c>
      <c r="B18" s="377">
        <v>5</v>
      </c>
      <c r="C18" s="377"/>
      <c r="D18" s="2" t="s">
        <v>331</v>
      </c>
      <c r="E18" s="2"/>
      <c r="F18">
        <v>284271.45032040053</v>
      </c>
      <c r="G18" s="352">
        <f t="shared" si="1"/>
        <v>0.10584220969827612</v>
      </c>
      <c r="H18" s="378">
        <f>G18</f>
        <v>0.10584220969827612</v>
      </c>
    </row>
    <row r="19" spans="1:8" x14ac:dyDescent="0.2">
      <c r="A19" s="77">
        <v>45352</v>
      </c>
      <c r="B19" s="377">
        <v>6</v>
      </c>
      <c r="C19" s="377"/>
      <c r="D19" s="2" t="s">
        <v>452</v>
      </c>
      <c r="E19" s="2"/>
      <c r="F19">
        <f>F14+F15+F16+F17+F18</f>
        <v>2685804.1903204005</v>
      </c>
      <c r="G19" s="379"/>
    </row>
    <row r="20" spans="1:8" x14ac:dyDescent="0.2">
      <c r="A20" s="77">
        <v>45413</v>
      </c>
      <c r="B20" s="377">
        <v>1</v>
      </c>
      <c r="C20" s="377"/>
      <c r="D20" s="2" t="s">
        <v>455</v>
      </c>
      <c r="E20" s="2"/>
      <c r="F20">
        <f>-DRE!$E$22</f>
        <v>1261018.94</v>
      </c>
      <c r="G20" s="352">
        <f>F20/$F$25</f>
        <v>0.44657306223650101</v>
      </c>
      <c r="H20" s="378">
        <f>G20</f>
        <v>0.44657306223650101</v>
      </c>
    </row>
    <row r="21" spans="1:8" x14ac:dyDescent="0.2">
      <c r="A21" s="77">
        <v>45413</v>
      </c>
      <c r="B21" s="377">
        <v>2</v>
      </c>
      <c r="C21" s="377"/>
      <c r="D21" s="2" t="s">
        <v>142</v>
      </c>
      <c r="E21" s="252"/>
      <c r="F21" t="e">
        <f>-DRE!#REF!-DRE!$E$34</f>
        <v>#REF!</v>
      </c>
      <c r="G21" s="352" t="e">
        <f t="shared" ref="G21:G24" si="2">F21/$F$25</f>
        <v>#REF!</v>
      </c>
      <c r="H21" s="378" t="e">
        <f>G21</f>
        <v>#REF!</v>
      </c>
    </row>
    <row r="22" spans="1:8" x14ac:dyDescent="0.2">
      <c r="A22" s="77">
        <v>45413</v>
      </c>
      <c r="B22" s="377">
        <v>3</v>
      </c>
      <c r="C22" s="377"/>
      <c r="D22" s="2" t="s">
        <v>453</v>
      </c>
      <c r="E22" s="380"/>
      <c r="F22">
        <f>-DRE!$E$4-DRE!$E$41</f>
        <v>577744.15</v>
      </c>
      <c r="G22" s="352">
        <f t="shared" si="2"/>
        <v>0.20460039581540654</v>
      </c>
      <c r="H22" s="378">
        <f>G22</f>
        <v>0.20460039581540654</v>
      </c>
    </row>
    <row r="23" spans="1:8" x14ac:dyDescent="0.2">
      <c r="A23" s="77">
        <v>45413</v>
      </c>
      <c r="B23" s="377">
        <v>4</v>
      </c>
      <c r="C23" s="377"/>
      <c r="D23" s="2" t="s">
        <v>454</v>
      </c>
      <c r="E23" s="2"/>
      <c r="F23">
        <f>-DRE!$E$21</f>
        <v>138202.63</v>
      </c>
      <c r="G23" s="352">
        <f t="shared" si="2"/>
        <v>4.8942620709755656E-2</v>
      </c>
      <c r="H23" s="378">
        <f>G23</f>
        <v>4.8942620709755656E-2</v>
      </c>
    </row>
    <row r="24" spans="1:8" x14ac:dyDescent="0.2">
      <c r="A24" s="77">
        <v>45413</v>
      </c>
      <c r="B24" s="377">
        <v>5</v>
      </c>
      <c r="C24" s="377"/>
      <c r="D24" s="2" t="s">
        <v>331</v>
      </c>
      <c r="E24" s="2"/>
      <c r="F24" t="e">
        <f>F25-F20-F21-F22-F23</f>
        <v>#REF!</v>
      </c>
      <c r="G24" s="352" t="e">
        <f t="shared" si="2"/>
        <v>#REF!</v>
      </c>
      <c r="H24" s="378" t="e">
        <f>G24</f>
        <v>#REF!</v>
      </c>
    </row>
    <row r="25" spans="1:8" x14ac:dyDescent="0.2">
      <c r="A25" s="77">
        <v>45413</v>
      </c>
      <c r="B25" s="377">
        <v>6</v>
      </c>
      <c r="C25" s="377"/>
      <c r="D25" s="2" t="s">
        <v>452</v>
      </c>
      <c r="E25" s="2"/>
      <c r="F25">
        <f>-DRE!$E$44</f>
        <v>2823768.4863584</v>
      </c>
      <c r="G25" s="379"/>
    </row>
    <row r="26" spans="1:8" x14ac:dyDescent="0.2">
      <c r="A26" s="77">
        <v>45444</v>
      </c>
      <c r="B26" s="377">
        <v>1</v>
      </c>
      <c r="C26" s="377"/>
      <c r="D26" s="2" t="s">
        <v>455</v>
      </c>
      <c r="E26" s="2"/>
      <c r="F26">
        <f>-DRE!$G$22</f>
        <v>1247698.2404</v>
      </c>
      <c r="G26" s="352">
        <f>F26/$F$31</f>
        <v>0.42746005105551266</v>
      </c>
      <c r="H26" s="378">
        <f>G26</f>
        <v>0.42746005105551266</v>
      </c>
    </row>
    <row r="27" spans="1:8" x14ac:dyDescent="0.2">
      <c r="A27" s="77">
        <v>45444</v>
      </c>
      <c r="B27" s="377">
        <v>2</v>
      </c>
      <c r="C27" s="377"/>
      <c r="D27" s="2" t="s">
        <v>142</v>
      </c>
      <c r="E27" s="2"/>
      <c r="F27" t="e">
        <f>-DRE!#REF!-DRE!$G$34</f>
        <v>#REF!</v>
      </c>
      <c r="G27" s="352" t="e">
        <f t="shared" ref="G27:G29" si="3">F27/$F$31</f>
        <v>#REF!</v>
      </c>
      <c r="H27" s="378" t="e">
        <f>G27</f>
        <v>#REF!</v>
      </c>
    </row>
    <row r="28" spans="1:8" x14ac:dyDescent="0.2">
      <c r="A28" s="77">
        <v>45444</v>
      </c>
      <c r="B28" s="377">
        <v>3</v>
      </c>
      <c r="C28" s="377"/>
      <c r="D28" s="2" t="s">
        <v>453</v>
      </c>
      <c r="E28" s="2"/>
      <c r="F28">
        <f>-DRE!$G$4-DRE!$G$41</f>
        <v>693384.02</v>
      </c>
      <c r="G28" s="352">
        <f t="shared" si="3"/>
        <v>0.23755260606543421</v>
      </c>
      <c r="H28" s="378">
        <f>G28</f>
        <v>0.23755260606543421</v>
      </c>
    </row>
    <row r="29" spans="1:8" x14ac:dyDescent="0.2">
      <c r="A29" s="77">
        <v>45444</v>
      </c>
      <c r="B29" s="377">
        <v>4</v>
      </c>
      <c r="C29" s="377"/>
      <c r="D29" s="2" t="s">
        <v>454</v>
      </c>
      <c r="E29" s="2"/>
      <c r="F29">
        <f>-DRE!$G$21</f>
        <v>165444.51</v>
      </c>
      <c r="G29" s="352">
        <f t="shared" si="3"/>
        <v>5.6681107980710015E-2</v>
      </c>
      <c r="H29" s="378">
        <f>G29</f>
        <v>5.6681107980710015E-2</v>
      </c>
    </row>
    <row r="30" spans="1:8" x14ac:dyDescent="0.2">
      <c r="A30" s="77">
        <v>45444</v>
      </c>
      <c r="B30" s="377">
        <v>5</v>
      </c>
      <c r="C30" s="377"/>
      <c r="D30" s="2" t="s">
        <v>331</v>
      </c>
      <c r="E30" s="2"/>
      <c r="F30" t="e">
        <f>F31-F26-F27-F28-F29</f>
        <v>#REF!</v>
      </c>
      <c r="G30" s="352" t="e">
        <f>F30/$F$31</f>
        <v>#REF!</v>
      </c>
      <c r="H30" s="378" t="e">
        <f>G30</f>
        <v>#REF!</v>
      </c>
    </row>
    <row r="31" spans="1:8" x14ac:dyDescent="0.2">
      <c r="A31" s="77">
        <v>45444</v>
      </c>
      <c r="B31" s="377">
        <v>6</v>
      </c>
      <c r="C31" s="377"/>
      <c r="D31" s="2" t="s">
        <v>452</v>
      </c>
      <c r="E31" s="2"/>
      <c r="F31">
        <f>-DRE!$G$44</f>
        <v>2918865.1367984</v>
      </c>
      <c r="G31" s="379"/>
    </row>
    <row r="32" spans="1:8" x14ac:dyDescent="0.2">
      <c r="A32" s="77">
        <v>45474</v>
      </c>
      <c r="B32" s="377">
        <v>1</v>
      </c>
      <c r="C32" s="377"/>
      <c r="D32" s="2" t="s">
        <v>455</v>
      </c>
      <c r="E32" s="2"/>
      <c r="F32">
        <f>-DRE!$I$22</f>
        <v>1257014.5288</v>
      </c>
      <c r="G32" s="352">
        <f>F32/$F$37</f>
        <v>0.39537077527868703</v>
      </c>
      <c r="H32" s="378">
        <f>G32</f>
        <v>0.39537077527868703</v>
      </c>
    </row>
    <row r="33" spans="1:8" x14ac:dyDescent="0.2">
      <c r="A33" s="77">
        <v>45474</v>
      </c>
      <c r="B33" s="377">
        <v>2</v>
      </c>
      <c r="C33" s="377"/>
      <c r="D33" s="2" t="s">
        <v>142</v>
      </c>
      <c r="E33" s="2"/>
      <c r="F33" t="e">
        <f>-DRE!#REF!-DRE!$I$34</f>
        <v>#REF!</v>
      </c>
      <c r="G33" s="352" t="e">
        <f t="shared" ref="G33:G36" si="4">F33/$F$37</f>
        <v>#REF!</v>
      </c>
      <c r="H33" s="378" t="e">
        <f>G33</f>
        <v>#REF!</v>
      </c>
    </row>
    <row r="34" spans="1:8" x14ac:dyDescent="0.2">
      <c r="A34" s="77">
        <v>45474</v>
      </c>
      <c r="B34" s="377">
        <v>3</v>
      </c>
      <c r="C34" s="377"/>
      <c r="D34" s="2" t="s">
        <v>453</v>
      </c>
      <c r="E34" s="2"/>
      <c r="F34">
        <f>-DRE!$I$4-DRE!$I$41</f>
        <v>771453.1</v>
      </c>
      <c r="G34" s="352">
        <f t="shared" si="4"/>
        <v>0.24264636823992963</v>
      </c>
      <c r="H34" s="378">
        <f>G34</f>
        <v>0.24264636823992963</v>
      </c>
    </row>
    <row r="35" spans="1:8" x14ac:dyDescent="0.2">
      <c r="A35" s="77">
        <v>45474</v>
      </c>
      <c r="B35" s="377">
        <v>4</v>
      </c>
      <c r="C35" s="377"/>
      <c r="D35" s="2" t="s">
        <v>454</v>
      </c>
      <c r="E35" s="2"/>
      <c r="F35">
        <f>-DRE!$I$21</f>
        <v>169686.16</v>
      </c>
      <c r="G35" s="352">
        <f t="shared" si="4"/>
        <v>5.3371657284907691E-2</v>
      </c>
      <c r="H35" s="378">
        <f>G35</f>
        <v>5.3371657284907691E-2</v>
      </c>
    </row>
    <row r="36" spans="1:8" x14ac:dyDescent="0.2">
      <c r="A36" s="77">
        <v>45474</v>
      </c>
      <c r="B36" s="377">
        <v>5</v>
      </c>
      <c r="C36" s="377"/>
      <c r="D36" s="2" t="s">
        <v>331</v>
      </c>
      <c r="E36" s="2"/>
      <c r="F36" t="e">
        <f>F37-F32-F33-F34-F35</f>
        <v>#REF!</v>
      </c>
      <c r="G36" s="352" t="e">
        <f t="shared" si="4"/>
        <v>#REF!</v>
      </c>
      <c r="H36" s="378" t="e">
        <f>G36</f>
        <v>#REF!</v>
      </c>
    </row>
    <row r="37" spans="1:8" x14ac:dyDescent="0.2">
      <c r="A37" s="77">
        <v>45474</v>
      </c>
      <c r="B37" s="377">
        <v>6</v>
      </c>
      <c r="C37" s="377"/>
      <c r="D37" s="2" t="s">
        <v>452</v>
      </c>
      <c r="E37" s="2"/>
      <c r="F37">
        <f>-DRE!$I$44</f>
        <v>3179330.9151744</v>
      </c>
      <c r="G37" s="379"/>
    </row>
    <row r="38" spans="1:8" x14ac:dyDescent="0.2">
      <c r="A38" s="77">
        <v>45505</v>
      </c>
      <c r="B38" s="377">
        <v>1</v>
      </c>
      <c r="C38" s="377"/>
      <c r="D38" s="2" t="s">
        <v>455</v>
      </c>
      <c r="E38" s="2"/>
      <c r="F38">
        <f>-DRE!$K$22</f>
        <v>1275862.1514000001</v>
      </c>
      <c r="G38" s="352">
        <f>F38/$F$43</f>
        <v>0.42071684254943109</v>
      </c>
      <c r="H38" s="378">
        <f>G38</f>
        <v>0.42071684254943109</v>
      </c>
    </row>
    <row r="39" spans="1:8" x14ac:dyDescent="0.2">
      <c r="A39" s="77">
        <v>45505</v>
      </c>
      <c r="B39" s="377">
        <v>2</v>
      </c>
      <c r="C39" s="377"/>
      <c r="D39" s="2" t="s">
        <v>142</v>
      </c>
      <c r="E39" s="2"/>
      <c r="F39" t="e">
        <f>-DRE!#REF!-DRE!$K$34</f>
        <v>#REF!</v>
      </c>
      <c r="G39" s="352" t="e">
        <f t="shared" ref="G39:G42" si="5">F39/$F$43</f>
        <v>#REF!</v>
      </c>
      <c r="H39" s="378" t="e">
        <f>G39</f>
        <v>#REF!</v>
      </c>
    </row>
    <row r="40" spans="1:8" x14ac:dyDescent="0.2">
      <c r="A40" s="77">
        <v>45505</v>
      </c>
      <c r="B40" s="377">
        <v>3</v>
      </c>
      <c r="C40" s="377"/>
      <c r="D40" s="2" t="s">
        <v>453</v>
      </c>
      <c r="E40" s="2"/>
      <c r="F40">
        <f>-DRE!$K$4-DRE!$K$41</f>
        <v>695502.16</v>
      </c>
      <c r="G40" s="352">
        <f t="shared" si="5"/>
        <v>0.22934254489831027</v>
      </c>
      <c r="H40" s="378">
        <f>G40</f>
        <v>0.22934254489831027</v>
      </c>
    </row>
    <row r="41" spans="1:8" x14ac:dyDescent="0.2">
      <c r="A41" s="77">
        <v>45505</v>
      </c>
      <c r="B41" s="377">
        <v>4</v>
      </c>
      <c r="C41" s="377"/>
      <c r="D41" s="2" t="s">
        <v>454</v>
      </c>
      <c r="E41" s="2"/>
      <c r="F41">
        <f>-DRE!$K$21</f>
        <v>165603.79999999999</v>
      </c>
      <c r="G41" s="352">
        <f t="shared" si="5"/>
        <v>5.4608021543500009E-2</v>
      </c>
      <c r="H41" s="378">
        <f>G41</f>
        <v>5.4608021543500009E-2</v>
      </c>
    </row>
    <row r="42" spans="1:8" x14ac:dyDescent="0.2">
      <c r="A42" s="77">
        <v>45505</v>
      </c>
      <c r="B42" s="377">
        <v>5</v>
      </c>
      <c r="C42" s="377"/>
      <c r="D42" s="2" t="s">
        <v>331</v>
      </c>
      <c r="E42" s="2"/>
      <c r="F42" t="e">
        <f>F43-F38-F39-F40-F41</f>
        <v>#REF!</v>
      </c>
      <c r="G42" s="352" t="e">
        <f t="shared" si="5"/>
        <v>#REF!</v>
      </c>
      <c r="H42" s="378" t="e">
        <f>G42</f>
        <v>#REF!</v>
      </c>
    </row>
    <row r="43" spans="1:8" x14ac:dyDescent="0.2">
      <c r="A43" s="77">
        <v>45505</v>
      </c>
      <c r="B43" s="377">
        <v>6</v>
      </c>
      <c r="C43" s="377"/>
      <c r="D43" s="2" t="s">
        <v>452</v>
      </c>
      <c r="E43" s="2"/>
      <c r="F43">
        <f>-DRE!$K$44</f>
        <v>3032591.0977763999</v>
      </c>
      <c r="G43" s="379"/>
    </row>
    <row r="44" spans="1:8" x14ac:dyDescent="0.2">
      <c r="A44" s="77">
        <v>45536</v>
      </c>
      <c r="B44" s="377">
        <v>1</v>
      </c>
      <c r="C44" s="377"/>
      <c r="D44" s="2" t="s">
        <v>455</v>
      </c>
      <c r="E44" s="2"/>
      <c r="F44">
        <f>-DRE!$M$22</f>
        <v>1300087.375</v>
      </c>
      <c r="G44" s="352">
        <f>F44/$F$49</f>
        <v>0.41893909856069561</v>
      </c>
      <c r="H44" s="378">
        <f>G44</f>
        <v>0.41893909856069561</v>
      </c>
    </row>
    <row r="45" spans="1:8" x14ac:dyDescent="0.2">
      <c r="A45" s="77">
        <v>45536</v>
      </c>
      <c r="B45" s="377">
        <v>2</v>
      </c>
      <c r="C45" s="377"/>
      <c r="D45" s="2" t="s">
        <v>142</v>
      </c>
      <c r="E45" s="2"/>
      <c r="F45" t="e">
        <f>-DRE!#REF!-DRE!$M$34</f>
        <v>#REF!</v>
      </c>
      <c r="G45" s="352" t="e">
        <f t="shared" ref="G45:G48" si="6">F45/$F$49</f>
        <v>#REF!</v>
      </c>
      <c r="H45" s="378" t="e">
        <f>G45</f>
        <v>#REF!</v>
      </c>
    </row>
    <row r="46" spans="1:8" x14ac:dyDescent="0.2">
      <c r="A46" s="77">
        <v>45536</v>
      </c>
      <c r="B46" s="377">
        <v>3</v>
      </c>
      <c r="C46" s="377"/>
      <c r="D46" s="2" t="s">
        <v>453</v>
      </c>
      <c r="E46" s="2"/>
      <c r="F46">
        <f>-DRE!$M$4-DRE!$M$41</f>
        <v>716854.42</v>
      </c>
      <c r="G46" s="352">
        <f t="shared" si="6"/>
        <v>0.23099858539434728</v>
      </c>
      <c r="H46" s="378">
        <f>G46</f>
        <v>0.23099858539434728</v>
      </c>
    </row>
    <row r="47" spans="1:8" x14ac:dyDescent="0.2">
      <c r="A47" s="77">
        <v>45536</v>
      </c>
      <c r="B47" s="377">
        <v>4</v>
      </c>
      <c r="C47" s="377"/>
      <c r="D47" s="2" t="s">
        <v>454</v>
      </c>
      <c r="E47" s="2"/>
      <c r="F47">
        <f>-DRE!$M$21</f>
        <v>198728.85</v>
      </c>
      <c r="G47" s="352">
        <f t="shared" si="6"/>
        <v>6.4038223028666588E-2</v>
      </c>
      <c r="H47" s="378">
        <f>G47</f>
        <v>6.4038223028666588E-2</v>
      </c>
    </row>
    <row r="48" spans="1:8" x14ac:dyDescent="0.2">
      <c r="A48" s="77">
        <v>45536</v>
      </c>
      <c r="B48" s="377">
        <v>5</v>
      </c>
      <c r="C48" s="377"/>
      <c r="D48" s="2" t="s">
        <v>331</v>
      </c>
      <c r="E48" s="2"/>
      <c r="F48" t="e">
        <f>F49-F44-F45-F46-F47</f>
        <v>#REF!</v>
      </c>
      <c r="G48" s="352" t="e">
        <f t="shared" si="6"/>
        <v>#REF!</v>
      </c>
      <c r="H48" s="378" t="e">
        <f>G48</f>
        <v>#REF!</v>
      </c>
    </row>
    <row r="49" spans="1:8" x14ac:dyDescent="0.2">
      <c r="A49" s="77">
        <v>45536</v>
      </c>
      <c r="B49" s="377">
        <v>6</v>
      </c>
      <c r="C49" s="377"/>
      <c r="D49" s="2" t="s">
        <v>452</v>
      </c>
      <c r="E49" s="2"/>
      <c r="F49">
        <f>-DRE!$M$44</f>
        <v>3103284.8914474002</v>
      </c>
      <c r="G49" s="379"/>
    </row>
    <row r="50" spans="1:8" x14ac:dyDescent="0.2">
      <c r="A50" s="77">
        <v>45566</v>
      </c>
      <c r="B50" s="377">
        <v>1</v>
      </c>
      <c r="C50" s="377"/>
      <c r="D50" s="2" t="s">
        <v>455</v>
      </c>
      <c r="E50" s="2"/>
      <c r="F50">
        <f>-DRE!$O$22</f>
        <v>1339147.3012000001</v>
      </c>
      <c r="G50" s="352">
        <f>F50/$F$55</f>
        <v>0.39352464916293939</v>
      </c>
      <c r="H50" s="378">
        <f>G50</f>
        <v>0.39352464916293939</v>
      </c>
    </row>
    <row r="51" spans="1:8" x14ac:dyDescent="0.2">
      <c r="A51" s="77">
        <v>45566</v>
      </c>
      <c r="B51" s="377">
        <v>2</v>
      </c>
      <c r="C51" s="377"/>
      <c r="D51" s="2" t="s">
        <v>142</v>
      </c>
      <c r="E51" s="2"/>
      <c r="F51" t="e">
        <f>-DRE!#REF!-DRE!$O$34</f>
        <v>#REF!</v>
      </c>
      <c r="G51" s="352" t="e">
        <f t="shared" ref="G51:G54" si="7">F51/$F$55</f>
        <v>#REF!</v>
      </c>
      <c r="H51" s="378" t="e">
        <f>G51</f>
        <v>#REF!</v>
      </c>
    </row>
    <row r="52" spans="1:8" x14ac:dyDescent="0.2">
      <c r="A52" s="77">
        <v>45566</v>
      </c>
      <c r="B52" s="377">
        <v>3</v>
      </c>
      <c r="C52" s="377"/>
      <c r="D52" s="2" t="s">
        <v>453</v>
      </c>
      <c r="E52" s="2"/>
      <c r="F52">
        <f>-DRE!$O$4-DRE!$O$41</f>
        <v>787923.26</v>
      </c>
      <c r="G52" s="352">
        <f t="shared" si="7"/>
        <v>0.23154079030810912</v>
      </c>
      <c r="H52" s="378">
        <f>G52</f>
        <v>0.23154079030810912</v>
      </c>
    </row>
    <row r="53" spans="1:8" x14ac:dyDescent="0.2">
      <c r="A53" s="77">
        <v>45566</v>
      </c>
      <c r="B53" s="377">
        <v>4</v>
      </c>
      <c r="C53" s="377"/>
      <c r="D53" s="2" t="s">
        <v>454</v>
      </c>
      <c r="E53" s="2"/>
      <c r="F53">
        <f>-DRE!$O$21</f>
        <v>216962.07</v>
      </c>
      <c r="G53" s="352">
        <f t="shared" si="7"/>
        <v>6.3756931296435254E-2</v>
      </c>
      <c r="H53" s="378">
        <f>G53</f>
        <v>6.3756931296435254E-2</v>
      </c>
    </row>
    <row r="54" spans="1:8" x14ac:dyDescent="0.2">
      <c r="A54" s="77">
        <v>45566</v>
      </c>
      <c r="B54" s="377">
        <v>5</v>
      </c>
      <c r="C54" s="377"/>
      <c r="D54" s="2" t="s">
        <v>331</v>
      </c>
      <c r="E54" s="2"/>
      <c r="F54" t="e">
        <f>F55-F50-F51-F52-F53</f>
        <v>#REF!</v>
      </c>
      <c r="G54" s="352" t="e">
        <f t="shared" si="7"/>
        <v>#REF!</v>
      </c>
      <c r="H54" s="378" t="e">
        <f>G54</f>
        <v>#REF!</v>
      </c>
    </row>
    <row r="55" spans="1:8" x14ac:dyDescent="0.2">
      <c r="A55" s="77">
        <v>45566</v>
      </c>
      <c r="B55" s="377">
        <v>6</v>
      </c>
      <c r="C55" s="377"/>
      <c r="D55" s="2" t="s">
        <v>452</v>
      </c>
      <c r="E55" s="2"/>
      <c r="F55">
        <f>-DRE!$O$44</f>
        <v>3402956.5976324002</v>
      </c>
      <c r="G55" s="379"/>
    </row>
    <row r="56" spans="1:8" x14ac:dyDescent="0.2">
      <c r="A56" s="77">
        <v>45597</v>
      </c>
      <c r="B56" s="377">
        <v>1</v>
      </c>
      <c r="C56" s="377"/>
      <c r="D56" s="2" t="s">
        <v>455</v>
      </c>
      <c r="E56" s="2"/>
      <c r="F56">
        <f>-DRE!$Q$22</f>
        <v>1351942.3735999998</v>
      </c>
      <c r="G56" s="352">
        <f>F56/$F$61</f>
        <v>0.35475006976987683</v>
      </c>
      <c r="H56" s="378">
        <f>G56</f>
        <v>0.35475006976987683</v>
      </c>
    </row>
    <row r="57" spans="1:8" x14ac:dyDescent="0.2">
      <c r="A57" s="77">
        <v>45597</v>
      </c>
      <c r="B57" s="377">
        <v>2</v>
      </c>
      <c r="C57" s="377"/>
      <c r="D57" s="2" t="s">
        <v>142</v>
      </c>
      <c r="E57" s="2"/>
      <c r="F57" t="e">
        <f>-DRE!#REF!-DRE!$Q$34</f>
        <v>#REF!</v>
      </c>
      <c r="G57" s="352" t="e">
        <f t="shared" ref="G57:G60" si="8">F57/$F$61</f>
        <v>#REF!</v>
      </c>
      <c r="H57" s="378" t="e">
        <f>G57</f>
        <v>#REF!</v>
      </c>
    </row>
    <row r="58" spans="1:8" x14ac:dyDescent="0.2">
      <c r="A58" s="77">
        <v>45597</v>
      </c>
      <c r="B58" s="377">
        <v>3</v>
      </c>
      <c r="C58" s="377"/>
      <c r="D58" s="2" t="s">
        <v>453</v>
      </c>
      <c r="E58" s="2"/>
      <c r="F58">
        <f>-DRE!$Q$4-DRE!$Q$41</f>
        <v>856258.95</v>
      </c>
      <c r="G58" s="352">
        <f t="shared" si="8"/>
        <v>0.22468259608190561</v>
      </c>
      <c r="H58" s="378">
        <f>G58</f>
        <v>0.22468259608190561</v>
      </c>
    </row>
    <row r="59" spans="1:8" x14ac:dyDescent="0.2">
      <c r="A59" s="77">
        <v>45597</v>
      </c>
      <c r="B59" s="377">
        <v>4</v>
      </c>
      <c r="C59" s="377"/>
      <c r="D59" s="2" t="s">
        <v>454</v>
      </c>
      <c r="E59" s="2"/>
      <c r="F59">
        <f>-DRE!$Q$21</f>
        <v>264809.08</v>
      </c>
      <c r="G59" s="352">
        <f t="shared" si="8"/>
        <v>6.9485979166070064E-2</v>
      </c>
      <c r="H59" s="378">
        <f>G59</f>
        <v>6.9485979166070064E-2</v>
      </c>
    </row>
    <row r="60" spans="1:8" x14ac:dyDescent="0.2">
      <c r="A60" s="77">
        <v>45597</v>
      </c>
      <c r="B60" s="377">
        <v>5</v>
      </c>
      <c r="C60" s="377"/>
      <c r="D60" s="2" t="s">
        <v>331</v>
      </c>
      <c r="E60" s="2"/>
      <c r="F60" t="e">
        <f>F61-F56-F57-F58-F59</f>
        <v>#REF!</v>
      </c>
      <c r="G60" s="352" t="e">
        <f t="shared" si="8"/>
        <v>#REF!</v>
      </c>
      <c r="H60" s="378" t="e">
        <f>G60</f>
        <v>#REF!</v>
      </c>
    </row>
    <row r="61" spans="1:8" x14ac:dyDescent="0.2">
      <c r="A61" s="77">
        <v>45597</v>
      </c>
      <c r="B61" s="377">
        <v>6</v>
      </c>
      <c r="C61" s="377"/>
      <c r="D61" s="2" t="s">
        <v>452</v>
      </c>
      <c r="E61" s="2"/>
      <c r="F61">
        <f>-DRE!$Q$44</f>
        <v>3810971.4100323999</v>
      </c>
      <c r="G61" s="379"/>
    </row>
    <row r="62" spans="1:8" x14ac:dyDescent="0.2">
      <c r="A62" s="77">
        <v>45627</v>
      </c>
      <c r="B62" s="377">
        <v>1</v>
      </c>
      <c r="C62" s="377"/>
      <c r="D62" s="2" t="s">
        <v>455</v>
      </c>
      <c r="E62" s="2"/>
      <c r="F62">
        <f>-DRE!$S$22</f>
        <v>1333428.7895000002</v>
      </c>
      <c r="G62" s="352">
        <f>F62/$F$61</f>
        <v>0.34989209994851778</v>
      </c>
      <c r="H62" s="378">
        <f>G62</f>
        <v>0.34989209994851778</v>
      </c>
    </row>
    <row r="63" spans="1:8" x14ac:dyDescent="0.2">
      <c r="A63" s="77">
        <v>45627</v>
      </c>
      <c r="B63" s="377">
        <v>2</v>
      </c>
      <c r="C63" s="377"/>
      <c r="D63" s="2" t="s">
        <v>142</v>
      </c>
      <c r="E63" s="2"/>
      <c r="F63" t="e">
        <f>-DRE!#REF!-DRE!$S$34</f>
        <v>#REF!</v>
      </c>
      <c r="G63" s="352" t="e">
        <f t="shared" ref="G63:G66" si="9">F63/$F$61</f>
        <v>#REF!</v>
      </c>
      <c r="H63" s="378" t="e">
        <f>G63</f>
        <v>#REF!</v>
      </c>
    </row>
    <row r="64" spans="1:8" x14ac:dyDescent="0.2">
      <c r="A64" s="77">
        <v>45627</v>
      </c>
      <c r="B64" s="377">
        <v>3</v>
      </c>
      <c r="C64" s="377"/>
      <c r="D64" s="2" t="s">
        <v>453</v>
      </c>
      <c r="E64" s="2"/>
      <c r="F64">
        <f>-DRE!$S$4-DRE!$S$41</f>
        <v>854624.71</v>
      </c>
      <c r="G64" s="352">
        <f t="shared" si="9"/>
        <v>0.22425377103333718</v>
      </c>
      <c r="H64" s="378">
        <f>G64</f>
        <v>0.22425377103333718</v>
      </c>
    </row>
    <row r="65" spans="1:8" x14ac:dyDescent="0.2">
      <c r="A65" s="77">
        <v>45627</v>
      </c>
      <c r="B65" s="377">
        <v>4</v>
      </c>
      <c r="C65" s="377"/>
      <c r="D65" s="2" t="s">
        <v>454</v>
      </c>
      <c r="E65" s="2"/>
      <c r="F65">
        <f>-DRE!$S$21</f>
        <v>254639.2</v>
      </c>
      <c r="G65" s="352">
        <f t="shared" si="9"/>
        <v>6.6817399713275508E-2</v>
      </c>
      <c r="H65" s="378">
        <f>G65</f>
        <v>6.6817399713275508E-2</v>
      </c>
    </row>
    <row r="66" spans="1:8" x14ac:dyDescent="0.2">
      <c r="A66" s="77">
        <v>45627</v>
      </c>
      <c r="B66" s="377">
        <v>5</v>
      </c>
      <c r="C66" s="377"/>
      <c r="D66" s="2" t="s">
        <v>331</v>
      </c>
      <c r="E66" s="2"/>
      <c r="F66" t="e">
        <f>F67-F62-F63-F64-F65</f>
        <v>#REF!</v>
      </c>
      <c r="G66" s="352" t="e">
        <f t="shared" si="9"/>
        <v>#REF!</v>
      </c>
      <c r="H66" s="378" t="e">
        <f>G66</f>
        <v>#REF!</v>
      </c>
    </row>
    <row r="67" spans="1:8" x14ac:dyDescent="0.2">
      <c r="A67" s="77">
        <v>45627</v>
      </c>
      <c r="B67" s="377">
        <v>6</v>
      </c>
      <c r="C67" s="377"/>
      <c r="D67" s="2" t="s">
        <v>452</v>
      </c>
      <c r="E67" s="2"/>
      <c r="F67">
        <f>-DRE!$S$44</f>
        <v>3974938.4054539599</v>
      </c>
      <c r="G67" s="379"/>
    </row>
    <row r="68" spans="1:8" x14ac:dyDescent="0.2">
      <c r="A68" t="s">
        <v>73</v>
      </c>
      <c r="B68" s="377">
        <v>1</v>
      </c>
      <c r="C68" s="377"/>
      <c r="D68" s="2" t="s">
        <v>455</v>
      </c>
      <c r="E68" s="2"/>
      <c r="F68">
        <f t="shared" ref="F68:F73" si="10">F2+F8+F14+F20+F26+F32+F38+F44+F50+F56</f>
        <v>12906935.4627</v>
      </c>
      <c r="G68" s="352">
        <f>F68/$F$73</f>
        <v>0.42359769518422696</v>
      </c>
      <c r="H68" s="378">
        <f>G68</f>
        <v>0.42359769518422696</v>
      </c>
    </row>
    <row r="69" spans="1:8" x14ac:dyDescent="0.2">
      <c r="A69" t="s">
        <v>73</v>
      </c>
      <c r="B69" s="377">
        <v>2</v>
      </c>
      <c r="C69" s="377"/>
      <c r="D69" s="2" t="s">
        <v>142</v>
      </c>
      <c r="E69" s="2"/>
      <c r="F69" t="e">
        <f t="shared" si="10"/>
        <v>#REF!</v>
      </c>
      <c r="G69" s="352" t="e">
        <f t="shared" ref="G69:G72" si="11">F69/$F$73</f>
        <v>#REF!</v>
      </c>
      <c r="H69" s="378" t="e">
        <f>G69</f>
        <v>#REF!</v>
      </c>
    </row>
    <row r="70" spans="1:8" x14ac:dyDescent="0.2">
      <c r="A70" t="s">
        <v>73</v>
      </c>
      <c r="B70" s="377">
        <v>3</v>
      </c>
      <c r="C70" s="377"/>
      <c r="D70" s="2" t="s">
        <v>453</v>
      </c>
      <c r="E70" s="2"/>
      <c r="F70">
        <f t="shared" si="10"/>
        <v>7060130.8799999999</v>
      </c>
      <c r="G70" s="352">
        <f t="shared" si="11"/>
        <v>0.2317091595529969</v>
      </c>
      <c r="H70" s="378">
        <f>G70</f>
        <v>0.2317091595529969</v>
      </c>
    </row>
    <row r="71" spans="1:8" x14ac:dyDescent="0.2">
      <c r="A71" t="s">
        <v>73</v>
      </c>
      <c r="B71" s="377">
        <v>4</v>
      </c>
      <c r="C71" s="377"/>
      <c r="D71" s="2" t="s">
        <v>454</v>
      </c>
      <c r="E71" s="2"/>
      <c r="F71">
        <f t="shared" si="10"/>
        <v>1617566.5900000003</v>
      </c>
      <c r="G71" s="352">
        <f t="shared" si="11"/>
        <v>5.3087542066912387E-2</v>
      </c>
      <c r="H71" s="378">
        <f>G71</f>
        <v>5.3087542066912387E-2</v>
      </c>
    </row>
    <row r="72" spans="1:8" x14ac:dyDescent="0.2">
      <c r="A72" t="s">
        <v>73</v>
      </c>
      <c r="B72" s="377">
        <v>5</v>
      </c>
      <c r="C72" s="377"/>
      <c r="D72" s="2" t="s">
        <v>331</v>
      </c>
      <c r="E72" s="2"/>
      <c r="F72" t="e">
        <f t="shared" si="10"/>
        <v>#REF!</v>
      </c>
      <c r="G72" s="352" t="e">
        <f t="shared" si="11"/>
        <v>#REF!</v>
      </c>
      <c r="H72" s="378" t="e">
        <f>G72</f>
        <v>#REF!</v>
      </c>
    </row>
    <row r="73" spans="1:8" x14ac:dyDescent="0.2">
      <c r="A73" t="s">
        <v>73</v>
      </c>
      <c r="B73" s="377">
        <v>6</v>
      </c>
      <c r="C73" s="377"/>
      <c r="D73" s="2" t="s">
        <v>452</v>
      </c>
      <c r="E73" s="2"/>
      <c r="F73">
        <f t="shared" si="10"/>
        <v>30469796.246380996</v>
      </c>
      <c r="G73" s="379"/>
    </row>
    <row r="74" spans="1:8" x14ac:dyDescent="0.2">
      <c r="A74" s="77">
        <v>45413</v>
      </c>
      <c r="B74" s="377">
        <v>7</v>
      </c>
      <c r="C74" t="s">
        <v>340</v>
      </c>
      <c r="D74" s="2" t="s">
        <v>331</v>
      </c>
      <c r="E74" s="2" t="s">
        <v>486</v>
      </c>
      <c r="F74">
        <f>-VLOOKUP($C74,DRE!$D:$S,2,0)</f>
        <v>69000.39</v>
      </c>
      <c r="G74" s="352" t="e">
        <f t="shared" ref="G74:G93" si="12">F74/$F$94</f>
        <v>#N/A</v>
      </c>
      <c r="H74"/>
    </row>
    <row r="75" spans="1:8" x14ac:dyDescent="0.2">
      <c r="A75" s="77">
        <v>45413</v>
      </c>
      <c r="B75" s="377">
        <v>8</v>
      </c>
      <c r="C75" t="s">
        <v>563</v>
      </c>
      <c r="D75" s="2" t="s">
        <v>331</v>
      </c>
      <c r="E75" s="2" t="s">
        <v>487</v>
      </c>
      <c r="F75">
        <f>VLOOKUP($C75,DRE!$D:$S,2,0)</f>
        <v>0</v>
      </c>
      <c r="G75" s="352" t="e">
        <f t="shared" si="12"/>
        <v>#N/A</v>
      </c>
      <c r="H75"/>
    </row>
    <row r="76" spans="1:8" x14ac:dyDescent="0.2">
      <c r="A76" s="77">
        <v>45413</v>
      </c>
      <c r="B76" s="377">
        <v>9</v>
      </c>
      <c r="C76" t="s">
        <v>355</v>
      </c>
      <c r="D76" s="2" t="s">
        <v>331</v>
      </c>
      <c r="E76" s="2" t="s">
        <v>488</v>
      </c>
      <c r="F76">
        <f>-VLOOKUP($C76,DRE!$D:$S,2,0)</f>
        <v>52394.22</v>
      </c>
      <c r="G76" s="352" t="e">
        <f t="shared" si="12"/>
        <v>#N/A</v>
      </c>
      <c r="H76"/>
    </row>
    <row r="77" spans="1:8" x14ac:dyDescent="0.2">
      <c r="A77" s="77">
        <v>45413</v>
      </c>
      <c r="B77" s="377">
        <v>10</v>
      </c>
      <c r="C77" t="s">
        <v>353</v>
      </c>
      <c r="D77" s="2" t="s">
        <v>331</v>
      </c>
      <c r="E77" s="2" t="s">
        <v>489</v>
      </c>
      <c r="F77">
        <f>-VLOOKUP($C77,DRE!$D:$S,2,0)</f>
        <v>37496.6</v>
      </c>
      <c r="G77" s="352" t="e">
        <f t="shared" si="12"/>
        <v>#N/A</v>
      </c>
      <c r="H77"/>
    </row>
    <row r="78" spans="1:8" x14ac:dyDescent="0.2">
      <c r="A78" s="77">
        <v>45413</v>
      </c>
      <c r="B78" s="377">
        <v>11</v>
      </c>
      <c r="C78" t="s">
        <v>343</v>
      </c>
      <c r="D78" s="2" t="s">
        <v>331</v>
      </c>
      <c r="E78" s="2" t="s">
        <v>490</v>
      </c>
      <c r="F78">
        <f>-VLOOKUP($C78,DRE!$D:$S,2,0)</f>
        <v>20420.989999999998</v>
      </c>
      <c r="G78" s="352" t="e">
        <f t="shared" si="12"/>
        <v>#N/A</v>
      </c>
      <c r="H78"/>
    </row>
    <row r="79" spans="1:8" x14ac:dyDescent="0.2">
      <c r="A79" s="77">
        <v>45413</v>
      </c>
      <c r="B79" s="377">
        <v>12</v>
      </c>
      <c r="C79" t="s">
        <v>351</v>
      </c>
      <c r="D79" s="2" t="s">
        <v>331</v>
      </c>
      <c r="E79" s="2" t="s">
        <v>491</v>
      </c>
      <c r="F79">
        <f>-VLOOKUP($C79,DRE!$D:$S,2,0)</f>
        <v>57562.549999999996</v>
      </c>
      <c r="G79" s="352" t="e">
        <f t="shared" si="12"/>
        <v>#N/A</v>
      </c>
      <c r="H79"/>
    </row>
    <row r="80" spans="1:8" x14ac:dyDescent="0.2">
      <c r="A80" s="77">
        <v>45413</v>
      </c>
      <c r="B80" s="377">
        <v>13</v>
      </c>
      <c r="C80" t="s">
        <v>364</v>
      </c>
      <c r="D80" s="2" t="s">
        <v>331</v>
      </c>
      <c r="E80" s="2" t="s">
        <v>492</v>
      </c>
      <c r="F80">
        <f>-VLOOKUP($C80,DRE!$D:$S,2,0)</f>
        <v>32092.9664204</v>
      </c>
      <c r="G80" s="352" t="e">
        <f t="shared" si="12"/>
        <v>#N/A</v>
      </c>
      <c r="H80"/>
    </row>
    <row r="81" spans="1:8" x14ac:dyDescent="0.2">
      <c r="A81" s="77">
        <v>45413</v>
      </c>
      <c r="B81" s="377">
        <v>14</v>
      </c>
      <c r="C81" t="s">
        <v>349</v>
      </c>
      <c r="D81" s="2" t="s">
        <v>331</v>
      </c>
      <c r="E81" s="2" t="s">
        <v>493</v>
      </c>
      <c r="F81">
        <f>-VLOOKUP($C81,DRE!$D:$S,2,0)</f>
        <v>28028.559999999998</v>
      </c>
      <c r="G81" s="352" t="e">
        <f t="shared" si="12"/>
        <v>#N/A</v>
      </c>
      <c r="H81"/>
    </row>
    <row r="82" spans="1:8" x14ac:dyDescent="0.2">
      <c r="A82" s="77">
        <v>45413</v>
      </c>
      <c r="B82" s="377">
        <v>15</v>
      </c>
      <c r="C82" t="s">
        <v>329</v>
      </c>
      <c r="D82" s="2" t="s">
        <v>331</v>
      </c>
      <c r="E82" s="2" t="s">
        <v>494</v>
      </c>
      <c r="F82">
        <f>-VLOOKUP($C82,DRE!$D:$S,2,0)</f>
        <v>31292.27</v>
      </c>
      <c r="G82" s="352" t="e">
        <f t="shared" si="12"/>
        <v>#N/A</v>
      </c>
      <c r="H82"/>
    </row>
    <row r="83" spans="1:8" x14ac:dyDescent="0.2">
      <c r="A83" s="77">
        <v>45413</v>
      </c>
      <c r="B83" s="377">
        <v>16</v>
      </c>
      <c r="C83" t="s">
        <v>361</v>
      </c>
      <c r="D83" s="2" t="s">
        <v>331</v>
      </c>
      <c r="E83" s="2" t="s">
        <v>495</v>
      </c>
      <c r="F83">
        <f>-VLOOKUP($C83,DRE!$D:$S,2,0)</f>
        <v>17854.25</v>
      </c>
      <c r="G83" s="352" t="e">
        <f t="shared" si="12"/>
        <v>#N/A</v>
      </c>
      <c r="H83"/>
    </row>
    <row r="84" spans="1:8" x14ac:dyDescent="0.2">
      <c r="A84" s="77">
        <v>45413</v>
      </c>
      <c r="B84" s="377">
        <v>17</v>
      </c>
      <c r="C84" t="s">
        <v>354</v>
      </c>
      <c r="D84" s="2" t="s">
        <v>331</v>
      </c>
      <c r="E84" s="2" t="s">
        <v>496</v>
      </c>
      <c r="F84">
        <f>-VLOOKUP($C84,DRE!$D:$S,2,0)</f>
        <v>17075.189999999999</v>
      </c>
      <c r="G84" s="352" t="e">
        <f t="shared" si="12"/>
        <v>#N/A</v>
      </c>
      <c r="H84"/>
    </row>
    <row r="85" spans="1:8" x14ac:dyDescent="0.2">
      <c r="A85" s="77">
        <v>45413</v>
      </c>
      <c r="B85" s="377">
        <v>18</v>
      </c>
      <c r="C85" t="s">
        <v>350</v>
      </c>
      <c r="D85" s="2" t="s">
        <v>331</v>
      </c>
      <c r="E85" s="2" t="s">
        <v>497</v>
      </c>
      <c r="F85">
        <f>-VLOOKUP($C85,DRE!$D:$S,2,0)</f>
        <v>11955.59</v>
      </c>
      <c r="G85" s="352" t="e">
        <f t="shared" si="12"/>
        <v>#N/A</v>
      </c>
      <c r="H85"/>
    </row>
    <row r="86" spans="1:8" x14ac:dyDescent="0.2">
      <c r="A86" s="77">
        <v>45413</v>
      </c>
      <c r="B86" s="377">
        <v>19</v>
      </c>
      <c r="C86" t="s">
        <v>352</v>
      </c>
      <c r="D86" s="2" t="s">
        <v>331</v>
      </c>
      <c r="E86" s="2" t="s">
        <v>498</v>
      </c>
      <c r="F86">
        <f>-VLOOKUP($C86,DRE!$D:$S,2,0)</f>
        <v>7231.5300000000007</v>
      </c>
      <c r="G86" s="352" t="e">
        <f t="shared" si="12"/>
        <v>#N/A</v>
      </c>
      <c r="H86"/>
    </row>
    <row r="87" spans="1:8" x14ac:dyDescent="0.2">
      <c r="A87" s="77">
        <v>45413</v>
      </c>
      <c r="B87" s="377">
        <v>20</v>
      </c>
      <c r="C87" t="s">
        <v>357</v>
      </c>
      <c r="D87" s="2" t="s">
        <v>331</v>
      </c>
      <c r="E87" s="2" t="s">
        <v>499</v>
      </c>
      <c r="F87">
        <f>-VLOOKUP($C87,DRE!$D:$S,2,0)</f>
        <v>4840.16</v>
      </c>
      <c r="G87" s="352" t="e">
        <f t="shared" si="12"/>
        <v>#N/A</v>
      </c>
      <c r="H87"/>
    </row>
    <row r="88" spans="1:8" x14ac:dyDescent="0.2">
      <c r="A88" s="77">
        <v>45413</v>
      </c>
      <c r="B88" s="377">
        <v>21</v>
      </c>
      <c r="C88" t="s">
        <v>330</v>
      </c>
      <c r="D88" s="2" t="s">
        <v>331</v>
      </c>
      <c r="E88" s="2" t="s">
        <v>500</v>
      </c>
      <c r="F88" t="e">
        <f>-VLOOKUP($C88,DRE!$D:$S,2,0)</f>
        <v>#N/A</v>
      </c>
      <c r="G88" s="352" t="e">
        <f t="shared" si="12"/>
        <v>#N/A</v>
      </c>
      <c r="H88"/>
    </row>
    <row r="89" spans="1:8" x14ac:dyDescent="0.2">
      <c r="A89" s="77">
        <v>45413</v>
      </c>
      <c r="B89" s="377">
        <v>22</v>
      </c>
      <c r="C89" t="s">
        <v>328</v>
      </c>
      <c r="D89" s="2" t="s">
        <v>331</v>
      </c>
      <c r="E89" s="2" t="s">
        <v>501</v>
      </c>
      <c r="F89">
        <f>-VLOOKUP($C89,DRE!$D:$S,2,0)</f>
        <v>0</v>
      </c>
      <c r="G89" s="352" t="e">
        <f t="shared" si="12"/>
        <v>#N/A</v>
      </c>
      <c r="H89"/>
    </row>
    <row r="90" spans="1:8" x14ac:dyDescent="0.2">
      <c r="A90" s="77">
        <v>45413</v>
      </c>
      <c r="B90" s="377">
        <v>23</v>
      </c>
      <c r="C90" t="s">
        <v>331</v>
      </c>
      <c r="D90" s="2" t="s">
        <v>331</v>
      </c>
      <c r="E90" s="2" t="s">
        <v>502</v>
      </c>
      <c r="F90">
        <f>-VLOOKUP($C90,DRE!$D:$S,2,0)</f>
        <v>5.62</v>
      </c>
      <c r="G90" s="352" t="e">
        <f t="shared" si="12"/>
        <v>#N/A</v>
      </c>
      <c r="H90"/>
    </row>
    <row r="91" spans="1:8" x14ac:dyDescent="0.2">
      <c r="A91" s="77">
        <v>45413</v>
      </c>
      <c r="B91" s="377">
        <v>24</v>
      </c>
      <c r="C91" t="s">
        <v>332</v>
      </c>
      <c r="D91" s="2" t="s">
        <v>331</v>
      </c>
      <c r="E91" s="2" t="s">
        <v>503</v>
      </c>
      <c r="F91">
        <f>-VLOOKUP($C91,DRE!$D:$S,2,0)</f>
        <v>0</v>
      </c>
      <c r="G91" s="352" t="e">
        <f t="shared" si="12"/>
        <v>#N/A</v>
      </c>
      <c r="H91"/>
    </row>
    <row r="92" spans="1:8" x14ac:dyDescent="0.2">
      <c r="A92" s="77">
        <v>45413</v>
      </c>
      <c r="B92" s="377">
        <v>25</v>
      </c>
      <c r="C92" t="s">
        <v>359</v>
      </c>
      <c r="D92" s="2" t="s">
        <v>331</v>
      </c>
      <c r="E92" s="2" t="s">
        <v>504</v>
      </c>
      <c r="F92">
        <f>-VLOOKUP($C92,DRE!$D:$S,2,0)</f>
        <v>-417.34</v>
      </c>
      <c r="G92" s="352" t="e">
        <f t="shared" si="12"/>
        <v>#N/A</v>
      </c>
      <c r="H92"/>
    </row>
    <row r="93" spans="1:8" x14ac:dyDescent="0.2">
      <c r="A93" s="77">
        <v>45413</v>
      </c>
      <c r="B93" s="377">
        <v>26</v>
      </c>
      <c r="C93" t="s">
        <v>360</v>
      </c>
      <c r="D93" s="2" t="s">
        <v>331</v>
      </c>
      <c r="E93" s="2" t="s">
        <v>505</v>
      </c>
      <c r="F93">
        <f>-VLOOKUP($C93,DRE!$D:$S,2,0)</f>
        <v>-4179.58</v>
      </c>
      <c r="G93" s="352" t="e">
        <f t="shared" si="12"/>
        <v>#N/A</v>
      </c>
      <c r="H93"/>
    </row>
    <row r="94" spans="1:8" x14ac:dyDescent="0.2">
      <c r="A94" s="77">
        <v>45413</v>
      </c>
      <c r="B94" s="377">
        <v>27</v>
      </c>
      <c r="C94" s="2" t="s">
        <v>484</v>
      </c>
      <c r="D94" s="2" t="s">
        <v>331</v>
      </c>
      <c r="E94" s="2" t="s">
        <v>506</v>
      </c>
      <c r="F94" t="e">
        <f>SUM(F74:F93)</f>
        <v>#N/A</v>
      </c>
      <c r="H94"/>
    </row>
    <row r="95" spans="1:8" x14ac:dyDescent="0.2">
      <c r="A95" s="77">
        <v>45444</v>
      </c>
      <c r="B95" s="377">
        <v>7</v>
      </c>
      <c r="C95" t="s">
        <v>340</v>
      </c>
      <c r="D95" s="2" t="s">
        <v>331</v>
      </c>
      <c r="E95" s="2" t="s">
        <v>486</v>
      </c>
      <c r="F95">
        <f>-VLOOKUP($C95,DRE!$D:$S,4,0)</f>
        <v>43713.2</v>
      </c>
      <c r="G95" s="352" t="e">
        <f t="shared" ref="G95:G114" si="13">F95/$F$115</f>
        <v>#N/A</v>
      </c>
      <c r="H95" s="2"/>
    </row>
    <row r="96" spans="1:8" x14ac:dyDescent="0.2">
      <c r="A96" s="77">
        <v>45444</v>
      </c>
      <c r="B96" s="377">
        <v>8</v>
      </c>
      <c r="C96" t="s">
        <v>563</v>
      </c>
      <c r="D96" s="2" t="s">
        <v>331</v>
      </c>
      <c r="E96" s="2" t="s">
        <v>487</v>
      </c>
      <c r="F96">
        <f>VLOOKUP($C96,DRE!$D:$S,4,0)</f>
        <v>0</v>
      </c>
      <c r="G96" s="352" t="e">
        <f t="shared" si="13"/>
        <v>#N/A</v>
      </c>
    </row>
    <row r="97" spans="1:7" x14ac:dyDescent="0.2">
      <c r="A97" s="77">
        <v>45444</v>
      </c>
      <c r="B97" s="377">
        <v>9</v>
      </c>
      <c r="C97" t="s">
        <v>355</v>
      </c>
      <c r="D97" s="2" t="s">
        <v>331</v>
      </c>
      <c r="E97" s="2" t="s">
        <v>488</v>
      </c>
      <c r="F97">
        <f>-VLOOKUP($C97,DRE!$D:$S,4,0)</f>
        <v>41642.620000000003</v>
      </c>
      <c r="G97" s="352" t="e">
        <f t="shared" si="13"/>
        <v>#N/A</v>
      </c>
    </row>
    <row r="98" spans="1:7" x14ac:dyDescent="0.2">
      <c r="A98" s="77">
        <v>45444</v>
      </c>
      <c r="B98" s="377">
        <v>10</v>
      </c>
      <c r="C98" t="s">
        <v>353</v>
      </c>
      <c r="D98" s="2" t="s">
        <v>331</v>
      </c>
      <c r="E98" s="2" t="s">
        <v>489</v>
      </c>
      <c r="F98">
        <f>-VLOOKUP($C98,DRE!$D:$S,4,0)</f>
        <v>40796.76</v>
      </c>
      <c r="G98" s="352" t="e">
        <f t="shared" si="13"/>
        <v>#N/A</v>
      </c>
    </row>
    <row r="99" spans="1:7" x14ac:dyDescent="0.2">
      <c r="A99" s="77">
        <v>45444</v>
      </c>
      <c r="B99" s="377">
        <v>11</v>
      </c>
      <c r="C99" t="s">
        <v>343</v>
      </c>
      <c r="D99" s="2" t="s">
        <v>331</v>
      </c>
      <c r="E99" s="2" t="s">
        <v>490</v>
      </c>
      <c r="F99">
        <f>-VLOOKUP($C99,DRE!$D:$S,4,0)</f>
        <v>35594.14</v>
      </c>
      <c r="G99" s="352" t="e">
        <f t="shared" si="13"/>
        <v>#N/A</v>
      </c>
    </row>
    <row r="100" spans="1:7" x14ac:dyDescent="0.2">
      <c r="A100" s="77">
        <v>45444</v>
      </c>
      <c r="B100" s="377">
        <v>12</v>
      </c>
      <c r="C100" t="s">
        <v>351</v>
      </c>
      <c r="D100" s="2" t="s">
        <v>331</v>
      </c>
      <c r="E100" s="2" t="s">
        <v>491</v>
      </c>
      <c r="F100">
        <f>-VLOOKUP($C100,DRE!$D:$S,4,0)</f>
        <v>66297.600000000006</v>
      </c>
      <c r="G100" s="352" t="e">
        <f t="shared" si="13"/>
        <v>#N/A</v>
      </c>
    </row>
    <row r="101" spans="1:7" x14ac:dyDescent="0.2">
      <c r="A101" s="77">
        <v>45444</v>
      </c>
      <c r="B101" s="377">
        <v>13</v>
      </c>
      <c r="C101" t="s">
        <v>364</v>
      </c>
      <c r="D101" s="2" t="s">
        <v>331</v>
      </c>
      <c r="E101" s="2" t="s">
        <v>492</v>
      </c>
      <c r="F101">
        <f>-VLOOKUP($C101,DRE!$D:$S,4,0)</f>
        <v>32092.9664204</v>
      </c>
      <c r="G101" s="352" t="e">
        <f t="shared" si="13"/>
        <v>#N/A</v>
      </c>
    </row>
    <row r="102" spans="1:7" x14ac:dyDescent="0.2">
      <c r="A102" s="77">
        <v>45444</v>
      </c>
      <c r="B102" s="377">
        <v>14</v>
      </c>
      <c r="C102" t="s">
        <v>349</v>
      </c>
      <c r="D102" s="2" t="s">
        <v>331</v>
      </c>
      <c r="E102" s="2" t="s">
        <v>493</v>
      </c>
      <c r="F102">
        <f>-VLOOKUP($C102,DRE!$D:$S,4,0)</f>
        <v>8354.27</v>
      </c>
      <c r="G102" s="352" t="e">
        <f t="shared" si="13"/>
        <v>#N/A</v>
      </c>
    </row>
    <row r="103" spans="1:7" x14ac:dyDescent="0.2">
      <c r="A103" s="77">
        <v>45444</v>
      </c>
      <c r="B103" s="377">
        <v>15</v>
      </c>
      <c r="C103" t="s">
        <v>329</v>
      </c>
      <c r="D103" s="2" t="s">
        <v>331</v>
      </c>
      <c r="E103" s="2" t="s">
        <v>494</v>
      </c>
      <c r="F103">
        <f>-VLOOKUP($C103,DRE!$D:$S,4,0)</f>
        <v>31704.62</v>
      </c>
      <c r="G103" s="352" t="e">
        <f t="shared" si="13"/>
        <v>#N/A</v>
      </c>
    </row>
    <row r="104" spans="1:7" x14ac:dyDescent="0.2">
      <c r="A104" s="77">
        <v>45444</v>
      </c>
      <c r="B104" s="377">
        <v>16</v>
      </c>
      <c r="C104" t="s">
        <v>361</v>
      </c>
      <c r="D104" s="2" t="s">
        <v>331</v>
      </c>
      <c r="E104" s="2" t="s">
        <v>495</v>
      </c>
      <c r="F104">
        <f>-VLOOKUP($C104,DRE!$D:$S,4,0)</f>
        <v>22935.85</v>
      </c>
      <c r="G104" s="352" t="e">
        <f t="shared" si="13"/>
        <v>#N/A</v>
      </c>
    </row>
    <row r="105" spans="1:7" x14ac:dyDescent="0.2">
      <c r="A105" s="77">
        <v>45444</v>
      </c>
      <c r="B105" s="377">
        <v>17</v>
      </c>
      <c r="C105" t="s">
        <v>354</v>
      </c>
      <c r="D105" s="2" t="s">
        <v>331</v>
      </c>
      <c r="E105" s="2" t="s">
        <v>496</v>
      </c>
      <c r="F105">
        <f>-VLOOKUP($C105,DRE!$D:$S,4,0)</f>
        <v>18098.29</v>
      </c>
      <c r="G105" s="352" t="e">
        <f t="shared" si="13"/>
        <v>#N/A</v>
      </c>
    </row>
    <row r="106" spans="1:7" x14ac:dyDescent="0.2">
      <c r="A106" s="77">
        <v>45444</v>
      </c>
      <c r="B106" s="377">
        <v>18</v>
      </c>
      <c r="C106" t="s">
        <v>350</v>
      </c>
      <c r="D106" s="2" t="s">
        <v>331</v>
      </c>
      <c r="E106" s="2" t="s">
        <v>497</v>
      </c>
      <c r="F106">
        <f>-VLOOKUP($C106,DRE!$D:$S,4,0)</f>
        <v>13545.1</v>
      </c>
      <c r="G106" s="352" t="e">
        <f t="shared" si="13"/>
        <v>#N/A</v>
      </c>
    </row>
    <row r="107" spans="1:7" x14ac:dyDescent="0.2">
      <c r="A107" s="77">
        <v>45444</v>
      </c>
      <c r="B107" s="377">
        <v>19</v>
      </c>
      <c r="C107" t="s">
        <v>352</v>
      </c>
      <c r="D107" s="2" t="s">
        <v>331</v>
      </c>
      <c r="E107" s="2" t="s">
        <v>498</v>
      </c>
      <c r="F107">
        <f>-VLOOKUP($C107,DRE!$D:$S,4,0)</f>
        <v>5268.5</v>
      </c>
      <c r="G107" s="352" t="e">
        <f t="shared" si="13"/>
        <v>#N/A</v>
      </c>
    </row>
    <row r="108" spans="1:7" x14ac:dyDescent="0.2">
      <c r="A108" s="77">
        <v>45444</v>
      </c>
      <c r="B108" s="377">
        <v>20</v>
      </c>
      <c r="C108" t="s">
        <v>357</v>
      </c>
      <c r="D108" s="2" t="s">
        <v>331</v>
      </c>
      <c r="E108" s="2" t="s">
        <v>499</v>
      </c>
      <c r="F108">
        <f>-VLOOKUP($C108,DRE!$D:$S,4,0)</f>
        <v>4780.9400000000005</v>
      </c>
      <c r="G108" s="352" t="e">
        <f t="shared" si="13"/>
        <v>#N/A</v>
      </c>
    </row>
    <row r="109" spans="1:7" x14ac:dyDescent="0.2">
      <c r="A109" s="77">
        <v>45444</v>
      </c>
      <c r="B109" s="377">
        <v>21</v>
      </c>
      <c r="C109" t="s">
        <v>330</v>
      </c>
      <c r="D109" s="2" t="s">
        <v>331</v>
      </c>
      <c r="E109" s="2" t="s">
        <v>500</v>
      </c>
      <c r="F109" t="e">
        <f>-VLOOKUP($C109,DRE!$D:$S,4,0)</f>
        <v>#N/A</v>
      </c>
      <c r="G109" s="352" t="e">
        <f t="shared" si="13"/>
        <v>#N/A</v>
      </c>
    </row>
    <row r="110" spans="1:7" x14ac:dyDescent="0.2">
      <c r="A110" s="77">
        <v>45444</v>
      </c>
      <c r="B110" s="377">
        <v>22</v>
      </c>
      <c r="C110" t="s">
        <v>328</v>
      </c>
      <c r="D110" s="2" t="s">
        <v>331</v>
      </c>
      <c r="E110" s="2" t="s">
        <v>501</v>
      </c>
      <c r="F110">
        <f>-VLOOKUP($C110,DRE!$D:$S,4,0)</f>
        <v>0</v>
      </c>
      <c r="G110" s="352" t="e">
        <f t="shared" si="13"/>
        <v>#N/A</v>
      </c>
    </row>
    <row r="111" spans="1:7" x14ac:dyDescent="0.2">
      <c r="A111" s="77">
        <v>45444</v>
      </c>
      <c r="B111" s="377">
        <v>23</v>
      </c>
      <c r="C111" t="s">
        <v>331</v>
      </c>
      <c r="D111" s="2" t="s">
        <v>331</v>
      </c>
      <c r="E111" s="2" t="s">
        <v>502</v>
      </c>
      <c r="F111">
        <f>-VLOOKUP($C111,DRE!$D:$S,4,0)</f>
        <v>0</v>
      </c>
      <c r="G111" s="352" t="e">
        <f t="shared" si="13"/>
        <v>#N/A</v>
      </c>
    </row>
    <row r="112" spans="1:7" x14ac:dyDescent="0.2">
      <c r="A112" s="77">
        <v>45444</v>
      </c>
      <c r="B112" s="377">
        <v>24</v>
      </c>
      <c r="C112" t="s">
        <v>332</v>
      </c>
      <c r="D112" s="2" t="s">
        <v>331</v>
      </c>
      <c r="E112" s="2" t="s">
        <v>503</v>
      </c>
      <c r="F112">
        <f>-VLOOKUP($C112,DRE!$D:$S,4,0)</f>
        <v>0</v>
      </c>
      <c r="G112" s="352" t="e">
        <f t="shared" si="13"/>
        <v>#N/A</v>
      </c>
    </row>
    <row r="113" spans="1:7" x14ac:dyDescent="0.2">
      <c r="A113" s="77">
        <v>45444</v>
      </c>
      <c r="B113" s="377">
        <v>25</v>
      </c>
      <c r="C113" t="s">
        <v>359</v>
      </c>
      <c r="D113" s="2" t="s">
        <v>331</v>
      </c>
      <c r="E113" s="2" t="s">
        <v>504</v>
      </c>
      <c r="F113">
        <f>-VLOOKUP($C113,DRE!$D:$S,4,0)</f>
        <v>0</v>
      </c>
      <c r="G113" s="352" t="e">
        <f t="shared" si="13"/>
        <v>#N/A</v>
      </c>
    </row>
    <row r="114" spans="1:7" x14ac:dyDescent="0.2">
      <c r="A114" s="77">
        <v>45444</v>
      </c>
      <c r="B114" s="377">
        <v>26</v>
      </c>
      <c r="C114" t="s">
        <v>360</v>
      </c>
      <c r="D114" s="2" t="s">
        <v>331</v>
      </c>
      <c r="E114" s="2" t="s">
        <v>505</v>
      </c>
      <c r="F114">
        <f>-VLOOKUP($C114,DRE!$D:$S,4,0)</f>
        <v>0</v>
      </c>
      <c r="G114" s="352" t="e">
        <f t="shared" si="13"/>
        <v>#N/A</v>
      </c>
    </row>
    <row r="115" spans="1:7" x14ac:dyDescent="0.2">
      <c r="A115" s="77">
        <v>45444</v>
      </c>
      <c r="B115" s="377">
        <v>27</v>
      </c>
      <c r="C115" s="2" t="s">
        <v>484</v>
      </c>
      <c r="D115" s="2" t="s">
        <v>331</v>
      </c>
      <c r="E115" s="2" t="s">
        <v>506</v>
      </c>
      <c r="F115" t="e">
        <f>SUM(F95:F114)</f>
        <v>#N/A</v>
      </c>
    </row>
    <row r="116" spans="1:7" x14ac:dyDescent="0.2">
      <c r="A116" s="77">
        <v>45474</v>
      </c>
      <c r="B116" s="377">
        <v>7</v>
      </c>
      <c r="C116" t="s">
        <v>340</v>
      </c>
      <c r="D116" s="2" t="s">
        <v>331</v>
      </c>
      <c r="E116" s="2" t="s">
        <v>486</v>
      </c>
      <c r="F116">
        <f>-VLOOKUP($C116,DRE!$D:$S,6,0)</f>
        <v>150696.85</v>
      </c>
      <c r="G116" s="352" t="e">
        <f t="shared" ref="G116:G135" si="14">F116/$F$136</f>
        <v>#N/A</v>
      </c>
    </row>
    <row r="117" spans="1:7" x14ac:dyDescent="0.2">
      <c r="A117" s="77">
        <v>45474</v>
      </c>
      <c r="B117" s="377">
        <v>8</v>
      </c>
      <c r="C117" t="s">
        <v>563</v>
      </c>
      <c r="D117" s="2" t="s">
        <v>331</v>
      </c>
      <c r="E117" s="2" t="s">
        <v>487</v>
      </c>
      <c r="F117">
        <f>VLOOKUP($C117,DRE!$D:$S,6,0)</f>
        <v>0</v>
      </c>
      <c r="G117" s="352" t="e">
        <f t="shared" si="14"/>
        <v>#N/A</v>
      </c>
    </row>
    <row r="118" spans="1:7" x14ac:dyDescent="0.2">
      <c r="A118" s="77">
        <v>45474</v>
      </c>
      <c r="B118" s="377">
        <v>9</v>
      </c>
      <c r="C118" t="s">
        <v>355</v>
      </c>
      <c r="D118" s="2" t="s">
        <v>331</v>
      </c>
      <c r="E118" s="2" t="s">
        <v>488</v>
      </c>
      <c r="F118">
        <f>-VLOOKUP($C118,DRE!$D:$S,6,0)</f>
        <v>48085.99</v>
      </c>
      <c r="G118" s="352" t="e">
        <f t="shared" si="14"/>
        <v>#N/A</v>
      </c>
    </row>
    <row r="119" spans="1:7" x14ac:dyDescent="0.2">
      <c r="A119" s="77">
        <v>45474</v>
      </c>
      <c r="B119" s="377">
        <v>10</v>
      </c>
      <c r="C119" t="s">
        <v>353</v>
      </c>
      <c r="D119" s="2" t="s">
        <v>331</v>
      </c>
      <c r="E119" s="2" t="s">
        <v>489</v>
      </c>
      <c r="F119">
        <f>-VLOOKUP($C119,DRE!$D:$S,6,0)</f>
        <v>36780.47</v>
      </c>
      <c r="G119" s="352" t="e">
        <f t="shared" si="14"/>
        <v>#N/A</v>
      </c>
    </row>
    <row r="120" spans="1:7" x14ac:dyDescent="0.2">
      <c r="A120" s="77">
        <v>45474</v>
      </c>
      <c r="B120" s="377">
        <v>11</v>
      </c>
      <c r="C120" t="s">
        <v>343</v>
      </c>
      <c r="D120" s="2" t="s">
        <v>331</v>
      </c>
      <c r="E120" s="2" t="s">
        <v>490</v>
      </c>
      <c r="F120">
        <f>-VLOOKUP($C120,DRE!$D:$S,6,0)</f>
        <v>59654.75</v>
      </c>
      <c r="G120" s="352" t="e">
        <f t="shared" si="14"/>
        <v>#N/A</v>
      </c>
    </row>
    <row r="121" spans="1:7" x14ac:dyDescent="0.2">
      <c r="A121" s="77">
        <v>45474</v>
      </c>
      <c r="B121" s="377">
        <v>12</v>
      </c>
      <c r="C121" t="s">
        <v>351</v>
      </c>
      <c r="D121" s="2" t="s">
        <v>331</v>
      </c>
      <c r="E121" s="2" t="s">
        <v>491</v>
      </c>
      <c r="F121">
        <f>-VLOOKUP($C121,DRE!$D:$S,6,0)</f>
        <v>37082.65</v>
      </c>
      <c r="G121" s="352" t="e">
        <f t="shared" si="14"/>
        <v>#N/A</v>
      </c>
    </row>
    <row r="122" spans="1:7" x14ac:dyDescent="0.2">
      <c r="A122" s="77">
        <v>45474</v>
      </c>
      <c r="B122" s="377">
        <v>13</v>
      </c>
      <c r="C122" t="s">
        <v>364</v>
      </c>
      <c r="D122" s="2" t="s">
        <v>331</v>
      </c>
      <c r="E122" s="2" t="s">
        <v>492</v>
      </c>
      <c r="F122">
        <f>-VLOOKUP($C122,DRE!$D:$S,6,0)</f>
        <v>32092.9664204</v>
      </c>
      <c r="G122" s="352" t="e">
        <f t="shared" si="14"/>
        <v>#N/A</v>
      </c>
    </row>
    <row r="123" spans="1:7" x14ac:dyDescent="0.2">
      <c r="A123" s="77">
        <v>45474</v>
      </c>
      <c r="B123" s="377">
        <v>14</v>
      </c>
      <c r="C123" t="s">
        <v>349</v>
      </c>
      <c r="D123" s="2" t="s">
        <v>331</v>
      </c>
      <c r="E123" s="2" t="s">
        <v>493</v>
      </c>
      <c r="F123">
        <f>-VLOOKUP($C123,DRE!$D:$S,6,0)</f>
        <v>45328.1</v>
      </c>
      <c r="G123" s="352" t="e">
        <f t="shared" si="14"/>
        <v>#N/A</v>
      </c>
    </row>
    <row r="124" spans="1:7" x14ac:dyDescent="0.2">
      <c r="A124" s="77">
        <v>45474</v>
      </c>
      <c r="B124" s="377">
        <v>15</v>
      </c>
      <c r="C124" t="s">
        <v>329</v>
      </c>
      <c r="D124" s="2" t="s">
        <v>331</v>
      </c>
      <c r="E124" s="2" t="s">
        <v>494</v>
      </c>
      <c r="F124">
        <f>-VLOOKUP($C124,DRE!$D:$S,6,0)</f>
        <v>32652.85</v>
      </c>
      <c r="G124" s="352" t="e">
        <f t="shared" si="14"/>
        <v>#N/A</v>
      </c>
    </row>
    <row r="125" spans="1:7" x14ac:dyDescent="0.2">
      <c r="A125" s="77">
        <v>45474</v>
      </c>
      <c r="B125" s="377">
        <v>16</v>
      </c>
      <c r="C125" t="s">
        <v>361</v>
      </c>
      <c r="D125" s="2" t="s">
        <v>331</v>
      </c>
      <c r="E125" s="2" t="s">
        <v>495</v>
      </c>
      <c r="F125">
        <f>-VLOOKUP($C125,DRE!$D:$S,6,0)</f>
        <v>29030.68</v>
      </c>
      <c r="G125" s="352" t="e">
        <f t="shared" si="14"/>
        <v>#N/A</v>
      </c>
    </row>
    <row r="126" spans="1:7" x14ac:dyDescent="0.2">
      <c r="A126" s="77">
        <v>45474</v>
      </c>
      <c r="B126" s="377">
        <v>17</v>
      </c>
      <c r="C126" t="s">
        <v>354</v>
      </c>
      <c r="D126" s="2" t="s">
        <v>331</v>
      </c>
      <c r="E126" s="2" t="s">
        <v>496</v>
      </c>
      <c r="F126">
        <f>-VLOOKUP($C126,DRE!$D:$S,6,0)</f>
        <v>18926.8</v>
      </c>
      <c r="G126" s="352" t="e">
        <f t="shared" si="14"/>
        <v>#N/A</v>
      </c>
    </row>
    <row r="127" spans="1:7" x14ac:dyDescent="0.2">
      <c r="A127" s="77">
        <v>45474</v>
      </c>
      <c r="B127" s="377">
        <v>18</v>
      </c>
      <c r="C127" t="s">
        <v>350</v>
      </c>
      <c r="D127" s="2" t="s">
        <v>331</v>
      </c>
      <c r="E127" s="2" t="s">
        <v>497</v>
      </c>
      <c r="F127">
        <f>-VLOOKUP($C127,DRE!$D:$S,6,0)</f>
        <v>-5548.51</v>
      </c>
      <c r="G127" s="352" t="e">
        <f t="shared" si="14"/>
        <v>#N/A</v>
      </c>
    </row>
    <row r="128" spans="1:7" x14ac:dyDescent="0.2">
      <c r="A128" s="77">
        <v>45474</v>
      </c>
      <c r="B128" s="377">
        <v>19</v>
      </c>
      <c r="C128" t="s">
        <v>352</v>
      </c>
      <c r="D128" s="2" t="s">
        <v>331</v>
      </c>
      <c r="E128" s="2" t="s">
        <v>498</v>
      </c>
      <c r="F128">
        <f>-VLOOKUP($C128,DRE!$D:$S,6,0)</f>
        <v>4922.4799999999996</v>
      </c>
      <c r="G128" s="352" t="e">
        <f t="shared" si="14"/>
        <v>#N/A</v>
      </c>
    </row>
    <row r="129" spans="1:7" x14ac:dyDescent="0.2">
      <c r="A129" s="77">
        <v>45474</v>
      </c>
      <c r="B129" s="377">
        <v>20</v>
      </c>
      <c r="C129" t="s">
        <v>357</v>
      </c>
      <c r="D129" s="2" t="s">
        <v>331</v>
      </c>
      <c r="E129" s="2" t="s">
        <v>499</v>
      </c>
      <c r="F129">
        <f>-VLOOKUP($C129,DRE!$D:$S,6,0)</f>
        <v>5080.03</v>
      </c>
      <c r="G129" s="352" t="e">
        <f t="shared" si="14"/>
        <v>#N/A</v>
      </c>
    </row>
    <row r="130" spans="1:7" x14ac:dyDescent="0.2">
      <c r="A130" s="77">
        <v>45474</v>
      </c>
      <c r="B130" s="377">
        <v>21</v>
      </c>
      <c r="C130" t="s">
        <v>330</v>
      </c>
      <c r="D130" s="2" t="s">
        <v>331</v>
      </c>
      <c r="E130" s="2" t="s">
        <v>500</v>
      </c>
      <c r="F130" t="e">
        <f>-VLOOKUP($C130,DRE!$D:$S,6,0)</f>
        <v>#N/A</v>
      </c>
      <c r="G130" s="352" t="e">
        <f t="shared" si="14"/>
        <v>#N/A</v>
      </c>
    </row>
    <row r="131" spans="1:7" x14ac:dyDescent="0.2">
      <c r="A131" s="77">
        <v>45474</v>
      </c>
      <c r="B131" s="377">
        <v>22</v>
      </c>
      <c r="C131" t="s">
        <v>328</v>
      </c>
      <c r="D131" s="2" t="s">
        <v>331</v>
      </c>
      <c r="E131" s="2" t="s">
        <v>501</v>
      </c>
      <c r="F131">
        <f>-VLOOKUP($C131,DRE!$D:$S,6,0)</f>
        <v>0</v>
      </c>
      <c r="G131" s="352" t="e">
        <f t="shared" si="14"/>
        <v>#N/A</v>
      </c>
    </row>
    <row r="132" spans="1:7" x14ac:dyDescent="0.2">
      <c r="A132" s="77">
        <v>45474</v>
      </c>
      <c r="B132" s="377">
        <v>23</v>
      </c>
      <c r="C132" t="s">
        <v>331</v>
      </c>
      <c r="D132" s="2" t="s">
        <v>331</v>
      </c>
      <c r="E132" s="2" t="s">
        <v>502</v>
      </c>
      <c r="F132">
        <f>-VLOOKUP($C132,DRE!$D:$S,6,0)</f>
        <v>14.45</v>
      </c>
      <c r="G132" s="352" t="e">
        <f t="shared" si="14"/>
        <v>#N/A</v>
      </c>
    </row>
    <row r="133" spans="1:7" x14ac:dyDescent="0.2">
      <c r="A133" s="77">
        <v>45474</v>
      </c>
      <c r="B133" s="377">
        <v>24</v>
      </c>
      <c r="C133" t="s">
        <v>332</v>
      </c>
      <c r="D133" s="2" t="s">
        <v>331</v>
      </c>
      <c r="E133" s="2" t="s">
        <v>503</v>
      </c>
      <c r="F133">
        <f>-VLOOKUP($C133,DRE!$D:$S,6,0)</f>
        <v>0</v>
      </c>
      <c r="G133" s="352" t="e">
        <f t="shared" si="14"/>
        <v>#N/A</v>
      </c>
    </row>
    <row r="134" spans="1:7" x14ac:dyDescent="0.2">
      <c r="A134" s="77">
        <v>45474</v>
      </c>
      <c r="B134" s="377">
        <v>25</v>
      </c>
      <c r="C134" t="s">
        <v>359</v>
      </c>
      <c r="D134" s="2" t="s">
        <v>331</v>
      </c>
      <c r="E134" s="2" t="s">
        <v>504</v>
      </c>
      <c r="F134">
        <f>-VLOOKUP($C134,DRE!$D:$S,6,0)</f>
        <v>0</v>
      </c>
      <c r="G134" s="352" t="e">
        <f t="shared" si="14"/>
        <v>#N/A</v>
      </c>
    </row>
    <row r="135" spans="1:7" x14ac:dyDescent="0.2">
      <c r="A135" s="77">
        <v>45474</v>
      </c>
      <c r="B135" s="377">
        <v>26</v>
      </c>
      <c r="C135" t="s">
        <v>360</v>
      </c>
      <c r="D135" s="2" t="s">
        <v>331</v>
      </c>
      <c r="E135" s="2" t="s">
        <v>505</v>
      </c>
      <c r="F135">
        <f>-VLOOKUP($C135,DRE!$D:$S,6,0)</f>
        <v>-13410.47</v>
      </c>
      <c r="G135" s="352" t="e">
        <f t="shared" si="14"/>
        <v>#N/A</v>
      </c>
    </row>
    <row r="136" spans="1:7" x14ac:dyDescent="0.2">
      <c r="A136" s="77">
        <v>45474</v>
      </c>
      <c r="B136" s="377">
        <v>27</v>
      </c>
      <c r="C136" s="2" t="s">
        <v>484</v>
      </c>
      <c r="D136" s="2" t="s">
        <v>331</v>
      </c>
      <c r="E136" s="2" t="s">
        <v>506</v>
      </c>
      <c r="F136" t="e">
        <f>SUM(F116:F135)</f>
        <v>#N/A</v>
      </c>
    </row>
    <row r="137" spans="1:7" x14ac:dyDescent="0.2">
      <c r="A137" s="77">
        <v>45505</v>
      </c>
      <c r="B137" s="377">
        <v>7</v>
      </c>
      <c r="C137" t="s">
        <v>340</v>
      </c>
      <c r="D137" s="2" t="s">
        <v>331</v>
      </c>
      <c r="E137" s="2" t="s">
        <v>486</v>
      </c>
      <c r="F137">
        <f>-VLOOKUP($C137,DRE!$D:$S,8,0)</f>
        <v>78157.039999999994</v>
      </c>
      <c r="G137" s="352" t="e">
        <f t="shared" ref="G137:G156" si="15">F137/$F$157</f>
        <v>#N/A</v>
      </c>
    </row>
    <row r="138" spans="1:7" x14ac:dyDescent="0.2">
      <c r="A138" s="77">
        <v>45505</v>
      </c>
      <c r="B138" s="377">
        <v>8</v>
      </c>
      <c r="C138" t="s">
        <v>563</v>
      </c>
      <c r="D138" s="2" t="s">
        <v>331</v>
      </c>
      <c r="E138" s="2" t="s">
        <v>487</v>
      </c>
      <c r="F138">
        <f>VLOOKUP($C138,DRE!$D:$S,8,0)</f>
        <v>0</v>
      </c>
      <c r="G138" s="352" t="e">
        <f t="shared" si="15"/>
        <v>#N/A</v>
      </c>
    </row>
    <row r="139" spans="1:7" x14ac:dyDescent="0.2">
      <c r="A139" s="77">
        <v>45505</v>
      </c>
      <c r="B139" s="377">
        <v>9</v>
      </c>
      <c r="C139" t="s">
        <v>355</v>
      </c>
      <c r="D139" s="2" t="s">
        <v>331</v>
      </c>
      <c r="E139" s="2" t="s">
        <v>488</v>
      </c>
      <c r="F139">
        <f>-VLOOKUP($C139,DRE!$D:$S,8,0)</f>
        <v>53139.99</v>
      </c>
      <c r="G139" s="352" t="e">
        <f t="shared" si="15"/>
        <v>#N/A</v>
      </c>
    </row>
    <row r="140" spans="1:7" x14ac:dyDescent="0.2">
      <c r="A140" s="77">
        <v>45505</v>
      </c>
      <c r="B140" s="377">
        <v>10</v>
      </c>
      <c r="C140" t="s">
        <v>353</v>
      </c>
      <c r="D140" s="2" t="s">
        <v>331</v>
      </c>
      <c r="E140" s="2" t="s">
        <v>489</v>
      </c>
      <c r="F140">
        <f>-VLOOKUP($C140,DRE!$D:$S,8,0)</f>
        <v>34695.78</v>
      </c>
      <c r="G140" s="352" t="e">
        <f t="shared" si="15"/>
        <v>#N/A</v>
      </c>
    </row>
    <row r="141" spans="1:7" x14ac:dyDescent="0.2">
      <c r="A141" s="77">
        <v>45505</v>
      </c>
      <c r="B141" s="377">
        <v>11</v>
      </c>
      <c r="C141" t="s">
        <v>343</v>
      </c>
      <c r="D141" s="2" t="s">
        <v>331</v>
      </c>
      <c r="E141" s="2" t="s">
        <v>490</v>
      </c>
      <c r="F141">
        <f>-VLOOKUP($C141,DRE!$D:$S,8,0)</f>
        <v>50998.1</v>
      </c>
      <c r="G141" s="352" t="e">
        <f t="shared" si="15"/>
        <v>#N/A</v>
      </c>
    </row>
    <row r="142" spans="1:7" x14ac:dyDescent="0.2">
      <c r="A142" s="77">
        <v>45505</v>
      </c>
      <c r="B142" s="377">
        <v>12</v>
      </c>
      <c r="C142" t="s">
        <v>351</v>
      </c>
      <c r="D142" s="2" t="s">
        <v>331</v>
      </c>
      <c r="E142" s="2" t="s">
        <v>491</v>
      </c>
      <c r="F142">
        <f>-VLOOKUP($C142,DRE!$D:$S,8,0)</f>
        <v>37925.609999999993</v>
      </c>
      <c r="G142" s="352" t="e">
        <f t="shared" si="15"/>
        <v>#N/A</v>
      </c>
    </row>
    <row r="143" spans="1:7" x14ac:dyDescent="0.2">
      <c r="A143" s="77">
        <v>45505</v>
      </c>
      <c r="B143" s="377">
        <v>13</v>
      </c>
      <c r="C143" t="s">
        <v>364</v>
      </c>
      <c r="D143" s="2" t="s">
        <v>331</v>
      </c>
      <c r="E143" s="2" t="s">
        <v>492</v>
      </c>
      <c r="F143">
        <f>-VLOOKUP($C143,DRE!$D:$S,8,0)</f>
        <v>32092.9664204</v>
      </c>
      <c r="G143" s="352" t="e">
        <f t="shared" si="15"/>
        <v>#N/A</v>
      </c>
    </row>
    <row r="144" spans="1:7" x14ac:dyDescent="0.2">
      <c r="A144" s="77">
        <v>45505</v>
      </c>
      <c r="B144" s="377">
        <v>14</v>
      </c>
      <c r="C144" t="s">
        <v>349</v>
      </c>
      <c r="D144" s="2" t="s">
        <v>331</v>
      </c>
      <c r="E144" s="2" t="s">
        <v>493</v>
      </c>
      <c r="F144">
        <f>-VLOOKUP($C144,DRE!$D:$S,8,0)</f>
        <v>28179.51</v>
      </c>
      <c r="G144" s="352" t="e">
        <f t="shared" si="15"/>
        <v>#N/A</v>
      </c>
    </row>
    <row r="145" spans="1:7" x14ac:dyDescent="0.2">
      <c r="A145" s="77">
        <v>45505</v>
      </c>
      <c r="B145" s="377">
        <v>15</v>
      </c>
      <c r="C145" t="s">
        <v>329</v>
      </c>
      <c r="D145" s="2" t="s">
        <v>331</v>
      </c>
      <c r="E145" s="2" t="s">
        <v>494</v>
      </c>
      <c r="F145">
        <f>-VLOOKUP($C145,DRE!$D:$S,8,0)</f>
        <v>32498.45</v>
      </c>
      <c r="G145" s="352" t="e">
        <f t="shared" si="15"/>
        <v>#N/A</v>
      </c>
    </row>
    <row r="146" spans="1:7" x14ac:dyDescent="0.2">
      <c r="A146" s="77">
        <v>45505</v>
      </c>
      <c r="B146" s="377">
        <v>16</v>
      </c>
      <c r="C146" t="s">
        <v>361</v>
      </c>
      <c r="D146" s="2" t="s">
        <v>331</v>
      </c>
      <c r="E146" s="2" t="s">
        <v>495</v>
      </c>
      <c r="F146">
        <f>-VLOOKUP($C146,DRE!$D:$S,8,0)</f>
        <v>29462.43</v>
      </c>
      <c r="G146" s="352" t="e">
        <f t="shared" si="15"/>
        <v>#N/A</v>
      </c>
    </row>
    <row r="147" spans="1:7" x14ac:dyDescent="0.2">
      <c r="A147" s="77">
        <v>45505</v>
      </c>
      <c r="B147" s="377">
        <v>17</v>
      </c>
      <c r="C147" t="s">
        <v>354</v>
      </c>
      <c r="D147" s="2" t="s">
        <v>331</v>
      </c>
      <c r="E147" s="2" t="s">
        <v>496</v>
      </c>
      <c r="F147">
        <f>-VLOOKUP($C147,DRE!$D:$S,8,0)</f>
        <v>18344.009999999998</v>
      </c>
      <c r="G147" s="352" t="e">
        <f t="shared" si="15"/>
        <v>#N/A</v>
      </c>
    </row>
    <row r="148" spans="1:7" x14ac:dyDescent="0.2">
      <c r="A148" s="77">
        <v>45505</v>
      </c>
      <c r="B148" s="377">
        <v>18</v>
      </c>
      <c r="C148" t="s">
        <v>350</v>
      </c>
      <c r="D148" s="2" t="s">
        <v>331</v>
      </c>
      <c r="E148" s="2" t="s">
        <v>497</v>
      </c>
      <c r="F148">
        <f>-VLOOKUP($C148,DRE!$D:$S,8,0)</f>
        <v>10241.26</v>
      </c>
      <c r="G148" s="352" t="e">
        <f t="shared" si="15"/>
        <v>#N/A</v>
      </c>
    </row>
    <row r="149" spans="1:7" x14ac:dyDescent="0.2">
      <c r="A149" s="77">
        <v>45505</v>
      </c>
      <c r="B149" s="377">
        <v>19</v>
      </c>
      <c r="C149" t="s">
        <v>352</v>
      </c>
      <c r="D149" s="2" t="s">
        <v>331</v>
      </c>
      <c r="E149" s="2" t="s">
        <v>498</v>
      </c>
      <c r="F149">
        <f>-VLOOKUP($C149,DRE!$D:$S,8,0)</f>
        <v>4773.74</v>
      </c>
      <c r="G149" s="352" t="e">
        <f t="shared" si="15"/>
        <v>#N/A</v>
      </c>
    </row>
    <row r="150" spans="1:7" x14ac:dyDescent="0.2">
      <c r="A150" s="77">
        <v>45505</v>
      </c>
      <c r="B150" s="377">
        <v>20</v>
      </c>
      <c r="C150" t="s">
        <v>357</v>
      </c>
      <c r="D150" s="2" t="s">
        <v>331</v>
      </c>
      <c r="E150" s="2" t="s">
        <v>499</v>
      </c>
      <c r="F150">
        <f>-VLOOKUP($C150,DRE!$D:$S,8,0)</f>
        <v>5280.54</v>
      </c>
      <c r="G150" s="352" t="e">
        <f t="shared" si="15"/>
        <v>#N/A</v>
      </c>
    </row>
    <row r="151" spans="1:7" x14ac:dyDescent="0.2">
      <c r="A151" s="77">
        <v>45505</v>
      </c>
      <c r="B151" s="377">
        <v>21</v>
      </c>
      <c r="C151" t="s">
        <v>330</v>
      </c>
      <c r="D151" s="2" t="s">
        <v>331</v>
      </c>
      <c r="E151" s="2" t="s">
        <v>500</v>
      </c>
      <c r="F151" t="e">
        <f>-VLOOKUP($C151,DRE!$D:$S,8,0)</f>
        <v>#N/A</v>
      </c>
      <c r="G151" s="352" t="e">
        <f t="shared" si="15"/>
        <v>#N/A</v>
      </c>
    </row>
    <row r="152" spans="1:7" x14ac:dyDescent="0.2">
      <c r="A152" s="77">
        <v>45505</v>
      </c>
      <c r="B152" s="377">
        <v>22</v>
      </c>
      <c r="C152" t="s">
        <v>328</v>
      </c>
      <c r="D152" s="2" t="s">
        <v>331</v>
      </c>
      <c r="E152" s="2" t="s">
        <v>501</v>
      </c>
      <c r="F152">
        <f>-VLOOKUP($C152,DRE!$D:$S,8,0)</f>
        <v>0</v>
      </c>
      <c r="G152" s="352" t="e">
        <f t="shared" si="15"/>
        <v>#N/A</v>
      </c>
    </row>
    <row r="153" spans="1:7" x14ac:dyDescent="0.2">
      <c r="A153" s="77">
        <v>45505</v>
      </c>
      <c r="B153" s="377">
        <v>23</v>
      </c>
      <c r="C153" t="s">
        <v>331</v>
      </c>
      <c r="D153" s="2" t="s">
        <v>331</v>
      </c>
      <c r="E153" s="2" t="s">
        <v>502</v>
      </c>
      <c r="F153">
        <f>-VLOOKUP($C153,DRE!$D:$S,8,0)</f>
        <v>-7.0000000000000007E-2</v>
      </c>
      <c r="G153" s="352" t="e">
        <f t="shared" si="15"/>
        <v>#N/A</v>
      </c>
    </row>
    <row r="154" spans="1:7" x14ac:dyDescent="0.2">
      <c r="A154" s="77">
        <v>45505</v>
      </c>
      <c r="B154" s="377">
        <v>24</v>
      </c>
      <c r="C154" t="s">
        <v>332</v>
      </c>
      <c r="D154" s="2" t="s">
        <v>331</v>
      </c>
      <c r="E154" s="2" t="s">
        <v>503</v>
      </c>
      <c r="F154">
        <f>-VLOOKUP($C154,DRE!$D:$S,8,0)</f>
        <v>0</v>
      </c>
      <c r="G154" s="352" t="e">
        <f t="shared" si="15"/>
        <v>#N/A</v>
      </c>
    </row>
    <row r="155" spans="1:7" x14ac:dyDescent="0.2">
      <c r="A155" s="77">
        <v>45505</v>
      </c>
      <c r="B155" s="377">
        <v>25</v>
      </c>
      <c r="C155" t="s">
        <v>359</v>
      </c>
      <c r="D155" s="2" t="s">
        <v>331</v>
      </c>
      <c r="E155" s="2" t="s">
        <v>504</v>
      </c>
      <c r="F155">
        <f>-VLOOKUP($C155,DRE!$D:$S,8,0)</f>
        <v>0</v>
      </c>
      <c r="G155" s="352" t="e">
        <f t="shared" si="15"/>
        <v>#N/A</v>
      </c>
    </row>
    <row r="156" spans="1:7" x14ac:dyDescent="0.2">
      <c r="A156" s="77">
        <v>45505</v>
      </c>
      <c r="B156" s="377">
        <v>26</v>
      </c>
      <c r="C156" t="s">
        <v>360</v>
      </c>
      <c r="D156" s="2" t="s">
        <v>331</v>
      </c>
      <c r="E156" s="2" t="s">
        <v>505</v>
      </c>
      <c r="F156">
        <f>-VLOOKUP($C156,DRE!$D:$S,8,0)</f>
        <v>-22837.03</v>
      </c>
      <c r="G156" s="352" t="e">
        <f t="shared" si="15"/>
        <v>#N/A</v>
      </c>
    </row>
    <row r="157" spans="1:7" x14ac:dyDescent="0.2">
      <c r="A157" s="77">
        <v>45505</v>
      </c>
      <c r="B157" s="377">
        <v>27</v>
      </c>
      <c r="C157" s="2" t="s">
        <v>484</v>
      </c>
      <c r="D157" s="2" t="s">
        <v>331</v>
      </c>
      <c r="E157" s="2" t="s">
        <v>506</v>
      </c>
      <c r="F157" t="e">
        <f>SUM(F137:F156)</f>
        <v>#N/A</v>
      </c>
    </row>
    <row r="158" spans="1:7" x14ac:dyDescent="0.2">
      <c r="A158" s="77">
        <v>45536</v>
      </c>
      <c r="B158" s="377">
        <v>7</v>
      </c>
      <c r="C158" t="s">
        <v>340</v>
      </c>
      <c r="D158" s="2" t="s">
        <v>331</v>
      </c>
      <c r="E158" s="2" t="s">
        <v>486</v>
      </c>
      <c r="F158">
        <f>-VLOOKUP($C158,DRE!$D:$S,10,0)</f>
        <v>45044.93</v>
      </c>
      <c r="G158" s="352" t="e">
        <f t="shared" ref="G158:G177" si="16">F158/$F$178</f>
        <v>#N/A</v>
      </c>
    </row>
    <row r="159" spans="1:7" x14ac:dyDescent="0.2">
      <c r="A159" s="77">
        <v>45536</v>
      </c>
      <c r="B159" s="377">
        <v>8</v>
      </c>
      <c r="C159" t="s">
        <v>563</v>
      </c>
      <c r="D159" s="2" t="s">
        <v>331</v>
      </c>
      <c r="E159" s="2" t="s">
        <v>487</v>
      </c>
      <c r="F159">
        <f>VLOOKUP($C159,DRE!$D:$S,10,0)</f>
        <v>0</v>
      </c>
      <c r="G159" s="352" t="e">
        <f t="shared" si="16"/>
        <v>#N/A</v>
      </c>
    </row>
    <row r="160" spans="1:7" x14ac:dyDescent="0.2">
      <c r="A160" s="77">
        <v>45536</v>
      </c>
      <c r="B160" s="377">
        <v>9</v>
      </c>
      <c r="C160" t="s">
        <v>355</v>
      </c>
      <c r="D160" s="2" t="s">
        <v>331</v>
      </c>
      <c r="E160" s="2" t="s">
        <v>488</v>
      </c>
      <c r="F160">
        <f>-VLOOKUP($C160,DRE!$D:$S,10,0)</f>
        <v>57899.24</v>
      </c>
      <c r="G160" s="352" t="e">
        <f t="shared" si="16"/>
        <v>#N/A</v>
      </c>
    </row>
    <row r="161" spans="1:7" x14ac:dyDescent="0.2">
      <c r="A161" s="77">
        <v>45536</v>
      </c>
      <c r="B161" s="377">
        <v>10</v>
      </c>
      <c r="C161" t="s">
        <v>353</v>
      </c>
      <c r="D161" s="2" t="s">
        <v>331</v>
      </c>
      <c r="E161" s="2" t="s">
        <v>489</v>
      </c>
      <c r="F161">
        <f>-VLOOKUP($C161,DRE!$D:$S,10,0)</f>
        <v>37222.89</v>
      </c>
      <c r="G161" s="352" t="e">
        <f t="shared" si="16"/>
        <v>#N/A</v>
      </c>
    </row>
    <row r="162" spans="1:7" x14ac:dyDescent="0.2">
      <c r="A162" s="77">
        <v>45536</v>
      </c>
      <c r="B162" s="377">
        <v>11</v>
      </c>
      <c r="C162" t="s">
        <v>343</v>
      </c>
      <c r="D162" s="2" t="s">
        <v>331</v>
      </c>
      <c r="E162" s="2" t="s">
        <v>490</v>
      </c>
      <c r="F162">
        <f>-VLOOKUP($C162,DRE!$D:$S,10,0)</f>
        <v>68365.11</v>
      </c>
      <c r="G162" s="352" t="e">
        <f t="shared" si="16"/>
        <v>#N/A</v>
      </c>
    </row>
    <row r="163" spans="1:7" x14ac:dyDescent="0.2">
      <c r="A163" s="77">
        <v>45536</v>
      </c>
      <c r="B163" s="377">
        <v>12</v>
      </c>
      <c r="C163" t="s">
        <v>351</v>
      </c>
      <c r="D163" s="2" t="s">
        <v>331</v>
      </c>
      <c r="E163" s="2" t="s">
        <v>491</v>
      </c>
      <c r="F163">
        <f>-VLOOKUP($C163,DRE!$D:$S,10,0)</f>
        <v>39556.859999999993</v>
      </c>
      <c r="G163" s="352" t="e">
        <f t="shared" si="16"/>
        <v>#N/A</v>
      </c>
    </row>
    <row r="164" spans="1:7" x14ac:dyDescent="0.2">
      <c r="A164" s="77">
        <v>45536</v>
      </c>
      <c r="B164" s="377">
        <v>13</v>
      </c>
      <c r="C164" t="s">
        <v>364</v>
      </c>
      <c r="D164" s="2" t="s">
        <v>331</v>
      </c>
      <c r="E164" s="2" t="s">
        <v>492</v>
      </c>
      <c r="F164">
        <f>-VLOOKUP($C164,DRE!$D:$S,10,0)</f>
        <v>32092.9664204</v>
      </c>
      <c r="G164" s="352" t="e">
        <f t="shared" si="16"/>
        <v>#N/A</v>
      </c>
    </row>
    <row r="165" spans="1:7" x14ac:dyDescent="0.2">
      <c r="A165" s="77">
        <v>45536</v>
      </c>
      <c r="B165" s="377">
        <v>14</v>
      </c>
      <c r="C165" t="s">
        <v>349</v>
      </c>
      <c r="D165" s="2" t="s">
        <v>331</v>
      </c>
      <c r="E165" s="2" t="s">
        <v>493</v>
      </c>
      <c r="F165">
        <f>-VLOOKUP($C165,DRE!$D:$S,10,0)</f>
        <v>28715.68</v>
      </c>
      <c r="G165" s="352" t="e">
        <f t="shared" si="16"/>
        <v>#N/A</v>
      </c>
    </row>
    <row r="166" spans="1:7" x14ac:dyDescent="0.2">
      <c r="A166" s="77">
        <v>45536</v>
      </c>
      <c r="B166" s="377">
        <v>15</v>
      </c>
      <c r="C166" t="s">
        <v>329</v>
      </c>
      <c r="D166" s="2" t="s">
        <v>331</v>
      </c>
      <c r="E166" s="2" t="s">
        <v>494</v>
      </c>
      <c r="F166">
        <f>-VLOOKUP($C166,DRE!$D:$S,10,0)</f>
        <v>31418.74</v>
      </c>
      <c r="G166" s="352" t="e">
        <f t="shared" si="16"/>
        <v>#N/A</v>
      </c>
    </row>
    <row r="167" spans="1:7" x14ac:dyDescent="0.2">
      <c r="A167" s="77">
        <v>45536</v>
      </c>
      <c r="B167" s="377">
        <v>16</v>
      </c>
      <c r="C167" t="s">
        <v>361</v>
      </c>
      <c r="D167" s="2" t="s">
        <v>331</v>
      </c>
      <c r="E167" s="2" t="s">
        <v>495</v>
      </c>
      <c r="F167">
        <f>-VLOOKUP($C167,DRE!$D:$S,10,0)</f>
        <v>30201.67</v>
      </c>
      <c r="G167" s="352" t="e">
        <f t="shared" si="16"/>
        <v>#N/A</v>
      </c>
    </row>
    <row r="168" spans="1:7" x14ac:dyDescent="0.2">
      <c r="A168" s="77">
        <v>45536</v>
      </c>
      <c r="B168" s="377">
        <v>17</v>
      </c>
      <c r="C168" t="s">
        <v>354</v>
      </c>
      <c r="D168" s="2" t="s">
        <v>331</v>
      </c>
      <c r="E168" s="2" t="s">
        <v>496</v>
      </c>
      <c r="F168">
        <f>-VLOOKUP($C168,DRE!$D:$S,10,0)</f>
        <v>18505.25</v>
      </c>
      <c r="G168" s="352" t="e">
        <f t="shared" si="16"/>
        <v>#N/A</v>
      </c>
    </row>
    <row r="169" spans="1:7" x14ac:dyDescent="0.2">
      <c r="A169" s="77">
        <v>45536</v>
      </c>
      <c r="B169" s="377">
        <v>18</v>
      </c>
      <c r="C169" t="s">
        <v>350</v>
      </c>
      <c r="D169" s="2" t="s">
        <v>331</v>
      </c>
      <c r="E169" s="2" t="s">
        <v>497</v>
      </c>
      <c r="F169">
        <f>-VLOOKUP($C169,DRE!$D:$S,10,0)</f>
        <v>5992.55</v>
      </c>
      <c r="G169" s="352" t="e">
        <f t="shared" si="16"/>
        <v>#N/A</v>
      </c>
    </row>
    <row r="170" spans="1:7" x14ac:dyDescent="0.2">
      <c r="A170" s="77">
        <v>45536</v>
      </c>
      <c r="B170" s="377">
        <v>19</v>
      </c>
      <c r="C170" t="s">
        <v>352</v>
      </c>
      <c r="D170" s="2" t="s">
        <v>331</v>
      </c>
      <c r="E170" s="2" t="s">
        <v>498</v>
      </c>
      <c r="F170">
        <f>-VLOOKUP($C170,DRE!$D:$S,10,0)</f>
        <v>4733.74</v>
      </c>
      <c r="G170" s="352" t="e">
        <f t="shared" si="16"/>
        <v>#N/A</v>
      </c>
    </row>
    <row r="171" spans="1:7" x14ac:dyDescent="0.2">
      <c r="A171" s="77">
        <v>45536</v>
      </c>
      <c r="B171" s="377">
        <v>20</v>
      </c>
      <c r="C171" t="s">
        <v>357</v>
      </c>
      <c r="D171" s="2" t="s">
        <v>331</v>
      </c>
      <c r="E171" s="2" t="s">
        <v>499</v>
      </c>
      <c r="F171">
        <f>-VLOOKUP($C171,DRE!$D:$S,10,0)</f>
        <v>5535.14</v>
      </c>
      <c r="G171" s="352" t="e">
        <f t="shared" si="16"/>
        <v>#N/A</v>
      </c>
    </row>
    <row r="172" spans="1:7" x14ac:dyDescent="0.2">
      <c r="A172" s="77">
        <v>45536</v>
      </c>
      <c r="B172" s="377">
        <v>21</v>
      </c>
      <c r="C172" t="s">
        <v>330</v>
      </c>
      <c r="D172" s="2" t="s">
        <v>331</v>
      </c>
      <c r="E172" s="2" t="s">
        <v>500</v>
      </c>
      <c r="F172" t="e">
        <f>-VLOOKUP($C172,DRE!$D:$S,10,0)</f>
        <v>#N/A</v>
      </c>
      <c r="G172" s="352" t="e">
        <f t="shared" si="16"/>
        <v>#N/A</v>
      </c>
    </row>
    <row r="173" spans="1:7" x14ac:dyDescent="0.2">
      <c r="A173" s="77">
        <v>45536</v>
      </c>
      <c r="B173" s="377">
        <v>22</v>
      </c>
      <c r="C173" t="s">
        <v>328</v>
      </c>
      <c r="D173" s="2" t="s">
        <v>331</v>
      </c>
      <c r="E173" s="2" t="s">
        <v>501</v>
      </c>
      <c r="F173">
        <f>-VLOOKUP($C173,DRE!$D:$S,10,0)</f>
        <v>0</v>
      </c>
      <c r="G173" s="352" t="e">
        <f t="shared" si="16"/>
        <v>#N/A</v>
      </c>
    </row>
    <row r="174" spans="1:7" x14ac:dyDescent="0.2">
      <c r="A174" s="77">
        <v>45536</v>
      </c>
      <c r="B174" s="377">
        <v>23</v>
      </c>
      <c r="C174" t="s">
        <v>331</v>
      </c>
      <c r="D174" s="2" t="s">
        <v>331</v>
      </c>
      <c r="E174" s="2" t="s">
        <v>502</v>
      </c>
      <c r="F174">
        <f>-VLOOKUP($C174,DRE!$D:$S,10,0)</f>
        <v>14.93</v>
      </c>
      <c r="G174" s="352" t="e">
        <f t="shared" si="16"/>
        <v>#N/A</v>
      </c>
    </row>
    <row r="175" spans="1:7" x14ac:dyDescent="0.2">
      <c r="A175" s="77">
        <v>45536</v>
      </c>
      <c r="B175" s="377">
        <v>24</v>
      </c>
      <c r="C175" t="s">
        <v>332</v>
      </c>
      <c r="D175" s="2" t="s">
        <v>331</v>
      </c>
      <c r="E175" s="2" t="s">
        <v>503</v>
      </c>
      <c r="F175">
        <f>-VLOOKUP($C175,DRE!$D:$S,10,0)</f>
        <v>0</v>
      </c>
      <c r="G175" s="352" t="e">
        <f t="shared" si="16"/>
        <v>#N/A</v>
      </c>
    </row>
    <row r="176" spans="1:7" x14ac:dyDescent="0.2">
      <c r="A176" s="77">
        <v>45536</v>
      </c>
      <c r="B176" s="377">
        <v>25</v>
      </c>
      <c r="C176" t="s">
        <v>359</v>
      </c>
      <c r="D176" s="2" t="s">
        <v>331</v>
      </c>
      <c r="E176" s="2" t="s">
        <v>504</v>
      </c>
      <c r="F176">
        <f>-VLOOKUP($C176,DRE!$D:$S,10,0)</f>
        <v>0</v>
      </c>
      <c r="G176" s="352" t="e">
        <f t="shared" si="16"/>
        <v>#N/A</v>
      </c>
    </row>
    <row r="177" spans="1:7" x14ac:dyDescent="0.2">
      <c r="A177" s="77">
        <v>45536</v>
      </c>
      <c r="B177" s="377">
        <v>26</v>
      </c>
      <c r="C177" t="s">
        <v>360</v>
      </c>
      <c r="D177" s="2" t="s">
        <v>331</v>
      </c>
      <c r="E177" s="2" t="s">
        <v>505</v>
      </c>
      <c r="F177">
        <f>-VLOOKUP($C177,DRE!$D:$S,10,0)</f>
        <v>-26523.64</v>
      </c>
      <c r="G177" s="352" t="e">
        <f t="shared" si="16"/>
        <v>#N/A</v>
      </c>
    </row>
    <row r="178" spans="1:7" x14ac:dyDescent="0.2">
      <c r="A178" s="77">
        <v>45536</v>
      </c>
      <c r="B178" s="377">
        <v>27</v>
      </c>
      <c r="C178" s="2" t="s">
        <v>484</v>
      </c>
      <c r="D178" s="2" t="s">
        <v>331</v>
      </c>
      <c r="E178" s="2" t="s">
        <v>506</v>
      </c>
      <c r="F178" t="e">
        <f>SUM(F158:F177)</f>
        <v>#N/A</v>
      </c>
    </row>
    <row r="179" spans="1:7" x14ac:dyDescent="0.2">
      <c r="A179" s="77">
        <v>45566</v>
      </c>
      <c r="B179" s="377">
        <v>7</v>
      </c>
      <c r="C179" t="s">
        <v>340</v>
      </c>
      <c r="D179" s="2" t="s">
        <v>331</v>
      </c>
      <c r="E179" s="2" t="s">
        <v>486</v>
      </c>
      <c r="F179">
        <f>-VLOOKUP($C179,DRE!$D:$S,12,0)</f>
        <v>101101.62999999999</v>
      </c>
      <c r="G179" s="352" t="e">
        <f t="shared" ref="G179:G198" si="17">F179/$F$199</f>
        <v>#N/A</v>
      </c>
    </row>
    <row r="180" spans="1:7" x14ac:dyDescent="0.2">
      <c r="A180" s="77">
        <v>45566</v>
      </c>
      <c r="B180" s="377">
        <v>8</v>
      </c>
      <c r="C180" t="s">
        <v>563</v>
      </c>
      <c r="D180" s="2" t="s">
        <v>331</v>
      </c>
      <c r="E180" s="2" t="s">
        <v>487</v>
      </c>
      <c r="F180">
        <f>VLOOKUP($C180,DRE!$D:$S,12,0)</f>
        <v>0</v>
      </c>
      <c r="G180" s="352" t="e">
        <f t="shared" si="17"/>
        <v>#N/A</v>
      </c>
    </row>
    <row r="181" spans="1:7" x14ac:dyDescent="0.2">
      <c r="A181" s="77">
        <v>45566</v>
      </c>
      <c r="B181" s="377">
        <v>9</v>
      </c>
      <c r="C181" t="s">
        <v>355</v>
      </c>
      <c r="D181" s="2" t="s">
        <v>331</v>
      </c>
      <c r="E181" s="2" t="s">
        <v>488</v>
      </c>
      <c r="F181">
        <f>-VLOOKUP($C181,DRE!$D:$S,12,0)</f>
        <v>60817.24</v>
      </c>
      <c r="G181" s="352" t="e">
        <f t="shared" si="17"/>
        <v>#N/A</v>
      </c>
    </row>
    <row r="182" spans="1:7" x14ac:dyDescent="0.2">
      <c r="A182" s="77">
        <v>45566</v>
      </c>
      <c r="B182" s="377">
        <v>10</v>
      </c>
      <c r="C182" t="s">
        <v>353</v>
      </c>
      <c r="D182" s="2" t="s">
        <v>331</v>
      </c>
      <c r="E182" s="2" t="s">
        <v>489</v>
      </c>
      <c r="F182">
        <f>-VLOOKUP($C182,DRE!$D:$S,12,0)</f>
        <v>137704.1</v>
      </c>
      <c r="G182" s="352" t="e">
        <f t="shared" si="17"/>
        <v>#N/A</v>
      </c>
    </row>
    <row r="183" spans="1:7" x14ac:dyDescent="0.2">
      <c r="A183" s="77">
        <v>45566</v>
      </c>
      <c r="B183" s="377">
        <v>11</v>
      </c>
      <c r="C183" t="s">
        <v>343</v>
      </c>
      <c r="D183" s="2" t="s">
        <v>331</v>
      </c>
      <c r="E183" s="2" t="s">
        <v>490</v>
      </c>
      <c r="F183">
        <f>-VLOOKUP($C183,DRE!$D:$S,12,0)</f>
        <v>56740.55</v>
      </c>
      <c r="G183" s="352" t="e">
        <f t="shared" si="17"/>
        <v>#N/A</v>
      </c>
    </row>
    <row r="184" spans="1:7" x14ac:dyDescent="0.2">
      <c r="A184" s="77">
        <v>45566</v>
      </c>
      <c r="B184" s="377">
        <v>12</v>
      </c>
      <c r="C184" t="s">
        <v>351</v>
      </c>
      <c r="D184" s="2" t="s">
        <v>331</v>
      </c>
      <c r="E184" s="2" t="s">
        <v>491</v>
      </c>
      <c r="F184">
        <f>-VLOOKUP($C184,DRE!$D:$S,12,0)</f>
        <v>71752.91</v>
      </c>
      <c r="G184" s="352" t="e">
        <f t="shared" si="17"/>
        <v>#N/A</v>
      </c>
    </row>
    <row r="185" spans="1:7" x14ac:dyDescent="0.2">
      <c r="A185" s="77">
        <v>45566</v>
      </c>
      <c r="B185" s="377">
        <v>13</v>
      </c>
      <c r="C185" t="s">
        <v>364</v>
      </c>
      <c r="D185" s="2" t="s">
        <v>331</v>
      </c>
      <c r="E185" s="2" t="s">
        <v>492</v>
      </c>
      <c r="F185">
        <f>-VLOOKUP($C185,DRE!$D:$S,12,0)</f>
        <v>32092.9664204</v>
      </c>
      <c r="G185" s="352" t="e">
        <f t="shared" si="17"/>
        <v>#N/A</v>
      </c>
    </row>
    <row r="186" spans="1:7" x14ac:dyDescent="0.2">
      <c r="A186" s="77">
        <v>45566</v>
      </c>
      <c r="B186" s="377">
        <v>14</v>
      </c>
      <c r="C186" t="s">
        <v>349</v>
      </c>
      <c r="D186" s="2" t="s">
        <v>331</v>
      </c>
      <c r="E186" s="2" t="s">
        <v>493</v>
      </c>
      <c r="F186">
        <f>-VLOOKUP($C186,DRE!$D:$S,12,0)</f>
        <v>28290.78</v>
      </c>
      <c r="G186" s="352" t="e">
        <f t="shared" si="17"/>
        <v>#N/A</v>
      </c>
    </row>
    <row r="187" spans="1:7" x14ac:dyDescent="0.2">
      <c r="A187" s="77">
        <v>45566</v>
      </c>
      <c r="B187" s="377">
        <v>15</v>
      </c>
      <c r="C187" t="s">
        <v>329</v>
      </c>
      <c r="D187" s="2" t="s">
        <v>331</v>
      </c>
      <c r="E187" s="2" t="s">
        <v>494</v>
      </c>
      <c r="F187">
        <f>-VLOOKUP($C187,DRE!$D:$S,12,0)</f>
        <v>31346.799999999999</v>
      </c>
      <c r="G187" s="352" t="e">
        <f t="shared" si="17"/>
        <v>#N/A</v>
      </c>
    </row>
    <row r="188" spans="1:7" x14ac:dyDescent="0.2">
      <c r="A188" s="77">
        <v>45566</v>
      </c>
      <c r="B188" s="377">
        <v>16</v>
      </c>
      <c r="C188" t="s">
        <v>361</v>
      </c>
      <c r="D188" s="2" t="s">
        <v>331</v>
      </c>
      <c r="E188" s="2" t="s">
        <v>495</v>
      </c>
      <c r="F188">
        <f>-VLOOKUP($C188,DRE!$D:$S,12,0)</f>
        <v>12062.55</v>
      </c>
      <c r="G188" s="352" t="e">
        <f t="shared" si="17"/>
        <v>#N/A</v>
      </c>
    </row>
    <row r="189" spans="1:7" x14ac:dyDescent="0.2">
      <c r="A189" s="77">
        <v>45566</v>
      </c>
      <c r="B189" s="377">
        <v>17</v>
      </c>
      <c r="C189" t="s">
        <v>354</v>
      </c>
      <c r="D189" s="2" t="s">
        <v>331</v>
      </c>
      <c r="E189" s="2" t="s">
        <v>496</v>
      </c>
      <c r="F189">
        <f>-VLOOKUP($C189,DRE!$D:$S,12,0)</f>
        <v>16751.009999999998</v>
      </c>
      <c r="G189" s="352" t="e">
        <f t="shared" si="17"/>
        <v>#N/A</v>
      </c>
    </row>
    <row r="190" spans="1:7" x14ac:dyDescent="0.2">
      <c r="A190" s="77">
        <v>45566</v>
      </c>
      <c r="B190" s="377">
        <v>18</v>
      </c>
      <c r="C190" t="s">
        <v>350</v>
      </c>
      <c r="D190" s="2" t="s">
        <v>331</v>
      </c>
      <c r="E190" s="2" t="s">
        <v>497</v>
      </c>
      <c r="F190">
        <f>-VLOOKUP($C190,DRE!$D:$S,12,0)</f>
        <v>13795.05</v>
      </c>
      <c r="G190" s="352" t="e">
        <f t="shared" si="17"/>
        <v>#N/A</v>
      </c>
    </row>
    <row r="191" spans="1:7" x14ac:dyDescent="0.2">
      <c r="A191" s="77">
        <v>45566</v>
      </c>
      <c r="B191" s="377">
        <v>19</v>
      </c>
      <c r="C191" t="s">
        <v>352</v>
      </c>
      <c r="D191" s="2" t="s">
        <v>331</v>
      </c>
      <c r="E191" s="2" t="s">
        <v>498</v>
      </c>
      <c r="F191">
        <f>-VLOOKUP($C191,DRE!$D:$S,12,0)</f>
        <v>5213.74</v>
      </c>
      <c r="G191" s="352" t="e">
        <f t="shared" si="17"/>
        <v>#N/A</v>
      </c>
    </row>
    <row r="192" spans="1:7" x14ac:dyDescent="0.2">
      <c r="A192" s="77">
        <v>45566</v>
      </c>
      <c r="B192" s="377">
        <v>20</v>
      </c>
      <c r="C192" t="s">
        <v>357</v>
      </c>
      <c r="D192" s="2" t="s">
        <v>331</v>
      </c>
      <c r="E192" s="2" t="s">
        <v>499</v>
      </c>
      <c r="F192">
        <f>-VLOOKUP($C192,DRE!$D:$S,12,0)</f>
        <v>5597.23</v>
      </c>
      <c r="G192" s="352" t="e">
        <f t="shared" si="17"/>
        <v>#N/A</v>
      </c>
    </row>
    <row r="193" spans="1:7" x14ac:dyDescent="0.2">
      <c r="A193" s="77">
        <v>45566</v>
      </c>
      <c r="B193" s="377">
        <v>21</v>
      </c>
      <c r="C193" t="s">
        <v>330</v>
      </c>
      <c r="D193" s="2" t="s">
        <v>331</v>
      </c>
      <c r="E193" s="2" t="s">
        <v>500</v>
      </c>
      <c r="F193" t="e">
        <f>-VLOOKUP($C193,DRE!$D:$S,12,0)</f>
        <v>#N/A</v>
      </c>
      <c r="G193" s="352" t="e">
        <f t="shared" si="17"/>
        <v>#N/A</v>
      </c>
    </row>
    <row r="194" spans="1:7" x14ac:dyDescent="0.2">
      <c r="A194" s="77">
        <v>45566</v>
      </c>
      <c r="B194" s="377">
        <v>22</v>
      </c>
      <c r="C194" t="s">
        <v>328</v>
      </c>
      <c r="D194" s="2" t="s">
        <v>331</v>
      </c>
      <c r="E194" s="2" t="s">
        <v>501</v>
      </c>
      <c r="F194">
        <f>-VLOOKUP($C194,DRE!$D:$S,12,0)</f>
        <v>379.93</v>
      </c>
      <c r="G194" s="352" t="e">
        <f t="shared" si="17"/>
        <v>#N/A</v>
      </c>
    </row>
    <row r="195" spans="1:7" x14ac:dyDescent="0.2">
      <c r="A195" s="77">
        <v>45566</v>
      </c>
      <c r="B195" s="377">
        <v>23</v>
      </c>
      <c r="C195" t="s">
        <v>331</v>
      </c>
      <c r="D195" s="2" t="s">
        <v>331</v>
      </c>
      <c r="E195" s="2" t="s">
        <v>502</v>
      </c>
      <c r="F195">
        <f>-VLOOKUP($C195,DRE!$D:$S,12,0)</f>
        <v>7.0000000000000007E-2</v>
      </c>
      <c r="G195" s="352" t="e">
        <f t="shared" si="17"/>
        <v>#N/A</v>
      </c>
    </row>
    <row r="196" spans="1:7" x14ac:dyDescent="0.2">
      <c r="A196" s="77">
        <v>45566</v>
      </c>
      <c r="B196" s="377">
        <v>24</v>
      </c>
      <c r="C196" t="s">
        <v>332</v>
      </c>
      <c r="D196" s="2" t="s">
        <v>331</v>
      </c>
      <c r="E196" s="2" t="s">
        <v>503</v>
      </c>
      <c r="F196">
        <f>-VLOOKUP($C196,DRE!$D:$S,12,0)</f>
        <v>0</v>
      </c>
      <c r="G196" s="352" t="e">
        <f t="shared" si="17"/>
        <v>#N/A</v>
      </c>
    </row>
    <row r="197" spans="1:7" x14ac:dyDescent="0.2">
      <c r="A197" s="77">
        <v>45566</v>
      </c>
      <c r="B197" s="377">
        <v>25</v>
      </c>
      <c r="C197" t="s">
        <v>359</v>
      </c>
      <c r="D197" s="2" t="s">
        <v>331</v>
      </c>
      <c r="E197" s="2" t="s">
        <v>504</v>
      </c>
      <c r="F197">
        <f>-VLOOKUP($C197,DRE!$D:$S,12,0)</f>
        <v>0</v>
      </c>
      <c r="G197" s="352" t="e">
        <f t="shared" si="17"/>
        <v>#N/A</v>
      </c>
    </row>
    <row r="198" spans="1:7" x14ac:dyDescent="0.2">
      <c r="A198" s="77">
        <v>45566</v>
      </c>
      <c r="B198" s="377">
        <v>26</v>
      </c>
      <c r="C198" t="s">
        <v>360</v>
      </c>
      <c r="D198" s="2" t="s">
        <v>331</v>
      </c>
      <c r="E198" s="2" t="s">
        <v>505</v>
      </c>
      <c r="F198">
        <f>-VLOOKUP($C198,DRE!$D:$S,12,0)</f>
        <v>-35961.980000000003</v>
      </c>
      <c r="G198" s="352" t="e">
        <f t="shared" si="17"/>
        <v>#N/A</v>
      </c>
    </row>
    <row r="199" spans="1:7" x14ac:dyDescent="0.2">
      <c r="A199" s="77">
        <v>45566</v>
      </c>
      <c r="B199" s="377">
        <v>27</v>
      </c>
      <c r="C199" s="2" t="s">
        <v>484</v>
      </c>
      <c r="D199" s="2" t="s">
        <v>331</v>
      </c>
      <c r="E199" s="2" t="s">
        <v>506</v>
      </c>
      <c r="F199" t="e">
        <f>SUM(F179:F198)</f>
        <v>#N/A</v>
      </c>
    </row>
    <row r="200" spans="1:7" x14ac:dyDescent="0.2">
      <c r="A200" s="77">
        <v>45597</v>
      </c>
      <c r="B200" s="377">
        <v>7</v>
      </c>
      <c r="C200" t="s">
        <v>340</v>
      </c>
      <c r="D200" s="2" t="s">
        <v>331</v>
      </c>
      <c r="E200" s="2" t="s">
        <v>486</v>
      </c>
      <c r="F200">
        <f>-VLOOKUP($C200,DRE!$D:$S,14,0)</f>
        <v>36733.81</v>
      </c>
      <c r="G200" s="352" t="e">
        <f t="shared" ref="G200:G219" si="18">F200/$F$220</f>
        <v>#N/A</v>
      </c>
    </row>
    <row r="201" spans="1:7" x14ac:dyDescent="0.2">
      <c r="A201" s="77">
        <v>45597</v>
      </c>
      <c r="B201" s="377">
        <v>8</v>
      </c>
      <c r="C201" t="s">
        <v>563</v>
      </c>
      <c r="D201" s="2" t="s">
        <v>331</v>
      </c>
      <c r="E201" s="2" t="s">
        <v>487</v>
      </c>
      <c r="F201">
        <f>VLOOKUP($C201,DRE!$D:$S,14,0)</f>
        <v>-400000</v>
      </c>
      <c r="G201" s="352" t="e">
        <f t="shared" si="18"/>
        <v>#N/A</v>
      </c>
    </row>
    <row r="202" spans="1:7" x14ac:dyDescent="0.2">
      <c r="A202" s="77">
        <v>45597</v>
      </c>
      <c r="B202" s="377">
        <v>9</v>
      </c>
      <c r="C202" t="s">
        <v>355</v>
      </c>
      <c r="D202" s="2" t="s">
        <v>331</v>
      </c>
      <c r="E202" s="2" t="s">
        <v>488</v>
      </c>
      <c r="F202">
        <f>-VLOOKUP($C202,DRE!$D:$S,14,0)</f>
        <v>81642.240000000005</v>
      </c>
      <c r="G202" s="352" t="e">
        <f t="shared" si="18"/>
        <v>#N/A</v>
      </c>
    </row>
    <row r="203" spans="1:7" x14ac:dyDescent="0.2">
      <c r="A203" s="77">
        <v>45597</v>
      </c>
      <c r="B203" s="377">
        <v>10</v>
      </c>
      <c r="C203" t="s">
        <v>353</v>
      </c>
      <c r="D203" s="2" t="s">
        <v>331</v>
      </c>
      <c r="E203" s="2" t="s">
        <v>489</v>
      </c>
      <c r="F203">
        <f>-VLOOKUP($C203,DRE!$D:$S,14,0)</f>
        <v>43561.63</v>
      </c>
      <c r="G203" s="352" t="e">
        <f t="shared" si="18"/>
        <v>#N/A</v>
      </c>
    </row>
    <row r="204" spans="1:7" x14ac:dyDescent="0.2">
      <c r="A204" s="77">
        <v>45597</v>
      </c>
      <c r="B204" s="377">
        <v>11</v>
      </c>
      <c r="C204" t="s">
        <v>343</v>
      </c>
      <c r="D204" s="2" t="s">
        <v>331</v>
      </c>
      <c r="E204" s="2" t="s">
        <v>490</v>
      </c>
      <c r="F204">
        <f>-VLOOKUP($C204,DRE!$D:$S,14,0)</f>
        <v>61669.21</v>
      </c>
      <c r="G204" s="352" t="e">
        <f t="shared" si="18"/>
        <v>#N/A</v>
      </c>
    </row>
    <row r="205" spans="1:7" x14ac:dyDescent="0.2">
      <c r="A205" s="77">
        <v>45597</v>
      </c>
      <c r="B205" s="377">
        <v>12</v>
      </c>
      <c r="C205" t="s">
        <v>351</v>
      </c>
      <c r="D205" s="2" t="s">
        <v>331</v>
      </c>
      <c r="E205" s="2" t="s">
        <v>491</v>
      </c>
      <c r="F205">
        <f>-VLOOKUP($C205,DRE!$D:$S,14,0)</f>
        <v>35357.480000000003</v>
      </c>
      <c r="G205" s="352" t="e">
        <f t="shared" si="18"/>
        <v>#N/A</v>
      </c>
    </row>
    <row r="206" spans="1:7" x14ac:dyDescent="0.2">
      <c r="A206" s="77">
        <v>45597</v>
      </c>
      <c r="B206" s="377">
        <v>13</v>
      </c>
      <c r="C206" t="s">
        <v>364</v>
      </c>
      <c r="D206" s="2" t="s">
        <v>331</v>
      </c>
      <c r="E206" s="2" t="s">
        <v>492</v>
      </c>
      <c r="F206">
        <f>-VLOOKUP($C206,DRE!$D:$S,14,0)</f>
        <v>32092.9664204</v>
      </c>
      <c r="G206" s="352" t="e">
        <f t="shared" si="18"/>
        <v>#N/A</v>
      </c>
    </row>
    <row r="207" spans="1:7" x14ac:dyDescent="0.2">
      <c r="A207" s="77">
        <v>45597</v>
      </c>
      <c r="B207" s="377">
        <v>14</v>
      </c>
      <c r="C207" t="s">
        <v>349</v>
      </c>
      <c r="D207" s="2" t="s">
        <v>331</v>
      </c>
      <c r="E207" s="2" t="s">
        <v>493</v>
      </c>
      <c r="F207">
        <f>-VLOOKUP($C207,DRE!$D:$S,14,0)</f>
        <v>27886.19</v>
      </c>
      <c r="G207" s="352" t="e">
        <f t="shared" si="18"/>
        <v>#N/A</v>
      </c>
    </row>
    <row r="208" spans="1:7" x14ac:dyDescent="0.2">
      <c r="A208" s="77">
        <v>45597</v>
      </c>
      <c r="B208" s="377">
        <v>15</v>
      </c>
      <c r="C208" t="s">
        <v>329</v>
      </c>
      <c r="D208" s="2" t="s">
        <v>331</v>
      </c>
      <c r="E208" s="2" t="s">
        <v>494</v>
      </c>
      <c r="F208">
        <f>-VLOOKUP($C208,DRE!$D:$S,14,0)</f>
        <v>0</v>
      </c>
      <c r="G208" s="352" t="e">
        <f t="shared" si="18"/>
        <v>#N/A</v>
      </c>
    </row>
    <row r="209" spans="1:7" x14ac:dyDescent="0.2">
      <c r="A209" s="77">
        <v>45597</v>
      </c>
      <c r="B209" s="377">
        <v>16</v>
      </c>
      <c r="C209" t="s">
        <v>361</v>
      </c>
      <c r="D209" s="2" t="s">
        <v>331</v>
      </c>
      <c r="E209" s="2" t="s">
        <v>495</v>
      </c>
      <c r="F209">
        <f>-VLOOKUP($C209,DRE!$D:$S,14,0)</f>
        <v>12859.4</v>
      </c>
      <c r="G209" s="352" t="e">
        <f t="shared" si="18"/>
        <v>#N/A</v>
      </c>
    </row>
    <row r="210" spans="1:7" x14ac:dyDescent="0.2">
      <c r="A210" s="77">
        <v>45597</v>
      </c>
      <c r="B210" s="377">
        <v>17</v>
      </c>
      <c r="C210" t="s">
        <v>354</v>
      </c>
      <c r="D210" s="2" t="s">
        <v>331</v>
      </c>
      <c r="E210" s="2" t="s">
        <v>496</v>
      </c>
      <c r="F210">
        <f>-VLOOKUP($C210,DRE!$D:$S,14,0)</f>
        <v>34162.67</v>
      </c>
      <c r="G210" s="352" t="e">
        <f t="shared" si="18"/>
        <v>#N/A</v>
      </c>
    </row>
    <row r="211" spans="1:7" x14ac:dyDescent="0.2">
      <c r="A211" s="77">
        <v>45597</v>
      </c>
      <c r="B211" s="377">
        <v>18</v>
      </c>
      <c r="C211" t="s">
        <v>350</v>
      </c>
      <c r="D211" s="2" t="s">
        <v>331</v>
      </c>
      <c r="E211" s="2" t="s">
        <v>497</v>
      </c>
      <c r="F211">
        <f>-VLOOKUP($C211,DRE!$D:$S,14,0)</f>
        <v>1860.3</v>
      </c>
      <c r="G211" s="352" t="e">
        <f t="shared" si="18"/>
        <v>#N/A</v>
      </c>
    </row>
    <row r="212" spans="1:7" x14ac:dyDescent="0.2">
      <c r="A212" s="77">
        <v>45597</v>
      </c>
      <c r="B212" s="377">
        <v>19</v>
      </c>
      <c r="C212" t="s">
        <v>352</v>
      </c>
      <c r="D212" s="2" t="s">
        <v>331</v>
      </c>
      <c r="E212" s="2" t="s">
        <v>498</v>
      </c>
      <c r="F212">
        <f>-VLOOKUP($C212,DRE!$D:$S,14,0)</f>
        <v>5887.36</v>
      </c>
      <c r="G212" s="352" t="e">
        <f t="shared" si="18"/>
        <v>#N/A</v>
      </c>
    </row>
    <row r="213" spans="1:7" x14ac:dyDescent="0.2">
      <c r="A213" s="77">
        <v>45597</v>
      </c>
      <c r="B213" s="377">
        <v>20</v>
      </c>
      <c r="C213" t="s">
        <v>357</v>
      </c>
      <c r="D213" s="2" t="s">
        <v>331</v>
      </c>
      <c r="E213" s="2" t="s">
        <v>499</v>
      </c>
      <c r="F213">
        <f>-VLOOKUP($C213,DRE!$D:$S,14,0)</f>
        <v>6602.67</v>
      </c>
      <c r="G213" s="352" t="e">
        <f t="shared" si="18"/>
        <v>#N/A</v>
      </c>
    </row>
    <row r="214" spans="1:7" x14ac:dyDescent="0.2">
      <c r="A214" s="77">
        <v>45597</v>
      </c>
      <c r="B214" s="377">
        <v>21</v>
      </c>
      <c r="C214" t="s">
        <v>330</v>
      </c>
      <c r="D214" s="2" t="s">
        <v>331</v>
      </c>
      <c r="E214" s="2" t="s">
        <v>500</v>
      </c>
      <c r="F214" t="e">
        <f>-VLOOKUP($C214,DRE!$D:$S,14,0)</f>
        <v>#N/A</v>
      </c>
      <c r="G214" s="352" t="e">
        <f t="shared" si="18"/>
        <v>#N/A</v>
      </c>
    </row>
    <row r="215" spans="1:7" x14ac:dyDescent="0.2">
      <c r="A215" s="77">
        <v>45597</v>
      </c>
      <c r="B215" s="377">
        <v>22</v>
      </c>
      <c r="C215" t="s">
        <v>328</v>
      </c>
      <c r="D215" s="2" t="s">
        <v>331</v>
      </c>
      <c r="E215" s="2" t="s">
        <v>501</v>
      </c>
      <c r="F215">
        <f>-VLOOKUP($C215,DRE!$D:$S,14,0)</f>
        <v>4189.25</v>
      </c>
      <c r="G215" s="352" t="e">
        <f t="shared" si="18"/>
        <v>#N/A</v>
      </c>
    </row>
    <row r="216" spans="1:7" x14ac:dyDescent="0.2">
      <c r="A216" s="77">
        <v>45597</v>
      </c>
      <c r="B216" s="377">
        <v>23</v>
      </c>
      <c r="C216" t="s">
        <v>331</v>
      </c>
      <c r="D216" s="2" t="s">
        <v>331</v>
      </c>
      <c r="E216" s="2" t="s">
        <v>502</v>
      </c>
      <c r="F216">
        <f>-VLOOKUP($C216,DRE!$D:$S,14,0)</f>
        <v>894.94</v>
      </c>
      <c r="G216" s="352" t="e">
        <f t="shared" si="18"/>
        <v>#N/A</v>
      </c>
    </row>
    <row r="217" spans="1:7" x14ac:dyDescent="0.2">
      <c r="A217" s="77">
        <v>45597</v>
      </c>
      <c r="B217" s="377">
        <v>24</v>
      </c>
      <c r="C217" t="s">
        <v>332</v>
      </c>
      <c r="D217" s="2" t="s">
        <v>331</v>
      </c>
      <c r="E217" s="2" t="s">
        <v>503</v>
      </c>
      <c r="F217">
        <f>-VLOOKUP($C217,DRE!$D:$S,14,0)</f>
        <v>0</v>
      </c>
      <c r="G217" s="352" t="e">
        <f t="shared" si="18"/>
        <v>#N/A</v>
      </c>
    </row>
    <row r="218" spans="1:7" x14ac:dyDescent="0.2">
      <c r="A218" s="77">
        <v>45597</v>
      </c>
      <c r="B218" s="377">
        <v>25</v>
      </c>
      <c r="C218" t="s">
        <v>359</v>
      </c>
      <c r="D218" s="2" t="s">
        <v>331</v>
      </c>
      <c r="E218" s="2" t="s">
        <v>504</v>
      </c>
      <c r="F218">
        <f>-VLOOKUP($C218,DRE!$D:$S,14,0)</f>
        <v>0</v>
      </c>
      <c r="G218" s="352" t="e">
        <f t="shared" si="18"/>
        <v>#N/A</v>
      </c>
    </row>
    <row r="219" spans="1:7" x14ac:dyDescent="0.2">
      <c r="A219" s="77">
        <v>45597</v>
      </c>
      <c r="B219" s="377">
        <v>26</v>
      </c>
      <c r="C219" t="s">
        <v>360</v>
      </c>
      <c r="D219" s="2" t="s">
        <v>331</v>
      </c>
      <c r="E219" s="2" t="s">
        <v>505</v>
      </c>
      <c r="F219">
        <f>-VLOOKUP($C219,DRE!$D:$S,14,0)</f>
        <v>-47746.04</v>
      </c>
      <c r="G219" s="352" t="e">
        <f t="shared" si="18"/>
        <v>#N/A</v>
      </c>
    </row>
    <row r="220" spans="1:7" x14ac:dyDescent="0.2">
      <c r="A220" s="77">
        <v>45597</v>
      </c>
      <c r="B220" s="377">
        <v>27</v>
      </c>
      <c r="C220" s="2" t="s">
        <v>484</v>
      </c>
      <c r="D220" s="2" t="s">
        <v>331</v>
      </c>
      <c r="E220" s="2" t="s">
        <v>506</v>
      </c>
      <c r="F220" t="e">
        <f>SUM(F200:F219)</f>
        <v>#N/A</v>
      </c>
    </row>
    <row r="221" spans="1:7" x14ac:dyDescent="0.2">
      <c r="A221" s="77">
        <v>45627</v>
      </c>
      <c r="B221" s="377">
        <v>7</v>
      </c>
      <c r="C221" t="s">
        <v>340</v>
      </c>
      <c r="D221" s="2" t="s">
        <v>331</v>
      </c>
      <c r="E221" s="2" t="s">
        <v>486</v>
      </c>
      <c r="F221">
        <f>-VLOOKUP($C221,DRE!$D:$S,16,0)</f>
        <v>39949.51</v>
      </c>
      <c r="G221" s="352" t="e">
        <f t="shared" ref="G221:G240" si="19">F221/$F$220</f>
        <v>#N/A</v>
      </c>
    </row>
    <row r="222" spans="1:7" x14ac:dyDescent="0.2">
      <c r="A222" s="77">
        <v>45627</v>
      </c>
      <c r="B222" s="377">
        <v>8</v>
      </c>
      <c r="C222" t="s">
        <v>563</v>
      </c>
      <c r="D222" s="2" t="s">
        <v>331</v>
      </c>
      <c r="E222" s="2" t="s">
        <v>487</v>
      </c>
      <c r="F222">
        <f>-VLOOKUP($C222,DRE!$D:$S,16,0)</f>
        <v>500000</v>
      </c>
      <c r="G222" s="352" t="e">
        <f t="shared" si="19"/>
        <v>#N/A</v>
      </c>
    </row>
    <row r="223" spans="1:7" x14ac:dyDescent="0.2">
      <c r="A223" s="77">
        <v>45627</v>
      </c>
      <c r="B223" s="377">
        <v>9</v>
      </c>
      <c r="C223" t="s">
        <v>355</v>
      </c>
      <c r="D223" s="2" t="s">
        <v>331</v>
      </c>
      <c r="E223" s="2" t="s">
        <v>488</v>
      </c>
      <c r="F223">
        <f>-VLOOKUP($C223,DRE!$D:$S,16,0)</f>
        <v>82098.929999999993</v>
      </c>
      <c r="G223" s="352" t="e">
        <f t="shared" si="19"/>
        <v>#N/A</v>
      </c>
    </row>
    <row r="224" spans="1:7" x14ac:dyDescent="0.2">
      <c r="A224" s="77">
        <v>45627</v>
      </c>
      <c r="B224" s="377">
        <v>10</v>
      </c>
      <c r="C224" t="s">
        <v>353</v>
      </c>
      <c r="D224" s="2" t="s">
        <v>331</v>
      </c>
      <c r="E224" s="2" t="s">
        <v>489</v>
      </c>
      <c r="F224">
        <f>-VLOOKUP($C224,DRE!$D:$S,16,0)</f>
        <v>42967.49</v>
      </c>
      <c r="G224" s="352" t="e">
        <f t="shared" si="19"/>
        <v>#N/A</v>
      </c>
    </row>
    <row r="225" spans="1:7" x14ac:dyDescent="0.2">
      <c r="A225" s="77">
        <v>45627</v>
      </c>
      <c r="B225" s="377">
        <v>11</v>
      </c>
      <c r="C225" t="s">
        <v>343</v>
      </c>
      <c r="D225" s="2" t="s">
        <v>331</v>
      </c>
      <c r="E225" s="2" t="s">
        <v>490</v>
      </c>
      <c r="F225">
        <f>-VLOOKUP($C225,DRE!$D:$S,16,0)</f>
        <v>74138.52</v>
      </c>
      <c r="G225" s="352" t="e">
        <f t="shared" si="19"/>
        <v>#N/A</v>
      </c>
    </row>
    <row r="226" spans="1:7" x14ac:dyDescent="0.2">
      <c r="A226" s="77">
        <v>45627</v>
      </c>
      <c r="B226" s="377">
        <v>12</v>
      </c>
      <c r="C226" t="s">
        <v>351</v>
      </c>
      <c r="D226" s="2" t="s">
        <v>331</v>
      </c>
      <c r="E226" s="2" t="s">
        <v>491</v>
      </c>
      <c r="F226">
        <f>-VLOOKUP($C226,DRE!$D:$S,16,0)</f>
        <v>82781.58</v>
      </c>
      <c r="G226" s="352" t="e">
        <f t="shared" si="19"/>
        <v>#N/A</v>
      </c>
    </row>
    <row r="227" spans="1:7" x14ac:dyDescent="0.2">
      <c r="A227" s="77">
        <v>45627</v>
      </c>
      <c r="B227" s="377">
        <v>13</v>
      </c>
      <c r="C227" t="s">
        <v>364</v>
      </c>
      <c r="D227" s="2" t="s">
        <v>331</v>
      </c>
      <c r="E227" s="2" t="s">
        <v>492</v>
      </c>
      <c r="F227">
        <f>-VLOOKUP($C227,DRE!$D:$S,16,0)</f>
        <v>32092.9664204</v>
      </c>
      <c r="G227" s="352" t="e">
        <f t="shared" si="19"/>
        <v>#N/A</v>
      </c>
    </row>
    <row r="228" spans="1:7" x14ac:dyDescent="0.2">
      <c r="A228" s="77">
        <v>45627</v>
      </c>
      <c r="B228" s="377">
        <v>14</v>
      </c>
      <c r="C228" t="s">
        <v>349</v>
      </c>
      <c r="D228" s="2" t="s">
        <v>331</v>
      </c>
      <c r="E228" s="2" t="s">
        <v>493</v>
      </c>
      <c r="F228">
        <f>-VLOOKUP($C228,DRE!$D:$S,16,0)</f>
        <v>25292.07</v>
      </c>
      <c r="G228" s="352" t="e">
        <f t="shared" si="19"/>
        <v>#N/A</v>
      </c>
    </row>
    <row r="229" spans="1:7" x14ac:dyDescent="0.2">
      <c r="A229" s="77">
        <v>45627</v>
      </c>
      <c r="B229" s="377">
        <v>15</v>
      </c>
      <c r="C229" t="s">
        <v>329</v>
      </c>
      <c r="D229" s="2" t="s">
        <v>331</v>
      </c>
      <c r="E229" s="2" t="s">
        <v>494</v>
      </c>
      <c r="F229">
        <f>-VLOOKUP($C229,DRE!$D:$S,16,0)</f>
        <v>0</v>
      </c>
      <c r="G229" s="352" t="e">
        <f t="shared" si="19"/>
        <v>#N/A</v>
      </c>
    </row>
    <row r="230" spans="1:7" x14ac:dyDescent="0.2">
      <c r="A230" s="77">
        <v>45627</v>
      </c>
      <c r="B230" s="377">
        <v>16</v>
      </c>
      <c r="C230" t="s">
        <v>361</v>
      </c>
      <c r="D230" s="2" t="s">
        <v>331</v>
      </c>
      <c r="E230" s="2" t="s">
        <v>495</v>
      </c>
      <c r="F230">
        <f>-VLOOKUP($C230,DRE!$D:$S,16,0)</f>
        <v>51616.7</v>
      </c>
      <c r="G230" s="352" t="e">
        <f t="shared" si="19"/>
        <v>#N/A</v>
      </c>
    </row>
    <row r="231" spans="1:7" x14ac:dyDescent="0.2">
      <c r="A231" s="77">
        <v>45627</v>
      </c>
      <c r="B231" s="377">
        <v>17</v>
      </c>
      <c r="C231" t="s">
        <v>354</v>
      </c>
      <c r="D231" s="2" t="s">
        <v>331</v>
      </c>
      <c r="E231" s="2" t="s">
        <v>496</v>
      </c>
      <c r="F231">
        <f>-VLOOKUP($C231,DRE!$D:$S,16,0)</f>
        <v>19319</v>
      </c>
      <c r="G231" s="352" t="e">
        <f t="shared" si="19"/>
        <v>#N/A</v>
      </c>
    </row>
    <row r="232" spans="1:7" x14ac:dyDescent="0.2">
      <c r="A232" s="77">
        <v>45627</v>
      </c>
      <c r="B232" s="377">
        <v>18</v>
      </c>
      <c r="C232" t="s">
        <v>350</v>
      </c>
      <c r="D232" s="2" t="s">
        <v>331</v>
      </c>
      <c r="E232" s="2" t="s">
        <v>497</v>
      </c>
      <c r="F232">
        <f>-VLOOKUP($C232,DRE!$D:$S,16,0)</f>
        <v>7664.7900000000009</v>
      </c>
      <c r="G232" s="352" t="e">
        <f t="shared" si="19"/>
        <v>#N/A</v>
      </c>
    </row>
    <row r="233" spans="1:7" x14ac:dyDescent="0.2">
      <c r="A233" s="77">
        <v>45627</v>
      </c>
      <c r="B233" s="377">
        <v>19</v>
      </c>
      <c r="C233" t="s">
        <v>352</v>
      </c>
      <c r="D233" s="2" t="s">
        <v>331</v>
      </c>
      <c r="E233" s="2" t="s">
        <v>498</v>
      </c>
      <c r="F233">
        <f>-VLOOKUP($C233,DRE!$D:$S,16,0)</f>
        <v>5727.88</v>
      </c>
      <c r="G233" s="352" t="e">
        <f t="shared" si="19"/>
        <v>#N/A</v>
      </c>
    </row>
    <row r="234" spans="1:7" x14ac:dyDescent="0.2">
      <c r="A234" s="77">
        <v>45627</v>
      </c>
      <c r="B234" s="377">
        <v>20</v>
      </c>
      <c r="C234" t="s">
        <v>357</v>
      </c>
      <c r="D234" s="2" t="s">
        <v>331</v>
      </c>
      <c r="E234" s="2" t="s">
        <v>499</v>
      </c>
      <c r="F234">
        <f>-VLOOKUP($C234,DRE!$D:$S,16,0)</f>
        <v>6910.08</v>
      </c>
      <c r="G234" s="352" t="e">
        <f t="shared" si="19"/>
        <v>#N/A</v>
      </c>
    </row>
    <row r="235" spans="1:7" x14ac:dyDescent="0.2">
      <c r="A235" s="77">
        <v>45627</v>
      </c>
      <c r="B235" s="377">
        <v>21</v>
      </c>
      <c r="C235" t="s">
        <v>330</v>
      </c>
      <c r="D235" s="2" t="s">
        <v>331</v>
      </c>
      <c r="E235" s="2" t="s">
        <v>500</v>
      </c>
      <c r="F235" t="e">
        <f>-VLOOKUP($C235,DRE!$D:$S,16,0)</f>
        <v>#N/A</v>
      </c>
      <c r="G235" s="352" t="e">
        <f t="shared" si="19"/>
        <v>#N/A</v>
      </c>
    </row>
    <row r="236" spans="1:7" x14ac:dyDescent="0.2">
      <c r="A236" s="77">
        <v>45627</v>
      </c>
      <c r="B236" s="377">
        <v>22</v>
      </c>
      <c r="C236" t="s">
        <v>328</v>
      </c>
      <c r="D236" s="2" t="s">
        <v>331</v>
      </c>
      <c r="E236" s="2" t="s">
        <v>501</v>
      </c>
      <c r="F236">
        <f>-VLOOKUP($C236,DRE!$D:$S,16,0)</f>
        <v>11743.11</v>
      </c>
      <c r="G236" s="352" t="e">
        <f t="shared" si="19"/>
        <v>#N/A</v>
      </c>
    </row>
    <row r="237" spans="1:7" x14ac:dyDescent="0.2">
      <c r="A237" s="77">
        <v>45627</v>
      </c>
      <c r="B237" s="377">
        <v>23</v>
      </c>
      <c r="C237" t="s">
        <v>331</v>
      </c>
      <c r="D237" s="2" t="s">
        <v>331</v>
      </c>
      <c r="E237" s="2" t="s">
        <v>502</v>
      </c>
      <c r="F237">
        <f>-VLOOKUP($C237,DRE!$D:$S,16,0)</f>
        <v>374.46</v>
      </c>
      <c r="G237" s="352" t="e">
        <f t="shared" si="19"/>
        <v>#N/A</v>
      </c>
    </row>
    <row r="238" spans="1:7" x14ac:dyDescent="0.2">
      <c r="A238" s="77">
        <v>45627</v>
      </c>
      <c r="B238" s="377">
        <v>24</v>
      </c>
      <c r="C238" t="s">
        <v>332</v>
      </c>
      <c r="D238" s="2" t="s">
        <v>331</v>
      </c>
      <c r="E238" s="2" t="s">
        <v>503</v>
      </c>
      <c r="F238">
        <f>-VLOOKUP($C238,DRE!$D:$S,16,0)</f>
        <v>0</v>
      </c>
      <c r="G238" s="352" t="e">
        <f t="shared" si="19"/>
        <v>#N/A</v>
      </c>
    </row>
    <row r="239" spans="1:7" x14ac:dyDescent="0.2">
      <c r="A239" s="77">
        <v>45627</v>
      </c>
      <c r="B239" s="377">
        <v>25</v>
      </c>
      <c r="C239" t="s">
        <v>359</v>
      </c>
      <c r="D239" s="2" t="s">
        <v>331</v>
      </c>
      <c r="E239" s="2" t="s">
        <v>504</v>
      </c>
      <c r="F239">
        <f>-VLOOKUP($C239,DRE!$D:$S,16,0)</f>
        <v>0</v>
      </c>
      <c r="G239" s="352" t="e">
        <f t="shared" si="19"/>
        <v>#N/A</v>
      </c>
    </row>
    <row r="240" spans="1:7" x14ac:dyDescent="0.2">
      <c r="A240" s="77">
        <v>45627</v>
      </c>
      <c r="B240" s="377">
        <v>26</v>
      </c>
      <c r="C240" t="s">
        <v>360</v>
      </c>
      <c r="D240" s="2" t="s">
        <v>331</v>
      </c>
      <c r="E240" s="2" t="s">
        <v>505</v>
      </c>
      <c r="F240">
        <f>-VLOOKUP($C240,DRE!$D:$S,16,0)</f>
        <v>-65531.21</v>
      </c>
      <c r="G240" s="352" t="e">
        <f t="shared" si="19"/>
        <v>#N/A</v>
      </c>
    </row>
    <row r="241" spans="1:7" x14ac:dyDescent="0.2">
      <c r="A241" s="77">
        <v>45627</v>
      </c>
      <c r="B241" s="377">
        <v>27</v>
      </c>
      <c r="C241" s="2" t="s">
        <v>484</v>
      </c>
      <c r="D241" s="2" t="s">
        <v>331</v>
      </c>
      <c r="E241" s="2" t="s">
        <v>506</v>
      </c>
      <c r="F241" t="e">
        <f>SUM(F221:F240)</f>
        <v>#N/A</v>
      </c>
    </row>
    <row r="242" spans="1:7" x14ac:dyDescent="0.2">
      <c r="A242" s="77">
        <v>45658</v>
      </c>
      <c r="B242" s="377">
        <v>1</v>
      </c>
      <c r="C242" s="377"/>
      <c r="D242" s="2" t="s">
        <v>455</v>
      </c>
      <c r="E242" s="2"/>
      <c r="F242">
        <f>-DRE!$W$22</f>
        <v>1388902.2948</v>
      </c>
      <c r="G242" s="352" t="e">
        <f>F242/#REF!</f>
        <v>#REF!</v>
      </c>
    </row>
    <row r="243" spans="1:7" x14ac:dyDescent="0.2">
      <c r="A243" s="77">
        <v>45658</v>
      </c>
      <c r="B243" s="377">
        <v>2</v>
      </c>
      <c r="C243" s="377"/>
      <c r="D243" s="2" t="s">
        <v>142</v>
      </c>
      <c r="E243" s="2"/>
      <c r="F243">
        <f>-DRE!$W$34</f>
        <v>526895.42879999999</v>
      </c>
      <c r="G243" s="352" t="e">
        <f>F243/#REF!</f>
        <v>#REF!</v>
      </c>
    </row>
    <row r="244" spans="1:7" x14ac:dyDescent="0.2">
      <c r="A244" s="77">
        <v>45658</v>
      </c>
      <c r="B244" s="377">
        <v>3</v>
      </c>
      <c r="C244" s="377"/>
      <c r="D244" s="2" t="s">
        <v>453</v>
      </c>
      <c r="E244" s="2"/>
      <c r="F244" s="382">
        <f>-DRE!$W$4-DRE!$W$41</f>
        <v>1041992.34</v>
      </c>
      <c r="G244" s="352" t="e">
        <f>F244/#REF!</f>
        <v>#REF!</v>
      </c>
    </row>
    <row r="245" spans="1:7" x14ac:dyDescent="0.2">
      <c r="A245" s="77">
        <v>45658</v>
      </c>
      <c r="B245" s="377">
        <v>4</v>
      </c>
      <c r="C245" s="377"/>
      <c r="D245" s="2" t="s">
        <v>454</v>
      </c>
      <c r="E245" s="2"/>
      <c r="F245">
        <f>-DRE!$W$21</f>
        <v>217634.95</v>
      </c>
      <c r="G245" s="352" t="e">
        <f>F245/#REF!</f>
        <v>#REF!</v>
      </c>
    </row>
    <row r="246" spans="1:7" x14ac:dyDescent="0.2">
      <c r="A246" s="77">
        <v>45658</v>
      </c>
      <c r="B246" s="377">
        <v>5</v>
      </c>
      <c r="C246" s="377"/>
      <c r="D246" s="2" t="s">
        <v>331</v>
      </c>
      <c r="E246" s="2"/>
      <c r="F246" t="e">
        <f>#REF!-F242-F243-F244-F245</f>
        <v>#REF!</v>
      </c>
      <c r="G246" s="352" t="e">
        <f>F246/#REF!</f>
        <v>#REF!</v>
      </c>
    </row>
    <row r="247" spans="1:7" s="378" customFormat="1" x14ac:dyDescent="0.2">
      <c r="A247" s="77">
        <v>45689</v>
      </c>
      <c r="B247" s="377">
        <v>1</v>
      </c>
      <c r="C247" s="377"/>
      <c r="D247" s="2" t="s">
        <v>455</v>
      </c>
      <c r="E247" s="2"/>
      <c r="F247">
        <f>-DRE!$Y$22</f>
        <v>1404814.5481999996</v>
      </c>
      <c r="G247" s="352" t="e">
        <f>F247/#REF!</f>
        <v>#REF!</v>
      </c>
    </row>
    <row r="248" spans="1:7" s="378" customFormat="1" x14ac:dyDescent="0.2">
      <c r="A248" s="77">
        <v>45689</v>
      </c>
      <c r="B248" s="377">
        <v>2</v>
      </c>
      <c r="C248" s="377"/>
      <c r="D248" s="2" t="s">
        <v>142</v>
      </c>
      <c r="E248" s="2"/>
      <c r="F248">
        <f>-DRE!$Y$34</f>
        <v>475823.33700000006</v>
      </c>
      <c r="G248" s="352" t="e">
        <f>F248/#REF!</f>
        <v>#REF!</v>
      </c>
    </row>
    <row r="249" spans="1:7" s="378" customFormat="1" x14ac:dyDescent="0.2">
      <c r="A249" s="77">
        <v>45689</v>
      </c>
      <c r="B249" s="377">
        <v>3</v>
      </c>
      <c r="C249" s="377"/>
      <c r="D249" s="2" t="s">
        <v>453</v>
      </c>
      <c r="E249" s="2"/>
      <c r="F249" s="382">
        <f>-DRE!$Y$4-DRE!$Y$41</f>
        <v>847593.64</v>
      </c>
      <c r="G249" s="352" t="e">
        <f>F249/#REF!</f>
        <v>#REF!</v>
      </c>
    </row>
    <row r="250" spans="1:7" s="378" customFormat="1" x14ac:dyDescent="0.2">
      <c r="A250" s="77">
        <v>45689</v>
      </c>
      <c r="B250" s="377">
        <v>4</v>
      </c>
      <c r="C250" s="377"/>
      <c r="D250" s="2" t="s">
        <v>454</v>
      </c>
      <c r="E250" s="2"/>
      <c r="F250">
        <f>-DRE!$Y$21</f>
        <v>151787.51</v>
      </c>
      <c r="G250" s="352" t="e">
        <f>F250/#REF!</f>
        <v>#REF!</v>
      </c>
    </row>
    <row r="251" spans="1:7" s="378" customFormat="1" x14ac:dyDescent="0.2">
      <c r="A251" s="77">
        <v>45689</v>
      </c>
      <c r="B251" s="377">
        <v>5</v>
      </c>
      <c r="C251" s="377"/>
      <c r="D251" s="2" t="s">
        <v>331</v>
      </c>
      <c r="E251" s="2"/>
      <c r="F251" t="e">
        <f>#REF!-F247-F248-F249-F250</f>
        <v>#REF!</v>
      </c>
      <c r="G251" s="352" t="e">
        <f>F251/#REF!</f>
        <v>#REF!</v>
      </c>
    </row>
    <row r="252" spans="1:7" s="378" customFormat="1" x14ac:dyDescent="0.2">
      <c r="A252" s="77">
        <v>45717</v>
      </c>
      <c r="B252" s="377">
        <v>1</v>
      </c>
      <c r="C252" s="377"/>
      <c r="D252" s="2" t="s">
        <v>455</v>
      </c>
      <c r="E252" s="2"/>
      <c r="F252">
        <f>-DRE!$AA$22</f>
        <v>1420450.1930999998</v>
      </c>
      <c r="G252" s="352" t="e">
        <f>F252/#REF!</f>
        <v>#REF!</v>
      </c>
    </row>
    <row r="253" spans="1:7" s="378" customFormat="1" x14ac:dyDescent="0.2">
      <c r="A253" s="77">
        <v>45717</v>
      </c>
      <c r="B253" s="377">
        <v>2</v>
      </c>
      <c r="C253" s="377"/>
      <c r="D253" s="2" t="s">
        <v>142</v>
      </c>
      <c r="E253" s="2"/>
      <c r="F253">
        <f>-DRE!$AA$34</f>
        <v>522863.83350000001</v>
      </c>
      <c r="G253" s="352" t="e">
        <f>F253/#REF!</f>
        <v>#REF!</v>
      </c>
    </row>
    <row r="254" spans="1:7" s="378" customFormat="1" x14ac:dyDescent="0.2">
      <c r="A254" s="77">
        <v>45717</v>
      </c>
      <c r="B254" s="377">
        <v>3</v>
      </c>
      <c r="C254" s="377"/>
      <c r="D254" s="2" t="s">
        <v>453</v>
      </c>
      <c r="E254" s="2"/>
      <c r="F254" s="382">
        <f>-DRE!$AA$4-DRE!$AA$41</f>
        <v>917016.74</v>
      </c>
      <c r="G254" s="352" t="e">
        <f>F254/#REF!</f>
        <v>#REF!</v>
      </c>
    </row>
    <row r="255" spans="1:7" s="378" customFormat="1" x14ac:dyDescent="0.2">
      <c r="A255" s="77">
        <v>45717</v>
      </c>
      <c r="B255" s="377">
        <v>4</v>
      </c>
      <c r="C255" s="377"/>
      <c r="D255" s="2" t="s">
        <v>454</v>
      </c>
      <c r="E255" s="2"/>
      <c r="F255">
        <f>-DRE!$AA$21</f>
        <v>127979.75</v>
      </c>
      <c r="G255" s="352" t="e">
        <f>F255/#REF!</f>
        <v>#REF!</v>
      </c>
    </row>
    <row r="256" spans="1:7" s="378" customFormat="1" x14ac:dyDescent="0.2">
      <c r="A256" s="77">
        <v>45717</v>
      </c>
      <c r="B256" s="377">
        <v>5</v>
      </c>
      <c r="C256" s="377"/>
      <c r="D256" s="2" t="s">
        <v>331</v>
      </c>
      <c r="E256" s="2"/>
      <c r="F256" t="e">
        <f>#REF!-F252-F253-F254-F255</f>
        <v>#REF!</v>
      </c>
      <c r="G256" s="352" t="e">
        <f>F256/#REF!</f>
        <v>#REF!</v>
      </c>
    </row>
  </sheetData>
  <autoFilter ref="A1:G241" xr:uid="{04219A2B-A7D8-4F11-9F52-C3BE4F8E7AF5}"/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9C48-D6A8-4095-91C3-3EF255923AC8}">
  <sheetPr>
    <tabColor rgb="FFFFFF00"/>
  </sheetPr>
  <dimension ref="A1:P4"/>
  <sheetViews>
    <sheetView workbookViewId="0"/>
  </sheetViews>
  <sheetFormatPr defaultRowHeight="12.75" x14ac:dyDescent="0.2"/>
  <cols>
    <col min="1" max="1" width="22.42578125" bestFit="1" customWidth="1"/>
    <col min="2" max="2" width="11.5703125" bestFit="1" customWidth="1"/>
    <col min="15" max="16" width="10.5703125" bestFit="1" customWidth="1"/>
  </cols>
  <sheetData>
    <row r="1" spans="1:16" x14ac:dyDescent="0.2">
      <c r="A1" s="2" t="s">
        <v>292</v>
      </c>
      <c r="B1" s="77">
        <v>45292</v>
      </c>
      <c r="C1" s="77">
        <v>45323</v>
      </c>
      <c r="D1" s="77">
        <v>45352</v>
      </c>
      <c r="E1" s="77">
        <v>45383</v>
      </c>
      <c r="F1" s="77">
        <v>45413</v>
      </c>
      <c r="G1" s="77">
        <v>45444</v>
      </c>
      <c r="H1" s="77">
        <v>45474</v>
      </c>
      <c r="I1" s="77">
        <v>45505</v>
      </c>
      <c r="J1" s="77">
        <v>45536</v>
      </c>
      <c r="K1" s="77">
        <v>45566</v>
      </c>
      <c r="L1" s="77">
        <v>45597</v>
      </c>
      <c r="M1" s="77">
        <v>45627</v>
      </c>
      <c r="O1" s="90">
        <f>COUNTIF('TOTAIS  20 E 21'!BV9:CG9,"&gt;0")+COUNTIF('TOTAIS  20 E 21'!BV9:CG9,"&lt;0")</f>
        <v>12</v>
      </c>
      <c r="P1" s="90">
        <f>COUNTIF('TOTAIS  20 E 21'!BW9:CH9,"&gt;0")+COUNTIF('TOTAIS  20 E 21'!BW9:CH9,"&lt;0")</f>
        <v>12</v>
      </c>
    </row>
    <row r="2" spans="1:16" x14ac:dyDescent="0.2">
      <c r="A2" s="2" t="s">
        <v>293</v>
      </c>
      <c r="B2">
        <f>IF('TOTAIS  20 E 21'!BV9="",$P$2,'TOTAIS  20 E 21'!BV9)</f>
        <v>348506.47097960021</v>
      </c>
      <c r="C2">
        <f>IF('TOTAIS  20 E 21'!BW9="",$P$2,'TOTAIS  20 E 21'!BW9)</f>
        <v>605962.93817960005</v>
      </c>
      <c r="D2">
        <f>IF('TOTAIS  20 E 21'!BX9="",$P$2,'TOTAIS  20 E 21'!BX9)</f>
        <v>-80611.71032040054</v>
      </c>
      <c r="E2">
        <f>IF('TOTAIS  20 E 21'!BY9="",$P$2,'TOTAIS  20 E 21'!BY9)</f>
        <v>502762.70537959971</v>
      </c>
      <c r="F2">
        <f>IF('TOTAIS  20 E 21'!BZ9="",$P$2,'TOTAIS  20 E 21'!BZ9)</f>
        <v>806220.24364159955</v>
      </c>
      <c r="G2">
        <f>IF('TOTAIS  20 E 21'!CA9="",$P$2,'TOTAIS  20 E 21'!CA9)</f>
        <v>1149258.9832275999</v>
      </c>
      <c r="H2">
        <f>IF('TOTAIS  20 E 21'!CB9="",$P$2,'TOTAIS  20 E 21'!CB9)</f>
        <v>1460915.5048286007</v>
      </c>
      <c r="I2">
        <f>IF('TOTAIS  20 E 21'!CC9="",$P$2,'TOTAIS  20 E 21'!CC9)</f>
        <v>421618.87222360028</v>
      </c>
      <c r="J2">
        <f>IF('TOTAIS  20 E 21'!CD9="",$P$2,'TOTAIS  20 E 21'!CD9)</f>
        <v>1149851.988548601</v>
      </c>
      <c r="K2">
        <f>IF('TOTAIS  20 E 21'!CE9="",$P$2,'TOTAIS  20 E 21'!CE9)</f>
        <v>1255184.0723896022</v>
      </c>
      <c r="L2">
        <f>IF('TOTAIS  20 E 21'!CF9="",$P$2,'TOTAIS  20 E 21'!CF9)</f>
        <v>2333367.5899035996</v>
      </c>
      <c r="M2">
        <f>IF('TOTAIS  20 E 21'!CG9="",$P$2,'TOTAIS  20 E 21'!CG9)</f>
        <v>1337167.504467045</v>
      </c>
      <c r="O2" s="27">
        <v>6459555.7800000003</v>
      </c>
      <c r="P2" t="e">
        <f>(O2-O4)/(12-O1)</f>
        <v>#DIV/0!</v>
      </c>
    </row>
    <row r="3" spans="1:16" x14ac:dyDescent="0.2">
      <c r="A3" s="2" t="s">
        <v>322</v>
      </c>
      <c r="B3">
        <f>IF('TOTAIS  20 E 21'!BV9="",$P$3,'TOTAIS  20 E 21'!BV9)</f>
        <v>348506.47097960021</v>
      </c>
      <c r="C3">
        <f>IF('TOTAIS  20 E 21'!BW9="",$P$3,'TOTAIS  20 E 21'!BW9)</f>
        <v>605962.93817960005</v>
      </c>
      <c r="D3">
        <f>IF('TOTAIS  20 E 21'!BX9="",$P$3,'TOTAIS  20 E 21'!BX9)</f>
        <v>-80611.71032040054</v>
      </c>
      <c r="E3">
        <f>IF('TOTAIS  20 E 21'!BY9="",$P$3,'TOTAIS  20 E 21'!BY9)</f>
        <v>502762.70537959971</v>
      </c>
      <c r="F3">
        <f>IF('TOTAIS  20 E 21'!BZ9="",$P$3,'TOTAIS  20 E 21'!BZ9)</f>
        <v>806220.24364159955</v>
      </c>
      <c r="G3">
        <f>IF('TOTAIS  20 E 21'!CA9="",$P$3,'TOTAIS  20 E 21'!CA9)</f>
        <v>1149258.9832275999</v>
      </c>
      <c r="H3">
        <f>IF('TOTAIS  20 E 21'!CB9="",$P$3,'TOTAIS  20 E 21'!CB9)</f>
        <v>1460915.5048286007</v>
      </c>
      <c r="I3">
        <f>IF('TOTAIS  20 E 21'!CC9="",$P$3,'TOTAIS  20 E 21'!CC9)</f>
        <v>421618.87222360028</v>
      </c>
      <c r="J3">
        <f>IF('TOTAIS  20 E 21'!CD9="",$P$3,'TOTAIS  20 E 21'!CD9)</f>
        <v>1149851.988548601</v>
      </c>
      <c r="K3">
        <f>IF('TOTAIS  20 E 21'!CE9="",$P$3,'TOTAIS  20 E 21'!CE9)</f>
        <v>1255184.0723896022</v>
      </c>
      <c r="L3">
        <f>IF('TOTAIS  20 E 21'!CF9="",$P$3,'TOTAIS  20 E 21'!CF9)</f>
        <v>2333367.5899035996</v>
      </c>
      <c r="M3">
        <f>IF('TOTAIS  20 E 21'!CG9="",$P$3,'TOTAIS  20 E 21'!CG9)</f>
        <v>1337167.504467045</v>
      </c>
      <c r="O3">
        <v>5282379.13</v>
      </c>
      <c r="P3" t="e">
        <f>(O3-O4)/(12-O1)</f>
        <v>#DIV/0!</v>
      </c>
    </row>
    <row r="4" spans="1:16" x14ac:dyDescent="0.2">
      <c r="O4" s="90">
        <f>SUM('TOTAIS  20 E 21'!BV9:CG9)</f>
        <v>11290205.163448647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41B7-FC3B-42DA-B87F-16E5222283A3}">
  <sheetPr>
    <tabColor rgb="FFFF0000"/>
  </sheetPr>
  <dimension ref="A1:G28"/>
  <sheetViews>
    <sheetView workbookViewId="0"/>
  </sheetViews>
  <sheetFormatPr defaultRowHeight="12.75" x14ac:dyDescent="0.2"/>
  <cols>
    <col min="1" max="1" width="39.42578125" bestFit="1" customWidth="1"/>
    <col min="2" max="2" width="15" bestFit="1" customWidth="1"/>
    <col min="3" max="7" width="11.28515625" bestFit="1" customWidth="1"/>
  </cols>
  <sheetData>
    <row r="1" spans="1:7" ht="15" x14ac:dyDescent="0.25">
      <c r="A1" s="210" t="s">
        <v>294</v>
      </c>
      <c r="B1" s="210" t="s">
        <v>108</v>
      </c>
      <c r="C1" s="211">
        <v>45261</v>
      </c>
      <c r="D1" s="211">
        <v>45292</v>
      </c>
      <c r="E1" s="211">
        <v>45323</v>
      </c>
      <c r="F1" s="211">
        <v>45352</v>
      </c>
      <c r="G1" s="211">
        <v>45383</v>
      </c>
    </row>
    <row r="2" spans="1:7" ht="15" x14ac:dyDescent="0.25">
      <c r="A2" s="210" t="s">
        <v>310</v>
      </c>
      <c r="B2" s="210" t="s">
        <v>119</v>
      </c>
      <c r="C2" s="212">
        <v>14970.08</v>
      </c>
      <c r="D2" s="212">
        <v>14598.25</v>
      </c>
      <c r="E2" s="212">
        <v>15644.56</v>
      </c>
      <c r="F2" s="212">
        <v>14939.93</v>
      </c>
      <c r="G2" s="212">
        <v>14578.19</v>
      </c>
    </row>
    <row r="3" spans="1:7" ht="15" x14ac:dyDescent="0.25">
      <c r="A3" s="210" t="s">
        <v>310</v>
      </c>
      <c r="B3" s="210" t="s">
        <v>295</v>
      </c>
      <c r="C3" s="212">
        <v>20195.37</v>
      </c>
      <c r="D3" s="212">
        <v>19318.82</v>
      </c>
      <c r="E3" s="212">
        <v>19434.5</v>
      </c>
      <c r="F3" s="212">
        <v>20058.32</v>
      </c>
      <c r="G3" s="212">
        <v>20058.32</v>
      </c>
    </row>
    <row r="4" spans="1:7" ht="15" x14ac:dyDescent="0.25">
      <c r="A4" s="210" t="s">
        <v>310</v>
      </c>
      <c r="B4" s="210" t="s">
        <v>296</v>
      </c>
      <c r="C4" s="212">
        <v>20357.25</v>
      </c>
      <c r="D4" s="212">
        <v>20214.37</v>
      </c>
      <c r="E4" s="212">
        <v>18769.099999999999</v>
      </c>
      <c r="F4" s="212">
        <v>18497.080000000002</v>
      </c>
      <c r="G4" s="212">
        <v>18497.080000000002</v>
      </c>
    </row>
    <row r="5" spans="1:7" ht="15" x14ac:dyDescent="0.25">
      <c r="A5" s="210" t="s">
        <v>297</v>
      </c>
      <c r="B5" s="210" t="s">
        <v>119</v>
      </c>
      <c r="C5" s="212">
        <v>0</v>
      </c>
      <c r="D5" s="212">
        <v>0</v>
      </c>
      <c r="E5" s="212">
        <v>0</v>
      </c>
      <c r="F5" s="212">
        <v>0</v>
      </c>
      <c r="G5" s="212">
        <v>0</v>
      </c>
    </row>
    <row r="6" spans="1:7" ht="15" x14ac:dyDescent="0.25">
      <c r="A6" s="210" t="s">
        <v>297</v>
      </c>
      <c r="B6" s="210" t="s">
        <v>295</v>
      </c>
      <c r="C6" s="212">
        <v>23937.87</v>
      </c>
      <c r="D6" s="212">
        <v>26174.28</v>
      </c>
      <c r="E6" s="212">
        <v>22391.71</v>
      </c>
      <c r="F6" s="212">
        <v>22881.79</v>
      </c>
      <c r="G6" s="212">
        <v>26902.720000000001</v>
      </c>
    </row>
    <row r="7" spans="1:7" ht="15" x14ac:dyDescent="0.25">
      <c r="A7" s="210" t="s">
        <v>297</v>
      </c>
      <c r="B7" s="210" t="s">
        <v>296</v>
      </c>
      <c r="C7" s="212">
        <v>28217.42</v>
      </c>
      <c r="D7" s="212">
        <v>28990.5</v>
      </c>
      <c r="E7" s="212">
        <v>27113.02</v>
      </c>
      <c r="F7" s="212">
        <v>26237.78</v>
      </c>
      <c r="G7" s="212">
        <v>31541.119999999999</v>
      </c>
    </row>
    <row r="8" spans="1:7" ht="15" x14ac:dyDescent="0.25">
      <c r="A8" s="210" t="s">
        <v>309</v>
      </c>
      <c r="B8" s="210" t="s">
        <v>119</v>
      </c>
      <c r="C8" s="212">
        <v>2224.7600000000002</v>
      </c>
      <c r="D8" s="212">
        <v>2224.7600000000002</v>
      </c>
      <c r="E8" s="212">
        <v>2224.7600000000002</v>
      </c>
      <c r="F8" s="212">
        <v>2224.7600000000002</v>
      </c>
      <c r="G8" s="212">
        <v>2224.7600000000002</v>
      </c>
    </row>
    <row r="9" spans="1:7" ht="15" x14ac:dyDescent="0.25">
      <c r="A9" s="210" t="s">
        <v>309</v>
      </c>
      <c r="B9" s="210" t="s">
        <v>295</v>
      </c>
      <c r="C9" s="212">
        <v>675.74</v>
      </c>
      <c r="D9" s="212">
        <v>675.74</v>
      </c>
      <c r="E9" s="212">
        <v>675.74</v>
      </c>
      <c r="F9" s="212">
        <v>675.74</v>
      </c>
      <c r="G9" s="212">
        <v>675.74</v>
      </c>
    </row>
    <row r="10" spans="1:7" ht="15" x14ac:dyDescent="0.25">
      <c r="A10" s="210" t="s">
        <v>309</v>
      </c>
      <c r="B10" s="210" t="s">
        <v>296</v>
      </c>
      <c r="C10" s="212">
        <v>249.5</v>
      </c>
      <c r="D10" s="212">
        <v>249.5</v>
      </c>
      <c r="E10" s="212">
        <v>249.5</v>
      </c>
      <c r="F10" s="212">
        <v>249.5</v>
      </c>
      <c r="G10" s="212">
        <v>249.5</v>
      </c>
    </row>
    <row r="11" spans="1:7" ht="15" x14ac:dyDescent="0.25">
      <c r="A11" s="210" t="s">
        <v>298</v>
      </c>
      <c r="B11" s="210" t="s">
        <v>119</v>
      </c>
      <c r="C11" s="212">
        <v>1852.4</v>
      </c>
      <c r="D11" s="212">
        <v>1157.2</v>
      </c>
      <c r="E11" s="212">
        <v>2653</v>
      </c>
      <c r="F11" s="212">
        <v>2876.6</v>
      </c>
      <c r="G11" s="212">
        <v>2721.2</v>
      </c>
    </row>
    <row r="12" spans="1:7" ht="15" x14ac:dyDescent="0.25">
      <c r="A12" s="210" t="s">
        <v>298</v>
      </c>
      <c r="B12" s="210" t="s">
        <v>295</v>
      </c>
      <c r="C12" s="212">
        <v>4706.7</v>
      </c>
      <c r="D12" s="212">
        <v>4162.8</v>
      </c>
      <c r="E12" s="212">
        <v>3838.2</v>
      </c>
      <c r="F12" s="212">
        <v>4908.8999999999996</v>
      </c>
      <c r="G12" s="212">
        <v>4058.77</v>
      </c>
    </row>
    <row r="13" spans="1:7" ht="15" x14ac:dyDescent="0.25">
      <c r="A13" s="210" t="s">
        <v>298</v>
      </c>
      <c r="B13" s="210" t="s">
        <v>296</v>
      </c>
      <c r="C13" s="212">
        <v>3404</v>
      </c>
      <c r="D13" s="212">
        <v>1963.1</v>
      </c>
      <c r="E13" s="212">
        <v>2089.3000000000002</v>
      </c>
      <c r="F13" s="212">
        <v>2420.6</v>
      </c>
      <c r="G13" s="212">
        <v>3024.43</v>
      </c>
    </row>
    <row r="14" spans="1:7" ht="15" x14ac:dyDescent="0.25">
      <c r="A14" s="210" t="s">
        <v>299</v>
      </c>
      <c r="B14" s="210" t="s">
        <v>119</v>
      </c>
      <c r="C14" s="212">
        <v>0</v>
      </c>
      <c r="D14" s="212">
        <v>0</v>
      </c>
      <c r="E14" s="212">
        <v>3146.31</v>
      </c>
      <c r="F14" s="212">
        <v>3146.31</v>
      </c>
      <c r="G14" s="212">
        <v>3146.31</v>
      </c>
    </row>
    <row r="15" spans="1:7" ht="15" x14ac:dyDescent="0.25">
      <c r="A15" s="210" t="s">
        <v>299</v>
      </c>
      <c r="B15" s="210" t="s">
        <v>295</v>
      </c>
      <c r="C15" s="210">
        <v>0</v>
      </c>
      <c r="D15" s="210">
        <v>0</v>
      </c>
      <c r="E15" s="210">
        <v>0</v>
      </c>
      <c r="F15" s="210">
        <v>0</v>
      </c>
      <c r="G15" s="210">
        <v>0</v>
      </c>
    </row>
    <row r="16" spans="1:7" ht="15" x14ac:dyDescent="0.25">
      <c r="A16" s="210" t="s">
        <v>299</v>
      </c>
      <c r="B16" s="210" t="s">
        <v>296</v>
      </c>
      <c r="C16" s="210">
        <v>0</v>
      </c>
      <c r="D16" s="210">
        <v>0</v>
      </c>
      <c r="E16" s="210">
        <v>0</v>
      </c>
      <c r="F16" s="210">
        <v>0</v>
      </c>
      <c r="G16" s="210">
        <v>0</v>
      </c>
    </row>
    <row r="17" spans="1:7" ht="15" x14ac:dyDescent="0.25">
      <c r="A17" s="210" t="s">
        <v>300</v>
      </c>
      <c r="B17" s="210" t="s">
        <v>119</v>
      </c>
      <c r="C17" s="212">
        <v>20153.009999999998</v>
      </c>
      <c r="D17" s="212">
        <v>26791.68</v>
      </c>
      <c r="E17" s="210">
        <v>27818.75</v>
      </c>
      <c r="F17" s="210">
        <v>27419.99</v>
      </c>
      <c r="G17" s="210">
        <v>26412.66</v>
      </c>
    </row>
    <row r="18" spans="1:7" ht="15" x14ac:dyDescent="0.25">
      <c r="A18" s="210" t="s">
        <v>300</v>
      </c>
      <c r="B18" s="210" t="s">
        <v>295</v>
      </c>
      <c r="C18" s="210">
        <v>0</v>
      </c>
      <c r="D18" s="210">
        <v>0</v>
      </c>
      <c r="E18" s="210">
        <v>0</v>
      </c>
      <c r="F18" s="210">
        <v>0</v>
      </c>
      <c r="G18" s="210">
        <v>0</v>
      </c>
    </row>
    <row r="19" spans="1:7" ht="15" x14ac:dyDescent="0.25">
      <c r="A19" s="210" t="s">
        <v>300</v>
      </c>
      <c r="B19" s="210" t="s">
        <v>296</v>
      </c>
      <c r="C19" s="210">
        <v>0</v>
      </c>
      <c r="D19" s="210">
        <v>0</v>
      </c>
      <c r="E19" s="210">
        <v>0</v>
      </c>
      <c r="F19" s="210">
        <v>0</v>
      </c>
      <c r="G19" s="210">
        <v>0</v>
      </c>
    </row>
    <row r="20" spans="1:7" ht="15" x14ac:dyDescent="0.25">
      <c r="A20" s="210" t="s">
        <v>301</v>
      </c>
      <c r="B20" s="210" t="s">
        <v>302</v>
      </c>
      <c r="C20" s="212">
        <v>3544.12</v>
      </c>
      <c r="D20" s="212">
        <v>3507.7</v>
      </c>
      <c r="E20" s="210">
        <v>0</v>
      </c>
      <c r="F20" s="210">
        <v>0</v>
      </c>
      <c r="G20" s="210">
        <v>0</v>
      </c>
    </row>
    <row r="21" spans="1:7" ht="15" x14ac:dyDescent="0.25">
      <c r="A21" s="210" t="s">
        <v>301</v>
      </c>
      <c r="B21" s="210" t="s">
        <v>303</v>
      </c>
      <c r="C21" s="212">
        <v>48.56</v>
      </c>
      <c r="D21" s="212">
        <v>48.56</v>
      </c>
      <c r="E21" s="210">
        <v>0</v>
      </c>
      <c r="F21" s="210">
        <v>0</v>
      </c>
      <c r="G21" s="210">
        <v>0</v>
      </c>
    </row>
    <row r="22" spans="1:7" ht="15" x14ac:dyDescent="0.25">
      <c r="A22" s="210" t="s">
        <v>301</v>
      </c>
      <c r="B22" s="210" t="s">
        <v>304</v>
      </c>
      <c r="C22" s="212">
        <v>97.12</v>
      </c>
      <c r="D22" s="212">
        <v>97.12</v>
      </c>
      <c r="E22" s="210">
        <v>0</v>
      </c>
      <c r="F22" s="210">
        <v>0</v>
      </c>
      <c r="G22" s="210">
        <v>0</v>
      </c>
    </row>
    <row r="23" spans="1:7" ht="15" x14ac:dyDescent="0.25">
      <c r="A23" s="210" t="s">
        <v>301</v>
      </c>
      <c r="B23" s="210" t="s">
        <v>305</v>
      </c>
      <c r="C23" s="212">
        <v>12.14</v>
      </c>
      <c r="D23" s="212">
        <v>12.14</v>
      </c>
      <c r="E23" s="210">
        <v>0</v>
      </c>
      <c r="F23" s="210">
        <v>0</v>
      </c>
      <c r="G23" s="210">
        <v>0</v>
      </c>
    </row>
    <row r="24" spans="1:7" ht="15" x14ac:dyDescent="0.25">
      <c r="A24" s="210" t="s">
        <v>301</v>
      </c>
      <c r="B24" s="210" t="s">
        <v>306</v>
      </c>
      <c r="C24" s="212">
        <v>43.26</v>
      </c>
      <c r="D24" s="212">
        <v>39.14</v>
      </c>
      <c r="E24" s="210">
        <v>0</v>
      </c>
      <c r="F24" s="210">
        <v>0</v>
      </c>
      <c r="G24" s="210">
        <v>0</v>
      </c>
    </row>
    <row r="25" spans="1:7" ht="15" x14ac:dyDescent="0.25">
      <c r="A25" s="210" t="s">
        <v>301</v>
      </c>
      <c r="B25" s="210" t="s">
        <v>307</v>
      </c>
      <c r="C25" s="212">
        <v>1.03</v>
      </c>
      <c r="D25" s="212">
        <v>1.03</v>
      </c>
      <c r="E25" s="210">
        <v>0</v>
      </c>
      <c r="F25" s="210">
        <v>0</v>
      </c>
      <c r="G25" s="210">
        <v>0</v>
      </c>
    </row>
    <row r="26" spans="1:7" ht="15" x14ac:dyDescent="0.25">
      <c r="A26" s="210" t="s">
        <v>308</v>
      </c>
      <c r="B26" s="210" t="s">
        <v>73</v>
      </c>
      <c r="C26" s="210"/>
      <c r="D26" s="210">
        <v>78105</v>
      </c>
      <c r="E26" s="210">
        <v>81743</v>
      </c>
      <c r="F26" s="210">
        <v>81752</v>
      </c>
      <c r="G26" s="210">
        <v>81762</v>
      </c>
    </row>
    <row r="27" spans="1:7" ht="15" x14ac:dyDescent="0.25">
      <c r="A27" s="210" t="s">
        <v>319</v>
      </c>
      <c r="B27" s="210" t="s">
        <v>73</v>
      </c>
      <c r="D27" s="212">
        <v>2358.4499999999998</v>
      </c>
      <c r="E27" s="210">
        <v>2323.4499999999998</v>
      </c>
      <c r="F27" s="210">
        <v>2323.4499999999998</v>
      </c>
      <c r="G27" s="210">
        <v>0</v>
      </c>
    </row>
    <row r="28" spans="1:7" ht="15" x14ac:dyDescent="0.25">
      <c r="A28" s="210" t="s">
        <v>320</v>
      </c>
      <c r="B28" s="210" t="s">
        <v>73</v>
      </c>
      <c r="C28">
        <v>3347664.0940666688</v>
      </c>
      <c r="D28">
        <v>2861248.7890204</v>
      </c>
      <c r="E28">
        <v>2650974.7318203999</v>
      </c>
      <c r="F28">
        <v>2685804.1903204005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7A18-89FC-4772-AFDF-CBD20DBB3027}">
  <sheetPr>
    <tabColor rgb="FFFF0000"/>
  </sheetPr>
  <dimension ref="A1:G6"/>
  <sheetViews>
    <sheetView workbookViewId="0"/>
  </sheetViews>
  <sheetFormatPr defaultRowHeight="12.75" x14ac:dyDescent="0.2"/>
  <cols>
    <col min="1" max="1" width="5" bestFit="1" customWidth="1"/>
    <col min="2" max="2" width="9.85546875" bestFit="1" customWidth="1"/>
    <col min="3" max="3" width="9.85546875" customWidth="1"/>
    <col min="4" max="4" width="13.42578125" bestFit="1" customWidth="1"/>
    <col min="5" max="5" width="13.42578125" customWidth="1"/>
    <col min="6" max="6" width="12" bestFit="1" customWidth="1"/>
  </cols>
  <sheetData>
    <row r="1" spans="1:7" x14ac:dyDescent="0.2">
      <c r="A1" s="2" t="s">
        <v>16</v>
      </c>
      <c r="B1" s="2" t="s">
        <v>440</v>
      </c>
      <c r="C1" s="2" t="s">
        <v>442</v>
      </c>
      <c r="D1" s="2" t="s">
        <v>441</v>
      </c>
      <c r="E1" s="2" t="s">
        <v>443</v>
      </c>
      <c r="F1" s="2" t="s">
        <v>73</v>
      </c>
      <c r="G1" s="2" t="s">
        <v>444</v>
      </c>
    </row>
    <row r="2" spans="1:7" x14ac:dyDescent="0.2">
      <c r="A2">
        <v>2020</v>
      </c>
      <c r="B2">
        <f>F2-D2</f>
        <v>26350759.129999999</v>
      </c>
      <c r="D2">
        <v>304274.92</v>
      </c>
      <c r="F2">
        <v>26655034.050000001</v>
      </c>
    </row>
    <row r="3" spans="1:7" x14ac:dyDescent="0.2">
      <c r="A3">
        <v>2021</v>
      </c>
      <c r="B3">
        <f>F3-D3</f>
        <v>26791930.990000002</v>
      </c>
      <c r="C3" s="352">
        <f>B3/B2-1</f>
        <v>1.6742282748800852E-2</v>
      </c>
      <c r="D3">
        <v>520223.68</v>
      </c>
      <c r="E3" s="352">
        <f>D3/D2-1</f>
        <v>0.70971593715315096</v>
      </c>
      <c r="F3">
        <v>27312154.670000002</v>
      </c>
      <c r="G3" s="352">
        <f>F3/F2-1</f>
        <v>2.4652777361580558E-2</v>
      </c>
    </row>
    <row r="4" spans="1:7" x14ac:dyDescent="0.2">
      <c r="A4">
        <v>2022</v>
      </c>
      <c r="B4">
        <f>F4-D4</f>
        <v>27923818.989999998</v>
      </c>
      <c r="C4" s="352">
        <f t="shared" ref="C4:C6" si="0">B4/B3-1</f>
        <v>4.2247346800888375E-2</v>
      </c>
      <c r="D4">
        <v>966985.37</v>
      </c>
      <c r="E4" s="352">
        <f t="shared" ref="E4:E6" si="1">D4/D3-1</f>
        <v>0.85878768532797278</v>
      </c>
      <c r="F4">
        <v>28890804.359999999</v>
      </c>
      <c r="G4" s="352">
        <f t="shared" ref="G4:G6" si="2">F4/F3-1</f>
        <v>5.7800261790916352E-2</v>
      </c>
    </row>
    <row r="5" spans="1:7" x14ac:dyDescent="0.2">
      <c r="A5">
        <v>2023</v>
      </c>
      <c r="B5">
        <f>F5-D5</f>
        <v>36392402.819999993</v>
      </c>
      <c r="C5" s="352">
        <f t="shared" si="0"/>
        <v>0.30327455685888594</v>
      </c>
      <c r="D5">
        <v>1402904.59</v>
      </c>
      <c r="E5" s="352">
        <f t="shared" si="1"/>
        <v>0.45080229083507239</v>
      </c>
      <c r="F5">
        <v>37795307.409999996</v>
      </c>
      <c r="G5" s="352">
        <f t="shared" si="2"/>
        <v>0.30821236193508317</v>
      </c>
    </row>
    <row r="6" spans="1:7" x14ac:dyDescent="0.2">
      <c r="A6">
        <v>2024</v>
      </c>
      <c r="B6" t="e">
        <f>F6-D6</f>
        <v>#REF!</v>
      </c>
      <c r="C6" s="352" t="e">
        <f t="shared" si="0"/>
        <v>#REF!</v>
      </c>
      <c r="D6" s="27" t="e">
        <f>'[9]Discrepância Estimativa Sucumb'!#REF!-'[9]Discrepância Estimativa'!#REF!</f>
        <v>#REF!</v>
      </c>
      <c r="E6" s="352" t="e">
        <f t="shared" si="1"/>
        <v>#REF!</v>
      </c>
      <c r="F6" s="27" t="e">
        <f>'[9]Discrepância Estimativa Sucumb'!#REF!</f>
        <v>#REF!</v>
      </c>
      <c r="G6" s="352" t="e">
        <f t="shared" si="2"/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C9D6-1B5C-4597-A57D-14A33723ECA4}">
  <sheetPr>
    <tabColor rgb="FFFF0000"/>
  </sheetPr>
  <dimension ref="A1:W7"/>
  <sheetViews>
    <sheetView workbookViewId="0"/>
  </sheetViews>
  <sheetFormatPr defaultRowHeight="12.75" x14ac:dyDescent="0.2"/>
  <cols>
    <col min="1" max="1" width="24.140625" bestFit="1" customWidth="1"/>
    <col min="2" max="2" width="10.5703125" bestFit="1" customWidth="1"/>
    <col min="3" max="3" width="6.28515625" bestFit="1" customWidth="1"/>
    <col min="4" max="4" width="10.5703125" bestFit="1" customWidth="1"/>
    <col min="5" max="5" width="6.28515625" bestFit="1" customWidth="1"/>
    <col min="6" max="6" width="10.5703125" bestFit="1" customWidth="1"/>
    <col min="7" max="7" width="6.42578125" bestFit="1" customWidth="1"/>
    <col min="8" max="8" width="11" bestFit="1" customWidth="1"/>
    <col min="9" max="9" width="6.28515625" bestFit="1" customWidth="1"/>
    <col min="10" max="10" width="11" bestFit="1" customWidth="1"/>
    <col min="11" max="11" width="6.28515625" bestFit="1" customWidth="1"/>
    <col min="12" max="12" width="11" bestFit="1" customWidth="1"/>
    <col min="13" max="13" width="6.28515625" bestFit="1" customWidth="1"/>
    <col min="14" max="14" width="11" bestFit="1" customWidth="1"/>
    <col min="15" max="15" width="6.28515625" bestFit="1" customWidth="1"/>
    <col min="16" max="16" width="11" bestFit="1" customWidth="1"/>
    <col min="17" max="17" width="6.28515625" bestFit="1" customWidth="1"/>
    <col min="18" max="18" width="11" bestFit="1" customWidth="1"/>
    <col min="19" max="19" width="6.28515625" bestFit="1" customWidth="1"/>
    <col min="20" max="20" width="11" bestFit="1" customWidth="1"/>
    <col min="21" max="21" width="6.28515625" bestFit="1" customWidth="1"/>
    <col min="22" max="22" width="11.5703125" bestFit="1" customWidth="1"/>
    <col min="23" max="23" width="7.28515625" bestFit="1" customWidth="1"/>
  </cols>
  <sheetData>
    <row r="1" spans="1:23" x14ac:dyDescent="0.2">
      <c r="A1" s="2" t="s">
        <v>9</v>
      </c>
      <c r="B1" s="375">
        <v>45292</v>
      </c>
      <c r="C1" s="375" t="s">
        <v>456</v>
      </c>
      <c r="D1" s="375">
        <v>45323</v>
      </c>
      <c r="E1" s="375" t="s">
        <v>457</v>
      </c>
      <c r="F1" s="375">
        <v>45352</v>
      </c>
      <c r="G1" s="375" t="s">
        <v>458</v>
      </c>
      <c r="H1" s="375">
        <v>45413</v>
      </c>
      <c r="I1" s="375" t="s">
        <v>459</v>
      </c>
      <c r="J1" s="77">
        <v>45444</v>
      </c>
      <c r="K1" s="375" t="s">
        <v>460</v>
      </c>
      <c r="L1" s="77">
        <v>45474</v>
      </c>
      <c r="M1" s="375" t="s">
        <v>461</v>
      </c>
      <c r="N1" s="375">
        <v>45505</v>
      </c>
      <c r="O1" s="375" t="s">
        <v>462</v>
      </c>
      <c r="P1" s="77">
        <v>45536</v>
      </c>
      <c r="Q1" s="375" t="s">
        <v>463</v>
      </c>
      <c r="R1" s="77">
        <v>45566</v>
      </c>
      <c r="S1" s="375" t="s">
        <v>464</v>
      </c>
      <c r="T1" s="375">
        <v>45597</v>
      </c>
      <c r="U1" s="2" t="s">
        <v>465</v>
      </c>
      <c r="V1" s="2" t="s">
        <v>73</v>
      </c>
      <c r="W1" s="375" t="s">
        <v>466</v>
      </c>
    </row>
    <row r="2" spans="1:23" x14ac:dyDescent="0.2">
      <c r="A2" s="2" t="s">
        <v>455</v>
      </c>
      <c r="B2" s="27">
        <v>1292391.9923</v>
      </c>
      <c r="C2" s="352">
        <f>B2/$B$7</f>
        <v>0.45168808712452918</v>
      </c>
      <c r="D2" s="27">
        <v>1274352.82</v>
      </c>
      <c r="E2" s="352">
        <f>D2/$D$7</f>
        <v>0.48071103986906499</v>
      </c>
      <c r="F2" s="27">
        <v>1307419.74</v>
      </c>
      <c r="G2" s="352">
        <f>F2/$F$7</f>
        <v>0.48678892702302046</v>
      </c>
      <c r="H2">
        <v>1338278.1100000001</v>
      </c>
      <c r="I2" s="352">
        <f>H2/$H$7</f>
        <v>0.47393336828610749</v>
      </c>
      <c r="J2">
        <v>1391424.2396</v>
      </c>
      <c r="K2" s="352">
        <f>J2/$J$7</f>
        <v>0.47670042101575272</v>
      </c>
      <c r="L2">
        <v>1492841.8912</v>
      </c>
      <c r="M2" s="352">
        <f>L2/$L$7</f>
        <v>0.46954592995492295</v>
      </c>
      <c r="N2">
        <v>1608138.5086000001</v>
      </c>
      <c r="O2" s="352">
        <f>N2/$N$7</f>
        <v>0.53028530941053753</v>
      </c>
      <c r="P2">
        <v>1722020.605</v>
      </c>
      <c r="Q2" s="352">
        <f>P2/$P$7</f>
        <v>0.55490251950307867</v>
      </c>
      <c r="R2">
        <v>1460096.9188000001</v>
      </c>
      <c r="S2" s="352">
        <f>R2/$R$7</f>
        <v>0.42906715878064955</v>
      </c>
      <c r="T2">
        <v>1684517.1264000002</v>
      </c>
      <c r="U2" s="352">
        <f>T2/$T$7</f>
        <v>0.44201778107426914</v>
      </c>
      <c r="V2" s="27">
        <f t="shared" ref="V2:V7" si="0">B2+D2+F2+H2+J2+L2+N2+P2+R2+T2</f>
        <v>14571481.951900002</v>
      </c>
      <c r="W2" s="352">
        <f>V2/$V$7</f>
        <v>0.47822708869051617</v>
      </c>
    </row>
    <row r="3" spans="1:23" x14ac:dyDescent="0.2">
      <c r="A3" s="2" t="s">
        <v>142</v>
      </c>
      <c r="B3" s="27">
        <v>382983.25</v>
      </c>
      <c r="C3" s="352">
        <f>B3/$B$7</f>
        <v>0.13385178229507305</v>
      </c>
      <c r="D3" s="27">
        <v>346542.42000000004</v>
      </c>
      <c r="E3" s="352">
        <f>D3/$D$7</f>
        <v>0.13072264169113093</v>
      </c>
      <c r="F3" s="27">
        <v>373244.79000000004</v>
      </c>
      <c r="G3" s="352">
        <f>F3/$F$7</f>
        <v>0.13896947191651904</v>
      </c>
      <c r="H3">
        <v>377876.51</v>
      </c>
      <c r="I3" s="352">
        <f>H3/$H$7</f>
        <v>0.1338199331232422</v>
      </c>
      <c r="J3">
        <v>447513.51</v>
      </c>
      <c r="K3" s="352">
        <f>J3/$J$7</f>
        <v>0.15331763854319824</v>
      </c>
      <c r="L3">
        <v>494827.37000000005</v>
      </c>
      <c r="M3" s="352">
        <f>L3/$L$7</f>
        <v>0.15563883823425681</v>
      </c>
      <c r="N3">
        <v>502670.66000000003</v>
      </c>
      <c r="O3" s="352">
        <f t="shared" ref="O3:O6" si="1">N3/$N$7</f>
        <v>0.16575616157700107</v>
      </c>
      <c r="P3">
        <v>508838.19</v>
      </c>
      <c r="Q3" s="352">
        <f t="shared" ref="Q3:Q6" si="2">P3/$P$7</f>
        <v>0.16396760458646559</v>
      </c>
      <c r="R3">
        <v>527551.4</v>
      </c>
      <c r="S3" s="352">
        <f t="shared" ref="S3:S6" si="3">R3/$R$7</f>
        <v>0.15502736660439417</v>
      </c>
      <c r="T3">
        <v>611849.92999999982</v>
      </c>
      <c r="U3" s="352">
        <f t="shared" ref="U3:U6" si="4">T3/$T$7</f>
        <v>0.16054959855886142</v>
      </c>
      <c r="V3" s="27">
        <f t="shared" si="0"/>
        <v>4573898.03</v>
      </c>
      <c r="W3" s="352">
        <f t="shared" ref="W3:W6" si="5">V3/$V$7</f>
        <v>0.15011252431802061</v>
      </c>
    </row>
    <row r="4" spans="1:23" x14ac:dyDescent="0.2">
      <c r="A4" s="2" t="s">
        <v>453</v>
      </c>
      <c r="B4">
        <v>680191.5</v>
      </c>
      <c r="C4" s="352">
        <f>B4/$B$7</f>
        <v>0.23772539550217714</v>
      </c>
      <c r="D4">
        <v>630667.98999999976</v>
      </c>
      <c r="E4" s="352">
        <f>D4/$D$7</f>
        <v>0.23790041543207235</v>
      </c>
      <c r="F4">
        <v>650151.32999999996</v>
      </c>
      <c r="G4" s="352">
        <f>F4/$F$7</f>
        <v>0.24206951956629449</v>
      </c>
      <c r="H4">
        <v>576432.91</v>
      </c>
      <c r="I4" s="352">
        <f>H4/$H$7</f>
        <v>0.20413603763365945</v>
      </c>
      <c r="J4">
        <v>653479.23</v>
      </c>
      <c r="K4" s="352">
        <f>J4/$J$7</f>
        <v>0.2238812687032119</v>
      </c>
      <c r="L4">
        <v>770054.08</v>
      </c>
      <c r="M4" s="352">
        <f>L4/$L$7</f>
        <v>0.24220633225835794</v>
      </c>
      <c r="N4">
        <v>694145.02</v>
      </c>
      <c r="O4" s="352">
        <f t="shared" si="1"/>
        <v>0.22889502660248889</v>
      </c>
      <c r="P4">
        <v>715390.3899999999</v>
      </c>
      <c r="Q4" s="352">
        <f t="shared" si="2"/>
        <v>0.23052681755761567</v>
      </c>
      <c r="R4">
        <v>786401.31</v>
      </c>
      <c r="S4" s="352">
        <f t="shared" si="3"/>
        <v>0.23109354687248643</v>
      </c>
      <c r="T4">
        <v>854779.57000000007</v>
      </c>
      <c r="U4" s="352">
        <f t="shared" si="4"/>
        <v>0.22429440634211761</v>
      </c>
      <c r="V4" s="27">
        <f t="shared" si="0"/>
        <v>7011693.3300000001</v>
      </c>
      <c r="W4" s="352">
        <f t="shared" si="5"/>
        <v>0.23011946890956986</v>
      </c>
    </row>
    <row r="5" spans="1:23" x14ac:dyDescent="0.2">
      <c r="A5" s="2" t="s">
        <v>454</v>
      </c>
      <c r="B5" s="27">
        <v>141836.54999999999</v>
      </c>
      <c r="C5" s="352">
        <f>B5/$B$7</f>
        <v>4.9571554401097812E-2</v>
      </c>
      <c r="D5" s="27">
        <v>85576.06</v>
      </c>
      <c r="E5" s="352">
        <f>D5/$D$7</f>
        <v>3.2280979132998266E-2</v>
      </c>
      <c r="F5" s="27">
        <v>70716.88</v>
      </c>
      <c r="G5" s="352">
        <f>F5/$F$7</f>
        <v>2.6329871795889893E-2</v>
      </c>
      <c r="H5">
        <v>138202.63</v>
      </c>
      <c r="I5" s="352">
        <f>H5/$H$7</f>
        <v>4.8942620709755649E-2</v>
      </c>
      <c r="J5">
        <v>165444.51</v>
      </c>
      <c r="K5" s="352">
        <f>J5/$J$7</f>
        <v>5.6681107980710015E-2</v>
      </c>
      <c r="L5">
        <v>169686.16</v>
      </c>
      <c r="M5" s="352">
        <f>L5/$L$7</f>
        <v>5.3371657284907691E-2</v>
      </c>
      <c r="N5">
        <v>165603.79999999999</v>
      </c>
      <c r="O5" s="352">
        <f t="shared" si="1"/>
        <v>5.4608021543500009E-2</v>
      </c>
      <c r="P5">
        <v>198728.85</v>
      </c>
      <c r="Q5" s="352">
        <f t="shared" si="2"/>
        <v>6.4038223028666602E-2</v>
      </c>
      <c r="R5">
        <v>216962.07</v>
      </c>
      <c r="S5" s="352">
        <f t="shared" si="3"/>
        <v>6.3756931296435254E-2</v>
      </c>
      <c r="T5">
        <v>264809.08</v>
      </c>
      <c r="U5" s="352">
        <f t="shared" si="4"/>
        <v>6.9485979166070064E-2</v>
      </c>
      <c r="V5" s="27">
        <f t="shared" si="0"/>
        <v>1617566.5900000003</v>
      </c>
      <c r="W5" s="352">
        <f t="shared" si="5"/>
        <v>5.3087542066912387E-2</v>
      </c>
    </row>
    <row r="6" spans="1:23" x14ac:dyDescent="0.2">
      <c r="A6" s="2" t="s">
        <v>331</v>
      </c>
      <c r="B6" s="27">
        <f>B7-B2-B3-B4-B5</f>
        <v>363845.4967204</v>
      </c>
      <c r="C6" s="352">
        <f>B6/$B$7</f>
        <v>0.12716318067712282</v>
      </c>
      <c r="D6" s="27">
        <f>D7-D2-D3-D4-D5</f>
        <v>313835.44182040001</v>
      </c>
      <c r="E6" s="352">
        <f>D6/$D$7</f>
        <v>0.11838492387473347</v>
      </c>
      <c r="F6" s="27">
        <f>F7-F2-F3-F4-F5</f>
        <v>284271.45032040053</v>
      </c>
      <c r="G6" s="352">
        <f>F6/$F$7</f>
        <v>0.10584220969827612</v>
      </c>
      <c r="H6" s="27">
        <f>H7-H2-H3-H4-H5</f>
        <v>392978.32635840029</v>
      </c>
      <c r="I6" s="352">
        <f>H6/$H$7</f>
        <v>0.1391680402472352</v>
      </c>
      <c r="J6" s="27">
        <f>J7-J2-J3-J4-J5</f>
        <v>261003.64719839999</v>
      </c>
      <c r="K6" s="352">
        <f>J6/$J$7</f>
        <v>8.9419563757127091E-2</v>
      </c>
      <c r="L6" s="27">
        <f>L7-L2-L3-L4-L5</f>
        <v>251921.41397439994</v>
      </c>
      <c r="M6" s="352">
        <f>L6/$L$7</f>
        <v>7.9237242267554575E-2</v>
      </c>
      <c r="N6" s="27">
        <f>N7-N2-N3-N4-N5</f>
        <v>62033.109176399827</v>
      </c>
      <c r="O6" s="352">
        <f t="shared" si="1"/>
        <v>2.0455480866472447E-2</v>
      </c>
      <c r="P6" s="27">
        <f>P7-P2-P3-P4-P5</f>
        <v>-41693.143552600086</v>
      </c>
      <c r="Q6" s="352">
        <f t="shared" si="2"/>
        <v>-1.3435164675826471E-2</v>
      </c>
      <c r="R6" s="27">
        <f>R7-R2-R3-R4-R5</f>
        <v>411944.89883240015</v>
      </c>
      <c r="S6" s="352">
        <f t="shared" si="3"/>
        <v>0.12105499644603458</v>
      </c>
      <c r="T6" s="27">
        <f>T7-T2-T3-T4-T5</f>
        <v>395015.70363239973</v>
      </c>
      <c r="U6" s="352">
        <f t="shared" si="4"/>
        <v>0.10365223485868172</v>
      </c>
      <c r="V6" s="27">
        <f t="shared" si="0"/>
        <v>2695156.3444810007</v>
      </c>
      <c r="W6" s="352">
        <f t="shared" si="5"/>
        <v>8.8453376014981183E-2</v>
      </c>
    </row>
    <row r="7" spans="1:23" x14ac:dyDescent="0.2">
      <c r="A7" s="2" t="s">
        <v>452</v>
      </c>
      <c r="B7" s="27">
        <v>2861248.7890204</v>
      </c>
      <c r="C7" s="27"/>
      <c r="D7" s="27">
        <v>2650974.7318203999</v>
      </c>
      <c r="E7" s="27"/>
      <c r="F7" s="27">
        <v>2685804.1903204005</v>
      </c>
      <c r="G7" s="27"/>
      <c r="H7" s="27">
        <v>2823768.4863584004</v>
      </c>
      <c r="I7" s="352"/>
      <c r="J7" s="27">
        <v>2918865.1367984</v>
      </c>
      <c r="K7" s="27"/>
      <c r="L7" s="27">
        <v>3179330.9151744</v>
      </c>
      <c r="M7" s="27"/>
      <c r="N7" s="27">
        <v>3032591.0977763999</v>
      </c>
      <c r="O7" s="27"/>
      <c r="P7" s="27">
        <v>3103284.8914473997</v>
      </c>
      <c r="Q7" s="27"/>
      <c r="R7" s="27">
        <v>3402956.5976324002</v>
      </c>
      <c r="S7" s="27"/>
      <c r="T7" s="27">
        <v>3810971.4100323999</v>
      </c>
      <c r="V7" s="27">
        <f t="shared" si="0"/>
        <v>30469796.246380996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2346-C976-4A75-8B56-EDCD7DB5D9D5}">
  <sheetPr>
    <tabColor rgb="FFFF0000"/>
  </sheetPr>
  <dimension ref="A1:E148"/>
  <sheetViews>
    <sheetView topLeftCell="A127" zoomScaleNormal="100" workbookViewId="0"/>
  </sheetViews>
  <sheetFormatPr defaultRowHeight="12.75" x14ac:dyDescent="0.2"/>
  <cols>
    <col min="1" max="1" width="12.28515625" bestFit="1" customWidth="1"/>
    <col min="2" max="2" width="38.42578125" bestFit="1" customWidth="1"/>
    <col min="3" max="3" width="38.42578125" customWidth="1"/>
    <col min="4" max="4" width="6.5703125" bestFit="1" customWidth="1"/>
    <col min="5" max="5" width="12.5703125" bestFit="1" customWidth="1"/>
  </cols>
  <sheetData>
    <row r="1" spans="1:5" x14ac:dyDescent="0.2">
      <c r="A1" s="2" t="s">
        <v>471</v>
      </c>
      <c r="B1" s="2" t="s">
        <v>467</v>
      </c>
      <c r="C1" s="2" t="s">
        <v>482</v>
      </c>
      <c r="D1" s="2" t="s">
        <v>9</v>
      </c>
      <c r="E1" s="375" t="s">
        <v>468</v>
      </c>
    </row>
    <row r="2" spans="1:5" x14ac:dyDescent="0.2">
      <c r="A2" s="2" t="s">
        <v>331</v>
      </c>
      <c r="B2" t="s">
        <v>328</v>
      </c>
      <c r="C2" t="s">
        <v>328</v>
      </c>
      <c r="D2" s="77">
        <v>45413</v>
      </c>
      <c r="E2">
        <f>-VLOOKUP($B2,DRE!$D:$S,2,0)</f>
        <v>0</v>
      </c>
    </row>
    <row r="3" spans="1:5" x14ac:dyDescent="0.2">
      <c r="A3" s="2" t="s">
        <v>331</v>
      </c>
      <c r="B3" t="s">
        <v>329</v>
      </c>
      <c r="C3" t="s">
        <v>329</v>
      </c>
      <c r="D3" s="77">
        <v>45413</v>
      </c>
      <c r="E3">
        <f>-VLOOKUP($B3,DRE!$D:$S,2,0)</f>
        <v>31292.27</v>
      </c>
    </row>
    <row r="4" spans="1:5" x14ac:dyDescent="0.2">
      <c r="A4" s="2" t="s">
        <v>331</v>
      </c>
      <c r="B4" t="s">
        <v>330</v>
      </c>
      <c r="C4" t="s">
        <v>330</v>
      </c>
      <c r="D4" s="77">
        <v>45413</v>
      </c>
      <c r="E4" t="e">
        <f>-VLOOKUP($B4,DRE!$D:$S,2,0)</f>
        <v>#N/A</v>
      </c>
    </row>
    <row r="5" spans="1:5" x14ac:dyDescent="0.2">
      <c r="A5" s="2" t="s">
        <v>331</v>
      </c>
      <c r="B5" t="s">
        <v>331</v>
      </c>
      <c r="C5" t="s">
        <v>331</v>
      </c>
      <c r="D5" s="77">
        <v>45413</v>
      </c>
      <c r="E5">
        <f>-VLOOKUP($B5,DRE!$D:$S,2,0)</f>
        <v>5.62</v>
      </c>
    </row>
    <row r="6" spans="1:5" x14ac:dyDescent="0.2">
      <c r="A6" s="2" t="s">
        <v>331</v>
      </c>
      <c r="B6" t="s">
        <v>332</v>
      </c>
      <c r="C6" s="2" t="s">
        <v>472</v>
      </c>
      <c r="D6" s="77">
        <v>45413</v>
      </c>
      <c r="E6">
        <f>-VLOOKUP($B6,DRE!$D:$S,2,0)</f>
        <v>0</v>
      </c>
    </row>
    <row r="7" spans="1:5" x14ac:dyDescent="0.2">
      <c r="A7" s="2" t="s">
        <v>331</v>
      </c>
      <c r="B7" t="s">
        <v>340</v>
      </c>
      <c r="C7" t="s">
        <v>340</v>
      </c>
      <c r="D7" s="77">
        <v>45413</v>
      </c>
      <c r="E7">
        <f>-VLOOKUP($B7,DRE!$D:$S,2,0)</f>
        <v>69000.39</v>
      </c>
    </row>
    <row r="8" spans="1:5" x14ac:dyDescent="0.2">
      <c r="A8" s="2" t="s">
        <v>331</v>
      </c>
      <c r="B8" t="s">
        <v>343</v>
      </c>
      <c r="C8" t="s">
        <v>343</v>
      </c>
      <c r="D8" s="77">
        <v>45413</v>
      </c>
      <c r="E8">
        <f>-VLOOKUP($B8,DRE!$D:$S,2,0)</f>
        <v>20420.989999999998</v>
      </c>
    </row>
    <row r="9" spans="1:5" x14ac:dyDescent="0.2">
      <c r="A9" s="2" t="s">
        <v>331</v>
      </c>
      <c r="B9" t="s">
        <v>349</v>
      </c>
      <c r="C9" s="2" t="s">
        <v>473</v>
      </c>
      <c r="D9" s="77">
        <v>45413</v>
      </c>
      <c r="E9">
        <f>-VLOOKUP($B9,DRE!$D:$S,2,0)</f>
        <v>28028.559999999998</v>
      </c>
    </row>
    <row r="10" spans="1:5" x14ac:dyDescent="0.2">
      <c r="A10" s="2" t="s">
        <v>331</v>
      </c>
      <c r="B10" t="s">
        <v>350</v>
      </c>
      <c r="C10" s="2" t="s">
        <v>474</v>
      </c>
      <c r="D10" s="77">
        <v>45413</v>
      </c>
      <c r="E10">
        <f>-VLOOKUP($B10,DRE!$D:$S,2,0)</f>
        <v>11955.59</v>
      </c>
    </row>
    <row r="11" spans="1:5" x14ac:dyDescent="0.2">
      <c r="A11" s="2" t="s">
        <v>331</v>
      </c>
      <c r="B11" t="s">
        <v>351</v>
      </c>
      <c r="C11" s="2" t="s">
        <v>475</v>
      </c>
      <c r="D11" s="77">
        <v>45413</v>
      </c>
      <c r="E11">
        <f>-VLOOKUP($B11,DRE!$D:$S,2,0)</f>
        <v>57562.549999999996</v>
      </c>
    </row>
    <row r="12" spans="1:5" x14ac:dyDescent="0.2">
      <c r="A12" s="2" t="s">
        <v>331</v>
      </c>
      <c r="B12" t="s">
        <v>352</v>
      </c>
      <c r="C12" s="2" t="s">
        <v>476</v>
      </c>
      <c r="D12" s="77">
        <v>45413</v>
      </c>
      <c r="E12">
        <f>-VLOOKUP($B12,DRE!$D:$S,2,0)</f>
        <v>7231.5300000000007</v>
      </c>
    </row>
    <row r="13" spans="1:5" x14ac:dyDescent="0.2">
      <c r="A13" s="2" t="s">
        <v>331</v>
      </c>
      <c r="B13" t="s">
        <v>353</v>
      </c>
      <c r="C13" s="2" t="s">
        <v>477</v>
      </c>
      <c r="D13" s="77">
        <v>45413</v>
      </c>
      <c r="E13">
        <f>-VLOOKUP($B13,DRE!$D:$S,2,0)</f>
        <v>37496.6</v>
      </c>
    </row>
    <row r="14" spans="1:5" x14ac:dyDescent="0.2">
      <c r="A14" s="2" t="s">
        <v>331</v>
      </c>
      <c r="B14" t="s">
        <v>354</v>
      </c>
      <c r="C14" s="2" t="s">
        <v>478</v>
      </c>
      <c r="D14" s="77">
        <v>45413</v>
      </c>
      <c r="E14">
        <f>-VLOOKUP($B14,DRE!$D:$S,2,0)</f>
        <v>17075.189999999999</v>
      </c>
    </row>
    <row r="15" spans="1:5" x14ac:dyDescent="0.2">
      <c r="A15" s="2" t="s">
        <v>331</v>
      </c>
      <c r="B15" t="s">
        <v>355</v>
      </c>
      <c r="C15" s="2" t="s">
        <v>355</v>
      </c>
      <c r="D15" s="77">
        <v>45413</v>
      </c>
      <c r="E15">
        <f>-VLOOKUP($B15,DRE!$D:$S,2,0)</f>
        <v>52394.22</v>
      </c>
    </row>
    <row r="16" spans="1:5" x14ac:dyDescent="0.2">
      <c r="A16" s="2" t="s">
        <v>331</v>
      </c>
      <c r="B16" t="s">
        <v>357</v>
      </c>
      <c r="C16" s="2" t="s">
        <v>357</v>
      </c>
      <c r="D16" s="77">
        <v>45413</v>
      </c>
      <c r="E16">
        <f>-VLOOKUP($B16,DRE!$D:$S,2,0)</f>
        <v>4840.16</v>
      </c>
    </row>
    <row r="17" spans="1:5" x14ac:dyDescent="0.2">
      <c r="A17" s="2" t="s">
        <v>331</v>
      </c>
      <c r="B17" t="s">
        <v>359</v>
      </c>
      <c r="C17" s="2" t="s">
        <v>479</v>
      </c>
      <c r="D17" s="77">
        <v>45413</v>
      </c>
      <c r="E17">
        <f>-VLOOKUP($B17,DRE!$D:$S,2,0)</f>
        <v>-417.34</v>
      </c>
    </row>
    <row r="18" spans="1:5" x14ac:dyDescent="0.2">
      <c r="A18" s="2" t="s">
        <v>331</v>
      </c>
      <c r="B18" t="s">
        <v>360</v>
      </c>
      <c r="C18" s="2" t="s">
        <v>480</v>
      </c>
      <c r="D18" s="77">
        <v>45413</v>
      </c>
      <c r="E18">
        <f>-VLOOKUP($B18,DRE!$D:$S,2,0)</f>
        <v>-4179.58</v>
      </c>
    </row>
    <row r="19" spans="1:5" x14ac:dyDescent="0.2">
      <c r="A19" s="2" t="s">
        <v>331</v>
      </c>
      <c r="B19" t="s">
        <v>361</v>
      </c>
      <c r="C19" s="2" t="s">
        <v>481</v>
      </c>
      <c r="D19" s="77">
        <v>45413</v>
      </c>
      <c r="E19">
        <f>-VLOOKUP($B19,DRE!$D:$S,2,0)</f>
        <v>17854.25</v>
      </c>
    </row>
    <row r="20" spans="1:5" x14ac:dyDescent="0.2">
      <c r="A20" s="2" t="s">
        <v>331</v>
      </c>
      <c r="B20" t="s">
        <v>364</v>
      </c>
      <c r="C20" t="s">
        <v>364</v>
      </c>
      <c r="D20" s="77">
        <v>45413</v>
      </c>
      <c r="E20">
        <f>-VLOOKUP($B20,DRE!$D:$S,2,0)</f>
        <v>32092.9664204</v>
      </c>
    </row>
    <row r="21" spans="1:5" x14ac:dyDescent="0.2">
      <c r="A21" s="2" t="s">
        <v>331</v>
      </c>
      <c r="B21" t="s">
        <v>273</v>
      </c>
      <c r="C21" t="s">
        <v>273</v>
      </c>
      <c r="D21" s="77">
        <v>45413</v>
      </c>
      <c r="E21" t="e">
        <f>VLOOKUP($B21,DRE!$D:$S,2,0)</f>
        <v>#N/A</v>
      </c>
    </row>
    <row r="22" spans="1:5" x14ac:dyDescent="0.2">
      <c r="A22" s="2" t="s">
        <v>331</v>
      </c>
      <c r="B22" t="s">
        <v>36</v>
      </c>
      <c r="C22" t="s">
        <v>36</v>
      </c>
      <c r="D22" s="77">
        <v>45413</v>
      </c>
      <c r="E22" t="e">
        <f>-VLOOKUP($B22,DRE!$D:$S,2,0)</f>
        <v>#N/A</v>
      </c>
    </row>
    <row r="23" spans="1:5" x14ac:dyDescent="0.2">
      <c r="A23" s="2" t="s">
        <v>331</v>
      </c>
      <c r="B23" t="s">
        <v>328</v>
      </c>
      <c r="C23" t="s">
        <v>328</v>
      </c>
      <c r="D23" s="77">
        <v>45444</v>
      </c>
      <c r="E23">
        <f>-VLOOKUP($B2,DRE!$D:$S,4,0)</f>
        <v>0</v>
      </c>
    </row>
    <row r="24" spans="1:5" x14ac:dyDescent="0.2">
      <c r="A24" s="2" t="s">
        <v>331</v>
      </c>
      <c r="B24" t="s">
        <v>329</v>
      </c>
      <c r="C24" t="s">
        <v>329</v>
      </c>
      <c r="D24" s="77">
        <v>45444</v>
      </c>
      <c r="E24">
        <f>-VLOOKUP($B3,DRE!$D:$S,4,0)</f>
        <v>31704.62</v>
      </c>
    </row>
    <row r="25" spans="1:5" x14ac:dyDescent="0.2">
      <c r="A25" s="2" t="s">
        <v>331</v>
      </c>
      <c r="B25" t="s">
        <v>330</v>
      </c>
      <c r="C25" t="s">
        <v>330</v>
      </c>
      <c r="D25" s="77">
        <v>45444</v>
      </c>
      <c r="E25" t="e">
        <f>-VLOOKUP($B4,DRE!$D:$S,4,0)</f>
        <v>#N/A</v>
      </c>
    </row>
    <row r="26" spans="1:5" x14ac:dyDescent="0.2">
      <c r="A26" s="2" t="s">
        <v>331</v>
      </c>
      <c r="B26" t="s">
        <v>331</v>
      </c>
      <c r="C26" t="s">
        <v>331</v>
      </c>
      <c r="D26" s="77">
        <v>45444</v>
      </c>
      <c r="E26">
        <f>-VLOOKUP($B5,DRE!$D:$S,4,0)</f>
        <v>0</v>
      </c>
    </row>
    <row r="27" spans="1:5" x14ac:dyDescent="0.2">
      <c r="A27" s="2" t="s">
        <v>331</v>
      </c>
      <c r="B27" t="s">
        <v>332</v>
      </c>
      <c r="C27" s="2" t="s">
        <v>472</v>
      </c>
      <c r="D27" s="77">
        <v>45444</v>
      </c>
      <c r="E27">
        <f>-VLOOKUP($B6,DRE!$D:$S,4,0)</f>
        <v>0</v>
      </c>
    </row>
    <row r="28" spans="1:5" x14ac:dyDescent="0.2">
      <c r="A28" s="2" t="s">
        <v>331</v>
      </c>
      <c r="B28" t="s">
        <v>340</v>
      </c>
      <c r="C28" t="s">
        <v>340</v>
      </c>
      <c r="D28" s="77">
        <v>45444</v>
      </c>
      <c r="E28">
        <f>-VLOOKUP($B7,DRE!$D:$S,4,0)</f>
        <v>43713.2</v>
      </c>
    </row>
    <row r="29" spans="1:5" x14ac:dyDescent="0.2">
      <c r="A29" s="2" t="s">
        <v>331</v>
      </c>
      <c r="B29" t="s">
        <v>343</v>
      </c>
      <c r="C29" t="s">
        <v>343</v>
      </c>
      <c r="D29" s="77">
        <v>45444</v>
      </c>
      <c r="E29">
        <f>-VLOOKUP($B8,DRE!$D:$S,4,0)</f>
        <v>35594.14</v>
      </c>
    </row>
    <row r="30" spans="1:5" x14ac:dyDescent="0.2">
      <c r="A30" s="2" t="s">
        <v>331</v>
      </c>
      <c r="B30" t="s">
        <v>349</v>
      </c>
      <c r="C30" s="2" t="s">
        <v>473</v>
      </c>
      <c r="D30" s="77">
        <v>45444</v>
      </c>
      <c r="E30">
        <f>-VLOOKUP($B9,DRE!$D:$S,4,0)</f>
        <v>8354.27</v>
      </c>
    </row>
    <row r="31" spans="1:5" x14ac:dyDescent="0.2">
      <c r="A31" s="2" t="s">
        <v>331</v>
      </c>
      <c r="B31" t="s">
        <v>350</v>
      </c>
      <c r="C31" s="2" t="s">
        <v>474</v>
      </c>
      <c r="D31" s="77">
        <v>45444</v>
      </c>
      <c r="E31">
        <f>-VLOOKUP($B10,DRE!$D:$S,4,0)</f>
        <v>13545.1</v>
      </c>
    </row>
    <row r="32" spans="1:5" x14ac:dyDescent="0.2">
      <c r="A32" s="2" t="s">
        <v>331</v>
      </c>
      <c r="B32" t="s">
        <v>351</v>
      </c>
      <c r="C32" s="2" t="s">
        <v>475</v>
      </c>
      <c r="D32" s="77">
        <v>45444</v>
      </c>
      <c r="E32">
        <f>-VLOOKUP($B11,DRE!$D:$S,4,0)</f>
        <v>66297.600000000006</v>
      </c>
    </row>
    <row r="33" spans="1:5" x14ac:dyDescent="0.2">
      <c r="A33" s="2" t="s">
        <v>331</v>
      </c>
      <c r="B33" t="s">
        <v>352</v>
      </c>
      <c r="C33" s="2" t="s">
        <v>476</v>
      </c>
      <c r="D33" s="77">
        <v>45444</v>
      </c>
      <c r="E33">
        <f>-VLOOKUP($B12,DRE!$D:$S,4,0)</f>
        <v>5268.5</v>
      </c>
    </row>
    <row r="34" spans="1:5" x14ac:dyDescent="0.2">
      <c r="A34" s="2" t="s">
        <v>331</v>
      </c>
      <c r="B34" t="s">
        <v>353</v>
      </c>
      <c r="C34" s="2" t="s">
        <v>477</v>
      </c>
      <c r="D34" s="77">
        <v>45444</v>
      </c>
      <c r="E34">
        <f>-VLOOKUP($B13,DRE!$D:$S,4,0)</f>
        <v>40796.76</v>
      </c>
    </row>
    <row r="35" spans="1:5" x14ac:dyDescent="0.2">
      <c r="A35" s="2" t="s">
        <v>331</v>
      </c>
      <c r="B35" t="s">
        <v>354</v>
      </c>
      <c r="C35" s="2" t="s">
        <v>478</v>
      </c>
      <c r="D35" s="77">
        <v>45444</v>
      </c>
      <c r="E35">
        <f>-VLOOKUP($B14,DRE!$D:$S,4,0)</f>
        <v>18098.29</v>
      </c>
    </row>
    <row r="36" spans="1:5" x14ac:dyDescent="0.2">
      <c r="A36" s="2" t="s">
        <v>331</v>
      </c>
      <c r="B36" t="s">
        <v>355</v>
      </c>
      <c r="C36" s="2" t="s">
        <v>355</v>
      </c>
      <c r="D36" s="77">
        <v>45444</v>
      </c>
      <c r="E36">
        <f>-VLOOKUP($B15,DRE!$D:$S,4,0)</f>
        <v>41642.620000000003</v>
      </c>
    </row>
    <row r="37" spans="1:5" x14ac:dyDescent="0.2">
      <c r="A37" s="2" t="s">
        <v>331</v>
      </c>
      <c r="B37" t="s">
        <v>357</v>
      </c>
      <c r="C37" s="2" t="s">
        <v>357</v>
      </c>
      <c r="D37" s="77">
        <v>45444</v>
      </c>
      <c r="E37">
        <f>-VLOOKUP($B16,DRE!$D:$S,4,0)</f>
        <v>4780.9400000000005</v>
      </c>
    </row>
    <row r="38" spans="1:5" x14ac:dyDescent="0.2">
      <c r="A38" s="2" t="s">
        <v>331</v>
      </c>
      <c r="B38" t="s">
        <v>359</v>
      </c>
      <c r="C38" s="2" t="s">
        <v>479</v>
      </c>
      <c r="D38" s="77">
        <v>45444</v>
      </c>
      <c r="E38">
        <f>-VLOOKUP($B17,DRE!$D:$S,4,0)</f>
        <v>0</v>
      </c>
    </row>
    <row r="39" spans="1:5" x14ac:dyDescent="0.2">
      <c r="A39" s="2" t="s">
        <v>331</v>
      </c>
      <c r="B39" t="s">
        <v>360</v>
      </c>
      <c r="C39" s="2" t="s">
        <v>480</v>
      </c>
      <c r="D39" s="77">
        <v>45444</v>
      </c>
      <c r="E39">
        <f>-VLOOKUP($B18,DRE!$D:$S,4,0)</f>
        <v>0</v>
      </c>
    </row>
    <row r="40" spans="1:5" x14ac:dyDescent="0.2">
      <c r="A40" s="2" t="s">
        <v>331</v>
      </c>
      <c r="B40" t="s">
        <v>361</v>
      </c>
      <c r="C40" s="2" t="s">
        <v>481</v>
      </c>
      <c r="D40" s="77">
        <v>45444</v>
      </c>
      <c r="E40">
        <f>-VLOOKUP($B19,DRE!$D:$S,4,0)</f>
        <v>22935.85</v>
      </c>
    </row>
    <row r="41" spans="1:5" x14ac:dyDescent="0.2">
      <c r="A41" s="2" t="s">
        <v>331</v>
      </c>
      <c r="B41" t="s">
        <v>364</v>
      </c>
      <c r="C41" t="s">
        <v>364</v>
      </c>
      <c r="D41" s="77">
        <v>45444</v>
      </c>
      <c r="E41">
        <f>-VLOOKUP($B20,DRE!$D:$S,4,0)</f>
        <v>32092.9664204</v>
      </c>
    </row>
    <row r="42" spans="1:5" x14ac:dyDescent="0.2">
      <c r="A42" s="2" t="s">
        <v>331</v>
      </c>
      <c r="B42" t="s">
        <v>273</v>
      </c>
      <c r="C42" t="s">
        <v>273</v>
      </c>
      <c r="D42" s="77">
        <v>45444</v>
      </c>
      <c r="E42" t="e">
        <f>VLOOKUP($B21,DRE!$D:$S,4,0)</f>
        <v>#N/A</v>
      </c>
    </row>
    <row r="43" spans="1:5" x14ac:dyDescent="0.2">
      <c r="A43" s="2" t="s">
        <v>331</v>
      </c>
      <c r="B43" t="s">
        <v>36</v>
      </c>
      <c r="C43" t="s">
        <v>36</v>
      </c>
      <c r="D43" s="77">
        <v>45444</v>
      </c>
      <c r="E43" t="e">
        <f>-VLOOKUP($B22,DRE!$D:$S,4,0)</f>
        <v>#N/A</v>
      </c>
    </row>
    <row r="44" spans="1:5" x14ac:dyDescent="0.2">
      <c r="A44" s="2" t="s">
        <v>331</v>
      </c>
      <c r="B44" t="s">
        <v>328</v>
      </c>
      <c r="C44" t="s">
        <v>328</v>
      </c>
      <c r="D44" s="77">
        <v>45474</v>
      </c>
      <c r="E44">
        <f>-VLOOKUP($B2,DRE!$D:$S,6,0)</f>
        <v>0</v>
      </c>
    </row>
    <row r="45" spans="1:5" x14ac:dyDescent="0.2">
      <c r="A45" s="2" t="s">
        <v>331</v>
      </c>
      <c r="B45" t="s">
        <v>329</v>
      </c>
      <c r="C45" t="s">
        <v>329</v>
      </c>
      <c r="D45" s="77">
        <v>45474</v>
      </c>
      <c r="E45">
        <f>-VLOOKUP($B3,DRE!$D:$S,6,0)</f>
        <v>32652.85</v>
      </c>
    </row>
    <row r="46" spans="1:5" x14ac:dyDescent="0.2">
      <c r="A46" s="2" t="s">
        <v>331</v>
      </c>
      <c r="B46" t="s">
        <v>330</v>
      </c>
      <c r="C46" t="s">
        <v>330</v>
      </c>
      <c r="D46" s="77">
        <v>45474</v>
      </c>
      <c r="E46" t="e">
        <f>-VLOOKUP($B4,DRE!$D:$S,6,0)</f>
        <v>#N/A</v>
      </c>
    </row>
    <row r="47" spans="1:5" x14ac:dyDescent="0.2">
      <c r="A47" s="2" t="s">
        <v>331</v>
      </c>
      <c r="B47" t="s">
        <v>331</v>
      </c>
      <c r="C47" t="s">
        <v>331</v>
      </c>
      <c r="D47" s="77">
        <v>45474</v>
      </c>
      <c r="E47">
        <f>-VLOOKUP($B5,DRE!$D:$S,6,0)</f>
        <v>14.45</v>
      </c>
    </row>
    <row r="48" spans="1:5" x14ac:dyDescent="0.2">
      <c r="A48" s="2" t="s">
        <v>331</v>
      </c>
      <c r="B48" t="s">
        <v>332</v>
      </c>
      <c r="C48" s="2" t="s">
        <v>472</v>
      </c>
      <c r="D48" s="77">
        <v>45474</v>
      </c>
      <c r="E48">
        <f>-VLOOKUP($B6,DRE!$D:$S,6,0)</f>
        <v>0</v>
      </c>
    </row>
    <row r="49" spans="1:5" x14ac:dyDescent="0.2">
      <c r="A49" s="2" t="s">
        <v>331</v>
      </c>
      <c r="B49" t="s">
        <v>340</v>
      </c>
      <c r="C49" t="s">
        <v>340</v>
      </c>
      <c r="D49" s="77">
        <v>45474</v>
      </c>
      <c r="E49">
        <f>-VLOOKUP($B7,DRE!$D:$S,6,0)</f>
        <v>150696.85</v>
      </c>
    </row>
    <row r="50" spans="1:5" x14ac:dyDescent="0.2">
      <c r="A50" s="2" t="s">
        <v>331</v>
      </c>
      <c r="B50" t="s">
        <v>343</v>
      </c>
      <c r="C50" t="s">
        <v>343</v>
      </c>
      <c r="D50" s="77">
        <v>45474</v>
      </c>
      <c r="E50">
        <f>-VLOOKUP($B8,DRE!$D:$S,6,0)</f>
        <v>59654.75</v>
      </c>
    </row>
    <row r="51" spans="1:5" x14ac:dyDescent="0.2">
      <c r="A51" s="2" t="s">
        <v>331</v>
      </c>
      <c r="B51" t="s">
        <v>349</v>
      </c>
      <c r="C51" s="2" t="s">
        <v>473</v>
      </c>
      <c r="D51" s="77">
        <v>45474</v>
      </c>
      <c r="E51">
        <f>-VLOOKUP($B9,DRE!$D:$S,6,0)</f>
        <v>45328.1</v>
      </c>
    </row>
    <row r="52" spans="1:5" x14ac:dyDescent="0.2">
      <c r="A52" s="2" t="s">
        <v>331</v>
      </c>
      <c r="B52" t="s">
        <v>350</v>
      </c>
      <c r="C52" s="2" t="s">
        <v>474</v>
      </c>
      <c r="D52" s="77">
        <v>45474</v>
      </c>
      <c r="E52">
        <f>-VLOOKUP($B10,DRE!$D:$S,6,0)</f>
        <v>-5548.51</v>
      </c>
    </row>
    <row r="53" spans="1:5" x14ac:dyDescent="0.2">
      <c r="A53" s="2" t="s">
        <v>331</v>
      </c>
      <c r="B53" t="s">
        <v>351</v>
      </c>
      <c r="C53" s="2" t="s">
        <v>475</v>
      </c>
      <c r="D53" s="77">
        <v>45474</v>
      </c>
      <c r="E53">
        <f>-VLOOKUP($B11,DRE!$D:$S,6,0)</f>
        <v>37082.65</v>
      </c>
    </row>
    <row r="54" spans="1:5" x14ac:dyDescent="0.2">
      <c r="A54" s="2" t="s">
        <v>331</v>
      </c>
      <c r="B54" t="s">
        <v>352</v>
      </c>
      <c r="C54" s="2" t="s">
        <v>476</v>
      </c>
      <c r="D54" s="77">
        <v>45474</v>
      </c>
      <c r="E54">
        <f>-VLOOKUP($B12,DRE!$D:$S,6,0)</f>
        <v>4922.4799999999996</v>
      </c>
    </row>
    <row r="55" spans="1:5" x14ac:dyDescent="0.2">
      <c r="A55" s="2" t="s">
        <v>331</v>
      </c>
      <c r="B55" t="s">
        <v>353</v>
      </c>
      <c r="C55" s="2" t="s">
        <v>477</v>
      </c>
      <c r="D55" s="77">
        <v>45474</v>
      </c>
      <c r="E55">
        <f>-VLOOKUP($B13,DRE!$D:$S,6,0)</f>
        <v>36780.47</v>
      </c>
    </row>
    <row r="56" spans="1:5" x14ac:dyDescent="0.2">
      <c r="A56" s="2" t="s">
        <v>331</v>
      </c>
      <c r="B56" t="s">
        <v>354</v>
      </c>
      <c r="C56" s="2" t="s">
        <v>478</v>
      </c>
      <c r="D56" s="77">
        <v>45474</v>
      </c>
      <c r="E56">
        <f>-VLOOKUP($B14,DRE!$D:$S,6,0)</f>
        <v>18926.8</v>
      </c>
    </row>
    <row r="57" spans="1:5" x14ac:dyDescent="0.2">
      <c r="A57" s="2" t="s">
        <v>331</v>
      </c>
      <c r="B57" t="s">
        <v>355</v>
      </c>
      <c r="C57" s="2" t="s">
        <v>355</v>
      </c>
      <c r="D57" s="77">
        <v>45474</v>
      </c>
      <c r="E57">
        <f>-VLOOKUP($B15,DRE!$D:$S,6,0)</f>
        <v>48085.99</v>
      </c>
    </row>
    <row r="58" spans="1:5" x14ac:dyDescent="0.2">
      <c r="A58" s="2" t="s">
        <v>331</v>
      </c>
      <c r="B58" t="s">
        <v>357</v>
      </c>
      <c r="C58" s="2" t="s">
        <v>357</v>
      </c>
      <c r="D58" s="77">
        <v>45474</v>
      </c>
      <c r="E58">
        <f>-VLOOKUP($B16,DRE!$D:$S,6,0)</f>
        <v>5080.03</v>
      </c>
    </row>
    <row r="59" spans="1:5" x14ac:dyDescent="0.2">
      <c r="A59" s="2" t="s">
        <v>331</v>
      </c>
      <c r="B59" t="s">
        <v>359</v>
      </c>
      <c r="C59" s="2" t="s">
        <v>479</v>
      </c>
      <c r="D59" s="77">
        <v>45474</v>
      </c>
      <c r="E59">
        <f>-VLOOKUP($B17,DRE!$D:$S,6,0)</f>
        <v>0</v>
      </c>
    </row>
    <row r="60" spans="1:5" x14ac:dyDescent="0.2">
      <c r="A60" s="2" t="s">
        <v>331</v>
      </c>
      <c r="B60" t="s">
        <v>360</v>
      </c>
      <c r="C60" s="2" t="s">
        <v>480</v>
      </c>
      <c r="D60" s="77">
        <v>45474</v>
      </c>
      <c r="E60">
        <f>-VLOOKUP($B18,DRE!$D:$S,6,0)</f>
        <v>-13410.47</v>
      </c>
    </row>
    <row r="61" spans="1:5" x14ac:dyDescent="0.2">
      <c r="A61" s="2" t="s">
        <v>331</v>
      </c>
      <c r="B61" t="s">
        <v>361</v>
      </c>
      <c r="C61" s="2" t="s">
        <v>481</v>
      </c>
      <c r="D61" s="77">
        <v>45474</v>
      </c>
      <c r="E61">
        <f>-VLOOKUP($B19,DRE!$D:$S,6,0)</f>
        <v>29030.68</v>
      </c>
    </row>
    <row r="62" spans="1:5" x14ac:dyDescent="0.2">
      <c r="A62" s="2" t="s">
        <v>331</v>
      </c>
      <c r="B62" t="s">
        <v>364</v>
      </c>
      <c r="C62" t="s">
        <v>364</v>
      </c>
      <c r="D62" s="77">
        <v>45474</v>
      </c>
      <c r="E62">
        <f>-VLOOKUP($B20,DRE!$D:$S,6,0)</f>
        <v>32092.9664204</v>
      </c>
    </row>
    <row r="63" spans="1:5" x14ac:dyDescent="0.2">
      <c r="A63" s="2" t="s">
        <v>331</v>
      </c>
      <c r="B63" t="s">
        <v>273</v>
      </c>
      <c r="C63" t="s">
        <v>273</v>
      </c>
      <c r="D63" s="77">
        <v>45474</v>
      </c>
      <c r="E63" t="e">
        <f>VLOOKUP($B21,DRE!$D:$S,6,0)</f>
        <v>#N/A</v>
      </c>
    </row>
    <row r="64" spans="1:5" x14ac:dyDescent="0.2">
      <c r="A64" s="2" t="s">
        <v>331</v>
      </c>
      <c r="B64" t="s">
        <v>36</v>
      </c>
      <c r="C64" t="s">
        <v>36</v>
      </c>
      <c r="D64" s="77">
        <v>45474</v>
      </c>
      <c r="E64" t="e">
        <f>-VLOOKUP($B22,DRE!$D:$S,6,0)</f>
        <v>#N/A</v>
      </c>
    </row>
    <row r="65" spans="1:5" x14ac:dyDescent="0.2">
      <c r="A65" s="2" t="s">
        <v>331</v>
      </c>
      <c r="B65" t="s">
        <v>328</v>
      </c>
      <c r="C65" t="s">
        <v>328</v>
      </c>
      <c r="D65" s="77">
        <v>45505</v>
      </c>
      <c r="E65">
        <f>-VLOOKUP($B2,DRE!$D:$S,8,0)</f>
        <v>0</v>
      </c>
    </row>
    <row r="66" spans="1:5" x14ac:dyDescent="0.2">
      <c r="A66" s="2" t="s">
        <v>331</v>
      </c>
      <c r="B66" t="s">
        <v>329</v>
      </c>
      <c r="C66" t="s">
        <v>329</v>
      </c>
      <c r="D66" s="77">
        <v>45505</v>
      </c>
      <c r="E66">
        <f>-VLOOKUP($B3,DRE!$D:$S,8,0)</f>
        <v>32498.45</v>
      </c>
    </row>
    <row r="67" spans="1:5" x14ac:dyDescent="0.2">
      <c r="A67" s="2" t="s">
        <v>331</v>
      </c>
      <c r="B67" t="s">
        <v>330</v>
      </c>
      <c r="C67" t="s">
        <v>330</v>
      </c>
      <c r="D67" s="77">
        <v>45505</v>
      </c>
      <c r="E67" t="e">
        <f>-VLOOKUP($B4,DRE!$D:$S,8,0)</f>
        <v>#N/A</v>
      </c>
    </row>
    <row r="68" spans="1:5" x14ac:dyDescent="0.2">
      <c r="A68" s="2" t="s">
        <v>331</v>
      </c>
      <c r="B68" t="s">
        <v>331</v>
      </c>
      <c r="C68" t="s">
        <v>331</v>
      </c>
      <c r="D68" s="77">
        <v>45505</v>
      </c>
      <c r="E68">
        <f>-VLOOKUP($B5,DRE!$D:$S,8,0)</f>
        <v>-7.0000000000000007E-2</v>
      </c>
    </row>
    <row r="69" spans="1:5" x14ac:dyDescent="0.2">
      <c r="A69" s="2" t="s">
        <v>331</v>
      </c>
      <c r="B69" t="s">
        <v>332</v>
      </c>
      <c r="C69" s="2" t="s">
        <v>472</v>
      </c>
      <c r="D69" s="77">
        <v>45505</v>
      </c>
      <c r="E69">
        <f>-VLOOKUP($B6,DRE!$D:$S,8,0)</f>
        <v>0</v>
      </c>
    </row>
    <row r="70" spans="1:5" x14ac:dyDescent="0.2">
      <c r="A70" s="2" t="s">
        <v>331</v>
      </c>
      <c r="B70" t="s">
        <v>340</v>
      </c>
      <c r="C70" t="s">
        <v>340</v>
      </c>
      <c r="D70" s="77">
        <v>45505</v>
      </c>
      <c r="E70">
        <f>-VLOOKUP($B7,DRE!$D:$S,8,0)</f>
        <v>78157.039999999994</v>
      </c>
    </row>
    <row r="71" spans="1:5" x14ac:dyDescent="0.2">
      <c r="A71" s="2" t="s">
        <v>331</v>
      </c>
      <c r="B71" t="s">
        <v>343</v>
      </c>
      <c r="C71" t="s">
        <v>343</v>
      </c>
      <c r="D71" s="77">
        <v>45505</v>
      </c>
      <c r="E71">
        <f>-VLOOKUP($B8,DRE!$D:$S,8,0)</f>
        <v>50998.1</v>
      </c>
    </row>
    <row r="72" spans="1:5" x14ac:dyDescent="0.2">
      <c r="A72" s="2" t="s">
        <v>331</v>
      </c>
      <c r="B72" t="s">
        <v>349</v>
      </c>
      <c r="C72" s="2" t="s">
        <v>473</v>
      </c>
      <c r="D72" s="77">
        <v>45505</v>
      </c>
      <c r="E72">
        <f>-VLOOKUP($B9,DRE!$D:$S,8,0)</f>
        <v>28179.51</v>
      </c>
    </row>
    <row r="73" spans="1:5" x14ac:dyDescent="0.2">
      <c r="A73" s="2" t="s">
        <v>331</v>
      </c>
      <c r="B73" t="s">
        <v>350</v>
      </c>
      <c r="C73" s="2" t="s">
        <v>474</v>
      </c>
      <c r="D73" s="77">
        <v>45505</v>
      </c>
      <c r="E73">
        <f>-VLOOKUP($B10,DRE!$D:$S,8,0)</f>
        <v>10241.26</v>
      </c>
    </row>
    <row r="74" spans="1:5" x14ac:dyDescent="0.2">
      <c r="A74" s="2" t="s">
        <v>331</v>
      </c>
      <c r="B74" t="s">
        <v>351</v>
      </c>
      <c r="C74" s="2" t="s">
        <v>475</v>
      </c>
      <c r="D74" s="77">
        <v>45505</v>
      </c>
      <c r="E74">
        <f>-VLOOKUP($B11,DRE!$D:$S,8,0)</f>
        <v>37925.609999999993</v>
      </c>
    </row>
    <row r="75" spans="1:5" x14ac:dyDescent="0.2">
      <c r="A75" s="2" t="s">
        <v>331</v>
      </c>
      <c r="B75" t="s">
        <v>352</v>
      </c>
      <c r="C75" s="2" t="s">
        <v>476</v>
      </c>
      <c r="D75" s="77">
        <v>45505</v>
      </c>
      <c r="E75">
        <f>-VLOOKUP($B12,DRE!$D:$S,8,0)</f>
        <v>4773.74</v>
      </c>
    </row>
    <row r="76" spans="1:5" x14ac:dyDescent="0.2">
      <c r="A76" s="2" t="s">
        <v>331</v>
      </c>
      <c r="B76" t="s">
        <v>353</v>
      </c>
      <c r="C76" s="2" t="s">
        <v>477</v>
      </c>
      <c r="D76" s="77">
        <v>45505</v>
      </c>
      <c r="E76">
        <f>-VLOOKUP($B13,DRE!$D:$S,8,0)</f>
        <v>34695.78</v>
      </c>
    </row>
    <row r="77" spans="1:5" x14ac:dyDescent="0.2">
      <c r="A77" s="2" t="s">
        <v>331</v>
      </c>
      <c r="B77" t="s">
        <v>354</v>
      </c>
      <c r="C77" s="2" t="s">
        <v>478</v>
      </c>
      <c r="D77" s="77">
        <v>45505</v>
      </c>
      <c r="E77">
        <f>-VLOOKUP($B14,DRE!$D:$S,8,0)</f>
        <v>18344.009999999998</v>
      </c>
    </row>
    <row r="78" spans="1:5" x14ac:dyDescent="0.2">
      <c r="A78" s="2" t="s">
        <v>331</v>
      </c>
      <c r="B78" t="s">
        <v>355</v>
      </c>
      <c r="C78" s="2" t="s">
        <v>355</v>
      </c>
      <c r="D78" s="77">
        <v>45505</v>
      </c>
      <c r="E78">
        <f>-VLOOKUP($B15,DRE!$D:$S,8,0)</f>
        <v>53139.99</v>
      </c>
    </row>
    <row r="79" spans="1:5" x14ac:dyDescent="0.2">
      <c r="A79" s="2" t="s">
        <v>331</v>
      </c>
      <c r="B79" t="s">
        <v>357</v>
      </c>
      <c r="C79" s="2" t="s">
        <v>357</v>
      </c>
      <c r="D79" s="77">
        <v>45505</v>
      </c>
      <c r="E79">
        <f>-VLOOKUP($B16,DRE!$D:$S,8,0)</f>
        <v>5280.54</v>
      </c>
    </row>
    <row r="80" spans="1:5" x14ac:dyDescent="0.2">
      <c r="A80" s="2" t="s">
        <v>331</v>
      </c>
      <c r="B80" t="s">
        <v>359</v>
      </c>
      <c r="C80" s="2" t="s">
        <v>479</v>
      </c>
      <c r="D80" s="77">
        <v>45505</v>
      </c>
      <c r="E80">
        <f>-VLOOKUP($B17,DRE!$D:$S,8,0)</f>
        <v>0</v>
      </c>
    </row>
    <row r="81" spans="1:5" x14ac:dyDescent="0.2">
      <c r="A81" s="2" t="s">
        <v>331</v>
      </c>
      <c r="B81" t="s">
        <v>360</v>
      </c>
      <c r="C81" s="2" t="s">
        <v>480</v>
      </c>
      <c r="D81" s="77">
        <v>45505</v>
      </c>
      <c r="E81">
        <f>-VLOOKUP($B18,DRE!$D:$S,8,0)</f>
        <v>-22837.03</v>
      </c>
    </row>
    <row r="82" spans="1:5" x14ac:dyDescent="0.2">
      <c r="A82" s="2" t="s">
        <v>331</v>
      </c>
      <c r="B82" t="s">
        <v>361</v>
      </c>
      <c r="C82" s="2" t="s">
        <v>481</v>
      </c>
      <c r="D82" s="77">
        <v>45505</v>
      </c>
      <c r="E82">
        <f>-VLOOKUP($B19,DRE!$D:$S,8,0)</f>
        <v>29462.43</v>
      </c>
    </row>
    <row r="83" spans="1:5" x14ac:dyDescent="0.2">
      <c r="A83" s="2" t="s">
        <v>331</v>
      </c>
      <c r="B83" t="s">
        <v>364</v>
      </c>
      <c r="C83" t="s">
        <v>364</v>
      </c>
      <c r="D83" s="77">
        <v>45505</v>
      </c>
      <c r="E83">
        <f>-VLOOKUP($B20,DRE!$D:$S,8,0)</f>
        <v>32092.9664204</v>
      </c>
    </row>
    <row r="84" spans="1:5" x14ac:dyDescent="0.2">
      <c r="A84" s="2" t="s">
        <v>331</v>
      </c>
      <c r="B84" t="s">
        <v>273</v>
      </c>
      <c r="C84" t="s">
        <v>273</v>
      </c>
      <c r="D84" s="77">
        <v>45505</v>
      </c>
      <c r="E84" t="e">
        <f>VLOOKUP($B21,DRE!$D:$S,8,0)</f>
        <v>#N/A</v>
      </c>
    </row>
    <row r="85" spans="1:5" x14ac:dyDescent="0.2">
      <c r="A85" s="2" t="s">
        <v>331</v>
      </c>
      <c r="B85" t="s">
        <v>36</v>
      </c>
      <c r="C85" t="s">
        <v>36</v>
      </c>
      <c r="D85" s="77">
        <v>45505</v>
      </c>
      <c r="E85" t="e">
        <f>-VLOOKUP($B22,DRE!$D:$S,8,0)</f>
        <v>#N/A</v>
      </c>
    </row>
    <row r="86" spans="1:5" x14ac:dyDescent="0.2">
      <c r="A86" s="2" t="s">
        <v>331</v>
      </c>
      <c r="B86" t="s">
        <v>328</v>
      </c>
      <c r="C86" t="s">
        <v>328</v>
      </c>
      <c r="D86" s="77">
        <v>45536</v>
      </c>
      <c r="E86">
        <f>-VLOOKUP($B2,DRE!$D:$S,10,0)</f>
        <v>0</v>
      </c>
    </row>
    <row r="87" spans="1:5" x14ac:dyDescent="0.2">
      <c r="A87" s="2" t="s">
        <v>331</v>
      </c>
      <c r="B87" t="s">
        <v>329</v>
      </c>
      <c r="C87" t="s">
        <v>329</v>
      </c>
      <c r="D87" s="77">
        <v>45536</v>
      </c>
      <c r="E87">
        <f>-VLOOKUP($B3,DRE!$D:$S,10,0)</f>
        <v>31418.74</v>
      </c>
    </row>
    <row r="88" spans="1:5" x14ac:dyDescent="0.2">
      <c r="A88" s="2" t="s">
        <v>331</v>
      </c>
      <c r="B88" t="s">
        <v>330</v>
      </c>
      <c r="C88" t="s">
        <v>330</v>
      </c>
      <c r="D88" s="77">
        <v>45536</v>
      </c>
      <c r="E88" t="e">
        <f>-VLOOKUP($B4,DRE!$D:$S,10,0)</f>
        <v>#N/A</v>
      </c>
    </row>
    <row r="89" spans="1:5" x14ac:dyDescent="0.2">
      <c r="A89" s="2" t="s">
        <v>331</v>
      </c>
      <c r="B89" t="s">
        <v>331</v>
      </c>
      <c r="C89" t="s">
        <v>331</v>
      </c>
      <c r="D89" s="77">
        <v>45536</v>
      </c>
      <c r="E89">
        <f>-VLOOKUP($B5,DRE!$D:$S,10,0)</f>
        <v>14.93</v>
      </c>
    </row>
    <row r="90" spans="1:5" x14ac:dyDescent="0.2">
      <c r="A90" s="2" t="s">
        <v>331</v>
      </c>
      <c r="B90" t="s">
        <v>332</v>
      </c>
      <c r="C90" s="2" t="s">
        <v>472</v>
      </c>
      <c r="D90" s="77">
        <v>45536</v>
      </c>
      <c r="E90">
        <f>-VLOOKUP($B6,DRE!$D:$S,10,0)</f>
        <v>0</v>
      </c>
    </row>
    <row r="91" spans="1:5" x14ac:dyDescent="0.2">
      <c r="A91" s="2" t="s">
        <v>331</v>
      </c>
      <c r="B91" t="s">
        <v>340</v>
      </c>
      <c r="C91" t="s">
        <v>340</v>
      </c>
      <c r="D91" s="77">
        <v>45536</v>
      </c>
      <c r="E91">
        <f>-VLOOKUP($B7,DRE!$D:$S,10,0)</f>
        <v>45044.93</v>
      </c>
    </row>
    <row r="92" spans="1:5" x14ac:dyDescent="0.2">
      <c r="A92" s="2" t="s">
        <v>331</v>
      </c>
      <c r="B92" t="s">
        <v>343</v>
      </c>
      <c r="C92" t="s">
        <v>343</v>
      </c>
      <c r="D92" s="77">
        <v>45536</v>
      </c>
      <c r="E92">
        <f>-VLOOKUP($B8,DRE!$D:$S,10,0)</f>
        <v>68365.11</v>
      </c>
    </row>
    <row r="93" spans="1:5" x14ac:dyDescent="0.2">
      <c r="A93" s="2" t="s">
        <v>331</v>
      </c>
      <c r="B93" t="s">
        <v>349</v>
      </c>
      <c r="C93" s="2" t="s">
        <v>473</v>
      </c>
      <c r="D93" s="77">
        <v>45536</v>
      </c>
      <c r="E93">
        <f>-VLOOKUP($B9,DRE!$D:$S,10,0)</f>
        <v>28715.68</v>
      </c>
    </row>
    <row r="94" spans="1:5" x14ac:dyDescent="0.2">
      <c r="A94" s="2" t="s">
        <v>331</v>
      </c>
      <c r="B94" t="s">
        <v>350</v>
      </c>
      <c r="C94" s="2" t="s">
        <v>474</v>
      </c>
      <c r="D94" s="77">
        <v>45536</v>
      </c>
      <c r="E94">
        <f>-VLOOKUP($B10,DRE!$D:$S,10,0)</f>
        <v>5992.55</v>
      </c>
    </row>
    <row r="95" spans="1:5" x14ac:dyDescent="0.2">
      <c r="A95" s="2" t="s">
        <v>331</v>
      </c>
      <c r="B95" t="s">
        <v>351</v>
      </c>
      <c r="C95" s="2" t="s">
        <v>475</v>
      </c>
      <c r="D95" s="77">
        <v>45536</v>
      </c>
      <c r="E95">
        <f>-VLOOKUP($B11,DRE!$D:$S,10,0)</f>
        <v>39556.859999999993</v>
      </c>
    </row>
    <row r="96" spans="1:5" x14ac:dyDescent="0.2">
      <c r="A96" s="2" t="s">
        <v>331</v>
      </c>
      <c r="B96" t="s">
        <v>352</v>
      </c>
      <c r="C96" s="2" t="s">
        <v>476</v>
      </c>
      <c r="D96" s="77">
        <v>45536</v>
      </c>
      <c r="E96">
        <f>-VLOOKUP($B12,DRE!$D:$S,10,0)</f>
        <v>4733.74</v>
      </c>
    </row>
    <row r="97" spans="1:5" x14ac:dyDescent="0.2">
      <c r="A97" s="2" t="s">
        <v>331</v>
      </c>
      <c r="B97" t="s">
        <v>353</v>
      </c>
      <c r="C97" s="2" t="s">
        <v>477</v>
      </c>
      <c r="D97" s="77">
        <v>45536</v>
      </c>
      <c r="E97">
        <f>-VLOOKUP($B13,DRE!$D:$S,10,0)</f>
        <v>37222.89</v>
      </c>
    </row>
    <row r="98" spans="1:5" x14ac:dyDescent="0.2">
      <c r="A98" s="2" t="s">
        <v>331</v>
      </c>
      <c r="B98" t="s">
        <v>354</v>
      </c>
      <c r="C98" s="2" t="s">
        <v>478</v>
      </c>
      <c r="D98" s="77">
        <v>45536</v>
      </c>
      <c r="E98">
        <f>-VLOOKUP($B14,DRE!$D:$S,10,0)</f>
        <v>18505.25</v>
      </c>
    </row>
    <row r="99" spans="1:5" x14ac:dyDescent="0.2">
      <c r="A99" s="2" t="s">
        <v>331</v>
      </c>
      <c r="B99" t="s">
        <v>355</v>
      </c>
      <c r="C99" s="2" t="s">
        <v>355</v>
      </c>
      <c r="D99" s="77">
        <v>45536</v>
      </c>
      <c r="E99">
        <f>-VLOOKUP($B15,DRE!$D:$S,10,0)</f>
        <v>57899.24</v>
      </c>
    </row>
    <row r="100" spans="1:5" x14ac:dyDescent="0.2">
      <c r="A100" s="2" t="s">
        <v>331</v>
      </c>
      <c r="B100" t="s">
        <v>357</v>
      </c>
      <c r="C100" s="2" t="s">
        <v>357</v>
      </c>
      <c r="D100" s="77">
        <v>45536</v>
      </c>
      <c r="E100">
        <f>-VLOOKUP($B16,DRE!$D:$S,10,0)</f>
        <v>5535.14</v>
      </c>
    </row>
    <row r="101" spans="1:5" x14ac:dyDescent="0.2">
      <c r="A101" s="2" t="s">
        <v>331</v>
      </c>
      <c r="B101" t="s">
        <v>359</v>
      </c>
      <c r="C101" s="2" t="s">
        <v>479</v>
      </c>
      <c r="D101" s="77">
        <v>45536</v>
      </c>
      <c r="E101">
        <f>-VLOOKUP($B17,DRE!$D:$S,10,0)</f>
        <v>0</v>
      </c>
    </row>
    <row r="102" spans="1:5" x14ac:dyDescent="0.2">
      <c r="A102" s="2" t="s">
        <v>331</v>
      </c>
      <c r="B102" t="s">
        <v>360</v>
      </c>
      <c r="C102" s="2" t="s">
        <v>480</v>
      </c>
      <c r="D102" s="77">
        <v>45536</v>
      </c>
      <c r="E102">
        <f>-VLOOKUP($B18,DRE!$D:$S,10,0)</f>
        <v>-26523.64</v>
      </c>
    </row>
    <row r="103" spans="1:5" x14ac:dyDescent="0.2">
      <c r="A103" s="2" t="s">
        <v>331</v>
      </c>
      <c r="B103" t="s">
        <v>361</v>
      </c>
      <c r="C103" s="2" t="s">
        <v>481</v>
      </c>
      <c r="D103" s="77">
        <v>45536</v>
      </c>
      <c r="E103">
        <f>-VLOOKUP($B19,DRE!$D:$S,10,0)</f>
        <v>30201.67</v>
      </c>
    </row>
    <row r="104" spans="1:5" x14ac:dyDescent="0.2">
      <c r="A104" s="2" t="s">
        <v>331</v>
      </c>
      <c r="B104" t="s">
        <v>364</v>
      </c>
      <c r="C104" t="s">
        <v>364</v>
      </c>
      <c r="D104" s="77">
        <v>45536</v>
      </c>
      <c r="E104">
        <f>-VLOOKUP($B20,DRE!$D:$S,10,0)</f>
        <v>32092.9664204</v>
      </c>
    </row>
    <row r="105" spans="1:5" x14ac:dyDescent="0.2">
      <c r="A105" s="2" t="s">
        <v>331</v>
      </c>
      <c r="B105" t="s">
        <v>273</v>
      </c>
      <c r="C105" t="s">
        <v>273</v>
      </c>
      <c r="D105" s="77">
        <v>45536</v>
      </c>
      <c r="E105" t="e">
        <f>VLOOKUP($B21,DRE!$D:$S,10,0)</f>
        <v>#N/A</v>
      </c>
    </row>
    <row r="106" spans="1:5" x14ac:dyDescent="0.2">
      <c r="A106" s="2" t="s">
        <v>331</v>
      </c>
      <c r="B106" t="s">
        <v>36</v>
      </c>
      <c r="C106" t="s">
        <v>36</v>
      </c>
      <c r="D106" s="77">
        <v>45536</v>
      </c>
      <c r="E106" t="e">
        <f>-VLOOKUP($B22,DRE!$D:$S,10,0)</f>
        <v>#N/A</v>
      </c>
    </row>
    <row r="107" spans="1:5" x14ac:dyDescent="0.2">
      <c r="A107" s="2" t="s">
        <v>331</v>
      </c>
      <c r="B107" t="s">
        <v>328</v>
      </c>
      <c r="C107" t="s">
        <v>328</v>
      </c>
      <c r="D107" s="77">
        <v>45566</v>
      </c>
      <c r="E107">
        <f>-VLOOKUP($B2,DRE!$D:$S,12,0)</f>
        <v>379.93</v>
      </c>
    </row>
    <row r="108" spans="1:5" x14ac:dyDescent="0.2">
      <c r="A108" s="2" t="s">
        <v>331</v>
      </c>
      <c r="B108" t="s">
        <v>329</v>
      </c>
      <c r="C108" t="s">
        <v>329</v>
      </c>
      <c r="D108" s="77">
        <v>45566</v>
      </c>
      <c r="E108">
        <f>-VLOOKUP($B3,DRE!$D:$S,12,0)</f>
        <v>31346.799999999999</v>
      </c>
    </row>
    <row r="109" spans="1:5" x14ac:dyDescent="0.2">
      <c r="A109" s="2" t="s">
        <v>331</v>
      </c>
      <c r="B109" t="s">
        <v>330</v>
      </c>
      <c r="C109" t="s">
        <v>330</v>
      </c>
      <c r="D109" s="77">
        <v>45566</v>
      </c>
      <c r="E109" t="e">
        <f>-VLOOKUP($B4,DRE!$D:$S,12,0)</f>
        <v>#N/A</v>
      </c>
    </row>
    <row r="110" spans="1:5" x14ac:dyDescent="0.2">
      <c r="A110" s="2" t="s">
        <v>331</v>
      </c>
      <c r="B110" t="s">
        <v>331</v>
      </c>
      <c r="C110" t="s">
        <v>331</v>
      </c>
      <c r="D110" s="77">
        <v>45566</v>
      </c>
      <c r="E110">
        <f>-VLOOKUP($B5,DRE!$D:$S,12,0)</f>
        <v>7.0000000000000007E-2</v>
      </c>
    </row>
    <row r="111" spans="1:5" x14ac:dyDescent="0.2">
      <c r="A111" s="2" t="s">
        <v>331</v>
      </c>
      <c r="B111" t="s">
        <v>332</v>
      </c>
      <c r="C111" s="2" t="s">
        <v>472</v>
      </c>
      <c r="D111" s="77">
        <v>45566</v>
      </c>
      <c r="E111">
        <f>-VLOOKUP($B6,DRE!$D:$S,12,0)</f>
        <v>0</v>
      </c>
    </row>
    <row r="112" spans="1:5" x14ac:dyDescent="0.2">
      <c r="A112" s="2" t="s">
        <v>331</v>
      </c>
      <c r="B112" t="s">
        <v>340</v>
      </c>
      <c r="C112" t="s">
        <v>340</v>
      </c>
      <c r="D112" s="77">
        <v>45566</v>
      </c>
      <c r="E112">
        <f>-VLOOKUP($B7,DRE!$D:$S,12,0)</f>
        <v>101101.62999999999</v>
      </c>
    </row>
    <row r="113" spans="1:5" x14ac:dyDescent="0.2">
      <c r="A113" s="2" t="s">
        <v>331</v>
      </c>
      <c r="B113" t="s">
        <v>343</v>
      </c>
      <c r="C113" t="s">
        <v>343</v>
      </c>
      <c r="D113" s="77">
        <v>45566</v>
      </c>
      <c r="E113">
        <f>-VLOOKUP($B8,DRE!$D:$S,12,0)</f>
        <v>56740.55</v>
      </c>
    </row>
    <row r="114" spans="1:5" x14ac:dyDescent="0.2">
      <c r="A114" s="2" t="s">
        <v>331</v>
      </c>
      <c r="B114" t="s">
        <v>349</v>
      </c>
      <c r="C114" s="2" t="s">
        <v>473</v>
      </c>
      <c r="D114" s="77">
        <v>45566</v>
      </c>
      <c r="E114">
        <f>-VLOOKUP($B9,DRE!$D:$S,12,0)</f>
        <v>28290.78</v>
      </c>
    </row>
    <row r="115" spans="1:5" x14ac:dyDescent="0.2">
      <c r="A115" s="2" t="s">
        <v>331</v>
      </c>
      <c r="B115" t="s">
        <v>350</v>
      </c>
      <c r="C115" s="2" t="s">
        <v>474</v>
      </c>
      <c r="D115" s="77">
        <v>45566</v>
      </c>
      <c r="E115">
        <f>-VLOOKUP($B10,DRE!$D:$S,12,0)</f>
        <v>13795.05</v>
      </c>
    </row>
    <row r="116" spans="1:5" x14ac:dyDescent="0.2">
      <c r="A116" s="2" t="s">
        <v>331</v>
      </c>
      <c r="B116" t="s">
        <v>351</v>
      </c>
      <c r="C116" s="2" t="s">
        <v>475</v>
      </c>
      <c r="D116" s="77">
        <v>45566</v>
      </c>
      <c r="E116">
        <f>-VLOOKUP($B11,DRE!$D:$S,12,0)</f>
        <v>71752.91</v>
      </c>
    </row>
    <row r="117" spans="1:5" x14ac:dyDescent="0.2">
      <c r="A117" s="2" t="s">
        <v>331</v>
      </c>
      <c r="B117" t="s">
        <v>352</v>
      </c>
      <c r="C117" s="2" t="s">
        <v>476</v>
      </c>
      <c r="D117" s="77">
        <v>45566</v>
      </c>
      <c r="E117">
        <f>-VLOOKUP($B12,DRE!$D:$S,12,0)</f>
        <v>5213.74</v>
      </c>
    </row>
    <row r="118" spans="1:5" x14ac:dyDescent="0.2">
      <c r="A118" s="2" t="s">
        <v>331</v>
      </c>
      <c r="B118" t="s">
        <v>353</v>
      </c>
      <c r="C118" s="2" t="s">
        <v>477</v>
      </c>
      <c r="D118" s="77">
        <v>45566</v>
      </c>
      <c r="E118">
        <f>-VLOOKUP($B13,DRE!$D:$S,12,0)</f>
        <v>137704.1</v>
      </c>
    </row>
    <row r="119" spans="1:5" x14ac:dyDescent="0.2">
      <c r="A119" s="2" t="s">
        <v>331</v>
      </c>
      <c r="B119" t="s">
        <v>354</v>
      </c>
      <c r="C119" s="2" t="s">
        <v>478</v>
      </c>
      <c r="D119" s="77">
        <v>45566</v>
      </c>
      <c r="E119">
        <f>-VLOOKUP($B14,DRE!$D:$S,12,0)</f>
        <v>16751.009999999998</v>
      </c>
    </row>
    <row r="120" spans="1:5" x14ac:dyDescent="0.2">
      <c r="A120" s="2" t="s">
        <v>331</v>
      </c>
      <c r="B120" t="s">
        <v>355</v>
      </c>
      <c r="C120" s="2" t="s">
        <v>355</v>
      </c>
      <c r="D120" s="77">
        <v>45566</v>
      </c>
      <c r="E120">
        <f>-VLOOKUP($B15,DRE!$D:$S,12,0)</f>
        <v>60817.24</v>
      </c>
    </row>
    <row r="121" spans="1:5" x14ac:dyDescent="0.2">
      <c r="A121" s="2" t="s">
        <v>331</v>
      </c>
      <c r="B121" t="s">
        <v>357</v>
      </c>
      <c r="C121" s="2" t="s">
        <v>357</v>
      </c>
      <c r="D121" s="77">
        <v>45566</v>
      </c>
      <c r="E121">
        <f>-VLOOKUP($B16,DRE!$D:$S,12,0)</f>
        <v>5597.23</v>
      </c>
    </row>
    <row r="122" spans="1:5" x14ac:dyDescent="0.2">
      <c r="A122" s="2" t="s">
        <v>331</v>
      </c>
      <c r="B122" t="s">
        <v>359</v>
      </c>
      <c r="C122" s="2" t="s">
        <v>479</v>
      </c>
      <c r="D122" s="77">
        <v>45566</v>
      </c>
      <c r="E122">
        <f>-VLOOKUP($B17,DRE!$D:$S,12,0)</f>
        <v>0</v>
      </c>
    </row>
    <row r="123" spans="1:5" x14ac:dyDescent="0.2">
      <c r="A123" s="2" t="s">
        <v>331</v>
      </c>
      <c r="B123" t="s">
        <v>360</v>
      </c>
      <c r="C123" s="2" t="s">
        <v>480</v>
      </c>
      <c r="D123" s="77">
        <v>45566</v>
      </c>
      <c r="E123">
        <f>-VLOOKUP($B18,DRE!$D:$S,12,0)</f>
        <v>-35961.980000000003</v>
      </c>
    </row>
    <row r="124" spans="1:5" x14ac:dyDescent="0.2">
      <c r="A124" s="2" t="s">
        <v>331</v>
      </c>
      <c r="B124" t="s">
        <v>361</v>
      </c>
      <c r="C124" s="2" t="s">
        <v>481</v>
      </c>
      <c r="D124" s="77">
        <v>45566</v>
      </c>
      <c r="E124">
        <f>-VLOOKUP($B19,DRE!$D:$S,12,0)</f>
        <v>12062.55</v>
      </c>
    </row>
    <row r="125" spans="1:5" x14ac:dyDescent="0.2">
      <c r="A125" s="2" t="s">
        <v>331</v>
      </c>
      <c r="B125" t="s">
        <v>364</v>
      </c>
      <c r="C125" t="s">
        <v>364</v>
      </c>
      <c r="D125" s="77">
        <v>45566</v>
      </c>
      <c r="E125">
        <f>-VLOOKUP($B20,DRE!$D:$S,12,0)</f>
        <v>32092.9664204</v>
      </c>
    </row>
    <row r="126" spans="1:5" x14ac:dyDescent="0.2">
      <c r="A126" s="2" t="s">
        <v>331</v>
      </c>
      <c r="B126" t="s">
        <v>273</v>
      </c>
      <c r="C126" t="s">
        <v>273</v>
      </c>
      <c r="D126" s="77">
        <v>45566</v>
      </c>
      <c r="E126" t="e">
        <f>VLOOKUP($B21,DRE!$D:$S,12,0)</f>
        <v>#N/A</v>
      </c>
    </row>
    <row r="127" spans="1:5" x14ac:dyDescent="0.2">
      <c r="A127" s="2" t="s">
        <v>331</v>
      </c>
      <c r="B127" t="s">
        <v>36</v>
      </c>
      <c r="C127" t="s">
        <v>36</v>
      </c>
      <c r="D127" s="77">
        <v>45566</v>
      </c>
      <c r="E127" t="e">
        <f>-VLOOKUP($B22,DRE!$D:$S,12,0)</f>
        <v>#N/A</v>
      </c>
    </row>
    <row r="128" spans="1:5" x14ac:dyDescent="0.2">
      <c r="A128" s="2" t="s">
        <v>331</v>
      </c>
      <c r="B128" t="s">
        <v>328</v>
      </c>
      <c r="C128" t="s">
        <v>328</v>
      </c>
      <c r="D128" s="77">
        <v>45597</v>
      </c>
      <c r="E128">
        <f>-VLOOKUP($B2,DRE!$D:$S,14,0)</f>
        <v>4189.25</v>
      </c>
    </row>
    <row r="129" spans="1:5" x14ac:dyDescent="0.2">
      <c r="A129" s="2" t="s">
        <v>331</v>
      </c>
      <c r="B129" t="s">
        <v>329</v>
      </c>
      <c r="C129" t="s">
        <v>329</v>
      </c>
      <c r="D129" s="77">
        <v>45597</v>
      </c>
      <c r="E129">
        <f>-VLOOKUP($B3,DRE!$D:$S,14,0)</f>
        <v>0</v>
      </c>
    </row>
    <row r="130" spans="1:5" x14ac:dyDescent="0.2">
      <c r="A130" s="2" t="s">
        <v>331</v>
      </c>
      <c r="B130" t="s">
        <v>330</v>
      </c>
      <c r="C130" t="s">
        <v>330</v>
      </c>
      <c r="D130" s="77">
        <v>45597</v>
      </c>
      <c r="E130" t="e">
        <f>-VLOOKUP($B4,DRE!$D:$S,14,0)</f>
        <v>#N/A</v>
      </c>
    </row>
    <row r="131" spans="1:5" x14ac:dyDescent="0.2">
      <c r="A131" s="2" t="s">
        <v>331</v>
      </c>
      <c r="B131" t="s">
        <v>331</v>
      </c>
      <c r="C131" t="s">
        <v>331</v>
      </c>
      <c r="D131" s="77">
        <v>45597</v>
      </c>
      <c r="E131">
        <f>-VLOOKUP($B5,DRE!$D:$S,14,0)</f>
        <v>894.94</v>
      </c>
    </row>
    <row r="132" spans="1:5" x14ac:dyDescent="0.2">
      <c r="A132" s="2" t="s">
        <v>331</v>
      </c>
      <c r="B132" t="s">
        <v>332</v>
      </c>
      <c r="C132" s="2" t="s">
        <v>472</v>
      </c>
      <c r="D132" s="77">
        <v>45597</v>
      </c>
      <c r="E132">
        <f>-VLOOKUP($B6,DRE!$D:$S,14,0)</f>
        <v>0</v>
      </c>
    </row>
    <row r="133" spans="1:5" x14ac:dyDescent="0.2">
      <c r="A133" s="2" t="s">
        <v>331</v>
      </c>
      <c r="B133" t="s">
        <v>340</v>
      </c>
      <c r="C133" t="s">
        <v>340</v>
      </c>
      <c r="D133" s="77">
        <v>45597</v>
      </c>
      <c r="E133">
        <f>-VLOOKUP($B7,DRE!$D:$S,14,0)</f>
        <v>36733.81</v>
      </c>
    </row>
    <row r="134" spans="1:5" x14ac:dyDescent="0.2">
      <c r="A134" s="2" t="s">
        <v>331</v>
      </c>
      <c r="B134" t="s">
        <v>343</v>
      </c>
      <c r="C134" t="s">
        <v>343</v>
      </c>
      <c r="D134" s="77">
        <v>45597</v>
      </c>
      <c r="E134">
        <f>-VLOOKUP($B8,DRE!$D:$S,14,0)</f>
        <v>61669.21</v>
      </c>
    </row>
    <row r="135" spans="1:5" x14ac:dyDescent="0.2">
      <c r="A135" s="2" t="s">
        <v>331</v>
      </c>
      <c r="B135" t="s">
        <v>349</v>
      </c>
      <c r="C135" s="2" t="s">
        <v>473</v>
      </c>
      <c r="D135" s="77">
        <v>45597</v>
      </c>
      <c r="E135">
        <f>-VLOOKUP($B9,DRE!$D:$S,14,0)</f>
        <v>27886.19</v>
      </c>
    </row>
    <row r="136" spans="1:5" x14ac:dyDescent="0.2">
      <c r="A136" s="2" t="s">
        <v>331</v>
      </c>
      <c r="B136" t="s">
        <v>350</v>
      </c>
      <c r="C136" s="2" t="s">
        <v>474</v>
      </c>
      <c r="D136" s="77">
        <v>45597</v>
      </c>
      <c r="E136">
        <f>-VLOOKUP($B10,DRE!$D:$S,14,0)</f>
        <v>1860.3</v>
      </c>
    </row>
    <row r="137" spans="1:5" x14ac:dyDescent="0.2">
      <c r="A137" s="2" t="s">
        <v>331</v>
      </c>
      <c r="B137" t="s">
        <v>351</v>
      </c>
      <c r="C137" s="2" t="s">
        <v>475</v>
      </c>
      <c r="D137" s="77">
        <v>45597</v>
      </c>
      <c r="E137">
        <f>-VLOOKUP($B11,DRE!$D:$S,14,0)</f>
        <v>35357.480000000003</v>
      </c>
    </row>
    <row r="138" spans="1:5" x14ac:dyDescent="0.2">
      <c r="A138" s="2" t="s">
        <v>331</v>
      </c>
      <c r="B138" t="s">
        <v>352</v>
      </c>
      <c r="C138" s="2" t="s">
        <v>476</v>
      </c>
      <c r="D138" s="77">
        <v>45597</v>
      </c>
      <c r="E138">
        <f>-VLOOKUP($B12,DRE!$D:$S,14,0)</f>
        <v>5887.36</v>
      </c>
    </row>
    <row r="139" spans="1:5" x14ac:dyDescent="0.2">
      <c r="A139" s="2" t="s">
        <v>331</v>
      </c>
      <c r="B139" t="s">
        <v>353</v>
      </c>
      <c r="C139" s="2" t="s">
        <v>477</v>
      </c>
      <c r="D139" s="77">
        <v>45597</v>
      </c>
      <c r="E139">
        <f>-VLOOKUP($B13,DRE!$D:$S,14,0)</f>
        <v>43561.63</v>
      </c>
    </row>
    <row r="140" spans="1:5" x14ac:dyDescent="0.2">
      <c r="A140" s="2" t="s">
        <v>331</v>
      </c>
      <c r="B140" t="s">
        <v>354</v>
      </c>
      <c r="C140" s="2" t="s">
        <v>478</v>
      </c>
      <c r="D140" s="77">
        <v>45597</v>
      </c>
      <c r="E140">
        <f>-VLOOKUP($B14,DRE!$D:$S,14,0)</f>
        <v>34162.67</v>
      </c>
    </row>
    <row r="141" spans="1:5" x14ac:dyDescent="0.2">
      <c r="A141" s="2" t="s">
        <v>331</v>
      </c>
      <c r="B141" t="s">
        <v>355</v>
      </c>
      <c r="C141" s="2" t="s">
        <v>355</v>
      </c>
      <c r="D141" s="77">
        <v>45597</v>
      </c>
      <c r="E141">
        <f>-VLOOKUP($B15,DRE!$D:$S,14,0)</f>
        <v>81642.240000000005</v>
      </c>
    </row>
    <row r="142" spans="1:5" x14ac:dyDescent="0.2">
      <c r="A142" s="2" t="s">
        <v>331</v>
      </c>
      <c r="B142" t="s">
        <v>357</v>
      </c>
      <c r="C142" s="2" t="s">
        <v>357</v>
      </c>
      <c r="D142" s="77">
        <v>45597</v>
      </c>
      <c r="E142">
        <f>-VLOOKUP($B16,DRE!$D:$S,14,0)</f>
        <v>6602.67</v>
      </c>
    </row>
    <row r="143" spans="1:5" x14ac:dyDescent="0.2">
      <c r="A143" s="2" t="s">
        <v>331</v>
      </c>
      <c r="B143" t="s">
        <v>359</v>
      </c>
      <c r="C143" s="2" t="s">
        <v>479</v>
      </c>
      <c r="D143" s="77">
        <v>45597</v>
      </c>
      <c r="E143">
        <f>-VLOOKUP($B17,DRE!$D:$S,14,0)</f>
        <v>0</v>
      </c>
    </row>
    <row r="144" spans="1:5" x14ac:dyDescent="0.2">
      <c r="A144" s="2" t="s">
        <v>331</v>
      </c>
      <c r="B144" t="s">
        <v>360</v>
      </c>
      <c r="C144" s="2" t="s">
        <v>480</v>
      </c>
      <c r="D144" s="77">
        <v>45597</v>
      </c>
      <c r="E144">
        <f>-VLOOKUP($B18,DRE!$D:$S,14,0)</f>
        <v>-47746.04</v>
      </c>
    </row>
    <row r="145" spans="1:5" x14ac:dyDescent="0.2">
      <c r="A145" s="2" t="s">
        <v>331</v>
      </c>
      <c r="B145" t="s">
        <v>361</v>
      </c>
      <c r="C145" s="2" t="s">
        <v>481</v>
      </c>
      <c r="D145" s="77">
        <v>45597</v>
      </c>
      <c r="E145">
        <f>-VLOOKUP($B19,DRE!$D:$S,14,0)</f>
        <v>12859.4</v>
      </c>
    </row>
    <row r="146" spans="1:5" x14ac:dyDescent="0.2">
      <c r="A146" s="2" t="s">
        <v>331</v>
      </c>
      <c r="B146" t="s">
        <v>364</v>
      </c>
      <c r="C146" t="s">
        <v>364</v>
      </c>
      <c r="D146" s="77">
        <v>45597</v>
      </c>
      <c r="E146">
        <f>-VLOOKUP($B20,DRE!$D:$S,14,0)</f>
        <v>32092.9664204</v>
      </c>
    </row>
    <row r="147" spans="1:5" x14ac:dyDescent="0.2">
      <c r="A147" s="2" t="s">
        <v>331</v>
      </c>
      <c r="B147" t="s">
        <v>273</v>
      </c>
      <c r="C147" t="s">
        <v>273</v>
      </c>
      <c r="D147" s="77">
        <v>45597</v>
      </c>
      <c r="E147" t="e">
        <f>VLOOKUP($B21,DRE!$D:$S,14,0)</f>
        <v>#N/A</v>
      </c>
    </row>
    <row r="148" spans="1:5" x14ac:dyDescent="0.2">
      <c r="A148" s="2" t="s">
        <v>331</v>
      </c>
      <c r="B148" t="s">
        <v>36</v>
      </c>
      <c r="C148" t="s">
        <v>36</v>
      </c>
      <c r="D148" s="77">
        <v>45597</v>
      </c>
      <c r="E148" t="e">
        <f>-VLOOKUP($B22,DRE!$D:$S,14,0)</f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580C-7216-40C6-9EA7-FF758FD2AE50}">
  <sheetPr>
    <tabColor rgb="FFFF0000"/>
  </sheetPr>
  <dimension ref="A1:CA162"/>
  <sheetViews>
    <sheetView workbookViewId="0">
      <pane xSplit="5" ySplit="1" topLeftCell="BF2" activePane="bottomRight" state="frozen"/>
      <selection pane="topRight"/>
      <selection pane="bottomLeft"/>
      <selection pane="bottomRight"/>
    </sheetView>
  </sheetViews>
  <sheetFormatPr defaultRowHeight="12.75" x14ac:dyDescent="0.2"/>
  <cols>
    <col min="1" max="1" width="10.28515625" bestFit="1" customWidth="1"/>
    <col min="2" max="2" width="3" bestFit="1" customWidth="1"/>
    <col min="3" max="3" width="37.5703125" bestFit="1" customWidth="1"/>
    <col min="4" max="4" width="50.7109375" bestFit="1" customWidth="1"/>
    <col min="5" max="5" width="48.28515625" customWidth="1"/>
    <col min="6" max="6" width="6.42578125" customWidth="1"/>
    <col min="7" max="7" width="52.140625" bestFit="1" customWidth="1"/>
    <col min="8" max="21" width="8.5703125" customWidth="1"/>
    <col min="22" max="33" width="12" customWidth="1"/>
    <col min="34" max="45" width="10.42578125" customWidth="1"/>
    <col min="46" max="46" width="11.7109375" bestFit="1" customWidth="1"/>
    <col min="47" max="47" width="11.28515625" bestFit="1" customWidth="1"/>
    <col min="48" max="48" width="11.85546875" bestFit="1" customWidth="1"/>
    <col min="49" max="49" width="11.28515625" bestFit="1" customWidth="1"/>
    <col min="50" max="50" width="11.7109375" bestFit="1" customWidth="1"/>
    <col min="51" max="51" width="11.28515625" bestFit="1" customWidth="1"/>
    <col min="52" max="52" width="10.7109375" bestFit="1" customWidth="1"/>
    <col min="53" max="53" width="11.5703125" bestFit="1" customWidth="1"/>
    <col min="54" max="54" width="11.140625" bestFit="1" customWidth="1"/>
    <col min="55" max="55" width="11.42578125" bestFit="1" customWidth="1"/>
    <col min="56" max="56" width="11.7109375" bestFit="1" customWidth="1"/>
    <col min="57" max="57" width="11.5703125" bestFit="1" customWidth="1"/>
    <col min="58" max="69" width="11.5703125" customWidth="1"/>
    <col min="70" max="70" width="23.42578125" bestFit="1" customWidth="1"/>
    <col min="71" max="71" width="11" bestFit="1" customWidth="1"/>
    <col min="72" max="72" width="11" customWidth="1"/>
    <col min="73" max="73" width="11.140625" bestFit="1" customWidth="1"/>
    <col min="74" max="74" width="11.140625" customWidth="1"/>
    <col min="75" max="75" width="17.28515625" bestFit="1" customWidth="1"/>
    <col min="77" max="77" width="11" bestFit="1" customWidth="1"/>
  </cols>
  <sheetData>
    <row r="1" spans="1:79" ht="15" x14ac:dyDescent="0.2">
      <c r="A1" s="2" t="s">
        <v>108</v>
      </c>
      <c r="B1" s="2" t="s">
        <v>75</v>
      </c>
      <c r="C1" s="2" t="s">
        <v>76</v>
      </c>
      <c r="D1" s="17" t="s">
        <v>33</v>
      </c>
      <c r="E1" s="17" t="s">
        <v>174</v>
      </c>
      <c r="F1" s="17" t="s">
        <v>227</v>
      </c>
      <c r="G1" s="17" t="s">
        <v>173</v>
      </c>
      <c r="H1" s="18">
        <v>43831</v>
      </c>
      <c r="I1" s="18">
        <v>43862</v>
      </c>
      <c r="J1" s="18">
        <v>43891</v>
      </c>
      <c r="K1" s="18">
        <v>43922</v>
      </c>
      <c r="L1" s="18">
        <v>43952</v>
      </c>
      <c r="M1" s="18">
        <v>43983</v>
      </c>
      <c r="N1" s="18">
        <v>44013</v>
      </c>
      <c r="O1" s="18">
        <v>44044</v>
      </c>
      <c r="P1" s="18">
        <v>44075</v>
      </c>
      <c r="Q1" s="18">
        <v>44105</v>
      </c>
      <c r="R1" s="18">
        <v>44136</v>
      </c>
      <c r="S1" s="18">
        <v>44166</v>
      </c>
      <c r="T1" s="18">
        <v>44167</v>
      </c>
      <c r="U1" s="18">
        <v>44198</v>
      </c>
      <c r="V1" s="18">
        <v>44197</v>
      </c>
      <c r="W1" s="18">
        <v>44228</v>
      </c>
      <c r="X1" s="18">
        <v>44256</v>
      </c>
      <c r="Y1" s="18">
        <v>44287</v>
      </c>
      <c r="Z1" s="18">
        <v>44317</v>
      </c>
      <c r="AA1" s="18">
        <v>44348</v>
      </c>
      <c r="AB1" s="18">
        <v>44378</v>
      </c>
      <c r="AC1" s="18">
        <v>44409</v>
      </c>
      <c r="AD1" s="18">
        <v>44440</v>
      </c>
      <c r="AE1" s="18">
        <v>44470</v>
      </c>
      <c r="AF1" s="18">
        <v>44501</v>
      </c>
      <c r="AG1" s="18">
        <v>44531</v>
      </c>
      <c r="AH1" s="18">
        <v>44562</v>
      </c>
      <c r="AI1" s="18">
        <v>44593</v>
      </c>
      <c r="AJ1" s="18">
        <v>44621</v>
      </c>
      <c r="AK1" s="18">
        <v>44652</v>
      </c>
      <c r="AL1" s="18">
        <v>44682</v>
      </c>
      <c r="AM1" s="18">
        <v>44713</v>
      </c>
      <c r="AN1" s="18">
        <v>44743</v>
      </c>
      <c r="AO1" s="18">
        <v>44774</v>
      </c>
      <c r="AP1" s="18">
        <v>44805</v>
      </c>
      <c r="AQ1" s="18">
        <v>44835</v>
      </c>
      <c r="AR1" s="18">
        <v>44866</v>
      </c>
      <c r="AS1" s="18">
        <v>44896</v>
      </c>
      <c r="AT1" s="18">
        <v>44927</v>
      </c>
      <c r="AU1" s="18">
        <v>44958</v>
      </c>
      <c r="AV1" s="18">
        <v>44986</v>
      </c>
      <c r="AW1" s="18">
        <v>45017</v>
      </c>
      <c r="AX1" s="18">
        <v>45047</v>
      </c>
      <c r="AY1" s="18">
        <v>45078</v>
      </c>
      <c r="AZ1" s="18">
        <v>45108</v>
      </c>
      <c r="BA1" s="18">
        <v>45139</v>
      </c>
      <c r="BB1" s="18">
        <v>45170</v>
      </c>
      <c r="BC1" s="18">
        <v>45200</v>
      </c>
      <c r="BD1" s="18">
        <v>45231</v>
      </c>
      <c r="BE1" s="18">
        <v>45261</v>
      </c>
      <c r="BF1" s="102">
        <v>45292</v>
      </c>
      <c r="BG1" s="102">
        <v>45323</v>
      </c>
      <c r="BH1" s="102">
        <v>45352</v>
      </c>
      <c r="BI1" s="102">
        <v>45383</v>
      </c>
      <c r="BJ1" s="102">
        <v>45413</v>
      </c>
      <c r="BK1" s="102">
        <v>45444</v>
      </c>
      <c r="BL1" s="102">
        <v>45474</v>
      </c>
      <c r="BM1" s="102">
        <v>45505</v>
      </c>
      <c r="BN1" s="102">
        <v>45536</v>
      </c>
      <c r="BO1" s="102">
        <v>45566</v>
      </c>
      <c r="BP1" s="102">
        <v>45597</v>
      </c>
      <c r="BQ1" s="102">
        <v>45627</v>
      </c>
      <c r="BR1" s="106" t="s">
        <v>179</v>
      </c>
      <c r="BS1" s="102" t="s">
        <v>182</v>
      </c>
      <c r="BT1" s="102" t="s">
        <v>311</v>
      </c>
      <c r="BU1" s="102" t="s">
        <v>180</v>
      </c>
      <c r="BV1" s="102" t="s">
        <v>312</v>
      </c>
      <c r="BW1" s="106" t="s">
        <v>181</v>
      </c>
      <c r="BX1" t="s">
        <v>177</v>
      </c>
      <c r="BY1" t="s">
        <v>225</v>
      </c>
      <c r="BZ1" s="2" t="s">
        <v>226</v>
      </c>
      <c r="CA1" s="2" t="s">
        <v>122</v>
      </c>
    </row>
    <row r="2" spans="1:79" ht="15" x14ac:dyDescent="0.2">
      <c r="A2" s="2" t="s">
        <v>107</v>
      </c>
      <c r="B2" s="2">
        <v>1</v>
      </c>
      <c r="C2" s="2"/>
      <c r="D2" s="108" t="s">
        <v>183</v>
      </c>
      <c r="E2" s="20"/>
      <c r="F2" s="20"/>
      <c r="G2" s="20" t="str">
        <f t="shared" ref="G2:G33" si="0">CONCATENATE(A2,E2)</f>
        <v>1 - TOTAL</v>
      </c>
      <c r="H2" s="20">
        <v>2128952.7909999602</v>
      </c>
      <c r="I2" s="20">
        <v>1573272.09</v>
      </c>
      <c r="J2" s="20">
        <v>2476961.4419999002</v>
      </c>
      <c r="K2" s="20">
        <v>2086485.9379999503</v>
      </c>
      <c r="L2" s="20">
        <v>2038109.0599999509</v>
      </c>
      <c r="M2" s="20">
        <v>1960087.75</v>
      </c>
      <c r="N2" s="20">
        <v>2449578.39</v>
      </c>
      <c r="O2" s="20">
        <v>1751404.72</v>
      </c>
      <c r="P2" s="20">
        <v>2636104.9099999997</v>
      </c>
      <c r="Q2" s="20">
        <v>1991057.3699999999</v>
      </c>
      <c r="R2" s="20">
        <v>2890477.23</v>
      </c>
      <c r="S2" s="20">
        <v>2672542.36</v>
      </c>
      <c r="T2" s="20">
        <v>2672542.36</v>
      </c>
      <c r="U2" s="20">
        <v>2160275.17</v>
      </c>
      <c r="V2" s="20">
        <v>2160275.17</v>
      </c>
      <c r="W2" s="20">
        <v>1729170.56</v>
      </c>
      <c r="X2" s="20">
        <v>1408118.18</v>
      </c>
      <c r="Y2" s="20">
        <v>2194304.09</v>
      </c>
      <c r="Z2" s="20">
        <v>2650378.81</v>
      </c>
      <c r="AA2" s="20">
        <v>2209415.48</v>
      </c>
      <c r="AB2" s="20">
        <v>2332555.91</v>
      </c>
      <c r="AC2" s="20">
        <v>2180870.0699999994</v>
      </c>
      <c r="AD2" s="20">
        <v>2274247.4400000004</v>
      </c>
      <c r="AE2" s="20">
        <v>2588760.7199999997</v>
      </c>
      <c r="AF2" s="20">
        <v>2581281.1</v>
      </c>
      <c r="AG2" s="20">
        <v>3002777.14</v>
      </c>
      <c r="AH2" s="20">
        <v>2236775.35</v>
      </c>
      <c r="AI2" s="20">
        <v>1432655.23</v>
      </c>
      <c r="AJ2" s="20">
        <v>2011358.93</v>
      </c>
      <c r="AK2" s="20">
        <v>2659030.98</v>
      </c>
      <c r="AL2" s="20">
        <v>3006579.75</v>
      </c>
      <c r="AM2" s="20">
        <v>2464901.36</v>
      </c>
      <c r="AN2" s="20">
        <v>2501382.06</v>
      </c>
      <c r="AO2" s="20">
        <v>2204860.0499999998</v>
      </c>
      <c r="AP2" s="20">
        <v>2556896.0299999998</v>
      </c>
      <c r="AQ2" s="20">
        <v>2707697.44</v>
      </c>
      <c r="AR2" s="20">
        <v>2415882.54</v>
      </c>
      <c r="AS2" s="20">
        <v>2692784.64</v>
      </c>
      <c r="AT2" s="20">
        <v>2859585.31</v>
      </c>
      <c r="AU2" s="20">
        <v>2290503.62</v>
      </c>
      <c r="AV2" s="20">
        <v>2258763.79</v>
      </c>
      <c r="AW2" s="20">
        <v>3226365.23</v>
      </c>
      <c r="AX2" s="20">
        <v>2759630.72</v>
      </c>
      <c r="AY2" s="20">
        <v>2764496.35</v>
      </c>
      <c r="AZ2" s="20">
        <v>2839189.01</v>
      </c>
      <c r="BA2" s="20">
        <v>3801574.8500000006</v>
      </c>
      <c r="BB2" s="20">
        <v>3346794.8</v>
      </c>
      <c r="BC2" s="20">
        <v>3245706.12</v>
      </c>
      <c r="BD2" s="20">
        <v>3479448.6899999995</v>
      </c>
      <c r="BE2" s="20">
        <v>4923248.92</v>
      </c>
      <c r="BF2" s="103">
        <v>3209755.26</v>
      </c>
      <c r="BG2" s="103">
        <v>3256937.67</v>
      </c>
      <c r="BH2" s="103">
        <v>2605192.4800000004</v>
      </c>
      <c r="BI2" s="103"/>
      <c r="BJ2" s="103"/>
      <c r="BK2" s="103"/>
      <c r="BL2" s="103"/>
      <c r="BM2" s="103"/>
      <c r="BN2" s="103"/>
      <c r="BO2" s="103"/>
      <c r="BP2" s="103"/>
      <c r="BQ2" s="103"/>
      <c r="BR2" s="243">
        <v>1.4699690841849522E-2</v>
      </c>
      <c r="BS2" s="103">
        <f t="shared" ref="BS2:BS42" si="1">SUM(AT2:BE2)</f>
        <v>37795307.410000004</v>
      </c>
      <c r="BT2" s="103">
        <f t="shared" ref="BT2:BT36" si="2">SUM(BF2:BQ2)</f>
        <v>9071885.4100000001</v>
      </c>
      <c r="BU2" s="103">
        <f t="shared" ref="BU2:BU42" si="3">AVERAGE(AT2:BE2)</f>
        <v>3149608.9508333337</v>
      </c>
      <c r="BV2" s="103">
        <f t="shared" ref="BV2:BV36" si="4">AVERAGE(BF2:BQ2)</f>
        <v>3023961.8033333332</v>
      </c>
      <c r="BW2" s="243">
        <f>BH2/BV2-1</f>
        <v>-0.13848366830286041</v>
      </c>
      <c r="BX2">
        <v>1</v>
      </c>
      <c r="BY2" s="32">
        <f t="array" ref="BY2">MAX(IF(BF2:BQ2&gt;0,BF1:BQ1))</f>
        <v>45352</v>
      </c>
      <c r="BZ2">
        <f>MONTH($BY$2)</f>
        <v>3</v>
      </c>
    </row>
    <row r="3" spans="1:79" ht="15" x14ac:dyDescent="0.2">
      <c r="A3" s="2" t="s">
        <v>107</v>
      </c>
      <c r="B3" s="2">
        <v>2</v>
      </c>
      <c r="C3" s="2"/>
      <c r="D3" s="99" t="s">
        <v>184</v>
      </c>
      <c r="E3" s="20"/>
      <c r="F3" s="20"/>
      <c r="G3" s="20" t="str">
        <f t="shared" si="0"/>
        <v>1 - TOTAL</v>
      </c>
      <c r="H3" s="20">
        <v>2080493.1609999603</v>
      </c>
      <c r="I3" s="20">
        <v>1557878.36</v>
      </c>
      <c r="J3" s="20">
        <v>2467867.0219999002</v>
      </c>
      <c r="K3" s="20">
        <v>2077416.3179999501</v>
      </c>
      <c r="L3" s="20">
        <v>2023994.409999951</v>
      </c>
      <c r="M3" s="20">
        <v>1893787.87</v>
      </c>
      <c r="N3" s="20">
        <v>2432703.7400000002</v>
      </c>
      <c r="O3" s="20">
        <v>1729132.8599999999</v>
      </c>
      <c r="P3" s="20">
        <v>2626606.65</v>
      </c>
      <c r="Q3" s="20">
        <v>1944716.39</v>
      </c>
      <c r="R3" s="20">
        <v>2879198.23</v>
      </c>
      <c r="S3" s="20">
        <v>2636964.1199999996</v>
      </c>
      <c r="T3" s="20">
        <v>2636964.1199999996</v>
      </c>
      <c r="U3" s="20">
        <v>2148686.1799999997</v>
      </c>
      <c r="V3" s="20">
        <v>2148686.1799999997</v>
      </c>
      <c r="W3" s="20">
        <v>1696947.3800000001</v>
      </c>
      <c r="X3" s="20">
        <v>1392808.22</v>
      </c>
      <c r="Y3" s="20">
        <v>2148581.48</v>
      </c>
      <c r="Z3" s="20">
        <v>2615876.56</v>
      </c>
      <c r="AA3" s="20">
        <v>2171635.73</v>
      </c>
      <c r="AB3" s="20">
        <v>2290461.33</v>
      </c>
      <c r="AC3" s="20">
        <v>2137745.8699999992</v>
      </c>
      <c r="AD3" s="20">
        <v>2227187.0300000003</v>
      </c>
      <c r="AE3" s="20">
        <v>2548910.1399999997</v>
      </c>
      <c r="AF3" s="20">
        <v>2497815.87</v>
      </c>
      <c r="AG3" s="20">
        <v>2915902.69</v>
      </c>
      <c r="AH3" s="20">
        <v>2207028.7200000002</v>
      </c>
      <c r="AI3" s="20">
        <v>1413713.47</v>
      </c>
      <c r="AJ3" s="20">
        <v>1978443.77</v>
      </c>
      <c r="AK3" s="20">
        <v>2552963.2599999998</v>
      </c>
      <c r="AL3" s="20">
        <v>2942460.34</v>
      </c>
      <c r="AM3" s="20">
        <v>2353894.8899999997</v>
      </c>
      <c r="AN3" s="20">
        <v>2489830.21</v>
      </c>
      <c r="AO3" s="20">
        <v>2074481.4099999997</v>
      </c>
      <c r="AP3" s="20">
        <v>2490668.09</v>
      </c>
      <c r="AQ3" s="20">
        <v>2627678.59</v>
      </c>
      <c r="AR3" s="20">
        <v>2233248.35</v>
      </c>
      <c r="AS3" s="20">
        <v>2559407.89</v>
      </c>
      <c r="AT3" s="20">
        <v>2841862.91</v>
      </c>
      <c r="AU3" s="20">
        <v>2252640.1800000002</v>
      </c>
      <c r="AV3" s="20">
        <v>2240985.7600000002</v>
      </c>
      <c r="AW3" s="20">
        <v>3189129.54</v>
      </c>
      <c r="AX3" s="20">
        <v>2720686.62</v>
      </c>
      <c r="AY3" s="20">
        <v>2678221.29</v>
      </c>
      <c r="AZ3" s="20">
        <v>2667305.7899999996</v>
      </c>
      <c r="BA3" s="20">
        <v>3723873.9900000007</v>
      </c>
      <c r="BB3" s="20">
        <v>3106188.94</v>
      </c>
      <c r="BC3" s="20">
        <v>3074373.54</v>
      </c>
      <c r="BD3" s="20">
        <v>3313483.4699999993</v>
      </c>
      <c r="BE3" s="20">
        <v>4583650.79</v>
      </c>
      <c r="BF3" s="103">
        <v>3164177.3099999996</v>
      </c>
      <c r="BG3" s="103">
        <v>2999203.63</v>
      </c>
      <c r="BH3" s="103">
        <v>2471644.5500000003</v>
      </c>
      <c r="BI3" s="103"/>
      <c r="BJ3" s="103"/>
      <c r="BK3" s="103"/>
      <c r="BL3" s="103"/>
      <c r="BM3" s="103"/>
      <c r="BN3" s="103"/>
      <c r="BO3" s="103"/>
      <c r="BP3" s="103"/>
      <c r="BQ3" s="103"/>
      <c r="BR3" s="243">
        <v>-0.17589972042011681</v>
      </c>
      <c r="BS3" s="103">
        <f t="shared" si="1"/>
        <v>36392402.82</v>
      </c>
      <c r="BT3" s="103">
        <f t="shared" si="2"/>
        <v>8635025.4900000002</v>
      </c>
      <c r="BU3" s="103">
        <f t="shared" si="3"/>
        <v>3032700.2349999999</v>
      </c>
      <c r="BV3" s="103">
        <f t="shared" si="4"/>
        <v>2878341.83</v>
      </c>
      <c r="BW3" s="243">
        <f t="shared" ref="BW3:BW37" si="5">BH3/BV3-1</f>
        <v>-0.14129568481447519</v>
      </c>
      <c r="BZ3">
        <f t="shared" ref="BZ3:BZ71" si="6">MONTH($BY$2)</f>
        <v>3</v>
      </c>
    </row>
    <row r="4" spans="1:79" ht="15" x14ac:dyDescent="0.2">
      <c r="A4" s="2" t="s">
        <v>107</v>
      </c>
      <c r="B4" s="2">
        <v>3</v>
      </c>
      <c r="C4" s="2"/>
      <c r="D4" s="99" t="s">
        <v>185</v>
      </c>
      <c r="E4" s="20"/>
      <c r="F4" s="20"/>
      <c r="G4" s="20" t="str">
        <f t="shared" si="0"/>
        <v>1 - TOTAL</v>
      </c>
      <c r="H4" s="20">
        <v>48459.63</v>
      </c>
      <c r="I4" s="20">
        <v>15393.73</v>
      </c>
      <c r="J4" s="20">
        <v>9094.42</v>
      </c>
      <c r="K4" s="20">
        <v>9069.6200000000008</v>
      </c>
      <c r="L4" s="20">
        <v>14114.65</v>
      </c>
      <c r="M4" s="20">
        <v>66299.88</v>
      </c>
      <c r="N4" s="20">
        <v>16874.650000000001</v>
      </c>
      <c r="O4" s="20">
        <v>22271.86</v>
      </c>
      <c r="P4" s="20">
        <v>9498.26</v>
      </c>
      <c r="Q4" s="20">
        <v>46340.98</v>
      </c>
      <c r="R4" s="20">
        <v>11278.999999999998</v>
      </c>
      <c r="S4" s="20">
        <v>35578.239999999998</v>
      </c>
      <c r="T4" s="20">
        <v>35578.239999999998</v>
      </c>
      <c r="U4" s="20">
        <v>11588.989999999998</v>
      </c>
      <c r="V4" s="20">
        <v>11588.989999999998</v>
      </c>
      <c r="W4" s="20">
        <v>32223.180000000004</v>
      </c>
      <c r="X4" s="20">
        <v>15309.960000000001</v>
      </c>
      <c r="Y4" s="20">
        <v>45722.61</v>
      </c>
      <c r="Z4" s="20">
        <v>34502.25</v>
      </c>
      <c r="AA4" s="20">
        <v>37779.75</v>
      </c>
      <c r="AB4" s="20">
        <v>42094.58</v>
      </c>
      <c r="AC4" s="20">
        <v>43124.200000000004</v>
      </c>
      <c r="AD4" s="20">
        <v>47060.409999999989</v>
      </c>
      <c r="AE4" s="20">
        <v>39850.58</v>
      </c>
      <c r="AF4" s="20">
        <v>83465.23</v>
      </c>
      <c r="AG4" s="20">
        <v>86874.45</v>
      </c>
      <c r="AH4" s="20">
        <v>29746.630000000005</v>
      </c>
      <c r="AI4" s="20">
        <v>18941.760000000002</v>
      </c>
      <c r="AJ4" s="20">
        <v>32915.160000000003</v>
      </c>
      <c r="AK4" s="20">
        <v>106067.72</v>
      </c>
      <c r="AL4" s="20">
        <v>64119.41</v>
      </c>
      <c r="AM4" s="20">
        <v>111006.47</v>
      </c>
      <c r="AN4" s="20">
        <v>11551.849999999999</v>
      </c>
      <c r="AO4" s="20">
        <v>130378.63999999998</v>
      </c>
      <c r="AP4" s="20">
        <v>66227.94</v>
      </c>
      <c r="AQ4" s="20">
        <v>80018.850000000006</v>
      </c>
      <c r="AR4" s="20">
        <v>182634.19</v>
      </c>
      <c r="AS4" s="20">
        <v>133376.75</v>
      </c>
      <c r="AT4" s="20">
        <v>17722.400000000001</v>
      </c>
      <c r="AU4" s="20">
        <v>37863.440000000002</v>
      </c>
      <c r="AV4" s="20">
        <v>17778.030000000002</v>
      </c>
      <c r="AW4" s="20">
        <v>37235.69</v>
      </c>
      <c r="AX4" s="20">
        <v>38944.1</v>
      </c>
      <c r="AY4" s="20">
        <v>86275.060000000012</v>
      </c>
      <c r="AZ4" s="20">
        <v>171883.22</v>
      </c>
      <c r="BA4" s="20">
        <v>77700.86</v>
      </c>
      <c r="BB4" s="20">
        <v>240605.86</v>
      </c>
      <c r="BC4" s="20">
        <v>171332.58</v>
      </c>
      <c r="BD4" s="20">
        <v>165965.22</v>
      </c>
      <c r="BE4" s="20">
        <v>339598.12999999995</v>
      </c>
      <c r="BF4" s="103">
        <v>45577.950000000004</v>
      </c>
      <c r="BG4" s="103">
        <v>257734.04</v>
      </c>
      <c r="BH4" s="103">
        <v>133547.93</v>
      </c>
      <c r="BI4" s="103"/>
      <c r="BJ4" s="103"/>
      <c r="BK4" s="103"/>
      <c r="BL4" s="103"/>
      <c r="BM4" s="103"/>
      <c r="BN4" s="103"/>
      <c r="BO4" s="103"/>
      <c r="BP4" s="103"/>
      <c r="BQ4" s="103"/>
      <c r="BR4" s="243">
        <v>-0.48183821586003928</v>
      </c>
      <c r="BS4" s="103">
        <f t="shared" si="1"/>
        <v>1402904.5899999999</v>
      </c>
      <c r="BT4" s="103">
        <f t="shared" si="2"/>
        <v>436859.92</v>
      </c>
      <c r="BU4" s="103">
        <f t="shared" si="3"/>
        <v>116908.71583333332</v>
      </c>
      <c r="BV4" s="103">
        <f t="shared" si="4"/>
        <v>145619.97333333333</v>
      </c>
      <c r="BW4" s="243">
        <f t="shared" si="5"/>
        <v>-8.2901013212656416E-2</v>
      </c>
      <c r="BZ4">
        <f t="shared" si="6"/>
        <v>3</v>
      </c>
    </row>
    <row r="5" spans="1:79" ht="15" x14ac:dyDescent="0.2">
      <c r="A5" s="2" t="s">
        <v>107</v>
      </c>
      <c r="B5" s="2">
        <v>4</v>
      </c>
      <c r="C5" s="2"/>
      <c r="D5" s="113" t="s">
        <v>186</v>
      </c>
      <c r="E5" s="20"/>
      <c r="F5" s="20"/>
      <c r="G5" s="20" t="str">
        <f t="shared" si="0"/>
        <v>1 - TOTAL</v>
      </c>
      <c r="H5" s="20">
        <v>2128952.7909999602</v>
      </c>
      <c r="I5" s="20">
        <v>1573272.09</v>
      </c>
      <c r="J5" s="20">
        <v>2476961.4419999002</v>
      </c>
      <c r="K5" s="20">
        <v>2086485.9379999503</v>
      </c>
      <c r="L5" s="20">
        <v>2038109.0599999509</v>
      </c>
      <c r="M5" s="20">
        <v>1960087.75</v>
      </c>
      <c r="N5" s="20">
        <v>2449578.39</v>
      </c>
      <c r="O5" s="20">
        <v>1751404.72</v>
      </c>
      <c r="P5" s="20">
        <v>2636104.9099999997</v>
      </c>
      <c r="Q5" s="20">
        <v>1991057.3699999999</v>
      </c>
      <c r="R5" s="20">
        <v>2890477.23</v>
      </c>
      <c r="S5" s="20">
        <v>2672542.36</v>
      </c>
      <c r="T5" s="20">
        <v>2672542.36</v>
      </c>
      <c r="U5" s="20">
        <v>2160275.17</v>
      </c>
      <c r="V5" s="20">
        <v>2160275.17</v>
      </c>
      <c r="W5" s="20">
        <v>1729170.56</v>
      </c>
      <c r="X5" s="20">
        <v>1408118.18</v>
      </c>
      <c r="Y5" s="20">
        <v>2194304.09</v>
      </c>
      <c r="Z5" s="20">
        <v>2650378.81</v>
      </c>
      <c r="AA5" s="20">
        <v>2209415.48</v>
      </c>
      <c r="AB5" s="20">
        <v>2332555.91</v>
      </c>
      <c r="AC5" s="20">
        <v>2180870.0699999994</v>
      </c>
      <c r="AD5" s="20">
        <v>2274247.4400000004</v>
      </c>
      <c r="AE5" s="20">
        <v>2588760.7199999997</v>
      </c>
      <c r="AF5" s="20">
        <v>2581281.1</v>
      </c>
      <c r="AG5" s="20">
        <v>3002777.14</v>
      </c>
      <c r="AH5" s="20">
        <v>2236775.35</v>
      </c>
      <c r="AI5" s="20">
        <v>1432655.23</v>
      </c>
      <c r="AJ5" s="20">
        <v>2011358.93</v>
      </c>
      <c r="AK5" s="20">
        <v>2659030.98</v>
      </c>
      <c r="AL5" s="20">
        <v>3006579.75</v>
      </c>
      <c r="AM5" s="20">
        <v>2464901.36</v>
      </c>
      <c r="AN5" s="20">
        <v>2501382.06</v>
      </c>
      <c r="AO5" s="20">
        <v>2204860.0499999998</v>
      </c>
      <c r="AP5" s="20">
        <v>2556896.0299999998</v>
      </c>
      <c r="AQ5" s="20">
        <v>2707697.44</v>
      </c>
      <c r="AR5" s="20">
        <v>2415882.54</v>
      </c>
      <c r="AS5" s="20">
        <v>2692784.64</v>
      </c>
      <c r="AT5" s="20">
        <v>2859585.31</v>
      </c>
      <c r="AU5" s="20">
        <v>2290503.62</v>
      </c>
      <c r="AV5" s="20">
        <v>2258763.79</v>
      </c>
      <c r="AW5" s="20">
        <v>3226365.23</v>
      </c>
      <c r="AX5" s="20">
        <v>2759630.72</v>
      </c>
      <c r="AY5" s="20">
        <v>2764496.35</v>
      </c>
      <c r="AZ5" s="20">
        <v>2839189.01</v>
      </c>
      <c r="BA5" s="20">
        <v>3801574.8500000006</v>
      </c>
      <c r="BB5" s="20">
        <v>3346794.8</v>
      </c>
      <c r="BC5" s="20">
        <v>3245706.12</v>
      </c>
      <c r="BD5" s="20">
        <v>3479448.6899999995</v>
      </c>
      <c r="BE5" s="20">
        <v>4923248.92</v>
      </c>
      <c r="BF5" s="103">
        <v>3209755.26</v>
      </c>
      <c r="BG5" s="103">
        <v>3256937.67</v>
      </c>
      <c r="BH5" s="103">
        <v>2605192.4800000004</v>
      </c>
      <c r="BI5" s="103"/>
      <c r="BJ5" s="103"/>
      <c r="BK5" s="103"/>
      <c r="BL5" s="103"/>
      <c r="BM5" s="103"/>
      <c r="BN5" s="103"/>
      <c r="BO5" s="103"/>
      <c r="BP5" s="103"/>
      <c r="BQ5" s="103"/>
      <c r="BR5" s="243"/>
      <c r="BS5" s="103">
        <f t="shared" si="1"/>
        <v>37795307.410000004</v>
      </c>
      <c r="BT5" s="103">
        <f t="shared" si="2"/>
        <v>9071885.4100000001</v>
      </c>
      <c r="BU5" s="103">
        <f t="shared" si="3"/>
        <v>3149608.9508333337</v>
      </c>
      <c r="BV5" s="103">
        <f t="shared" si="4"/>
        <v>3023961.8033333332</v>
      </c>
      <c r="BW5" s="243">
        <f t="shared" si="5"/>
        <v>-0.13848366830286041</v>
      </c>
      <c r="BZ5">
        <f t="shared" si="6"/>
        <v>3</v>
      </c>
    </row>
    <row r="6" spans="1:79" ht="15" x14ac:dyDescent="0.2">
      <c r="A6" s="2" t="s">
        <v>107</v>
      </c>
      <c r="B6" s="2">
        <v>5</v>
      </c>
      <c r="C6" s="2"/>
      <c r="D6" s="101" t="s">
        <v>32</v>
      </c>
      <c r="E6" s="20"/>
      <c r="F6" s="20"/>
      <c r="G6" s="20" t="str">
        <f t="shared" si="0"/>
        <v>1 - TOTAL</v>
      </c>
      <c r="H6" s="87">
        <f t="shared" ref="H6:BH6" si="7">H7+H8+H9+H10+H11+H12</f>
        <v>-415330.315</v>
      </c>
      <c r="I6" s="87">
        <f t="shared" si="7"/>
        <v>-303551.14287180163</v>
      </c>
      <c r="J6" s="87">
        <f t="shared" si="7"/>
        <v>-270976.52000251127</v>
      </c>
      <c r="K6" s="87">
        <f t="shared" si="7"/>
        <v>-329280.39</v>
      </c>
      <c r="L6" s="87">
        <f t="shared" si="7"/>
        <v>-259358.36000000002</v>
      </c>
      <c r="M6" s="87">
        <f t="shared" si="7"/>
        <v>-165406.27000000002</v>
      </c>
      <c r="N6" s="87">
        <f t="shared" si="7"/>
        <v>-159206.5</v>
      </c>
      <c r="O6" s="87">
        <f t="shared" si="7"/>
        <v>-152026.17000000001</v>
      </c>
      <c r="P6" s="87">
        <f t="shared" si="7"/>
        <v>-124851.91</v>
      </c>
      <c r="Q6" s="87">
        <f t="shared" si="7"/>
        <v>-182144.44</v>
      </c>
      <c r="R6" s="87">
        <f t="shared" si="7"/>
        <v>-346288.43000000005</v>
      </c>
      <c r="S6" s="87">
        <f t="shared" si="7"/>
        <v>-247633.02000000002</v>
      </c>
      <c r="T6" s="87">
        <f t="shared" si="7"/>
        <v>-247633.02000000002</v>
      </c>
      <c r="U6" s="87">
        <f t="shared" si="7"/>
        <v>-173967.66000000003</v>
      </c>
      <c r="V6" s="87">
        <f t="shared" si="7"/>
        <v>-173967.66000000003</v>
      </c>
      <c r="W6" s="87">
        <f t="shared" si="7"/>
        <v>-185459.28000000003</v>
      </c>
      <c r="X6" s="87">
        <f t="shared" si="7"/>
        <v>-228994.08</v>
      </c>
      <c r="Y6" s="87">
        <f t="shared" si="7"/>
        <v>-284807.03999999998</v>
      </c>
      <c r="Z6" s="87">
        <f t="shared" si="7"/>
        <v>-210868.89</v>
      </c>
      <c r="AA6" s="87">
        <f t="shared" si="7"/>
        <v>-229478.65000000002</v>
      </c>
      <c r="AB6" s="87">
        <f t="shared" si="7"/>
        <v>-302299.66000000003</v>
      </c>
      <c r="AC6" s="87">
        <f t="shared" si="7"/>
        <v>-392618.49</v>
      </c>
      <c r="AD6" s="87">
        <f t="shared" si="7"/>
        <v>-317861.37</v>
      </c>
      <c r="AE6" s="87">
        <f t="shared" si="7"/>
        <v>-339171.6</v>
      </c>
      <c r="AF6" s="87">
        <f t="shared" si="7"/>
        <v>-378452.98000000004</v>
      </c>
      <c r="AG6" s="87">
        <f t="shared" si="7"/>
        <v>-435887.48000000004</v>
      </c>
      <c r="AH6" s="87">
        <f t="shared" si="7"/>
        <v>-321656.43</v>
      </c>
      <c r="AI6" s="87">
        <f t="shared" si="7"/>
        <v>-238679.54</v>
      </c>
      <c r="AJ6" s="87">
        <f t="shared" si="7"/>
        <v>-248895.20000000004</v>
      </c>
      <c r="AK6" s="87">
        <f t="shared" si="7"/>
        <v>-293147.76</v>
      </c>
      <c r="AL6" s="87">
        <f t="shared" si="7"/>
        <v>-316795.40000000002</v>
      </c>
      <c r="AM6" s="87">
        <f t="shared" si="7"/>
        <v>-354618.55</v>
      </c>
      <c r="AN6" s="87">
        <f t="shared" si="7"/>
        <v>-400232.98000000004</v>
      </c>
      <c r="AO6" s="87">
        <f t="shared" si="7"/>
        <v>-366848.70999999996</v>
      </c>
      <c r="AP6" s="87">
        <f t="shared" si="7"/>
        <v>-395282.21</v>
      </c>
      <c r="AQ6" s="87">
        <f t="shared" si="7"/>
        <v>-398917.02999999997</v>
      </c>
      <c r="AR6" s="87">
        <f t="shared" si="7"/>
        <v>-461362.18599999999</v>
      </c>
      <c r="AS6" s="87">
        <f t="shared" si="7"/>
        <v>-650070.7300000001</v>
      </c>
      <c r="AT6" s="87">
        <f t="shared" si="7"/>
        <v>-449103.69000000006</v>
      </c>
      <c r="AU6" s="87">
        <f t="shared" si="7"/>
        <v>-390171.65</v>
      </c>
      <c r="AV6" s="87">
        <f t="shared" si="7"/>
        <v>-433303.96</v>
      </c>
      <c r="AW6" s="87">
        <f t="shared" si="7"/>
        <v>-432471.57</v>
      </c>
      <c r="AX6" s="87">
        <f t="shared" si="7"/>
        <v>-507341.99999999994</v>
      </c>
      <c r="AY6" s="87">
        <f t="shared" si="7"/>
        <v>-557461.52</v>
      </c>
      <c r="AZ6" s="87">
        <f t="shared" si="7"/>
        <v>-512756.46</v>
      </c>
      <c r="BA6" s="87">
        <f t="shared" si="7"/>
        <v>-534147.27</v>
      </c>
      <c r="BB6" s="87">
        <f t="shared" si="7"/>
        <v>-553216.67999999993</v>
      </c>
      <c r="BC6" s="87">
        <f t="shared" si="7"/>
        <v>-549112.64</v>
      </c>
      <c r="BD6" s="87">
        <f t="shared" si="7"/>
        <v>-578561.30999999982</v>
      </c>
      <c r="BE6" s="87">
        <f t="shared" si="7"/>
        <v>-610350.1100000001</v>
      </c>
      <c r="BF6" s="87">
        <f t="shared" si="7"/>
        <v>-513336.3</v>
      </c>
      <c r="BG6" s="87">
        <f t="shared" si="7"/>
        <v>-438012.61</v>
      </c>
      <c r="BH6" s="87">
        <f t="shared" si="7"/>
        <v>-420186.38</v>
      </c>
      <c r="BI6" s="141"/>
      <c r="BJ6" s="141"/>
      <c r="BK6" s="141"/>
      <c r="BL6" s="141"/>
      <c r="BM6" s="141"/>
      <c r="BN6" s="141"/>
      <c r="BO6" s="141"/>
      <c r="BP6" s="141"/>
      <c r="BQ6" s="141"/>
      <c r="BR6" s="243">
        <v>-4.0697983558053208E-2</v>
      </c>
      <c r="BS6" s="103">
        <f t="shared" si="1"/>
        <v>-6107998.8599999994</v>
      </c>
      <c r="BT6" s="103">
        <f t="shared" si="2"/>
        <v>-1371535.29</v>
      </c>
      <c r="BU6" s="103">
        <f t="shared" si="3"/>
        <v>-508999.90499999997</v>
      </c>
      <c r="BV6" s="103">
        <f t="shared" si="4"/>
        <v>-457178.43</v>
      </c>
      <c r="BW6" s="243">
        <f t="shared" si="5"/>
        <v>-8.0913813016069036E-2</v>
      </c>
      <c r="BX6">
        <v>2</v>
      </c>
      <c r="BZ6">
        <f t="shared" si="6"/>
        <v>3</v>
      </c>
    </row>
    <row r="7" spans="1:79" ht="15" x14ac:dyDescent="0.2">
      <c r="A7" s="2" t="s">
        <v>107</v>
      </c>
      <c r="B7" s="2">
        <v>6</v>
      </c>
      <c r="C7" t="s">
        <v>213</v>
      </c>
      <c r="D7" t="s">
        <v>187</v>
      </c>
      <c r="E7" t="s">
        <v>219</v>
      </c>
      <c r="F7">
        <v>1</v>
      </c>
      <c r="G7" s="20" t="str">
        <f t="shared" si="0"/>
        <v>1 - TOTALPESSOAL CLT (BO / ASSIS JURÍD / NEGOC)</v>
      </c>
      <c r="H7" s="20">
        <v>-104501.43999999999</v>
      </c>
      <c r="I7" s="20">
        <v>-86111.952871801637</v>
      </c>
      <c r="J7" s="20">
        <v>-86174.750002511282</v>
      </c>
      <c r="K7" s="20">
        <v>-75503.38</v>
      </c>
      <c r="L7" s="20">
        <v>-82724.5</v>
      </c>
      <c r="M7" s="20">
        <v>-87885.7</v>
      </c>
      <c r="N7" s="20">
        <v>-96030.49</v>
      </c>
      <c r="O7" s="20">
        <v>-91969.450000000012</v>
      </c>
      <c r="P7" s="20">
        <v>-74678.8</v>
      </c>
      <c r="Q7" s="20">
        <v>-92014.180000000022</v>
      </c>
      <c r="R7" s="20">
        <v>-116597.48000000001</v>
      </c>
      <c r="S7" s="20">
        <v>-160090.70000000001</v>
      </c>
      <c r="T7" s="20">
        <v>-160090.70000000001</v>
      </c>
      <c r="U7" s="20">
        <v>-91269.450000000012</v>
      </c>
      <c r="V7" s="20">
        <v>-91269.450000000012</v>
      </c>
      <c r="W7" s="20">
        <v>-80297.290000000008</v>
      </c>
      <c r="X7" s="20">
        <v>-105572</v>
      </c>
      <c r="Y7" s="20">
        <v>-106357.75999999999</v>
      </c>
      <c r="Z7" s="20">
        <v>-97677.78</v>
      </c>
      <c r="AA7" s="20">
        <v>-102818.37999999999</v>
      </c>
      <c r="AB7" s="20">
        <v>-125335.77000000002</v>
      </c>
      <c r="AC7" s="20">
        <v>-131738.43</v>
      </c>
      <c r="AD7" s="20">
        <v>-138663.00000000003</v>
      </c>
      <c r="AE7" s="20">
        <v>-144435.19999999998</v>
      </c>
      <c r="AF7" s="20">
        <v>-195564.41000000003</v>
      </c>
      <c r="AG7" s="20">
        <v>-219635.91</v>
      </c>
      <c r="AH7" s="20">
        <v>-139375.4</v>
      </c>
      <c r="AI7" s="20">
        <v>-135132.07</v>
      </c>
      <c r="AJ7" s="20">
        <v>-179816.81000000006</v>
      </c>
      <c r="AK7" s="20">
        <v>-171011.63</v>
      </c>
      <c r="AL7" s="20">
        <v>-162353.21000000002</v>
      </c>
      <c r="AM7" s="20">
        <v>-157040.13</v>
      </c>
      <c r="AN7" s="20">
        <v>-188271.53000000003</v>
      </c>
      <c r="AO7" s="20">
        <v>-173908.24</v>
      </c>
      <c r="AP7" s="20">
        <v>-183539.68</v>
      </c>
      <c r="AQ7" s="20">
        <v>-188182.76</v>
      </c>
      <c r="AR7" s="20">
        <v>-243827.28600000002</v>
      </c>
      <c r="AS7" s="20">
        <v>-272736.58000000007</v>
      </c>
      <c r="AT7" s="20">
        <v>-194927.13000000003</v>
      </c>
      <c r="AU7" s="20">
        <v>-186547.16999999998</v>
      </c>
      <c r="AV7" s="20">
        <v>-212071.30000000002</v>
      </c>
      <c r="AW7" s="20">
        <v>-239963.13</v>
      </c>
      <c r="AX7" s="20">
        <v>-242495.69</v>
      </c>
      <c r="AY7" s="20">
        <v>-244560.45</v>
      </c>
      <c r="AZ7" s="20">
        <v>-256831.39</v>
      </c>
      <c r="BA7" s="20">
        <v>-243450.10000000003</v>
      </c>
      <c r="BB7" s="20">
        <v>-241358.41999999998</v>
      </c>
      <c r="BC7" s="20">
        <v>-260532.21000000002</v>
      </c>
      <c r="BD7" s="20">
        <v>-311843.06999999995</v>
      </c>
      <c r="BE7" s="20">
        <v>-355173.53</v>
      </c>
      <c r="BF7" s="103">
        <v>-268888.25</v>
      </c>
      <c r="BG7" s="103">
        <v>-254349.29</v>
      </c>
      <c r="BH7" s="103">
        <v>-261151.34999999998</v>
      </c>
      <c r="BI7" s="103"/>
      <c r="BJ7" s="103"/>
      <c r="BK7" s="103"/>
      <c r="BL7" s="103"/>
      <c r="BM7" s="103"/>
      <c r="BN7" s="103"/>
      <c r="BO7" s="103"/>
      <c r="BP7" s="103"/>
      <c r="BQ7" s="103"/>
      <c r="BR7" s="243">
        <v>2.6742987959588849E-2</v>
      </c>
      <c r="BS7" s="103">
        <f t="shared" si="1"/>
        <v>-2989753.59</v>
      </c>
      <c r="BT7" s="103">
        <f t="shared" si="2"/>
        <v>-784388.89</v>
      </c>
      <c r="BU7" s="103">
        <f t="shared" si="3"/>
        <v>-249146.13249999998</v>
      </c>
      <c r="BV7" s="103">
        <f t="shared" si="4"/>
        <v>-261462.96333333335</v>
      </c>
      <c r="BW7" s="243">
        <f t="shared" si="5"/>
        <v>-1.1918067834949531E-3</v>
      </c>
      <c r="BZ7">
        <f t="shared" si="6"/>
        <v>3</v>
      </c>
    </row>
    <row r="8" spans="1:79" ht="15" x14ac:dyDescent="0.2">
      <c r="A8" s="2" t="s">
        <v>107</v>
      </c>
      <c r="B8" s="2">
        <v>7</v>
      </c>
      <c r="C8" t="s">
        <v>213</v>
      </c>
      <c r="D8" s="99" t="s">
        <v>188</v>
      </c>
      <c r="E8" s="99" t="s">
        <v>28</v>
      </c>
      <c r="G8" s="20" t="str">
        <f t="shared" si="0"/>
        <v>1 - TOTALCORRESPONDENTES</v>
      </c>
      <c r="H8" s="20">
        <v>-273919.21000000002</v>
      </c>
      <c r="I8" s="20">
        <v>-186320.77</v>
      </c>
      <c r="J8" s="20">
        <v>-127114.1</v>
      </c>
      <c r="K8" s="20">
        <v>-222005.01</v>
      </c>
      <c r="L8" s="20">
        <v>-147818.02000000002</v>
      </c>
      <c r="M8" s="20">
        <v>-3860.57</v>
      </c>
      <c r="N8" s="20">
        <v>-2179.5</v>
      </c>
      <c r="O8" s="20">
        <v>-6759</v>
      </c>
      <c r="P8" s="20">
        <v>-15398.2</v>
      </c>
      <c r="Q8" s="20">
        <v>-46710.1</v>
      </c>
      <c r="R8" s="20">
        <v>-48512.3</v>
      </c>
      <c r="S8" s="20">
        <v>-59034.78</v>
      </c>
      <c r="T8" s="20">
        <v>-59034.78</v>
      </c>
      <c r="U8" s="20">
        <v>-60263.38</v>
      </c>
      <c r="V8" s="20">
        <v>-60263.38</v>
      </c>
      <c r="W8" s="20">
        <v>-57234.29</v>
      </c>
      <c r="X8" s="20">
        <v>-36914.800000000003</v>
      </c>
      <c r="Y8" s="20">
        <v>-58909.63</v>
      </c>
      <c r="Z8" s="20">
        <v>-53236</v>
      </c>
      <c r="AA8" s="20">
        <v>-58115.5</v>
      </c>
      <c r="AB8" s="20">
        <v>-79664.5</v>
      </c>
      <c r="AC8" s="20">
        <v>-113411.71</v>
      </c>
      <c r="AD8" s="20">
        <v>-91956.4</v>
      </c>
      <c r="AE8" s="20">
        <v>-99161.75</v>
      </c>
      <c r="AF8" s="20">
        <v>-112917.75</v>
      </c>
      <c r="AG8" s="20">
        <v>-105076</v>
      </c>
      <c r="AH8" s="20">
        <v>-109533.53</v>
      </c>
      <c r="AI8" s="20">
        <v>-74020.899999999994</v>
      </c>
      <c r="AJ8" s="20">
        <v>-39068.36</v>
      </c>
      <c r="AK8" s="20">
        <v>-88815.599999999991</v>
      </c>
      <c r="AL8" s="20">
        <v>-102471.2</v>
      </c>
      <c r="AM8" s="20">
        <v>-88645.099999999991</v>
      </c>
      <c r="AN8" s="20">
        <v>-94878.15</v>
      </c>
      <c r="AO8" s="20">
        <v>-95849.9</v>
      </c>
      <c r="AP8" s="20">
        <v>-84653</v>
      </c>
      <c r="AQ8" s="20">
        <v>-115922.8</v>
      </c>
      <c r="AR8" s="20">
        <v>-115353.28</v>
      </c>
      <c r="AS8" s="20">
        <v>-128208.49</v>
      </c>
      <c r="AT8" s="20">
        <v>-152113.22</v>
      </c>
      <c r="AU8" s="20">
        <v>-84044.34</v>
      </c>
      <c r="AV8" s="20">
        <v>-77671.58</v>
      </c>
      <c r="AW8" s="20">
        <v>-149305.76999999999</v>
      </c>
      <c r="AX8" s="20">
        <v>-207336.53</v>
      </c>
      <c r="AY8" s="20">
        <v>-165789.44</v>
      </c>
      <c r="AZ8" s="20">
        <v>-171627.07</v>
      </c>
      <c r="BA8" s="20">
        <v>-141341.79</v>
      </c>
      <c r="BB8" s="20">
        <v>-131152.94</v>
      </c>
      <c r="BC8" s="20">
        <v>-153845.26999999999</v>
      </c>
      <c r="BD8" s="20">
        <v>-144088.12</v>
      </c>
      <c r="BE8" s="20">
        <v>-145016.31</v>
      </c>
      <c r="BF8" s="103">
        <v>-141836.54999999999</v>
      </c>
      <c r="BG8" s="103">
        <v>-85576.06</v>
      </c>
      <c r="BH8" s="103">
        <v>-70716.88</v>
      </c>
      <c r="BI8" s="103"/>
      <c r="BJ8" s="103"/>
      <c r="BK8" s="103"/>
      <c r="BL8" s="103"/>
      <c r="BM8" s="103"/>
      <c r="BN8" s="103"/>
      <c r="BO8" s="103"/>
      <c r="BP8" s="103"/>
      <c r="BQ8" s="103"/>
      <c r="BR8" s="243">
        <v>-0.17363711299632156</v>
      </c>
      <c r="BS8" s="103">
        <f t="shared" si="1"/>
        <v>-1723332.3800000004</v>
      </c>
      <c r="BT8" s="103">
        <f t="shared" si="2"/>
        <v>-298129.49</v>
      </c>
      <c r="BU8" s="103">
        <f t="shared" si="3"/>
        <v>-143611.03166666671</v>
      </c>
      <c r="BV8" s="103">
        <f t="shared" si="4"/>
        <v>-99376.496666666659</v>
      </c>
      <c r="BW8" s="243">
        <f t="shared" si="5"/>
        <v>-0.28839431483279288</v>
      </c>
      <c r="BZ8">
        <f t="shared" si="6"/>
        <v>3</v>
      </c>
    </row>
    <row r="9" spans="1:79" ht="15" x14ac:dyDescent="0.2">
      <c r="A9" s="2" t="s">
        <v>107</v>
      </c>
      <c r="B9" s="2">
        <v>8</v>
      </c>
      <c r="C9" t="s">
        <v>213</v>
      </c>
      <c r="D9" s="99" t="s">
        <v>189</v>
      </c>
      <c r="E9" s="99" t="s">
        <v>29</v>
      </c>
      <c r="G9" s="20" t="str">
        <f t="shared" si="0"/>
        <v>1 - TOTALVALORES RESCISÓRIOS</v>
      </c>
      <c r="H9" s="20">
        <v>0</v>
      </c>
      <c r="I9" s="20">
        <v>0</v>
      </c>
      <c r="J9" s="20">
        <v>-4880.58</v>
      </c>
      <c r="K9" s="20">
        <v>-2680</v>
      </c>
      <c r="L9" s="20">
        <v>0</v>
      </c>
      <c r="M9" s="20">
        <v>-1476.66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-75</v>
      </c>
      <c r="V9" s="20">
        <v>-75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-8987.630000000001</v>
      </c>
      <c r="AC9" s="20">
        <v>-730.65</v>
      </c>
      <c r="AD9" s="20">
        <v>0</v>
      </c>
      <c r="AE9" s="20">
        <v>0</v>
      </c>
      <c r="AF9" s="20">
        <v>0</v>
      </c>
      <c r="AG9" s="20">
        <v>-3161.7</v>
      </c>
      <c r="AH9" s="20">
        <v>-1238.7</v>
      </c>
      <c r="AI9" s="20">
        <v>0</v>
      </c>
      <c r="AJ9" s="20">
        <v>0</v>
      </c>
      <c r="AK9" s="20">
        <v>-2043.99</v>
      </c>
      <c r="AL9" s="20">
        <v>0</v>
      </c>
      <c r="AM9" s="20">
        <v>-5530.49</v>
      </c>
      <c r="AN9" s="20">
        <v>-6702.3</v>
      </c>
      <c r="AO9" s="20">
        <v>-13114</v>
      </c>
      <c r="AP9" s="20">
        <v>-5105.45</v>
      </c>
      <c r="AQ9" s="20">
        <v>-3009.92</v>
      </c>
      <c r="AR9" s="20">
        <v>-2896.87</v>
      </c>
      <c r="AS9" s="20">
        <v>-2896.87</v>
      </c>
      <c r="AT9" s="20">
        <v>-7592.9</v>
      </c>
      <c r="AU9" s="20">
        <v>-2896.87</v>
      </c>
      <c r="AV9" s="20">
        <v>-2896.87</v>
      </c>
      <c r="AW9" s="20">
        <v>-2896.87</v>
      </c>
      <c r="AX9" s="20">
        <v>-3561.16</v>
      </c>
      <c r="AY9" s="20">
        <v>-2564.73</v>
      </c>
      <c r="AZ9" s="20">
        <v>-2564.73</v>
      </c>
      <c r="BA9" s="20">
        <v>-2896.87</v>
      </c>
      <c r="BB9" s="20">
        <v>-2896.87</v>
      </c>
      <c r="BC9" s="20">
        <v>-20499.28</v>
      </c>
      <c r="BD9" s="20">
        <v>0</v>
      </c>
      <c r="BE9" s="20">
        <v>-2728.84</v>
      </c>
      <c r="BF9" s="103">
        <v>-5096.76</v>
      </c>
      <c r="BG9" s="103">
        <v>-5096.76</v>
      </c>
      <c r="BH9" s="103">
        <v>-5096.76</v>
      </c>
      <c r="BI9" s="103"/>
      <c r="BJ9" s="103"/>
      <c r="BK9" s="103"/>
      <c r="BL9" s="103"/>
      <c r="BM9" s="103"/>
      <c r="BN9" s="103"/>
      <c r="BO9" s="103"/>
      <c r="BP9" s="103"/>
      <c r="BQ9" s="103"/>
      <c r="BR9" s="243">
        <v>0</v>
      </c>
      <c r="BS9" s="103">
        <f t="shared" si="1"/>
        <v>-53995.989999999991</v>
      </c>
      <c r="BT9" s="103">
        <f t="shared" si="2"/>
        <v>-15290.28</v>
      </c>
      <c r="BU9" s="103">
        <f t="shared" si="3"/>
        <v>-4499.6658333333326</v>
      </c>
      <c r="BV9" s="103">
        <f t="shared" si="4"/>
        <v>-5096.76</v>
      </c>
      <c r="BW9" s="243">
        <f t="shared" si="5"/>
        <v>0</v>
      </c>
      <c r="BZ9">
        <f t="shared" si="6"/>
        <v>3</v>
      </c>
    </row>
    <row r="10" spans="1:79" ht="15" x14ac:dyDescent="0.2">
      <c r="A10" s="2" t="s">
        <v>107</v>
      </c>
      <c r="B10" s="2">
        <v>9</v>
      </c>
      <c r="C10" t="s">
        <v>213</v>
      </c>
      <c r="D10" s="99" t="s">
        <v>190</v>
      </c>
      <c r="E10" s="99" t="s">
        <v>30</v>
      </c>
      <c r="G10" s="20" t="str">
        <f t="shared" si="0"/>
        <v>1 - TOTALPENALIDADES E GLOSAS DE CLIENTES</v>
      </c>
      <c r="H10" s="20">
        <v>-15818.665000000001</v>
      </c>
      <c r="I10" s="20">
        <v>-19856.419999999998</v>
      </c>
      <c r="J10" s="20">
        <v>-27171.63</v>
      </c>
      <c r="K10" s="20">
        <v>-300</v>
      </c>
      <c r="L10" s="20">
        <v>-5304.8</v>
      </c>
      <c r="M10" s="20">
        <v>-72183.34</v>
      </c>
      <c r="N10" s="20">
        <v>-8208.94</v>
      </c>
      <c r="O10" s="20">
        <v>-608.23</v>
      </c>
      <c r="P10" s="20">
        <v>-4276.55</v>
      </c>
      <c r="Q10" s="20">
        <v>-7719.49</v>
      </c>
      <c r="R10" s="20">
        <v>-61920.46</v>
      </c>
      <c r="S10" s="20">
        <v>-5694.13</v>
      </c>
      <c r="T10" s="20">
        <v>-5694.13</v>
      </c>
      <c r="U10" s="20">
        <v>0</v>
      </c>
      <c r="V10" s="20">
        <v>0</v>
      </c>
      <c r="W10" s="20">
        <v>0</v>
      </c>
      <c r="X10" s="20">
        <v>0</v>
      </c>
      <c r="Y10" s="20">
        <v>-3331.13</v>
      </c>
      <c r="Z10" s="20">
        <v>-5311.54</v>
      </c>
      <c r="AA10" s="20">
        <v>-6512.89</v>
      </c>
      <c r="AB10" s="20">
        <v>-3779.88</v>
      </c>
      <c r="AC10" s="20">
        <v>-35269.800000000003</v>
      </c>
      <c r="AD10" s="20">
        <v>-25874.19</v>
      </c>
      <c r="AE10" s="20">
        <v>-21889.69</v>
      </c>
      <c r="AF10" s="20">
        <v>-4940</v>
      </c>
      <c r="AG10" s="20">
        <v>-34669.870000000003</v>
      </c>
      <c r="AH10" s="20">
        <v>-11747.12</v>
      </c>
      <c r="AI10" s="20">
        <v>-5696.73</v>
      </c>
      <c r="AJ10" s="20">
        <v>-5693.35</v>
      </c>
      <c r="AK10" s="20">
        <v>-7446.7</v>
      </c>
      <c r="AL10" s="20">
        <v>-14391.15</v>
      </c>
      <c r="AM10" s="20">
        <v>-14336.19</v>
      </c>
      <c r="AN10" s="20">
        <v>-2040.76</v>
      </c>
      <c r="AO10" s="20">
        <v>-5100.3500000000004</v>
      </c>
      <c r="AP10" s="20">
        <v>-6902.78</v>
      </c>
      <c r="AQ10" s="20">
        <v>-14970.919999999998</v>
      </c>
      <c r="AR10" s="20">
        <v>-13723.560000000001</v>
      </c>
      <c r="AS10" s="20">
        <v>-176797.66</v>
      </c>
      <c r="AT10" s="20">
        <v>-17170.8</v>
      </c>
      <c r="AU10" s="20">
        <v>-22510</v>
      </c>
      <c r="AV10" s="20">
        <v>-32443.95</v>
      </c>
      <c r="AW10" s="20">
        <v>-17170.8</v>
      </c>
      <c r="AX10" s="20">
        <v>-28040.83</v>
      </c>
      <c r="AY10" s="20">
        <v>-65037.659999999996</v>
      </c>
      <c r="AZ10" s="20">
        <v>-21614.62</v>
      </c>
      <c r="BA10" s="20">
        <v>-21523.99</v>
      </c>
      <c r="BB10" s="20">
        <v>-23943.87</v>
      </c>
      <c r="BC10" s="20">
        <v>-32073.5</v>
      </c>
      <c r="BD10" s="20">
        <v>-41254.85</v>
      </c>
      <c r="BE10" s="20">
        <v>-32755.25</v>
      </c>
      <c r="BF10" s="103">
        <v>-22436.78</v>
      </c>
      <c r="BG10" s="103">
        <v>-37827.72</v>
      </c>
      <c r="BH10" s="103">
        <v>-13762.51</v>
      </c>
      <c r="BI10" s="103"/>
      <c r="BJ10" s="103"/>
      <c r="BK10" s="103"/>
      <c r="BL10" s="103"/>
      <c r="BM10" s="103"/>
      <c r="BN10" s="103"/>
      <c r="BO10" s="103"/>
      <c r="BP10" s="103"/>
      <c r="BQ10" s="103"/>
      <c r="BR10" s="243">
        <v>-0.6361792357562126</v>
      </c>
      <c r="BS10" s="103">
        <f t="shared" si="1"/>
        <v>-355540.12</v>
      </c>
      <c r="BT10" s="103">
        <f t="shared" si="2"/>
        <v>-74027.009999999995</v>
      </c>
      <c r="BU10" s="103">
        <f t="shared" si="3"/>
        <v>-29628.343333333334</v>
      </c>
      <c r="BV10" s="103">
        <f t="shared" si="4"/>
        <v>-24675.67</v>
      </c>
      <c r="BW10" s="243">
        <f t="shared" si="5"/>
        <v>-0.44226397905305104</v>
      </c>
      <c r="BZ10">
        <f t="shared" si="6"/>
        <v>3</v>
      </c>
    </row>
    <row r="11" spans="1:79" ht="15" x14ac:dyDescent="0.2">
      <c r="A11" s="2" t="s">
        <v>107</v>
      </c>
      <c r="B11" s="2">
        <v>10</v>
      </c>
      <c r="C11" t="s">
        <v>213</v>
      </c>
      <c r="D11" s="99" t="s">
        <v>191</v>
      </c>
      <c r="E11" s="99" t="s">
        <v>31</v>
      </c>
      <c r="G11" s="20" t="str">
        <f t="shared" si="0"/>
        <v>1 - TOTALPROCESSOS TRABALHISTAS</v>
      </c>
      <c r="H11" s="20">
        <v>-21091</v>
      </c>
      <c r="I11" s="20">
        <v>-11262</v>
      </c>
      <c r="J11" s="20">
        <v>-25635.46</v>
      </c>
      <c r="K11" s="20">
        <v>-28792</v>
      </c>
      <c r="L11" s="20">
        <v>-23511.040000000001</v>
      </c>
      <c r="M11" s="20">
        <v>0</v>
      </c>
      <c r="N11" s="20">
        <v>-52787.57</v>
      </c>
      <c r="O11" s="20">
        <v>-52689.49</v>
      </c>
      <c r="P11" s="20">
        <v>-30498.36</v>
      </c>
      <c r="Q11" s="20">
        <v>-35700.67</v>
      </c>
      <c r="R11" s="20">
        <v>-119258.19</v>
      </c>
      <c r="S11" s="20">
        <v>-22813.41</v>
      </c>
      <c r="T11" s="20">
        <v>-22813.41</v>
      </c>
      <c r="U11" s="20">
        <v>-22359.83</v>
      </c>
      <c r="V11" s="20">
        <v>-22359.83</v>
      </c>
      <c r="W11" s="20">
        <v>-47927.7</v>
      </c>
      <c r="X11" s="20">
        <v>-86507.28</v>
      </c>
      <c r="Y11" s="20">
        <v>-116208.52</v>
      </c>
      <c r="Z11" s="20">
        <v>-54643.57</v>
      </c>
      <c r="AA11" s="20">
        <v>-62031.88</v>
      </c>
      <c r="AB11" s="20">
        <v>-84531.88</v>
      </c>
      <c r="AC11" s="20">
        <v>-111467.9</v>
      </c>
      <c r="AD11" s="20">
        <v>-61367.78</v>
      </c>
      <c r="AE11" s="20">
        <v>-73684.960000000006</v>
      </c>
      <c r="AF11" s="20">
        <v>-65030.82</v>
      </c>
      <c r="AG11" s="20">
        <v>-73344</v>
      </c>
      <c r="AH11" s="20">
        <v>-59761.68</v>
      </c>
      <c r="AI11" s="20">
        <v>-23829.84</v>
      </c>
      <c r="AJ11" s="20">
        <v>-24316.68</v>
      </c>
      <c r="AK11" s="20">
        <v>-23829.84</v>
      </c>
      <c r="AL11" s="20">
        <v>-37579.839999999997</v>
      </c>
      <c r="AM11" s="20">
        <v>-89066.64</v>
      </c>
      <c r="AN11" s="20">
        <v>-108340.24</v>
      </c>
      <c r="AO11" s="20">
        <v>-78876.22</v>
      </c>
      <c r="AP11" s="20">
        <v>-115081.3</v>
      </c>
      <c r="AQ11" s="20">
        <v>-76830.63</v>
      </c>
      <c r="AR11" s="20">
        <v>-85561.19</v>
      </c>
      <c r="AS11" s="20">
        <v>-69431.13</v>
      </c>
      <c r="AT11" s="20">
        <v>-69499.64</v>
      </c>
      <c r="AU11" s="20">
        <v>-94173.27</v>
      </c>
      <c r="AV11" s="20">
        <v>-90171.21</v>
      </c>
      <c r="AW11" s="20">
        <v>-23135</v>
      </c>
      <c r="AX11" s="20">
        <v>-25907.79</v>
      </c>
      <c r="AY11" s="20">
        <v>-75755.23</v>
      </c>
      <c r="AZ11" s="20">
        <v>-29385</v>
      </c>
      <c r="BA11" s="20">
        <v>-94200.89</v>
      </c>
      <c r="BB11" s="20">
        <v>-113423.09</v>
      </c>
      <c r="BC11" s="20">
        <v>-48990.52</v>
      </c>
      <c r="BD11" s="20">
        <v>-49286.58</v>
      </c>
      <c r="BE11" s="20">
        <v>-43128.369999999995</v>
      </c>
      <c r="BF11" s="103">
        <v>-43365.81</v>
      </c>
      <c r="BG11" s="103">
        <v>-24272.38</v>
      </c>
      <c r="BH11" s="103">
        <v>-38718.230000000003</v>
      </c>
      <c r="BI11" s="103"/>
      <c r="BJ11" s="103"/>
      <c r="BK11" s="103"/>
      <c r="BL11" s="103"/>
      <c r="BM11" s="103"/>
      <c r="BN11" s="103"/>
      <c r="BO11" s="103"/>
      <c r="BP11" s="103"/>
      <c r="BQ11" s="103"/>
      <c r="BR11" s="243">
        <v>0.59515589324161877</v>
      </c>
      <c r="BS11" s="103">
        <f t="shared" si="1"/>
        <v>-757056.59</v>
      </c>
      <c r="BT11" s="103">
        <f t="shared" si="2"/>
        <v>-106356.42000000001</v>
      </c>
      <c r="BU11" s="103">
        <f t="shared" si="3"/>
        <v>-63088.049166666664</v>
      </c>
      <c r="BV11" s="103">
        <f t="shared" si="4"/>
        <v>-35452.140000000007</v>
      </c>
      <c r="BW11" s="243">
        <f t="shared" si="5"/>
        <v>9.2126737624301347E-2</v>
      </c>
      <c r="BZ11">
        <f t="shared" si="6"/>
        <v>3</v>
      </c>
    </row>
    <row r="12" spans="1:79" ht="15" x14ac:dyDescent="0.2">
      <c r="A12" s="2" t="s">
        <v>107</v>
      </c>
      <c r="B12" s="2">
        <v>11</v>
      </c>
      <c r="C12" t="s">
        <v>213</v>
      </c>
      <c r="D12" s="99" t="s">
        <v>192</v>
      </c>
      <c r="E12" s="99" t="s">
        <v>172</v>
      </c>
      <c r="G12" s="20" t="str">
        <f t="shared" si="0"/>
        <v>1 - TOTALDESCONTO PAGAMENTOS EM DUPLICIDADE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-7800</v>
      </c>
      <c r="AU12" s="20">
        <v>0</v>
      </c>
      <c r="AV12" s="20">
        <v>-18049.05</v>
      </c>
      <c r="AW12" s="20">
        <v>0</v>
      </c>
      <c r="AX12" s="20">
        <v>0</v>
      </c>
      <c r="AY12" s="20">
        <v>-3754.01</v>
      </c>
      <c r="AZ12" s="20">
        <v>-30733.65</v>
      </c>
      <c r="BA12" s="20">
        <v>-30733.63</v>
      </c>
      <c r="BB12" s="20">
        <v>-40441.49</v>
      </c>
      <c r="BC12" s="20">
        <v>-33171.86</v>
      </c>
      <c r="BD12" s="20">
        <v>-32088.69</v>
      </c>
      <c r="BE12" s="20">
        <v>-31547.81</v>
      </c>
      <c r="BF12" s="103">
        <v>-31712.15</v>
      </c>
      <c r="BG12" s="103">
        <v>-30890.400000000001</v>
      </c>
      <c r="BH12" s="103">
        <v>-30740.65</v>
      </c>
      <c r="BI12" s="103"/>
      <c r="BJ12" s="103"/>
      <c r="BK12" s="103"/>
      <c r="BL12" s="103"/>
      <c r="BM12" s="103"/>
      <c r="BN12" s="103"/>
      <c r="BO12" s="103"/>
      <c r="BP12" s="103"/>
      <c r="BQ12" s="103"/>
      <c r="BR12" s="243">
        <v>-4.8477844249346091E-3</v>
      </c>
      <c r="BS12" s="103">
        <f t="shared" si="1"/>
        <v>-228320.19</v>
      </c>
      <c r="BT12" s="103">
        <f t="shared" si="2"/>
        <v>-93343.200000000012</v>
      </c>
      <c r="BU12" s="103">
        <f t="shared" si="3"/>
        <v>-19026.682499999999</v>
      </c>
      <c r="BV12" s="103">
        <f t="shared" si="4"/>
        <v>-31114.400000000005</v>
      </c>
      <c r="BW12" s="243">
        <f t="shared" si="5"/>
        <v>-1.2012123004139674E-2</v>
      </c>
      <c r="BZ12">
        <f t="shared" si="6"/>
        <v>3</v>
      </c>
    </row>
    <row r="13" spans="1:79" ht="15" x14ac:dyDescent="0.2">
      <c r="A13" s="2" t="s">
        <v>107</v>
      </c>
      <c r="B13" s="2">
        <v>12</v>
      </c>
      <c r="C13" s="2"/>
      <c r="D13" s="98" t="s">
        <v>63</v>
      </c>
      <c r="E13" s="98"/>
      <c r="F13" s="90"/>
      <c r="G13" s="20" t="str">
        <f t="shared" si="0"/>
        <v>1 - TOTAL</v>
      </c>
      <c r="H13" s="20">
        <v>1033812.7059999602</v>
      </c>
      <c r="I13" s="20">
        <v>591406.94712819834</v>
      </c>
      <c r="J13" s="20">
        <v>1501899.6919973888</v>
      </c>
      <c r="K13" s="20">
        <v>1049901.4379999503</v>
      </c>
      <c r="L13" s="20">
        <v>1070974.089999951</v>
      </c>
      <c r="M13" s="20">
        <v>1046173.3</v>
      </c>
      <c r="N13" s="20">
        <v>1547353.1900000004</v>
      </c>
      <c r="O13" s="20">
        <v>840224.87999999989</v>
      </c>
      <c r="P13" s="20">
        <v>1802350.8099999996</v>
      </c>
      <c r="Q13" s="20">
        <v>1027223.0099999997</v>
      </c>
      <c r="R13" s="20">
        <v>1792993.05</v>
      </c>
      <c r="S13" s="20">
        <v>1207626.99</v>
      </c>
      <c r="T13" s="20">
        <v>1207626.99</v>
      </c>
      <c r="U13" s="20">
        <v>1663232.96</v>
      </c>
      <c r="V13" s="20">
        <v>1663232.96</v>
      </c>
      <c r="W13" s="20">
        <v>774227.33000000007</v>
      </c>
      <c r="X13" s="20">
        <v>387588.94999999984</v>
      </c>
      <c r="Y13" s="20">
        <v>1118424.8500000001</v>
      </c>
      <c r="Z13" s="20">
        <v>1602487.09</v>
      </c>
      <c r="AA13" s="20">
        <v>1121917.6500000001</v>
      </c>
      <c r="AB13" s="20">
        <v>1152095.6500000004</v>
      </c>
      <c r="AC13" s="20">
        <v>878617.79409999959</v>
      </c>
      <c r="AD13" s="20">
        <v>1038085.2600000005</v>
      </c>
      <c r="AE13" s="20">
        <v>1305290.93</v>
      </c>
      <c r="AF13" s="20">
        <v>1239474.8907999999</v>
      </c>
      <c r="AG13" s="20">
        <v>1629464.78</v>
      </c>
      <c r="AH13" s="20">
        <v>955419.25000000023</v>
      </c>
      <c r="AI13" s="20">
        <v>239027.66999999993</v>
      </c>
      <c r="AJ13" s="20">
        <v>784754.10819032253</v>
      </c>
      <c r="AK13" s="20">
        <v>1409258.73</v>
      </c>
      <c r="AL13" s="20">
        <v>1722464.0700000003</v>
      </c>
      <c r="AM13" s="20">
        <v>1169819.0096</v>
      </c>
      <c r="AN13" s="20">
        <v>1128939.6400000004</v>
      </c>
      <c r="AO13" s="20">
        <v>883881.01399999973</v>
      </c>
      <c r="AP13" s="20">
        <v>1231395.8525322578</v>
      </c>
      <c r="AQ13" s="20">
        <v>1319972.6364110999</v>
      </c>
      <c r="AR13" s="20">
        <v>979735.57459999993</v>
      </c>
      <c r="AS13" s="20">
        <v>1056183.5246000001</v>
      </c>
      <c r="AT13" s="87">
        <f t="shared" ref="AT13:BH13" si="8">AT2+AT6</f>
        <v>2410481.62</v>
      </c>
      <c r="AU13" s="87">
        <f t="shared" si="8"/>
        <v>1900331.9700000002</v>
      </c>
      <c r="AV13" s="87">
        <f t="shared" si="8"/>
        <v>1825459.83</v>
      </c>
      <c r="AW13" s="87">
        <f t="shared" si="8"/>
        <v>2793893.66</v>
      </c>
      <c r="AX13" s="87">
        <f t="shared" si="8"/>
        <v>2252288.7200000002</v>
      </c>
      <c r="AY13" s="87">
        <f t="shared" si="8"/>
        <v>2207034.83</v>
      </c>
      <c r="AZ13" s="87">
        <f t="shared" si="8"/>
        <v>2326432.5499999998</v>
      </c>
      <c r="BA13" s="87">
        <f t="shared" si="8"/>
        <v>3267427.5800000005</v>
      </c>
      <c r="BB13" s="87">
        <f t="shared" si="8"/>
        <v>2793578.12</v>
      </c>
      <c r="BC13" s="87">
        <f t="shared" si="8"/>
        <v>2696593.48</v>
      </c>
      <c r="BD13" s="87">
        <f t="shared" si="8"/>
        <v>2900887.38</v>
      </c>
      <c r="BE13" s="87">
        <f t="shared" si="8"/>
        <v>4312898.8099999996</v>
      </c>
      <c r="BF13" s="87">
        <f t="shared" si="8"/>
        <v>2696418.96</v>
      </c>
      <c r="BG13" s="87">
        <f t="shared" si="8"/>
        <v>2818925.06</v>
      </c>
      <c r="BH13" s="87">
        <f t="shared" si="8"/>
        <v>2185006.1000000006</v>
      </c>
      <c r="BI13" s="141"/>
      <c r="BJ13" s="141"/>
      <c r="BK13" s="141"/>
      <c r="BL13" s="141"/>
      <c r="BM13" s="141"/>
      <c r="BN13" s="141"/>
      <c r="BO13" s="141"/>
      <c r="BP13" s="141"/>
      <c r="BQ13" s="141"/>
      <c r="BR13" s="243">
        <v>-0.22487967807132814</v>
      </c>
      <c r="BS13" s="103">
        <f t="shared" si="1"/>
        <v>31687308.550000001</v>
      </c>
      <c r="BT13" s="103">
        <f t="shared" si="2"/>
        <v>7700350.1200000001</v>
      </c>
      <c r="BU13" s="103">
        <f t="shared" si="3"/>
        <v>2640609.0458333334</v>
      </c>
      <c r="BV13" s="103">
        <f t="shared" si="4"/>
        <v>2566783.3733333335</v>
      </c>
      <c r="BW13" s="243">
        <f t="shared" si="5"/>
        <v>-0.14873762908848087</v>
      </c>
      <c r="BX13">
        <v>3</v>
      </c>
      <c r="BZ13">
        <f t="shared" si="6"/>
        <v>3</v>
      </c>
    </row>
    <row r="14" spans="1:79" ht="15" x14ac:dyDescent="0.2">
      <c r="A14" s="2" t="s">
        <v>107</v>
      </c>
      <c r="B14" s="2">
        <v>13</v>
      </c>
      <c r="C14" s="2"/>
      <c r="D14" s="101" t="s">
        <v>62</v>
      </c>
      <c r="E14" s="101"/>
      <c r="F14" s="111"/>
      <c r="G14" s="20" t="str">
        <f t="shared" si="0"/>
        <v>1 - TOTAL</v>
      </c>
      <c r="H14" s="87">
        <f t="shared" ref="H14:AR14" si="9">H15+H16+H17+H18+H19+H20+H21+H22</f>
        <v>-146271.4</v>
      </c>
      <c r="I14" s="87">
        <f t="shared" si="9"/>
        <v>-178086.69</v>
      </c>
      <c r="J14" s="87">
        <f t="shared" si="9"/>
        <v>-148831.05999999997</v>
      </c>
      <c r="K14" s="87">
        <f t="shared" si="9"/>
        <v>-115646.88499999999</v>
      </c>
      <c r="L14" s="87">
        <f t="shared" si="9"/>
        <v>-97550.99</v>
      </c>
      <c r="M14" s="87">
        <f t="shared" si="9"/>
        <v>-96746.880000000005</v>
      </c>
      <c r="N14" s="87">
        <f t="shared" si="9"/>
        <v>-96030.94</v>
      </c>
      <c r="O14" s="87">
        <f t="shared" si="9"/>
        <v>-103602.49</v>
      </c>
      <c r="P14" s="87">
        <f t="shared" si="9"/>
        <v>-110411.83999999998</v>
      </c>
      <c r="Q14" s="87">
        <f t="shared" si="9"/>
        <v>-116142.68</v>
      </c>
      <c r="R14" s="87">
        <f t="shared" si="9"/>
        <v>-102457.4</v>
      </c>
      <c r="S14" s="87">
        <f t="shared" si="9"/>
        <v>-155718.53</v>
      </c>
      <c r="T14" s="87">
        <f t="shared" si="9"/>
        <v>-155718.53</v>
      </c>
      <c r="U14" s="87">
        <f t="shared" si="9"/>
        <v>-101105.18</v>
      </c>
      <c r="V14" s="87">
        <f t="shared" si="9"/>
        <v>-101105.18</v>
      </c>
      <c r="W14" s="87">
        <f t="shared" si="9"/>
        <v>-61582.990000000005</v>
      </c>
      <c r="X14" s="87">
        <f t="shared" si="9"/>
        <v>-63388.920000000006</v>
      </c>
      <c r="Y14" s="87">
        <f t="shared" si="9"/>
        <v>-65297.850000000006</v>
      </c>
      <c r="Z14" s="87">
        <f t="shared" si="9"/>
        <v>-72655.86</v>
      </c>
      <c r="AA14" s="87">
        <f t="shared" si="9"/>
        <v>-69488.19</v>
      </c>
      <c r="AB14" s="87">
        <f t="shared" si="9"/>
        <v>-69576.94</v>
      </c>
      <c r="AC14" s="87">
        <f t="shared" si="9"/>
        <v>-75511.900000000009</v>
      </c>
      <c r="AD14" s="87">
        <f t="shared" si="9"/>
        <v>-77161.48</v>
      </c>
      <c r="AE14" s="87">
        <f t="shared" si="9"/>
        <v>-71672.260000000009</v>
      </c>
      <c r="AF14" s="87">
        <f t="shared" si="9"/>
        <v>-116058.93999999999</v>
      </c>
      <c r="AG14" s="87">
        <f t="shared" si="9"/>
        <v>-170627.25000000003</v>
      </c>
      <c r="AH14" s="87">
        <f t="shared" si="9"/>
        <v>-183321.8</v>
      </c>
      <c r="AI14" s="87">
        <f t="shared" si="9"/>
        <v>-175426.49</v>
      </c>
      <c r="AJ14" s="87">
        <f t="shared" si="9"/>
        <v>-261556.27999999997</v>
      </c>
      <c r="AK14" s="87">
        <f t="shared" si="9"/>
        <v>-256642.84999999998</v>
      </c>
      <c r="AL14" s="87">
        <f t="shared" si="9"/>
        <v>-212215.00999999998</v>
      </c>
      <c r="AM14" s="87">
        <f t="shared" si="9"/>
        <v>-201084.74999999997</v>
      </c>
      <c r="AN14" s="87">
        <f t="shared" si="9"/>
        <v>-234663.37</v>
      </c>
      <c r="AO14" s="87">
        <f t="shared" si="9"/>
        <v>-212928.29</v>
      </c>
      <c r="AP14" s="87">
        <f t="shared" si="9"/>
        <v>-212451.58999999997</v>
      </c>
      <c r="AQ14" s="87">
        <f t="shared" si="9"/>
        <v>-215202.2</v>
      </c>
      <c r="AR14" s="87">
        <f t="shared" si="9"/>
        <v>-241733.30000000002</v>
      </c>
      <c r="AS14" s="87">
        <f>AS15+AS16+AS17+AS18+AS19+AS20+AS21+AS22</f>
        <v>-267519.55</v>
      </c>
      <c r="AT14" s="87">
        <f t="shared" ref="AT14:BH14" si="10">SUM(AT15:AT23)</f>
        <v>-217506.98</v>
      </c>
      <c r="AU14" s="87">
        <f t="shared" si="10"/>
        <v>-409657.98</v>
      </c>
      <c r="AV14" s="87">
        <f t="shared" si="10"/>
        <v>-365242.34000000008</v>
      </c>
      <c r="AW14" s="87">
        <f t="shared" si="10"/>
        <v>-313338.75</v>
      </c>
      <c r="AX14" s="87">
        <f t="shared" si="10"/>
        <v>-340498.92</v>
      </c>
      <c r="AY14" s="87">
        <f t="shared" si="10"/>
        <v>-332115.12</v>
      </c>
      <c r="AZ14" s="87">
        <f t="shared" si="10"/>
        <v>-270189.59999999998</v>
      </c>
      <c r="BA14" s="87">
        <f t="shared" si="10"/>
        <v>-264123.16000000003</v>
      </c>
      <c r="BB14" s="87">
        <f t="shared" si="10"/>
        <v>-332706.69</v>
      </c>
      <c r="BC14" s="87">
        <f t="shared" si="10"/>
        <v>-515159.56000000006</v>
      </c>
      <c r="BD14" s="87">
        <f t="shared" si="10"/>
        <v>-362823.26999999996</v>
      </c>
      <c r="BE14" s="87">
        <f t="shared" si="10"/>
        <v>-721141</v>
      </c>
      <c r="BF14" s="87">
        <f t="shared" si="10"/>
        <v>-351219.61</v>
      </c>
      <c r="BG14" s="87">
        <f t="shared" si="10"/>
        <v>-249445.58999999997</v>
      </c>
      <c r="BH14" s="87">
        <f t="shared" si="10"/>
        <v>-260955.97999999998</v>
      </c>
      <c r="BI14" s="141"/>
      <c r="BJ14" s="141"/>
      <c r="BK14" s="141"/>
      <c r="BL14" s="141"/>
      <c r="BM14" s="141"/>
      <c r="BN14" s="141"/>
      <c r="BO14" s="141"/>
      <c r="BP14" s="141"/>
      <c r="BQ14" s="141"/>
      <c r="BR14" s="243">
        <v>1.4474736973379831</v>
      </c>
      <c r="BS14" s="103">
        <f t="shared" si="1"/>
        <v>-4444503.37</v>
      </c>
      <c r="BT14" s="103">
        <f t="shared" si="2"/>
        <v>-861621.17999999993</v>
      </c>
      <c r="BU14" s="103">
        <f t="shared" si="3"/>
        <v>-370375.28083333332</v>
      </c>
      <c r="BV14" s="103">
        <f t="shared" si="4"/>
        <v>-287207.06</v>
      </c>
      <c r="BW14" s="243">
        <f t="shared" si="5"/>
        <v>-9.1401235053205188E-2</v>
      </c>
      <c r="BX14">
        <v>2</v>
      </c>
      <c r="BZ14">
        <f t="shared" si="6"/>
        <v>3</v>
      </c>
    </row>
    <row r="15" spans="1:79" ht="15" x14ac:dyDescent="0.2">
      <c r="A15" s="2" t="s">
        <v>107</v>
      </c>
      <c r="B15" s="2">
        <v>14</v>
      </c>
      <c r="C15" s="2" t="s">
        <v>214</v>
      </c>
      <c r="D15" s="99" t="s">
        <v>193</v>
      </c>
      <c r="E15" s="99" t="s">
        <v>102</v>
      </c>
      <c r="F15">
        <v>1</v>
      </c>
      <c r="G15" s="20" t="str">
        <f t="shared" si="0"/>
        <v>1 - TOTALPESSOAL CLT ADM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-65475.9</v>
      </c>
      <c r="AI15" s="20">
        <v>-64418.12</v>
      </c>
      <c r="AJ15" s="20">
        <v>-120448.56999999999</v>
      </c>
      <c r="AK15" s="20">
        <v>-90168.99</v>
      </c>
      <c r="AL15" s="20">
        <v>-86438.089999999982</v>
      </c>
      <c r="AM15" s="20">
        <v>-93507.150000000009</v>
      </c>
      <c r="AN15" s="20">
        <v>-104152.05</v>
      </c>
      <c r="AO15" s="20">
        <v>-96105.25</v>
      </c>
      <c r="AP15" s="20">
        <v>-89412.34</v>
      </c>
      <c r="AQ15" s="20">
        <v>-91598.840000000011</v>
      </c>
      <c r="AR15" s="20">
        <v>-111812.43</v>
      </c>
      <c r="AS15" s="20">
        <v>-123440.34</v>
      </c>
      <c r="AT15" s="20">
        <v>-97062.75</v>
      </c>
      <c r="AU15" s="20">
        <v>-81862</v>
      </c>
      <c r="AV15" s="20">
        <v>-97480.540000000037</v>
      </c>
      <c r="AW15" s="20">
        <v>-98796.819999999992</v>
      </c>
      <c r="AX15" s="20">
        <v>-102362.58</v>
      </c>
      <c r="AY15" s="20">
        <v>-90156.05</v>
      </c>
      <c r="AZ15" s="20">
        <v>-99985.45</v>
      </c>
      <c r="BA15" s="20">
        <v>-112456.84000000001</v>
      </c>
      <c r="BB15" s="20">
        <v>-93218.23</v>
      </c>
      <c r="BC15" s="20">
        <v>-101842.58</v>
      </c>
      <c r="BD15" s="20">
        <v>-119822.87</v>
      </c>
      <c r="BE15" s="20">
        <v>-131615.29999999999</v>
      </c>
      <c r="BF15" s="103">
        <v>-114095</v>
      </c>
      <c r="BG15" s="103">
        <v>-92193.12999999999</v>
      </c>
      <c r="BH15" s="103">
        <v>-112093.44</v>
      </c>
      <c r="BI15" s="103"/>
      <c r="BJ15" s="103"/>
      <c r="BK15" s="103"/>
      <c r="BL15" s="103"/>
      <c r="BM15" s="103"/>
      <c r="BN15" s="103"/>
      <c r="BO15" s="103"/>
      <c r="BP15" s="103"/>
      <c r="BQ15" s="103"/>
      <c r="BR15" s="243">
        <v>0.21585458699579907</v>
      </c>
      <c r="BS15" s="103">
        <f t="shared" si="1"/>
        <v>-1226662.01</v>
      </c>
      <c r="BT15" s="103">
        <f t="shared" si="2"/>
        <v>-318381.57</v>
      </c>
      <c r="BU15" s="103">
        <f t="shared" si="3"/>
        <v>-102221.83416666667</v>
      </c>
      <c r="BV15" s="103">
        <f t="shared" si="4"/>
        <v>-106127.19</v>
      </c>
      <c r="BW15" s="243">
        <f t="shared" si="5"/>
        <v>5.6217921156680006E-2</v>
      </c>
      <c r="BZ15">
        <f t="shared" si="6"/>
        <v>3</v>
      </c>
    </row>
    <row r="16" spans="1:79" ht="15" x14ac:dyDescent="0.2">
      <c r="A16" s="2" t="s">
        <v>107</v>
      </c>
      <c r="B16" s="2">
        <v>15</v>
      </c>
      <c r="C16" s="2" t="s">
        <v>214</v>
      </c>
      <c r="D16" s="99" t="s">
        <v>194</v>
      </c>
      <c r="E16" s="99" t="s">
        <v>0</v>
      </c>
      <c r="G16" s="20" t="str">
        <f t="shared" si="0"/>
        <v>1 - TOTALLOCALIZAÇÃO (ALUGUEL, COND, LUZ, IPTU)</v>
      </c>
      <c r="H16" s="20">
        <v>-79314.320000000007</v>
      </c>
      <c r="I16" s="20">
        <v>-88308.01</v>
      </c>
      <c r="J16" s="20">
        <v>-90640.859999999986</v>
      </c>
      <c r="K16" s="20">
        <v>-61440.7</v>
      </c>
      <c r="L16" s="20">
        <v>-56695.49</v>
      </c>
      <c r="M16" s="20">
        <v>-53603.11</v>
      </c>
      <c r="N16" s="20">
        <v>-50909.42</v>
      </c>
      <c r="O16" s="20">
        <v>-51874.04</v>
      </c>
      <c r="P16" s="20">
        <v>-58560.259999999995</v>
      </c>
      <c r="Q16" s="20">
        <v>-57607.939999999995</v>
      </c>
      <c r="R16" s="20">
        <v>-42400.800000000003</v>
      </c>
      <c r="S16" s="20">
        <v>-47784</v>
      </c>
      <c r="T16" s="20">
        <v>-47784</v>
      </c>
      <c r="U16" s="20">
        <v>-46595.87</v>
      </c>
      <c r="V16" s="20">
        <v>-46595.87</v>
      </c>
      <c r="W16" s="20">
        <v>-5273.15</v>
      </c>
      <c r="X16" s="20">
        <v>-726.99</v>
      </c>
      <c r="Y16" s="20">
        <v>-8613.7900000000009</v>
      </c>
      <c r="Z16" s="20">
        <v>-5588.35</v>
      </c>
      <c r="AA16" s="20">
        <v>-7060.75</v>
      </c>
      <c r="AB16" s="20">
        <v>-5533.84</v>
      </c>
      <c r="AC16" s="20">
        <v>-13859.82</v>
      </c>
      <c r="AD16" s="20">
        <v>-7253.99</v>
      </c>
      <c r="AE16" s="20">
        <v>-6301.35</v>
      </c>
      <c r="AF16" s="20">
        <v>-33307.29</v>
      </c>
      <c r="AG16" s="20">
        <v>-37182.519999999997</v>
      </c>
      <c r="AH16" s="20">
        <v>-44157.21</v>
      </c>
      <c r="AI16" s="20">
        <v>-9865.9399999999987</v>
      </c>
      <c r="AJ16" s="20">
        <v>-42236.34</v>
      </c>
      <c r="AK16" s="20">
        <v>-41696.36</v>
      </c>
      <c r="AL16" s="20">
        <v>-39940.329999999994</v>
      </c>
      <c r="AM16" s="20">
        <v>-41261.850000000006</v>
      </c>
      <c r="AN16" s="20">
        <v>-39014.810000000005</v>
      </c>
      <c r="AO16" s="20">
        <v>-36927.440000000002</v>
      </c>
      <c r="AP16" s="20">
        <v>-38481.96</v>
      </c>
      <c r="AQ16" s="20">
        <v>-40705.67</v>
      </c>
      <c r="AR16" s="20">
        <v>-36264.51</v>
      </c>
      <c r="AS16" s="20">
        <v>-38809.89</v>
      </c>
      <c r="AT16" s="20">
        <v>-42458.36</v>
      </c>
      <c r="AU16" s="20">
        <v>-38432.78</v>
      </c>
      <c r="AV16" s="20">
        <v>-36426.07</v>
      </c>
      <c r="AW16" s="20">
        <v>-38023.339999999997</v>
      </c>
      <c r="AX16" s="20">
        <v>-36037.01</v>
      </c>
      <c r="AY16" s="20">
        <v>-41881.33</v>
      </c>
      <c r="AZ16" s="20">
        <v>-41602.089999999997</v>
      </c>
      <c r="BA16" s="20">
        <v>-39946.42</v>
      </c>
      <c r="BB16" s="20">
        <v>-37781.25</v>
      </c>
      <c r="BC16" s="20">
        <v>-37288.980000000003</v>
      </c>
      <c r="BD16" s="20">
        <v>-36548.94</v>
      </c>
      <c r="BE16" s="20">
        <v>-36646.020000000004</v>
      </c>
      <c r="BF16" s="103">
        <v>-39582.32</v>
      </c>
      <c r="BG16" s="103">
        <v>-40008.920000000006</v>
      </c>
      <c r="BH16" s="103">
        <v>-11278.929999999998</v>
      </c>
      <c r="BI16" s="103"/>
      <c r="BJ16" s="103"/>
      <c r="BK16" s="103"/>
      <c r="BL16" s="103"/>
      <c r="BM16" s="103"/>
      <c r="BN16" s="103"/>
      <c r="BO16" s="103"/>
      <c r="BP16" s="103"/>
      <c r="BQ16" s="103"/>
      <c r="BR16" s="243">
        <v>-0.7180896160156286</v>
      </c>
      <c r="BS16" s="103">
        <f t="shared" si="1"/>
        <v>-463072.58999999997</v>
      </c>
      <c r="BT16" s="103">
        <f t="shared" si="2"/>
        <v>-90870.17</v>
      </c>
      <c r="BU16" s="103">
        <f t="shared" si="3"/>
        <v>-38589.3825</v>
      </c>
      <c r="BV16" s="103">
        <f t="shared" si="4"/>
        <v>-30290.056666666667</v>
      </c>
      <c r="BW16" s="243">
        <f t="shared" si="5"/>
        <v>-0.62763588975348017</v>
      </c>
      <c r="BZ16">
        <f t="shared" si="6"/>
        <v>3</v>
      </c>
    </row>
    <row r="17" spans="1:78" ht="15" x14ac:dyDescent="0.2">
      <c r="A17" s="2" t="s">
        <v>107</v>
      </c>
      <c r="B17" s="2">
        <v>16</v>
      </c>
      <c r="C17" s="2" t="s">
        <v>214</v>
      </c>
      <c r="D17" s="99" t="s">
        <v>195</v>
      </c>
      <c r="E17" s="99" t="s">
        <v>1</v>
      </c>
      <c r="G17" s="20" t="str">
        <f t="shared" si="0"/>
        <v>1 - TOTALMARKETING</v>
      </c>
      <c r="H17" s="20">
        <v>-8938.76</v>
      </c>
      <c r="I17" s="20">
        <v>-24521.260000000002</v>
      </c>
      <c r="J17" s="20">
        <v>-16015.72</v>
      </c>
      <c r="K17" s="20">
        <v>-16403.04</v>
      </c>
      <c r="L17" s="20">
        <v>-12781.599999999999</v>
      </c>
      <c r="M17" s="20">
        <v>-15084.35</v>
      </c>
      <c r="N17" s="20">
        <v>-10436.14</v>
      </c>
      <c r="O17" s="20">
        <v>-15993.010000000002</v>
      </c>
      <c r="P17" s="20">
        <v>-16442.919999999998</v>
      </c>
      <c r="Q17" s="20">
        <v>-16798.71</v>
      </c>
      <c r="R17" s="20">
        <v>-17525.61</v>
      </c>
      <c r="S17" s="20">
        <v>-56840.340000000004</v>
      </c>
      <c r="T17" s="20">
        <v>-56840.340000000004</v>
      </c>
      <c r="U17" s="20">
        <v>-11746.779999999999</v>
      </c>
      <c r="V17" s="20">
        <v>-11746.779999999999</v>
      </c>
      <c r="W17" s="20">
        <v>-16802.29</v>
      </c>
      <c r="X17" s="20">
        <v>-16988.91</v>
      </c>
      <c r="Y17" s="20">
        <v>-16240.01</v>
      </c>
      <c r="Z17" s="20">
        <v>-25298.12</v>
      </c>
      <c r="AA17" s="20">
        <v>-15454.98</v>
      </c>
      <c r="AB17" s="20">
        <v>-24927.32</v>
      </c>
      <c r="AC17" s="20">
        <v>-24708.97</v>
      </c>
      <c r="AD17" s="20">
        <v>-15439.849999999999</v>
      </c>
      <c r="AE17" s="20">
        <v>-18526.689999999999</v>
      </c>
      <c r="AF17" s="20">
        <v>-17625.309999999998</v>
      </c>
      <c r="AG17" s="20">
        <v>-78854.02</v>
      </c>
      <c r="AH17" s="20">
        <v>-21324.11</v>
      </c>
      <c r="AI17" s="20">
        <v>-23700.14</v>
      </c>
      <c r="AJ17" s="20">
        <v>-27967.100000000002</v>
      </c>
      <c r="AK17" s="20">
        <v>-11070.64</v>
      </c>
      <c r="AL17" s="20">
        <v>-12646.36</v>
      </c>
      <c r="AM17" s="20">
        <v>-10357.08</v>
      </c>
      <c r="AN17" s="20">
        <v>-12971.63</v>
      </c>
      <c r="AO17" s="20">
        <v>-17551.77</v>
      </c>
      <c r="AP17" s="20">
        <v>-17005.850000000002</v>
      </c>
      <c r="AQ17" s="20">
        <v>-16092.84</v>
      </c>
      <c r="AR17" s="20">
        <v>-23222.239999999998</v>
      </c>
      <c r="AS17" s="20">
        <v>-38138.080000000002</v>
      </c>
      <c r="AT17" s="20">
        <v>-11299.330000000002</v>
      </c>
      <c r="AU17" s="20">
        <v>-12768.529999999999</v>
      </c>
      <c r="AV17" s="20">
        <v>-27150.76</v>
      </c>
      <c r="AW17" s="20">
        <v>-27120.400000000001</v>
      </c>
      <c r="AX17" s="20">
        <v>-39287.97</v>
      </c>
      <c r="AY17" s="20">
        <v>-27851.040000000001</v>
      </c>
      <c r="AZ17" s="20">
        <v>-36538.65</v>
      </c>
      <c r="BA17" s="20">
        <v>-21511.030000000002</v>
      </c>
      <c r="BB17" s="20">
        <v>-19656.64</v>
      </c>
      <c r="BC17" s="20">
        <v>-100841.05000000002</v>
      </c>
      <c r="BD17" s="20">
        <v>-123823.53</v>
      </c>
      <c r="BE17" s="20">
        <v>-45861.49</v>
      </c>
      <c r="BF17" s="103">
        <v>-33674.729999999996</v>
      </c>
      <c r="BG17" s="103">
        <v>-39027.770000000004</v>
      </c>
      <c r="BH17" s="103">
        <v>-39498.36</v>
      </c>
      <c r="BI17" s="103"/>
      <c r="BJ17" s="103"/>
      <c r="BK17" s="103"/>
      <c r="BL17" s="103"/>
      <c r="BM17" s="103"/>
      <c r="BN17" s="103"/>
      <c r="BO17" s="103"/>
      <c r="BP17" s="103"/>
      <c r="BQ17" s="103"/>
      <c r="BR17" s="243">
        <v>1.2057824467039735E-2</v>
      </c>
      <c r="BS17" s="103">
        <f t="shared" si="1"/>
        <v>-493710.42000000004</v>
      </c>
      <c r="BT17" s="103">
        <f t="shared" si="2"/>
        <v>-112200.86</v>
      </c>
      <c r="BU17" s="103">
        <f t="shared" si="3"/>
        <v>-41142.535000000003</v>
      </c>
      <c r="BV17" s="103">
        <f t="shared" si="4"/>
        <v>-37400.286666666667</v>
      </c>
      <c r="BW17" s="243">
        <f t="shared" si="5"/>
        <v>5.6097787485764439E-2</v>
      </c>
      <c r="BZ17">
        <f t="shared" si="6"/>
        <v>3</v>
      </c>
    </row>
    <row r="18" spans="1:78" ht="15" x14ac:dyDescent="0.2">
      <c r="A18" s="2" t="s">
        <v>107</v>
      </c>
      <c r="B18" s="2">
        <v>17</v>
      </c>
      <c r="C18" s="2" t="s">
        <v>214</v>
      </c>
      <c r="D18" s="99" t="s">
        <v>196</v>
      </c>
      <c r="E18" s="99" t="s">
        <v>2</v>
      </c>
      <c r="G18" s="20" t="str">
        <f t="shared" si="0"/>
        <v>1 - TOTALCOMUNICAÇÃO</v>
      </c>
      <c r="H18" s="20">
        <v>-17008.200000000004</v>
      </c>
      <c r="I18" s="20">
        <v>-18056.210000000003</v>
      </c>
      <c r="J18" s="20">
        <v>-18162.009999999998</v>
      </c>
      <c r="K18" s="20">
        <v>-16108.480000000001</v>
      </c>
      <c r="L18" s="20">
        <v>-16494.260000000002</v>
      </c>
      <c r="M18" s="20">
        <v>-15569.73</v>
      </c>
      <c r="N18" s="20">
        <v>-15908.69</v>
      </c>
      <c r="O18" s="20">
        <v>-16217.239999999998</v>
      </c>
      <c r="P18" s="20">
        <v>-16015.3</v>
      </c>
      <c r="Q18" s="20">
        <v>-15944.76</v>
      </c>
      <c r="R18" s="20">
        <v>-14632.27</v>
      </c>
      <c r="S18" s="20">
        <v>-16189.62</v>
      </c>
      <c r="T18" s="20">
        <v>-16189.62</v>
      </c>
      <c r="U18" s="20">
        <v>-22071.88</v>
      </c>
      <c r="V18" s="20">
        <v>-22071.88</v>
      </c>
      <c r="W18" s="20">
        <v>-17270.68</v>
      </c>
      <c r="X18" s="20">
        <v>-20267.190000000002</v>
      </c>
      <c r="Y18" s="20">
        <v>-18171.439999999999</v>
      </c>
      <c r="Z18" s="20">
        <v>-18889.650000000001</v>
      </c>
      <c r="AA18" s="20">
        <v>-20371.68</v>
      </c>
      <c r="AB18" s="20">
        <v>-16534.3</v>
      </c>
      <c r="AC18" s="20">
        <v>-18303.09</v>
      </c>
      <c r="AD18" s="20">
        <v>-20185.46</v>
      </c>
      <c r="AE18" s="20">
        <v>-18022.3</v>
      </c>
      <c r="AF18" s="20">
        <v>-19087.189999999999</v>
      </c>
      <c r="AG18" s="20">
        <v>-18569.77</v>
      </c>
      <c r="AH18" s="20">
        <v>-19144.97</v>
      </c>
      <c r="AI18" s="20">
        <v>-19837.999999999996</v>
      </c>
      <c r="AJ18" s="20">
        <v>-11823.37</v>
      </c>
      <c r="AK18" s="20">
        <v>-21505.200000000001</v>
      </c>
      <c r="AL18" s="20">
        <v>-21689.759999999998</v>
      </c>
      <c r="AM18" s="20">
        <v>-17852.379999999997</v>
      </c>
      <c r="AN18" s="20">
        <v>-17522.560000000001</v>
      </c>
      <c r="AO18" s="20">
        <v>-17728.010000000002</v>
      </c>
      <c r="AP18" s="20">
        <v>-18922.02</v>
      </c>
      <c r="AQ18" s="20">
        <v>-19003.29</v>
      </c>
      <c r="AR18" s="20">
        <v>-19918.32</v>
      </c>
      <c r="AS18" s="20">
        <v>-20349</v>
      </c>
      <c r="AT18" s="20">
        <v>-19780</v>
      </c>
      <c r="AU18" s="20">
        <v>-19121.04</v>
      </c>
      <c r="AV18" s="20">
        <v>-47589.57</v>
      </c>
      <c r="AW18" s="20">
        <v>-20497.439999999999</v>
      </c>
      <c r="AX18" s="20">
        <v>-34217.72</v>
      </c>
      <c r="AY18" s="20">
        <v>-33963.22</v>
      </c>
      <c r="AZ18" s="20">
        <v>-44454.6</v>
      </c>
      <c r="BA18" s="20">
        <v>-30028.29</v>
      </c>
      <c r="BB18" s="20">
        <v>-13990.31</v>
      </c>
      <c r="BC18" s="20">
        <v>-42727.67</v>
      </c>
      <c r="BD18" s="20">
        <v>-12221.71</v>
      </c>
      <c r="BE18" s="20">
        <v>-45642.09</v>
      </c>
      <c r="BF18" s="103">
        <v>-30077.78</v>
      </c>
      <c r="BG18" s="103">
        <v>-13866.08</v>
      </c>
      <c r="BH18" s="103">
        <v>-27884.73</v>
      </c>
      <c r="BI18" s="103"/>
      <c r="BJ18" s="103"/>
      <c r="BK18" s="103"/>
      <c r="BL18" s="103"/>
      <c r="BM18" s="103"/>
      <c r="BN18" s="103"/>
      <c r="BO18" s="103"/>
      <c r="BP18" s="103"/>
      <c r="BQ18" s="103"/>
      <c r="BR18" s="243">
        <v>1.0110031097469507</v>
      </c>
      <c r="BS18" s="103">
        <f t="shared" si="1"/>
        <v>-364233.66000000003</v>
      </c>
      <c r="BT18" s="103">
        <f t="shared" si="2"/>
        <v>-71828.59</v>
      </c>
      <c r="BU18" s="103">
        <f t="shared" si="3"/>
        <v>-30352.805000000004</v>
      </c>
      <c r="BV18" s="103">
        <f t="shared" si="4"/>
        <v>-23942.863333333331</v>
      </c>
      <c r="BW18" s="243">
        <f t="shared" si="5"/>
        <v>0.16463639339154512</v>
      </c>
      <c r="BZ18">
        <f t="shared" si="6"/>
        <v>3</v>
      </c>
    </row>
    <row r="19" spans="1:78" ht="15" x14ac:dyDescent="0.2">
      <c r="A19" s="2" t="s">
        <v>107</v>
      </c>
      <c r="B19" s="2">
        <v>18</v>
      </c>
      <c r="C19" s="2" t="s">
        <v>214</v>
      </c>
      <c r="D19" s="99" t="s">
        <v>197</v>
      </c>
      <c r="E19" s="99" t="s">
        <v>3</v>
      </c>
      <c r="G19" s="20" t="str">
        <f t="shared" si="0"/>
        <v>1 - TOTALPRESTADOR DE SERVIÇOS</v>
      </c>
      <c r="H19" s="20">
        <v>-8584.1</v>
      </c>
      <c r="I19" s="20">
        <v>-9611.9499999999989</v>
      </c>
      <c r="J19" s="20">
        <v>-9356.2900000000009</v>
      </c>
      <c r="K19" s="20">
        <v>-10617.25</v>
      </c>
      <c r="L19" s="20">
        <v>-7933.1</v>
      </c>
      <c r="M19" s="20">
        <v>-8609.6</v>
      </c>
      <c r="N19" s="20">
        <v>-10748.95</v>
      </c>
      <c r="O19" s="20">
        <v>-11127.85</v>
      </c>
      <c r="P19" s="20">
        <v>-12663.15</v>
      </c>
      <c r="Q19" s="20">
        <v>-16410.87</v>
      </c>
      <c r="R19" s="20">
        <v>-15622.789999999999</v>
      </c>
      <c r="S19" s="20">
        <v>-11907.449999999999</v>
      </c>
      <c r="T19" s="20">
        <v>-11907.449999999999</v>
      </c>
      <c r="U19" s="20">
        <v>-9261.6999999999989</v>
      </c>
      <c r="V19" s="20">
        <v>-9261.6999999999989</v>
      </c>
      <c r="W19" s="20">
        <v>-12969.25</v>
      </c>
      <c r="X19" s="20">
        <v>-12465.85</v>
      </c>
      <c r="Y19" s="20">
        <v>-12192.7</v>
      </c>
      <c r="Z19" s="20">
        <v>-13459.07</v>
      </c>
      <c r="AA19" s="20">
        <v>-14436.199999999999</v>
      </c>
      <c r="AB19" s="20">
        <v>-10987.55</v>
      </c>
      <c r="AC19" s="20">
        <v>-11335.55</v>
      </c>
      <c r="AD19" s="20">
        <v>-11590.929999999998</v>
      </c>
      <c r="AE19" s="20">
        <v>-11916.75</v>
      </c>
      <c r="AF19" s="20">
        <v>-11427.9</v>
      </c>
      <c r="AG19" s="20">
        <v>-10313.949999999999</v>
      </c>
      <c r="AH19" s="20">
        <v>-8982.75</v>
      </c>
      <c r="AI19" s="20">
        <v>-14654.349999999999</v>
      </c>
      <c r="AJ19" s="20">
        <v>-12107.78</v>
      </c>
      <c r="AK19" s="20">
        <v>-11537.650000000001</v>
      </c>
      <c r="AL19" s="20">
        <v>-10315.900000000001</v>
      </c>
      <c r="AM19" s="20">
        <v>-13038.650000000001</v>
      </c>
      <c r="AN19" s="20">
        <v>-10309.630000000001</v>
      </c>
      <c r="AO19" s="20">
        <v>-11794.29</v>
      </c>
      <c r="AP19" s="20">
        <v>-12022.210000000001</v>
      </c>
      <c r="AQ19" s="20">
        <v>-11246.39</v>
      </c>
      <c r="AR19" s="20">
        <v>-10753.45</v>
      </c>
      <c r="AS19" s="20">
        <v>-11501.27</v>
      </c>
      <c r="AT19" s="20">
        <v>-12925.310000000001</v>
      </c>
      <c r="AU19" s="20">
        <v>-11966.44</v>
      </c>
      <c r="AV19" s="20">
        <v>-16126.769999999999</v>
      </c>
      <c r="AW19" s="20">
        <v>-14806.07</v>
      </c>
      <c r="AX19" s="20">
        <v>-14838.39</v>
      </c>
      <c r="AY19" s="20">
        <v>-16577.12</v>
      </c>
      <c r="AZ19" s="20">
        <v>-14969.66</v>
      </c>
      <c r="BA19" s="20">
        <v>-16296.039999999999</v>
      </c>
      <c r="BB19" s="20">
        <v>-16075.12</v>
      </c>
      <c r="BC19" s="20">
        <v>-14920.279999999999</v>
      </c>
      <c r="BD19" s="20">
        <v>-21074.07</v>
      </c>
      <c r="BE19" s="20">
        <v>-16864.98</v>
      </c>
      <c r="BF19" s="103">
        <v>-25622.38</v>
      </c>
      <c r="BG19" s="103">
        <v>-18288.399999999998</v>
      </c>
      <c r="BH19" s="103">
        <v>-15965.330000000002</v>
      </c>
      <c r="BI19" s="103"/>
      <c r="BJ19" s="103"/>
      <c r="BK19" s="103"/>
      <c r="BL19" s="103"/>
      <c r="BM19" s="103"/>
      <c r="BN19" s="103"/>
      <c r="BO19" s="103"/>
      <c r="BP19" s="103"/>
      <c r="BQ19" s="103"/>
      <c r="BR19" s="243">
        <v>-0.12702423394063977</v>
      </c>
      <c r="BS19" s="103">
        <f t="shared" si="1"/>
        <v>-187440.25</v>
      </c>
      <c r="BT19" s="103">
        <f t="shared" si="2"/>
        <v>-59876.11</v>
      </c>
      <c r="BU19" s="103">
        <f t="shared" si="3"/>
        <v>-15620.020833333334</v>
      </c>
      <c r="BV19" s="103">
        <f t="shared" si="4"/>
        <v>-19958.703333333335</v>
      </c>
      <c r="BW19" s="243">
        <f t="shared" si="5"/>
        <v>-0.20008180224132799</v>
      </c>
      <c r="BZ19">
        <f t="shared" si="6"/>
        <v>3</v>
      </c>
    </row>
    <row r="20" spans="1:78" ht="15" x14ac:dyDescent="0.2">
      <c r="A20" s="2" t="s">
        <v>107</v>
      </c>
      <c r="B20" s="2">
        <v>19</v>
      </c>
      <c r="C20" s="2" t="s">
        <v>214</v>
      </c>
      <c r="D20" s="99" t="s">
        <v>198</v>
      </c>
      <c r="E20" s="99" t="s">
        <v>220</v>
      </c>
      <c r="G20" s="20" t="str">
        <f t="shared" si="0"/>
        <v>1 - TOTALALUGUEL DE EQUIPAM / MANUT MÁQ EQUIPAM</v>
      </c>
      <c r="H20" s="20">
        <v>-5050.1499999999996</v>
      </c>
      <c r="I20" s="20">
        <v>-4144.71</v>
      </c>
      <c r="J20" s="20">
        <v>-3848.66</v>
      </c>
      <c r="K20" s="20">
        <v>-3803.6099999999997</v>
      </c>
      <c r="L20" s="20">
        <v>-337.04</v>
      </c>
      <c r="M20" s="20">
        <v>-337.04</v>
      </c>
      <c r="N20" s="20">
        <v>-337.04</v>
      </c>
      <c r="O20" s="20">
        <v>-337.04</v>
      </c>
      <c r="P20" s="20">
        <v>-1177.79</v>
      </c>
      <c r="Q20" s="20">
        <v>-707.96</v>
      </c>
      <c r="R20" s="20">
        <v>-336.59</v>
      </c>
      <c r="S20" s="20">
        <v>-386.59</v>
      </c>
      <c r="T20" s="20">
        <v>-386.59</v>
      </c>
      <c r="U20" s="20">
        <v>-336.59</v>
      </c>
      <c r="V20" s="20">
        <v>-336.59</v>
      </c>
      <c r="W20" s="20">
        <v>-1682.93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-823.44</v>
      </c>
      <c r="AE20" s="20">
        <v>-2490</v>
      </c>
      <c r="AF20" s="20">
        <v>-2710</v>
      </c>
      <c r="AG20" s="20">
        <v>-7400.29</v>
      </c>
      <c r="AH20" s="20">
        <v>-7236.11</v>
      </c>
      <c r="AI20" s="20">
        <v>-7795</v>
      </c>
      <c r="AJ20" s="20">
        <v>-6435</v>
      </c>
      <c r="AK20" s="20">
        <v>-6985</v>
      </c>
      <c r="AL20" s="20">
        <v>-7372.9</v>
      </c>
      <c r="AM20" s="20">
        <v>-5280</v>
      </c>
      <c r="AN20" s="20">
        <v>-6602.2699999999995</v>
      </c>
      <c r="AO20" s="20">
        <v>-5828.369999999999</v>
      </c>
      <c r="AP20" s="20">
        <v>-6323.4699999999993</v>
      </c>
      <c r="AQ20" s="20">
        <v>-5728.0499999999993</v>
      </c>
      <c r="AR20" s="20">
        <v>-5653.4699999999993</v>
      </c>
      <c r="AS20" s="20">
        <v>-5655.42</v>
      </c>
      <c r="AT20" s="20">
        <v>-6206.0599999999995</v>
      </c>
      <c r="AU20" s="20">
        <v>-5748.4699999999993</v>
      </c>
      <c r="AV20" s="20">
        <v>-9149</v>
      </c>
      <c r="AW20" s="20">
        <v>-6565.57</v>
      </c>
      <c r="AX20" s="20">
        <v>-7919.5</v>
      </c>
      <c r="AY20" s="20">
        <v>-8577.7199999999993</v>
      </c>
      <c r="AZ20" s="20">
        <v>-9081.0999999999985</v>
      </c>
      <c r="BA20" s="20">
        <v>-8561.0999999999985</v>
      </c>
      <c r="BB20" s="20">
        <v>-9379.2800000000007</v>
      </c>
      <c r="BC20" s="20">
        <v>-6143.63</v>
      </c>
      <c r="BD20" s="20">
        <v>-4615.67</v>
      </c>
      <c r="BE20" s="20">
        <v>-5832.52</v>
      </c>
      <c r="BF20" s="103">
        <v>-5539.09</v>
      </c>
      <c r="BG20" s="103">
        <v>-5270.03</v>
      </c>
      <c r="BH20" s="103">
        <v>-5225</v>
      </c>
      <c r="BI20" s="103"/>
      <c r="BJ20" s="103"/>
      <c r="BK20" s="103"/>
      <c r="BL20" s="103"/>
      <c r="BM20" s="103"/>
      <c r="BN20" s="103"/>
      <c r="BO20" s="103"/>
      <c r="BP20" s="103"/>
      <c r="BQ20" s="103"/>
      <c r="BR20" s="243">
        <v>-8.5445433896960132E-3</v>
      </c>
      <c r="BS20" s="103">
        <f t="shared" si="1"/>
        <v>-87779.62000000001</v>
      </c>
      <c r="BT20" s="103">
        <f t="shared" si="2"/>
        <v>-16034.119999999999</v>
      </c>
      <c r="BU20" s="103">
        <f t="shared" si="3"/>
        <v>-7314.9683333333342</v>
      </c>
      <c r="BV20" s="103">
        <f t="shared" si="4"/>
        <v>-5344.706666666666</v>
      </c>
      <c r="BW20" s="243">
        <f t="shared" si="5"/>
        <v>-2.2397237890198984E-2</v>
      </c>
      <c r="BZ20">
        <f t="shared" si="6"/>
        <v>3</v>
      </c>
    </row>
    <row r="21" spans="1:78" ht="15" x14ac:dyDescent="0.2">
      <c r="A21" s="2" t="s">
        <v>107</v>
      </c>
      <c r="B21" s="2">
        <v>20</v>
      </c>
      <c r="C21" s="2" t="s">
        <v>214</v>
      </c>
      <c r="D21" s="99" t="s">
        <v>199</v>
      </c>
      <c r="E21" s="99" t="s">
        <v>5</v>
      </c>
      <c r="G21" s="20" t="str">
        <f t="shared" si="0"/>
        <v>1 - TOTALCONSUMO DE MATERIAL</v>
      </c>
      <c r="H21" s="20">
        <v>-12142.61</v>
      </c>
      <c r="I21" s="20">
        <v>-20118.91</v>
      </c>
      <c r="J21" s="20">
        <v>-5441.78</v>
      </c>
      <c r="K21" s="20">
        <v>-4022.36</v>
      </c>
      <c r="L21" s="20">
        <v>-451.04</v>
      </c>
      <c r="M21" s="20">
        <v>-22.24</v>
      </c>
      <c r="N21" s="20">
        <v>-4677.74</v>
      </c>
      <c r="O21" s="20">
        <v>-4685.5</v>
      </c>
      <c r="P21" s="20">
        <v>-2200</v>
      </c>
      <c r="Q21" s="20">
        <v>-2212</v>
      </c>
      <c r="R21" s="20">
        <v>-4850</v>
      </c>
      <c r="S21" s="20">
        <v>-8321.43</v>
      </c>
      <c r="T21" s="20">
        <v>-8321.43</v>
      </c>
      <c r="U21" s="20">
        <v>-880.07</v>
      </c>
      <c r="V21" s="20">
        <v>-880.07</v>
      </c>
      <c r="W21" s="20">
        <v>-89.67</v>
      </c>
      <c r="X21" s="20">
        <v>-2630.97</v>
      </c>
      <c r="Y21" s="20">
        <v>-2717.18</v>
      </c>
      <c r="Z21" s="20">
        <v>-529.91999999999996</v>
      </c>
      <c r="AA21" s="20">
        <v>-2587.79</v>
      </c>
      <c r="AB21" s="20">
        <v>-21.26</v>
      </c>
      <c r="AC21" s="20">
        <v>-2132.31</v>
      </c>
      <c r="AD21" s="20">
        <v>-701.28</v>
      </c>
      <c r="AE21" s="20">
        <v>-5142.7700000000004</v>
      </c>
      <c r="AF21" s="20">
        <v>-901.58</v>
      </c>
      <c r="AG21" s="20">
        <v>-3808.19</v>
      </c>
      <c r="AH21" s="20">
        <v>-3281.43</v>
      </c>
      <c r="AI21" s="20">
        <v>-526.66</v>
      </c>
      <c r="AJ21" s="20">
        <v>-4215.25</v>
      </c>
      <c r="AK21" s="20">
        <v>-6418.93</v>
      </c>
      <c r="AL21" s="20">
        <v>-7943.6900000000005</v>
      </c>
      <c r="AM21" s="20">
        <v>-4054.55</v>
      </c>
      <c r="AN21" s="20">
        <v>-3208.18</v>
      </c>
      <c r="AO21" s="20">
        <v>-6997.66</v>
      </c>
      <c r="AP21" s="20">
        <v>-9790.36</v>
      </c>
      <c r="AQ21" s="20">
        <v>-7749.96</v>
      </c>
      <c r="AR21" s="20">
        <v>-7804.1900000000005</v>
      </c>
      <c r="AS21" s="20">
        <v>-6227.85</v>
      </c>
      <c r="AT21" s="20">
        <v>-7090.57</v>
      </c>
      <c r="AU21" s="20">
        <v>-3646.71</v>
      </c>
      <c r="AV21" s="20">
        <v>-6497.35</v>
      </c>
      <c r="AW21" s="20">
        <v>-4130.43</v>
      </c>
      <c r="AX21" s="20">
        <v>-6745.72</v>
      </c>
      <c r="AY21" s="20">
        <v>-7797.1</v>
      </c>
      <c r="AZ21" s="20">
        <v>-5984.21</v>
      </c>
      <c r="BA21" s="20">
        <v>-9567.1200000000008</v>
      </c>
      <c r="BB21" s="20">
        <v>-9568.2000000000007</v>
      </c>
      <c r="BC21" s="20">
        <v>-6738.64</v>
      </c>
      <c r="BD21" s="20">
        <v>-11691.94</v>
      </c>
      <c r="BE21" s="20">
        <v>-10402.15</v>
      </c>
      <c r="BF21" s="103">
        <v>-7126.56</v>
      </c>
      <c r="BG21" s="103">
        <v>-7944.53</v>
      </c>
      <c r="BH21" s="103">
        <v>-16453.490000000002</v>
      </c>
      <c r="BI21" s="103"/>
      <c r="BJ21" s="103"/>
      <c r="BK21" s="103"/>
      <c r="BL21" s="103"/>
      <c r="BM21" s="103"/>
      <c r="BN21" s="103"/>
      <c r="BO21" s="103"/>
      <c r="BP21" s="103"/>
      <c r="BQ21" s="103"/>
      <c r="BR21" s="243">
        <v>1.0710463677524036</v>
      </c>
      <c r="BS21" s="103">
        <f t="shared" si="1"/>
        <v>-89860.14</v>
      </c>
      <c r="BT21" s="103">
        <f t="shared" si="2"/>
        <v>-31524.58</v>
      </c>
      <c r="BU21" s="103">
        <f t="shared" si="3"/>
        <v>-7488.3450000000003</v>
      </c>
      <c r="BV21" s="103">
        <f t="shared" si="4"/>
        <v>-10508.193333333335</v>
      </c>
      <c r="BW21" s="243">
        <f t="shared" si="5"/>
        <v>0.56577724429635534</v>
      </c>
      <c r="BZ21">
        <f t="shared" si="6"/>
        <v>3</v>
      </c>
    </row>
    <row r="22" spans="1:78" ht="15" x14ac:dyDescent="0.2">
      <c r="A22" s="2" t="s">
        <v>107</v>
      </c>
      <c r="B22" s="2">
        <v>21</v>
      </c>
      <c r="C22" s="2" t="s">
        <v>214</v>
      </c>
      <c r="D22" s="99" t="s">
        <v>231</v>
      </c>
      <c r="E22" s="99" t="s">
        <v>230</v>
      </c>
      <c r="G22" s="20" t="str">
        <f t="shared" si="0"/>
        <v>1 - TOTALDESPESAS GERAIS / INVESTIMENTOS</v>
      </c>
      <c r="H22" s="20">
        <v>-15233.259999999998</v>
      </c>
      <c r="I22" s="20">
        <v>-13325.64</v>
      </c>
      <c r="J22" s="20">
        <v>-5365.74</v>
      </c>
      <c r="K22" s="20">
        <v>-3251.4450000000002</v>
      </c>
      <c r="L22" s="20">
        <v>-2858.46</v>
      </c>
      <c r="M22" s="20">
        <v>-3520.81</v>
      </c>
      <c r="N22" s="20">
        <v>-3012.96</v>
      </c>
      <c r="O22" s="20">
        <v>-3367.81</v>
      </c>
      <c r="P22" s="20">
        <v>-3352.42</v>
      </c>
      <c r="Q22" s="20">
        <v>-6460.44</v>
      </c>
      <c r="R22" s="20">
        <v>-7089.34</v>
      </c>
      <c r="S22" s="20">
        <v>-14289.099999999999</v>
      </c>
      <c r="T22" s="20">
        <v>-14289.099999999999</v>
      </c>
      <c r="U22" s="20">
        <v>-10212.289999999999</v>
      </c>
      <c r="V22" s="20">
        <v>-10212.289999999999</v>
      </c>
      <c r="W22" s="20">
        <v>-7495.02</v>
      </c>
      <c r="X22" s="20">
        <v>-10309.01</v>
      </c>
      <c r="Y22" s="20">
        <v>-7362.73</v>
      </c>
      <c r="Z22" s="20">
        <v>-8890.75</v>
      </c>
      <c r="AA22" s="20">
        <v>-9576.7900000000009</v>
      </c>
      <c r="AB22" s="20">
        <v>-11572.67</v>
      </c>
      <c r="AC22" s="20">
        <v>-5172.1600000000008</v>
      </c>
      <c r="AD22" s="20">
        <v>-21166.530000000002</v>
      </c>
      <c r="AE22" s="20">
        <v>-9272.4000000000015</v>
      </c>
      <c r="AF22" s="20">
        <v>-30999.67</v>
      </c>
      <c r="AG22" s="20">
        <v>-14498.51</v>
      </c>
      <c r="AH22" s="20">
        <v>-13719.32</v>
      </c>
      <c r="AI22" s="20">
        <v>-34628.28</v>
      </c>
      <c r="AJ22" s="20">
        <v>-36322.869999999995</v>
      </c>
      <c r="AK22" s="20">
        <v>-67260.08</v>
      </c>
      <c r="AL22" s="20">
        <v>-25867.98</v>
      </c>
      <c r="AM22" s="20">
        <v>-15733.09</v>
      </c>
      <c r="AN22" s="20">
        <v>-40882.239999999998</v>
      </c>
      <c r="AO22" s="20">
        <v>-19995.5</v>
      </c>
      <c r="AP22" s="20">
        <v>-20493.38</v>
      </c>
      <c r="AQ22" s="20">
        <v>-23077.159999999996</v>
      </c>
      <c r="AR22" s="20">
        <v>-26304.69</v>
      </c>
      <c r="AS22" s="20">
        <v>-23397.7</v>
      </c>
      <c r="AT22" s="20">
        <v>-20684.599999999999</v>
      </c>
      <c r="AU22" s="20">
        <v>-26112.01</v>
      </c>
      <c r="AV22" s="20">
        <v>-44822.28</v>
      </c>
      <c r="AW22" s="20">
        <v>-23398.68</v>
      </c>
      <c r="AX22" s="20">
        <v>-19090.03</v>
      </c>
      <c r="AY22" s="20">
        <v>-25311.539999999994</v>
      </c>
      <c r="AZ22" s="20">
        <v>-17573.84</v>
      </c>
      <c r="BA22" s="20">
        <v>-25756.32</v>
      </c>
      <c r="BB22" s="20">
        <v>-23037.660000000003</v>
      </c>
      <c r="BC22" s="20">
        <v>-34656.729999999981</v>
      </c>
      <c r="BD22" s="20">
        <v>-33024.54</v>
      </c>
      <c r="BE22" s="20">
        <v>-28276.450000000012</v>
      </c>
      <c r="BF22" s="103">
        <v>-45501.75</v>
      </c>
      <c r="BG22" s="103">
        <v>-32846.729999999996</v>
      </c>
      <c r="BH22" s="103">
        <v>-32556.7</v>
      </c>
      <c r="BI22" s="103"/>
      <c r="BJ22" s="103"/>
      <c r="BK22" s="103"/>
      <c r="BL22" s="103"/>
      <c r="BM22" s="103"/>
      <c r="BN22" s="103"/>
      <c r="BO22" s="103"/>
      <c r="BP22" s="103"/>
      <c r="BQ22" s="103"/>
      <c r="BR22" s="243">
        <v>-8.829798278245482E-3</v>
      </c>
      <c r="BS22" s="103">
        <f t="shared" si="1"/>
        <v>-321744.68</v>
      </c>
      <c r="BT22" s="103">
        <f t="shared" si="2"/>
        <v>-110905.18</v>
      </c>
      <c r="BU22" s="103">
        <f t="shared" si="3"/>
        <v>-26812.056666666667</v>
      </c>
      <c r="BV22" s="103">
        <f t="shared" si="4"/>
        <v>-36968.393333333333</v>
      </c>
      <c r="BW22" s="243">
        <f t="shared" si="5"/>
        <v>-0.11933689661745284</v>
      </c>
      <c r="BZ22">
        <f t="shared" si="6"/>
        <v>3</v>
      </c>
    </row>
    <row r="23" spans="1:78" ht="15" x14ac:dyDescent="0.2">
      <c r="A23" s="2" t="s">
        <v>107</v>
      </c>
      <c r="B23" s="2">
        <v>22</v>
      </c>
      <c r="C23" s="2" t="s">
        <v>214</v>
      </c>
      <c r="D23" s="99" t="s">
        <v>228</v>
      </c>
      <c r="E23" s="99" t="s">
        <v>229</v>
      </c>
      <c r="G23" s="20" t="str">
        <f t="shared" si="0"/>
        <v>1 - TOTALDESPESAS INTERCOMPANY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-210000</v>
      </c>
      <c r="AV23" s="20">
        <v>-80000</v>
      </c>
      <c r="AW23" s="20">
        <v>-80000</v>
      </c>
      <c r="AX23" s="20">
        <v>-80000</v>
      </c>
      <c r="AY23" s="20">
        <v>-80000</v>
      </c>
      <c r="AZ23" s="20">
        <v>0</v>
      </c>
      <c r="BA23" s="20">
        <v>0</v>
      </c>
      <c r="BB23" s="20">
        <v>-110000</v>
      </c>
      <c r="BC23" s="20">
        <v>-170000</v>
      </c>
      <c r="BD23" s="20">
        <v>0</v>
      </c>
      <c r="BE23" s="20">
        <v>-400000</v>
      </c>
      <c r="BF23" s="103">
        <v>-50000</v>
      </c>
      <c r="BG23" s="103">
        <v>0</v>
      </c>
      <c r="BH23" s="103">
        <v>0</v>
      </c>
      <c r="BI23" s="103"/>
      <c r="BJ23" s="103"/>
      <c r="BK23" s="103"/>
      <c r="BL23" s="103"/>
      <c r="BM23" s="103"/>
      <c r="BN23" s="103"/>
      <c r="BO23" s="103"/>
      <c r="BP23" s="103"/>
      <c r="BQ23" s="103"/>
      <c r="BR23" s="243" t="str">
        <f t="shared" ref="BR23" si="11">IFERROR((BE23/BD23-1),"")</f>
        <v/>
      </c>
      <c r="BS23" s="103">
        <f t="shared" si="1"/>
        <v>-1210000</v>
      </c>
      <c r="BT23" s="103">
        <f t="shared" si="2"/>
        <v>-50000</v>
      </c>
      <c r="BU23" s="103">
        <f t="shared" si="3"/>
        <v>-100833.33333333333</v>
      </c>
      <c r="BV23" s="103">
        <f t="shared" si="4"/>
        <v>-16666.666666666668</v>
      </c>
      <c r="BW23" s="243">
        <f t="shared" si="5"/>
        <v>-1</v>
      </c>
      <c r="BZ23">
        <f t="shared" si="6"/>
        <v>3</v>
      </c>
    </row>
    <row r="24" spans="1:78" ht="15" x14ac:dyDescent="0.2">
      <c r="A24" s="2" t="s">
        <v>107</v>
      </c>
      <c r="B24" s="2">
        <v>23</v>
      </c>
      <c r="C24" s="2"/>
      <c r="D24" s="98" t="s">
        <v>264</v>
      </c>
      <c r="E24" s="98"/>
      <c r="F24" s="90"/>
      <c r="G24" s="20" t="str">
        <f t="shared" si="0"/>
        <v>1 - TOTAL</v>
      </c>
      <c r="H24" s="87">
        <f>H13+H14</f>
        <v>887541.30599996017</v>
      </c>
      <c r="I24" s="87">
        <f t="shared" ref="I24:BH24" si="12">I13+I14</f>
        <v>413320.25712819834</v>
      </c>
      <c r="J24" s="87">
        <f t="shared" si="12"/>
        <v>1353068.6319973888</v>
      </c>
      <c r="K24" s="87">
        <f t="shared" si="12"/>
        <v>934254.55299995025</v>
      </c>
      <c r="L24" s="87">
        <f t="shared" si="12"/>
        <v>973423.09999995097</v>
      </c>
      <c r="M24" s="87">
        <f t="shared" si="12"/>
        <v>949426.42</v>
      </c>
      <c r="N24" s="87">
        <f t="shared" si="12"/>
        <v>1451322.2500000005</v>
      </c>
      <c r="O24" s="87">
        <f t="shared" si="12"/>
        <v>736622.3899999999</v>
      </c>
      <c r="P24" s="87">
        <f t="shared" si="12"/>
        <v>1691938.9699999995</v>
      </c>
      <c r="Q24" s="87">
        <f t="shared" si="12"/>
        <v>911080.32999999961</v>
      </c>
      <c r="R24" s="87">
        <f t="shared" si="12"/>
        <v>1690535.6500000001</v>
      </c>
      <c r="S24" s="87">
        <f t="shared" si="12"/>
        <v>1051908.46</v>
      </c>
      <c r="T24" s="87">
        <f t="shared" si="12"/>
        <v>1051908.46</v>
      </c>
      <c r="U24" s="87">
        <f t="shared" si="12"/>
        <v>1562127.78</v>
      </c>
      <c r="V24" s="87">
        <f t="shared" si="12"/>
        <v>1562127.78</v>
      </c>
      <c r="W24" s="87">
        <f t="shared" si="12"/>
        <v>712644.34000000008</v>
      </c>
      <c r="X24" s="87">
        <f t="shared" si="12"/>
        <v>324200.02999999985</v>
      </c>
      <c r="Y24" s="87">
        <f t="shared" si="12"/>
        <v>1053127</v>
      </c>
      <c r="Z24" s="87">
        <f t="shared" si="12"/>
        <v>1529831.23</v>
      </c>
      <c r="AA24" s="87">
        <f t="shared" si="12"/>
        <v>1052429.4600000002</v>
      </c>
      <c r="AB24" s="87">
        <f t="shared" si="12"/>
        <v>1082518.7100000004</v>
      </c>
      <c r="AC24" s="87">
        <f t="shared" si="12"/>
        <v>803105.89409999957</v>
      </c>
      <c r="AD24" s="87">
        <f t="shared" si="12"/>
        <v>960923.78000000049</v>
      </c>
      <c r="AE24" s="87">
        <f t="shared" si="12"/>
        <v>1233618.67</v>
      </c>
      <c r="AF24" s="87">
        <f t="shared" si="12"/>
        <v>1123415.9508</v>
      </c>
      <c r="AG24" s="87">
        <f t="shared" si="12"/>
        <v>1458837.53</v>
      </c>
      <c r="AH24" s="87">
        <f t="shared" si="12"/>
        <v>772097.45000000019</v>
      </c>
      <c r="AI24" s="87">
        <f t="shared" si="12"/>
        <v>63601.179999999935</v>
      </c>
      <c r="AJ24" s="87">
        <f t="shared" si="12"/>
        <v>523197.82819032256</v>
      </c>
      <c r="AK24" s="87">
        <f t="shared" si="12"/>
        <v>1152615.8799999999</v>
      </c>
      <c r="AL24" s="87">
        <f t="shared" si="12"/>
        <v>1510249.0600000003</v>
      </c>
      <c r="AM24" s="87">
        <f t="shared" si="12"/>
        <v>968734.25959999999</v>
      </c>
      <c r="AN24" s="87">
        <f t="shared" si="12"/>
        <v>894276.27000000037</v>
      </c>
      <c r="AO24" s="87">
        <f t="shared" si="12"/>
        <v>670952.7239999997</v>
      </c>
      <c r="AP24" s="87">
        <f t="shared" si="12"/>
        <v>1018944.2625322578</v>
      </c>
      <c r="AQ24" s="87">
        <f t="shared" si="12"/>
        <v>1104770.4364111</v>
      </c>
      <c r="AR24" s="87">
        <f t="shared" si="12"/>
        <v>738002.27459999989</v>
      </c>
      <c r="AS24" s="87">
        <f t="shared" si="12"/>
        <v>788663.97460000007</v>
      </c>
      <c r="AT24" s="87">
        <f t="shared" si="12"/>
        <v>2192974.64</v>
      </c>
      <c r="AU24" s="87">
        <f t="shared" si="12"/>
        <v>1490673.9900000002</v>
      </c>
      <c r="AV24" s="87">
        <f t="shared" si="12"/>
        <v>1460217.49</v>
      </c>
      <c r="AW24" s="87">
        <f t="shared" si="12"/>
        <v>2480554.91</v>
      </c>
      <c r="AX24" s="87">
        <f t="shared" si="12"/>
        <v>1911789.8000000003</v>
      </c>
      <c r="AY24" s="87">
        <f t="shared" si="12"/>
        <v>1874919.71</v>
      </c>
      <c r="AZ24" s="87">
        <f t="shared" si="12"/>
        <v>2056242.9499999997</v>
      </c>
      <c r="BA24" s="87">
        <f t="shared" si="12"/>
        <v>3003304.4200000004</v>
      </c>
      <c r="BB24" s="87">
        <f t="shared" si="12"/>
        <v>2460871.4300000002</v>
      </c>
      <c r="BC24" s="87">
        <f t="shared" si="12"/>
        <v>2181433.92</v>
      </c>
      <c r="BD24" s="87">
        <f t="shared" si="12"/>
        <v>2538064.11</v>
      </c>
      <c r="BE24" s="87">
        <f t="shared" si="12"/>
        <v>3591757.8099999996</v>
      </c>
      <c r="BF24" s="87">
        <f t="shared" si="12"/>
        <v>2345199.35</v>
      </c>
      <c r="BG24" s="87">
        <f t="shared" si="12"/>
        <v>2569479.4700000002</v>
      </c>
      <c r="BH24" s="87">
        <f t="shared" si="12"/>
        <v>1924050.1200000006</v>
      </c>
      <c r="BI24" s="141"/>
      <c r="BJ24" s="141"/>
      <c r="BK24" s="141"/>
      <c r="BL24" s="141"/>
      <c r="BM24" s="141"/>
      <c r="BN24" s="141"/>
      <c r="BO24" s="141"/>
      <c r="BP24" s="141"/>
      <c r="BQ24" s="141"/>
      <c r="BR24" s="243">
        <f>IFERROR((BH24/BG24-1),"")</f>
        <v>-0.25119070128238841</v>
      </c>
      <c r="BS24" s="103">
        <f t="shared" si="1"/>
        <v>27242805.179999996</v>
      </c>
      <c r="BT24" s="103">
        <f t="shared" si="2"/>
        <v>6838728.9400000013</v>
      </c>
      <c r="BU24" s="103">
        <f t="shared" si="3"/>
        <v>2270233.7649999997</v>
      </c>
      <c r="BV24" s="103">
        <f t="shared" si="4"/>
        <v>2279576.3133333339</v>
      </c>
      <c r="BW24" s="243">
        <f t="shared" si="5"/>
        <v>-0.15596152287328413</v>
      </c>
      <c r="BX24">
        <v>3</v>
      </c>
      <c r="BZ24">
        <f t="shared" si="6"/>
        <v>3</v>
      </c>
    </row>
    <row r="25" spans="1:78" ht="15" x14ac:dyDescent="0.2">
      <c r="A25" s="2" t="s">
        <v>107</v>
      </c>
      <c r="B25" s="2">
        <v>24</v>
      </c>
      <c r="C25" s="2"/>
      <c r="D25" s="98" t="s">
        <v>263</v>
      </c>
      <c r="E25" s="98"/>
      <c r="F25" s="90"/>
      <c r="G25" s="20" t="str">
        <f t="shared" si="0"/>
        <v>1 - TOTAL</v>
      </c>
      <c r="H25" s="87">
        <f>H13+H14+H30+H31+H32</f>
        <v>72469.754888760275</v>
      </c>
      <c r="I25" s="87">
        <f t="shared" ref="I25:BH25" si="13">I13+I14+I30+I31+I32</f>
        <v>-390219.32</v>
      </c>
      <c r="J25" s="87">
        <f t="shared" si="13"/>
        <v>527599.15199990012</v>
      </c>
      <c r="K25" s="87">
        <f t="shared" si="13"/>
        <v>102291.95299995015</v>
      </c>
      <c r="L25" s="87">
        <f t="shared" si="13"/>
        <v>135381.91999995112</v>
      </c>
      <c r="M25" s="87">
        <f t="shared" si="13"/>
        <v>75772.969999999987</v>
      </c>
      <c r="N25" s="87">
        <f t="shared" si="13"/>
        <v>563985.32000000053</v>
      </c>
      <c r="O25" s="87">
        <f t="shared" si="13"/>
        <v>-170829.8600000001</v>
      </c>
      <c r="P25" s="87">
        <f t="shared" si="13"/>
        <v>859441.65999999945</v>
      </c>
      <c r="Q25" s="87">
        <f t="shared" si="13"/>
        <v>-32607.870000000577</v>
      </c>
      <c r="R25" s="87">
        <f t="shared" si="13"/>
        <v>796975.74000000011</v>
      </c>
      <c r="S25" s="87">
        <f t="shared" si="13"/>
        <v>-333159.19000000012</v>
      </c>
      <c r="T25" s="87">
        <f t="shared" si="13"/>
        <v>90626.809999999881</v>
      </c>
      <c r="U25" s="87">
        <f t="shared" si="13"/>
        <v>680723.77999999991</v>
      </c>
      <c r="V25" s="87">
        <f t="shared" si="13"/>
        <v>1104509.78</v>
      </c>
      <c r="W25" s="87">
        <f t="shared" si="13"/>
        <v>-204741.07999999987</v>
      </c>
      <c r="X25" s="87">
        <f t="shared" si="13"/>
        <v>-622845.81000000017</v>
      </c>
      <c r="Y25" s="87">
        <f t="shared" si="13"/>
        <v>113278.56000000017</v>
      </c>
      <c r="Z25" s="87">
        <f t="shared" si="13"/>
        <v>546846.07000000007</v>
      </c>
      <c r="AA25" s="87">
        <f t="shared" si="13"/>
        <v>64195.330000000366</v>
      </c>
      <c r="AB25" s="87">
        <f t="shared" si="13"/>
        <v>77170.81000000058</v>
      </c>
      <c r="AC25" s="87">
        <f t="shared" si="13"/>
        <v>-237174.56180000043</v>
      </c>
      <c r="AD25" s="87">
        <f t="shared" si="13"/>
        <v>-87824.979999999559</v>
      </c>
      <c r="AE25" s="87">
        <f t="shared" si="13"/>
        <v>144287.81999999995</v>
      </c>
      <c r="AF25" s="87">
        <f t="shared" si="13"/>
        <v>-3928.9283999999752</v>
      </c>
      <c r="AG25" s="87">
        <f t="shared" si="13"/>
        <v>335755.21</v>
      </c>
      <c r="AH25" s="87">
        <f t="shared" si="13"/>
        <v>-239345.03999999978</v>
      </c>
      <c r="AI25" s="87">
        <f t="shared" si="13"/>
        <v>-975368.81</v>
      </c>
      <c r="AJ25" s="87">
        <f t="shared" si="13"/>
        <v>-519814.37461935461</v>
      </c>
      <c r="AK25" s="87">
        <f t="shared" si="13"/>
        <v>131928.00000000003</v>
      </c>
      <c r="AL25" s="87">
        <f t="shared" si="13"/>
        <v>483021.65000000049</v>
      </c>
      <c r="AM25" s="87">
        <f t="shared" si="13"/>
        <v>-32577.220799999996</v>
      </c>
      <c r="AN25" s="87">
        <f t="shared" si="13"/>
        <v>-136109.33979999929</v>
      </c>
      <c r="AO25" s="87">
        <f t="shared" si="13"/>
        <v>-345831.35760000034</v>
      </c>
      <c r="AP25" s="87">
        <f t="shared" si="13"/>
        <v>37047.557564515788</v>
      </c>
      <c r="AQ25" s="87">
        <f t="shared" si="13"/>
        <v>47491.922822199936</v>
      </c>
      <c r="AR25" s="87">
        <f t="shared" si="13"/>
        <v>-296857.07380000019</v>
      </c>
      <c r="AS25" s="87">
        <f t="shared" si="13"/>
        <v>-261807.11079999997</v>
      </c>
      <c r="AT25" s="87">
        <f t="shared" si="13"/>
        <v>1116308.58</v>
      </c>
      <c r="AU25" s="87">
        <f t="shared" si="13"/>
        <v>443156.21450000012</v>
      </c>
      <c r="AV25" s="87">
        <f t="shared" si="13"/>
        <v>361151.55439999985</v>
      </c>
      <c r="AW25" s="87">
        <f t="shared" si="13"/>
        <v>1391814.31</v>
      </c>
      <c r="AX25" s="87">
        <f t="shared" si="13"/>
        <v>782545.29000000027</v>
      </c>
      <c r="AY25" s="87">
        <f t="shared" si="13"/>
        <v>718360.31779999984</v>
      </c>
      <c r="AZ25" s="87">
        <f t="shared" si="13"/>
        <v>868397.64299999969</v>
      </c>
      <c r="BA25" s="87">
        <f t="shared" si="13"/>
        <v>1799056.9816000003</v>
      </c>
      <c r="BB25" s="87">
        <f t="shared" si="13"/>
        <v>1271487.7386000003</v>
      </c>
      <c r="BC25" s="87">
        <f t="shared" si="13"/>
        <v>929643.28960000002</v>
      </c>
      <c r="BD25" s="87">
        <f t="shared" si="13"/>
        <v>1303758.4432000001</v>
      </c>
      <c r="BE25" s="87">
        <f t="shared" si="13"/>
        <v>2339803.8594999998</v>
      </c>
      <c r="BF25" s="87">
        <f t="shared" si="13"/>
        <v>1052807.3577000005</v>
      </c>
      <c r="BG25" s="87">
        <f t="shared" si="13"/>
        <v>1295126.6499999997</v>
      </c>
      <c r="BH25" s="87">
        <f t="shared" si="13"/>
        <v>616630.38000000059</v>
      </c>
      <c r="BI25" s="141"/>
      <c r="BJ25" s="141"/>
      <c r="BK25" s="141"/>
      <c r="BL25" s="141"/>
      <c r="BM25" s="141"/>
      <c r="BN25" s="141"/>
      <c r="BO25" s="141"/>
      <c r="BP25" s="141"/>
      <c r="BQ25" s="141"/>
      <c r="BR25" s="243">
        <f t="shared" ref="BR25:BR42" si="14">IFERROR((BH25/BG25-1),"")</f>
        <v>-0.52388410816810793</v>
      </c>
      <c r="BS25" s="103">
        <f t="shared" si="1"/>
        <v>13325484.222199999</v>
      </c>
      <c r="BT25" s="103">
        <f t="shared" si="2"/>
        <v>2964564.3877000008</v>
      </c>
      <c r="BU25" s="103">
        <f t="shared" si="3"/>
        <v>1110457.0185166665</v>
      </c>
      <c r="BV25" s="103">
        <f t="shared" si="4"/>
        <v>988188.12923333363</v>
      </c>
      <c r="BW25" s="243">
        <f t="shared" si="5"/>
        <v>-0.37599900083964666</v>
      </c>
      <c r="BX25">
        <v>3</v>
      </c>
      <c r="BZ25">
        <f t="shared" si="6"/>
        <v>3</v>
      </c>
    </row>
    <row r="26" spans="1:78" ht="15" x14ac:dyDescent="0.2">
      <c r="A26" s="2" t="s">
        <v>107</v>
      </c>
      <c r="B26" s="2">
        <v>25</v>
      </c>
      <c r="C26" s="2" t="s">
        <v>215</v>
      </c>
      <c r="D26" s="99" t="s">
        <v>200</v>
      </c>
      <c r="E26" s="99" t="s">
        <v>221</v>
      </c>
      <c r="G26" s="20" t="str">
        <f t="shared" si="0"/>
        <v>1 - TOTALDEPRECIAÇÃO / AMORTIZAÇÃO</v>
      </c>
      <c r="H26" s="20">
        <v>-4320.99</v>
      </c>
      <c r="I26" s="20">
        <v>-4828.1752504655497</v>
      </c>
      <c r="J26" s="20">
        <v>-5157.12</v>
      </c>
      <c r="K26" s="20">
        <v>-5386.1445004655498</v>
      </c>
      <c r="L26" s="20">
        <v>-5618.8994171322202</v>
      </c>
      <c r="M26" s="20">
        <v>-5814.518</v>
      </c>
      <c r="N26" s="20">
        <v>-6009.59</v>
      </c>
      <c r="O26" s="20">
        <v>-6165.0915837988796</v>
      </c>
      <c r="P26" s="20">
        <v>-6418.85</v>
      </c>
      <c r="Q26" s="20">
        <v>-6707.3530004655504</v>
      </c>
      <c r="R26" s="20">
        <v>-6836.39891713222</v>
      </c>
      <c r="S26" s="20">
        <v>-7002.56</v>
      </c>
      <c r="T26" s="20">
        <v>-7002.56</v>
      </c>
      <c r="U26" s="20">
        <v>-6388.8099999999995</v>
      </c>
      <c r="V26" s="20">
        <v>-6388.8099999999995</v>
      </c>
      <c r="W26" s="20">
        <v>-6896.0018333333301</v>
      </c>
      <c r="X26" s="20">
        <v>-7224.9482500000004</v>
      </c>
      <c r="Y26" s="20">
        <v>-7453.9710833333302</v>
      </c>
      <c r="Z26" s="20">
        <v>-7686.7259999999997</v>
      </c>
      <c r="AA26" s="20">
        <v>-7882.35</v>
      </c>
      <c r="AB26" s="20">
        <v>-8077.42</v>
      </c>
      <c r="AC26" s="20">
        <v>-8232.9191666666702</v>
      </c>
      <c r="AD26" s="20">
        <v>-8486.6768333333293</v>
      </c>
      <c r="AE26" s="20">
        <v>-8775.1784166666694</v>
      </c>
      <c r="AF26" s="20">
        <v>-8904.2255000000005</v>
      </c>
      <c r="AG26" s="20">
        <v>-9070.3816666666698</v>
      </c>
      <c r="AH26" s="20">
        <v>-7202.8725322500004</v>
      </c>
      <c r="AI26" s="20">
        <v>-7448.4570802500002</v>
      </c>
      <c r="AJ26" s="20">
        <v>-7448.4557665000002</v>
      </c>
      <c r="AK26" s="20">
        <v>-7259.89</v>
      </c>
      <c r="AL26" s="20">
        <v>-7246.5</v>
      </c>
      <c r="AM26" s="20">
        <v>-7202.87</v>
      </c>
      <c r="AN26" s="20">
        <v>-7220.38</v>
      </c>
      <c r="AO26" s="20">
        <v>-7219.1622802499996</v>
      </c>
      <c r="AP26" s="20">
        <v>-7219.1609664999996</v>
      </c>
      <c r="AQ26" s="20">
        <v>-38127.54</v>
      </c>
      <c r="AR26" s="20">
        <v>-38127.54</v>
      </c>
      <c r="AS26" s="20">
        <v>-38127.54</v>
      </c>
      <c r="AT26" s="20">
        <v>-79549.09</v>
      </c>
      <c r="AU26" s="20">
        <v>-79549.09</v>
      </c>
      <c r="AV26" s="20">
        <v>-79549.09</v>
      </c>
      <c r="AW26" s="20">
        <v>-79549.09</v>
      </c>
      <c r="AX26" s="20">
        <v>-79549.09</v>
      </c>
      <c r="AY26" s="20">
        <v>-32092.97</v>
      </c>
      <c r="AZ26" s="20">
        <v>-32092.969666666701</v>
      </c>
      <c r="BA26" s="20">
        <v>-32092.969666666701</v>
      </c>
      <c r="BB26" s="20">
        <v>-32092.969666666701</v>
      </c>
      <c r="BC26" s="20">
        <v>-32092.969666666701</v>
      </c>
      <c r="BD26" s="20">
        <v>-32092.969666666701</v>
      </c>
      <c r="BE26" s="20">
        <v>-32092.969666666701</v>
      </c>
      <c r="BF26" s="103">
        <v>-32092.9664204</v>
      </c>
      <c r="BG26" s="103">
        <v>-32092.9664204</v>
      </c>
      <c r="BH26" s="103">
        <v>-32092.9664204</v>
      </c>
      <c r="BI26" s="103"/>
      <c r="BJ26" s="103"/>
      <c r="BK26" s="103"/>
      <c r="BL26" s="103"/>
      <c r="BM26" s="103"/>
      <c r="BN26" s="103"/>
      <c r="BO26" s="103"/>
      <c r="BP26" s="103"/>
      <c r="BQ26" s="103"/>
      <c r="BR26" s="243">
        <f t="shared" si="14"/>
        <v>0</v>
      </c>
      <c r="BS26" s="103">
        <f t="shared" si="1"/>
        <v>-622396.23800000013</v>
      </c>
      <c r="BT26" s="103">
        <f t="shared" si="2"/>
        <v>-96278.8992612</v>
      </c>
      <c r="BU26" s="103">
        <f t="shared" si="3"/>
        <v>-51866.353166666675</v>
      </c>
      <c r="BV26" s="103">
        <f t="shared" si="4"/>
        <v>-32092.9664204</v>
      </c>
      <c r="BW26" s="243">
        <f t="shared" si="5"/>
        <v>0</v>
      </c>
      <c r="BZ26">
        <f t="shared" si="6"/>
        <v>3</v>
      </c>
    </row>
    <row r="27" spans="1:78" ht="15" x14ac:dyDescent="0.2">
      <c r="A27" s="2" t="s">
        <v>107</v>
      </c>
      <c r="B27" s="2">
        <v>26</v>
      </c>
      <c r="C27" s="2" t="s">
        <v>216</v>
      </c>
      <c r="D27" s="99" t="s">
        <v>77</v>
      </c>
      <c r="E27" s="99" t="s">
        <v>89</v>
      </c>
      <c r="G27" s="20" t="str">
        <f t="shared" si="0"/>
        <v>1 - TOTALRESULTADO FINANCEIRO</v>
      </c>
      <c r="H27" s="20">
        <v>-18529.150000000001</v>
      </c>
      <c r="I27" s="20">
        <v>-23934.07</v>
      </c>
      <c r="J27" s="20">
        <v>-15688.44</v>
      </c>
      <c r="K27" s="20">
        <v>-20428.98</v>
      </c>
      <c r="L27" s="20">
        <v>-5697.78</v>
      </c>
      <c r="M27" s="20">
        <v>-4862.558</v>
      </c>
      <c r="N27" s="20">
        <v>-4891.7299999999996</v>
      </c>
      <c r="O27" s="20">
        <v>-4375.26</v>
      </c>
      <c r="P27" s="20">
        <v>4349.13</v>
      </c>
      <c r="Q27" s="20">
        <v>-6890.98</v>
      </c>
      <c r="R27" s="20">
        <v>-3775.71</v>
      </c>
      <c r="S27" s="20">
        <v>5791.63</v>
      </c>
      <c r="T27" s="20">
        <v>5791.63</v>
      </c>
      <c r="U27" s="20">
        <v>5300.41</v>
      </c>
      <c r="V27" s="20">
        <v>5300.41</v>
      </c>
      <c r="W27" s="20">
        <v>2342.11</v>
      </c>
      <c r="X27" s="20">
        <v>-29047.31</v>
      </c>
      <c r="Y27" s="20">
        <v>-30708.85</v>
      </c>
      <c r="Z27" s="20">
        <v>-28590.850000000002</v>
      </c>
      <c r="AA27" s="20">
        <v>-11454.329999999998</v>
      </c>
      <c r="AB27" s="20">
        <v>-4807.05</v>
      </c>
      <c r="AC27" s="20">
        <v>-11096</v>
      </c>
      <c r="AD27" s="20">
        <v>-7849.26</v>
      </c>
      <c r="AE27" s="20">
        <v>4181.6899999999996</v>
      </c>
      <c r="AF27" s="20">
        <v>-14377.59</v>
      </c>
      <c r="AG27" s="20">
        <v>540.7600000000001</v>
      </c>
      <c r="AH27" s="20">
        <v>-640.33000000000004</v>
      </c>
      <c r="AI27" s="20">
        <v>727.52</v>
      </c>
      <c r="AJ27" s="20">
        <v>-21976.489999999998</v>
      </c>
      <c r="AK27" s="20">
        <v>-6348.1600000000008</v>
      </c>
      <c r="AL27" s="20">
        <v>697.08220000000006</v>
      </c>
      <c r="AM27" s="20">
        <v>6374.1</v>
      </c>
      <c r="AN27" s="20">
        <v>2771.7099999999996</v>
      </c>
      <c r="AO27" s="20">
        <v>217.71999999999952</v>
      </c>
      <c r="AP27" s="20">
        <v>-3270.28</v>
      </c>
      <c r="AQ27" s="20">
        <v>1429.54</v>
      </c>
      <c r="AR27" s="20">
        <v>-8980.02</v>
      </c>
      <c r="AS27" s="20">
        <v>-15232.190000000002</v>
      </c>
      <c r="AT27" s="20">
        <v>-8453.9800000000014</v>
      </c>
      <c r="AU27" s="20">
        <v>-16305.02</v>
      </c>
      <c r="AV27" s="20">
        <v>-18668.810000000001</v>
      </c>
      <c r="AW27" s="20">
        <v>-23236.469999999998</v>
      </c>
      <c r="AX27" s="20">
        <v>-12815.999999999998</v>
      </c>
      <c r="AY27" s="20">
        <v>-102.9200000000007</v>
      </c>
      <c r="AZ27" s="20">
        <v>-16731.14</v>
      </c>
      <c r="BA27" s="20">
        <v>-14389.54</v>
      </c>
      <c r="BB27" s="20">
        <v>-13265.6</v>
      </c>
      <c r="BC27" s="20">
        <v>-8767.65</v>
      </c>
      <c r="BD27" s="20">
        <v>-3058.3299999999986</v>
      </c>
      <c r="BE27" s="20">
        <v>-12135.7</v>
      </c>
      <c r="BF27" s="103">
        <v>7983.579999999999</v>
      </c>
      <c r="BG27" s="103">
        <v>-25071.649999999998</v>
      </c>
      <c r="BH27" s="103">
        <v>-14997.789999999999</v>
      </c>
      <c r="BI27" s="103"/>
      <c r="BJ27" s="103"/>
      <c r="BK27" s="103"/>
      <c r="BL27" s="103"/>
      <c r="BM27" s="103"/>
      <c r="BN27" s="103"/>
      <c r="BO27" s="103"/>
      <c r="BP27" s="103"/>
      <c r="BQ27" s="103"/>
      <c r="BR27" s="243">
        <f t="shared" si="14"/>
        <v>-0.40180283308039155</v>
      </c>
      <c r="BS27" s="103">
        <f t="shared" si="1"/>
        <v>-147931.16</v>
      </c>
      <c r="BT27" s="103">
        <f t="shared" si="2"/>
        <v>-32085.86</v>
      </c>
      <c r="BU27" s="103">
        <f t="shared" si="3"/>
        <v>-12327.596666666666</v>
      </c>
      <c r="BV27" s="103">
        <f t="shared" si="4"/>
        <v>-10695.286666666667</v>
      </c>
      <c r="BW27" s="243">
        <f t="shared" si="5"/>
        <v>0.40228031911876427</v>
      </c>
      <c r="BZ27">
        <f t="shared" si="6"/>
        <v>3</v>
      </c>
    </row>
    <row r="28" spans="1:78" ht="15" x14ac:dyDescent="0.2">
      <c r="A28" s="2" t="s">
        <v>107</v>
      </c>
      <c r="B28" s="2">
        <v>27</v>
      </c>
      <c r="C28" s="2" t="s">
        <v>217</v>
      </c>
      <c r="D28" s="99" t="s">
        <v>201</v>
      </c>
      <c r="E28" s="99" t="s">
        <v>222</v>
      </c>
      <c r="G28" s="20" t="str">
        <f t="shared" si="0"/>
        <v>1 - TOTALIMPOSTOS (IRPJ+CSLL+PIS+COFINS+ISS)</v>
      </c>
      <c r="H28" s="20">
        <v>-364001.81</v>
      </c>
      <c r="I28" s="20">
        <v>-303660.18642999901</v>
      </c>
      <c r="J28" s="20">
        <v>-221595.28</v>
      </c>
      <c r="K28" s="20">
        <v>-126168.38</v>
      </c>
      <c r="L28" s="20">
        <v>-120385.37999999999</v>
      </c>
      <c r="M28" s="20">
        <v>-126306.72900000001</v>
      </c>
      <c r="N28" s="20">
        <v>-381529.06</v>
      </c>
      <c r="O28" s="20">
        <v>-346410.26</v>
      </c>
      <c r="P28" s="20">
        <v>-395880.94</v>
      </c>
      <c r="Q28" s="20">
        <v>-416896.06</v>
      </c>
      <c r="R28" s="20">
        <v>-490234.93300000002</v>
      </c>
      <c r="S28" s="20">
        <v>-463268.19449999998</v>
      </c>
      <c r="T28" s="20">
        <v>-463268.19449999998</v>
      </c>
      <c r="U28" s="20">
        <v>-406850.41</v>
      </c>
      <c r="V28" s="20">
        <v>-406850.41</v>
      </c>
      <c r="W28" s="20">
        <v>-384163.24</v>
      </c>
      <c r="X28" s="20">
        <v>-368741.87999999902</v>
      </c>
      <c r="Y28" s="20">
        <v>-322620.16000000003</v>
      </c>
      <c r="Z28" s="20">
        <v>-348880.01</v>
      </c>
      <c r="AA28" s="20">
        <v>-313180.91000000003</v>
      </c>
      <c r="AB28" s="20">
        <v>-420139.04000000202</v>
      </c>
      <c r="AC28" s="20">
        <v>-420311.94000000099</v>
      </c>
      <c r="AD28" s="20">
        <v>-450126.74000000005</v>
      </c>
      <c r="AE28" s="20">
        <v>-481226.12</v>
      </c>
      <c r="AF28" s="20">
        <v>-477684.99</v>
      </c>
      <c r="AG28" s="20">
        <v>-498271.37</v>
      </c>
      <c r="AH28" s="20">
        <v>-424835.29</v>
      </c>
      <c r="AI28" s="20">
        <v>-397431.11</v>
      </c>
      <c r="AJ28" s="20">
        <v>-419485.03</v>
      </c>
      <c r="AK28" s="20">
        <v>-426728.05999999994</v>
      </c>
      <c r="AL28" s="20">
        <v>-479311.70022200001</v>
      </c>
      <c r="AM28" s="20">
        <v>-424364.24</v>
      </c>
      <c r="AN28" s="20">
        <v>-465557.04</v>
      </c>
      <c r="AO28" s="20">
        <v>-446303.08</v>
      </c>
      <c r="AP28" s="20">
        <v>-476472.28</v>
      </c>
      <c r="AQ28" s="20">
        <v>-463963.06000000006</v>
      </c>
      <c r="AR28" s="20">
        <v>-468396.2</v>
      </c>
      <c r="AS28" s="20">
        <v>-483555.57000000199</v>
      </c>
      <c r="AT28" s="20">
        <v>-325617.00999999995</v>
      </c>
      <c r="AU28" s="20">
        <v>-258237.14</v>
      </c>
      <c r="AV28" s="20">
        <v>-305293.15999999997</v>
      </c>
      <c r="AW28" s="20">
        <v>-510784.45999999996</v>
      </c>
      <c r="AX28" s="20">
        <v>-498930.06</v>
      </c>
      <c r="AY28" s="20">
        <v>-472692.22</v>
      </c>
      <c r="AZ28" s="20">
        <v>-583325.94000000006</v>
      </c>
      <c r="BA28" s="20">
        <v>-598087.77</v>
      </c>
      <c r="BB28" s="20">
        <v>-545440.62</v>
      </c>
      <c r="BC28" s="20">
        <v>-632881.12</v>
      </c>
      <c r="BD28" s="20">
        <v>-644321.16999999993</v>
      </c>
      <c r="BE28" s="20">
        <v>-719990.36</v>
      </c>
      <c r="BF28" s="103">
        <v>-680191.5</v>
      </c>
      <c r="BG28" s="103">
        <v>-631999.10000000009</v>
      </c>
      <c r="BH28" s="103">
        <v>-650151.32999999996</v>
      </c>
      <c r="BI28" s="103"/>
      <c r="BJ28" s="103"/>
      <c r="BK28" s="103"/>
      <c r="BL28" s="103"/>
      <c r="BM28" s="103"/>
      <c r="BN28" s="103"/>
      <c r="BO28" s="103"/>
      <c r="BP28" s="103"/>
      <c r="BQ28" s="103"/>
      <c r="BR28" s="243">
        <f t="shared" si="14"/>
        <v>2.8721923812865979E-2</v>
      </c>
      <c r="BS28" s="103">
        <f t="shared" si="1"/>
        <v>-6095601.0300000003</v>
      </c>
      <c r="BT28" s="103">
        <f t="shared" si="2"/>
        <v>-1962341.9300000002</v>
      </c>
      <c r="BU28" s="103">
        <f t="shared" si="3"/>
        <v>-507966.7525</v>
      </c>
      <c r="BV28" s="103">
        <f t="shared" si="4"/>
        <v>-654113.97666666668</v>
      </c>
      <c r="BW28" s="243">
        <f t="shared" si="5"/>
        <v>-6.0580369905259834E-3</v>
      </c>
      <c r="BZ28">
        <f t="shared" si="6"/>
        <v>3</v>
      </c>
    </row>
    <row r="29" spans="1:78" ht="15" x14ac:dyDescent="0.2">
      <c r="A29" s="2" t="s">
        <v>107</v>
      </c>
      <c r="B29" s="2">
        <v>28</v>
      </c>
      <c r="C29" s="2"/>
      <c r="D29" s="104" t="s">
        <v>202</v>
      </c>
      <c r="E29" s="104"/>
      <c r="F29" s="112"/>
      <c r="G29" s="20" t="str">
        <f t="shared" si="0"/>
        <v>1 - TOTAL</v>
      </c>
      <c r="H29" s="87">
        <f>H13+H14+H26+H27+H28</f>
        <v>500689.35599996016</v>
      </c>
      <c r="I29" s="87">
        <f t="shared" ref="I29:BH29" si="15">I13+I14+I26+I27+I28</f>
        <v>80897.825447733747</v>
      </c>
      <c r="J29" s="87">
        <f t="shared" si="15"/>
        <v>1110627.7919973887</v>
      </c>
      <c r="K29" s="87">
        <f t="shared" si="15"/>
        <v>782271.04849948466</v>
      </c>
      <c r="L29" s="87">
        <f t="shared" si="15"/>
        <v>841721.04058281868</v>
      </c>
      <c r="M29" s="87">
        <f t="shared" si="15"/>
        <v>812442.61499999999</v>
      </c>
      <c r="N29" s="87">
        <f t="shared" si="15"/>
        <v>1058891.8700000003</v>
      </c>
      <c r="O29" s="87">
        <f t="shared" si="15"/>
        <v>379671.77841620101</v>
      </c>
      <c r="P29" s="87">
        <f t="shared" si="15"/>
        <v>1293988.3099999994</v>
      </c>
      <c r="Q29" s="87">
        <f t="shared" si="15"/>
        <v>480585.93699953408</v>
      </c>
      <c r="R29" s="87">
        <f t="shared" si="15"/>
        <v>1189688.6080828679</v>
      </c>
      <c r="S29" s="87">
        <f t="shared" si="15"/>
        <v>587429.33549999981</v>
      </c>
      <c r="T29" s="87">
        <f t="shared" si="15"/>
        <v>587429.33549999981</v>
      </c>
      <c r="U29" s="87">
        <f t="shared" si="15"/>
        <v>1154188.97</v>
      </c>
      <c r="V29" s="87">
        <f t="shared" si="15"/>
        <v>1154188.97</v>
      </c>
      <c r="W29" s="87">
        <f t="shared" si="15"/>
        <v>323927.20816666679</v>
      </c>
      <c r="X29" s="87">
        <f t="shared" si="15"/>
        <v>-80814.108249999175</v>
      </c>
      <c r="Y29" s="87">
        <f t="shared" si="15"/>
        <v>692344.01891666662</v>
      </c>
      <c r="Z29" s="87">
        <f t="shared" si="15"/>
        <v>1144673.6439999999</v>
      </c>
      <c r="AA29" s="87">
        <f t="shared" si="15"/>
        <v>719911.87000000023</v>
      </c>
      <c r="AB29" s="87">
        <f t="shared" si="15"/>
        <v>649495.19999999844</v>
      </c>
      <c r="AC29" s="87">
        <f t="shared" si="15"/>
        <v>363465.03493333189</v>
      </c>
      <c r="AD29" s="87">
        <f t="shared" si="15"/>
        <v>494461.1031666671</v>
      </c>
      <c r="AE29" s="87">
        <f t="shared" si="15"/>
        <v>747799.0615833333</v>
      </c>
      <c r="AF29" s="87">
        <f t="shared" si="15"/>
        <v>622449.14529999997</v>
      </c>
      <c r="AG29" s="87">
        <f t="shared" si="15"/>
        <v>952036.53833333345</v>
      </c>
      <c r="AH29" s="87">
        <f t="shared" si="15"/>
        <v>339418.95746775024</v>
      </c>
      <c r="AI29" s="87">
        <f t="shared" si="15"/>
        <v>-340550.86708025006</v>
      </c>
      <c r="AJ29" s="87">
        <f t="shared" si="15"/>
        <v>74287.852423822565</v>
      </c>
      <c r="AK29" s="87">
        <f t="shared" si="15"/>
        <v>712279.77000000014</v>
      </c>
      <c r="AL29" s="87">
        <f t="shared" si="15"/>
        <v>1024387.9419780003</v>
      </c>
      <c r="AM29" s="87">
        <f t="shared" si="15"/>
        <v>543541.24959999998</v>
      </c>
      <c r="AN29" s="87">
        <f t="shared" si="15"/>
        <v>424270.56000000035</v>
      </c>
      <c r="AO29" s="87">
        <f t="shared" si="15"/>
        <v>217648.20171974966</v>
      </c>
      <c r="AP29" s="87">
        <f t="shared" si="15"/>
        <v>531982.54156575771</v>
      </c>
      <c r="AQ29" s="87">
        <f t="shared" si="15"/>
        <v>604109.37641109992</v>
      </c>
      <c r="AR29" s="87">
        <f t="shared" si="15"/>
        <v>222498.51459999982</v>
      </c>
      <c r="AS29" s="87">
        <f t="shared" si="15"/>
        <v>251748.67459999811</v>
      </c>
      <c r="AT29" s="87">
        <f t="shared" si="15"/>
        <v>1779354.5600000003</v>
      </c>
      <c r="AU29" s="87">
        <f t="shared" si="15"/>
        <v>1136582.7400000002</v>
      </c>
      <c r="AV29" s="87">
        <f t="shared" si="15"/>
        <v>1056706.43</v>
      </c>
      <c r="AW29" s="87">
        <f t="shared" si="15"/>
        <v>1866984.8900000001</v>
      </c>
      <c r="AX29" s="87">
        <f t="shared" si="15"/>
        <v>1320494.6500000001</v>
      </c>
      <c r="AY29" s="87">
        <f t="shared" si="15"/>
        <v>1370031.6</v>
      </c>
      <c r="AZ29" s="87">
        <f t="shared" si="15"/>
        <v>1424092.9003333328</v>
      </c>
      <c r="BA29" s="87">
        <f t="shared" si="15"/>
        <v>2358734.1403333335</v>
      </c>
      <c r="BB29" s="87">
        <f t="shared" si="15"/>
        <v>1870072.2403333331</v>
      </c>
      <c r="BC29" s="87">
        <f t="shared" si="15"/>
        <v>1507692.1803333331</v>
      </c>
      <c r="BD29" s="87">
        <f t="shared" si="15"/>
        <v>1858591.6403333331</v>
      </c>
      <c r="BE29" s="87">
        <f t="shared" si="15"/>
        <v>2827538.7803333327</v>
      </c>
      <c r="BF29" s="87">
        <f t="shared" si="15"/>
        <v>1640898.4635796002</v>
      </c>
      <c r="BG29" s="87">
        <f t="shared" si="15"/>
        <v>1880315.7535796002</v>
      </c>
      <c r="BH29" s="87">
        <f t="shared" si="15"/>
        <v>1226808.0335796005</v>
      </c>
      <c r="BI29" s="141"/>
      <c r="BJ29" s="141"/>
      <c r="BK29" s="141"/>
      <c r="BL29" s="141"/>
      <c r="BM29" s="141"/>
      <c r="BN29" s="141"/>
      <c r="BO29" s="141"/>
      <c r="BP29" s="141"/>
      <c r="BQ29" s="141"/>
      <c r="BR29" s="243">
        <f t="shared" si="14"/>
        <v>-0.3475521165824953</v>
      </c>
      <c r="BS29" s="103">
        <f t="shared" si="1"/>
        <v>20376876.752</v>
      </c>
      <c r="BT29" s="103">
        <f t="shared" si="2"/>
        <v>4748022.2507388014</v>
      </c>
      <c r="BU29" s="103">
        <f t="shared" si="3"/>
        <v>1698073.0626666667</v>
      </c>
      <c r="BV29" s="103">
        <f t="shared" si="4"/>
        <v>1582674.0835796006</v>
      </c>
      <c r="BW29" s="243">
        <f t="shared" si="5"/>
        <v>-0.22485112613654656</v>
      </c>
      <c r="BX29">
        <v>4</v>
      </c>
      <c r="BZ29">
        <f t="shared" si="6"/>
        <v>3</v>
      </c>
    </row>
    <row r="30" spans="1:78" ht="15" x14ac:dyDescent="0.2">
      <c r="A30" s="2" t="s">
        <v>107</v>
      </c>
      <c r="B30" s="2">
        <v>29</v>
      </c>
      <c r="C30" s="2" t="s">
        <v>218</v>
      </c>
      <c r="D30" s="99" t="s">
        <v>203</v>
      </c>
      <c r="E30" s="99" t="s">
        <v>98</v>
      </c>
      <c r="F30">
        <v>1</v>
      </c>
      <c r="G30" s="20" t="str">
        <f t="shared" si="0"/>
        <v>1 - TOTALDISTR LUCROS E DESPESAS SS (JURÍDICO)</v>
      </c>
      <c r="H30" s="20">
        <v>-679809.7699999999</v>
      </c>
      <c r="I30" s="20">
        <v>-678314</v>
      </c>
      <c r="J30" s="20">
        <v>-704085.23</v>
      </c>
      <c r="K30" s="20">
        <v>-707304.1100000001</v>
      </c>
      <c r="L30" s="20">
        <v>-707776.60999999987</v>
      </c>
      <c r="M30" s="20">
        <v>-748508.18</v>
      </c>
      <c r="N30" s="20">
        <v>-743018.7</v>
      </c>
      <c r="O30" s="20">
        <v>-759153.67</v>
      </c>
      <c r="P30" s="20">
        <v>-708902.19000000006</v>
      </c>
      <c r="Q30" s="20">
        <v>-781689.92000000016</v>
      </c>
      <c r="R30" s="20">
        <v>-751195.75</v>
      </c>
      <c r="S30" s="20">
        <v>-1217282.3500000001</v>
      </c>
      <c r="T30" s="20">
        <f>-1217282.35+423786</f>
        <v>-793496.35000000009</v>
      </c>
      <c r="U30" s="20">
        <f>-323074.55-423786</f>
        <v>-746860.55</v>
      </c>
      <c r="V30" s="20">
        <v>-323074.55</v>
      </c>
      <c r="W30" s="20">
        <v>-769483.95</v>
      </c>
      <c r="X30" s="20">
        <v>-791535.15</v>
      </c>
      <c r="Y30" s="20">
        <v>-791072.19999999984</v>
      </c>
      <c r="Z30" s="20">
        <v>-837022.83</v>
      </c>
      <c r="AA30" s="20">
        <v>-858019.17999999982</v>
      </c>
      <c r="AB30" s="20">
        <v>-878160.59999999986</v>
      </c>
      <c r="AC30" s="20">
        <v>-909633.78590000002</v>
      </c>
      <c r="AD30" s="20">
        <v>-918300.81</v>
      </c>
      <c r="AE30" s="20">
        <v>-944298.19</v>
      </c>
      <c r="AF30" s="20">
        <v>-963353.22919999994</v>
      </c>
      <c r="AG30" s="20">
        <v>-937424.88</v>
      </c>
      <c r="AH30" s="20">
        <v>-847898.45</v>
      </c>
      <c r="AI30" s="20">
        <v>-843620.84</v>
      </c>
      <c r="AJ30" s="20">
        <v>-875677.44180967717</v>
      </c>
      <c r="AK30" s="20">
        <v>-855509.10999999987</v>
      </c>
      <c r="AL30" s="20">
        <v>-856237.37999999977</v>
      </c>
      <c r="AM30" s="20">
        <v>-828360.95039999997</v>
      </c>
      <c r="AN30" s="20">
        <v>-858332.99999999965</v>
      </c>
      <c r="AO30" s="20">
        <v>-843550.576</v>
      </c>
      <c r="AP30" s="20">
        <v>-823273.71746774204</v>
      </c>
      <c r="AQ30" s="20">
        <v>-876122.20358890004</v>
      </c>
      <c r="AR30" s="20">
        <v>-860272.84940000006</v>
      </c>
      <c r="AS30" s="20">
        <v>-868044.27540000004</v>
      </c>
      <c r="AT30" s="20">
        <v>-895642.22</v>
      </c>
      <c r="AU30" s="20">
        <v>-889001.3600000001</v>
      </c>
      <c r="AV30" s="20">
        <v>-933096.29520000017</v>
      </c>
      <c r="AW30" s="20">
        <v>-926803.35000000009</v>
      </c>
      <c r="AX30" s="20">
        <v>-964125.32</v>
      </c>
      <c r="AY30" s="20">
        <v>-962957.29870000004</v>
      </c>
      <c r="AZ30" s="20">
        <v>-995535.56550000003</v>
      </c>
      <c r="BA30" s="20">
        <v>-1010173.1000000001</v>
      </c>
      <c r="BB30" s="20">
        <v>-992521.94</v>
      </c>
      <c r="BC30" s="20">
        <v>-1061086.1068</v>
      </c>
      <c r="BD30" s="20">
        <v>-1044327.5577999997</v>
      </c>
      <c r="BE30" s="20">
        <v>-1053017.22</v>
      </c>
      <c r="BF30" s="103">
        <v>-1080548.1127999995</v>
      </c>
      <c r="BG30" s="103">
        <v>-1071965.7100000004</v>
      </c>
      <c r="BH30" s="103">
        <v>-1084855.31</v>
      </c>
      <c r="BI30" s="103"/>
      <c r="BJ30" s="103"/>
      <c r="BK30" s="103"/>
      <c r="BL30" s="103"/>
      <c r="BM30" s="103"/>
      <c r="BN30" s="103"/>
      <c r="BO30" s="103"/>
      <c r="BP30" s="103"/>
      <c r="BQ30" s="103"/>
      <c r="BR30" s="243">
        <f t="shared" si="14"/>
        <v>1.2024265216468155E-2</v>
      </c>
      <c r="BS30" s="103">
        <f t="shared" si="1"/>
        <v>-11728287.334000001</v>
      </c>
      <c r="BT30" s="103">
        <f t="shared" si="2"/>
        <v>-3237369.1328000003</v>
      </c>
      <c r="BU30" s="103">
        <f t="shared" si="3"/>
        <v>-977357.27783333336</v>
      </c>
      <c r="BV30" s="103">
        <f t="shared" si="4"/>
        <v>-1079123.0442666668</v>
      </c>
      <c r="BW30" s="243">
        <f t="shared" si="5"/>
        <v>5.3119667528078729E-3</v>
      </c>
      <c r="BZ30">
        <f t="shared" si="6"/>
        <v>3</v>
      </c>
    </row>
    <row r="31" spans="1:78" ht="15" x14ac:dyDescent="0.2">
      <c r="A31" s="2" t="s">
        <v>107</v>
      </c>
      <c r="B31" s="2">
        <v>30</v>
      </c>
      <c r="C31" s="2" t="s">
        <v>218</v>
      </c>
      <c r="D31" s="99" t="s">
        <v>204</v>
      </c>
      <c r="E31" s="99" t="s">
        <v>223</v>
      </c>
      <c r="F31">
        <v>1</v>
      </c>
      <c r="G31" s="20" t="str">
        <f t="shared" si="0"/>
        <v>1 - TOTALDISTR LUCROS E DESPESAS SC (3)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-111801.22</v>
      </c>
      <c r="AI31" s="20">
        <v>-111327.18</v>
      </c>
      <c r="AJ31" s="20">
        <v>-102032.18000000001</v>
      </c>
      <c r="AK31" s="20">
        <v>-101115.38</v>
      </c>
      <c r="AL31" s="20">
        <v>-111082.9</v>
      </c>
      <c r="AM31" s="20">
        <v>-112102.85</v>
      </c>
      <c r="AN31" s="20">
        <v>-113876.44</v>
      </c>
      <c r="AO31" s="20">
        <v>-110579.75</v>
      </c>
      <c r="AP31" s="20">
        <v>-106944.25</v>
      </c>
      <c r="AQ31" s="20">
        <v>-112685.56999999999</v>
      </c>
      <c r="AR31" s="20">
        <v>-114511.93</v>
      </c>
      <c r="AS31" s="20">
        <v>-118486.11</v>
      </c>
      <c r="AT31" s="20">
        <v>-116664.95999999999</v>
      </c>
      <c r="AU31" s="20">
        <v>-97786.220000000016</v>
      </c>
      <c r="AV31" s="20">
        <v>-96526.48</v>
      </c>
      <c r="AW31" s="20">
        <v>-95939.1</v>
      </c>
      <c r="AX31" s="20">
        <v>-97190.92</v>
      </c>
      <c r="AY31" s="20">
        <v>-128146.17</v>
      </c>
      <c r="AZ31" s="20">
        <v>-127499.35</v>
      </c>
      <c r="BA31" s="20">
        <v>-129274.32</v>
      </c>
      <c r="BB31" s="20">
        <v>-125370.3</v>
      </c>
      <c r="BC31" s="20">
        <v>-113215.15</v>
      </c>
      <c r="BD31" s="20">
        <v>-110183.11</v>
      </c>
      <c r="BE31" s="20">
        <v>-112700.97</v>
      </c>
      <c r="BF31" s="103">
        <v>-131197.21</v>
      </c>
      <c r="BG31" s="103">
        <v>-130577.01</v>
      </c>
      <c r="BH31" s="103">
        <v>-130812.94</v>
      </c>
      <c r="BI31" s="103"/>
      <c r="BJ31" s="103"/>
      <c r="BK31" s="103"/>
      <c r="BL31" s="103"/>
      <c r="BM31" s="103"/>
      <c r="BN31" s="103"/>
      <c r="BO31" s="103"/>
      <c r="BP31" s="103"/>
      <c r="BQ31" s="103"/>
      <c r="BR31" s="243">
        <f t="shared" si="14"/>
        <v>1.8068264849993021E-3</v>
      </c>
      <c r="BS31" s="103">
        <f t="shared" si="1"/>
        <v>-1350497.05</v>
      </c>
      <c r="BT31" s="103">
        <f t="shared" si="2"/>
        <v>-392587.16</v>
      </c>
      <c r="BU31" s="103">
        <f t="shared" si="3"/>
        <v>-112541.42083333334</v>
      </c>
      <c r="BV31" s="103">
        <f t="shared" si="4"/>
        <v>-130862.38666666666</v>
      </c>
      <c r="BW31" s="243">
        <f t="shared" si="5"/>
        <v>-3.7785239843290963E-4</v>
      </c>
      <c r="BZ31">
        <f t="shared" si="6"/>
        <v>3</v>
      </c>
    </row>
    <row r="32" spans="1:78" ht="15" x14ac:dyDescent="0.2">
      <c r="A32" s="2" t="s">
        <v>107</v>
      </c>
      <c r="B32" s="2">
        <v>31</v>
      </c>
      <c r="C32" s="2" t="s">
        <v>218</v>
      </c>
      <c r="D32" s="99" t="s">
        <v>205</v>
      </c>
      <c r="E32" s="99" t="s">
        <v>224</v>
      </c>
      <c r="F32">
        <v>1</v>
      </c>
      <c r="G32" s="20" t="str">
        <f t="shared" si="0"/>
        <v>1 - TOTALDISTR LUCROS E DESPESAS SS GESTÃO ADM (11)</v>
      </c>
      <c r="H32" s="20">
        <v>-135261.78111119999</v>
      </c>
      <c r="I32" s="20">
        <v>-125225.57712819836</v>
      </c>
      <c r="J32" s="20">
        <v>-121384.24999748872</v>
      </c>
      <c r="K32" s="20">
        <v>-124658.48999999999</v>
      </c>
      <c r="L32" s="20">
        <v>-130264.56999999998</v>
      </c>
      <c r="M32" s="20">
        <v>-125145.27</v>
      </c>
      <c r="N32" s="20">
        <v>-144318.23000000001</v>
      </c>
      <c r="O32" s="20">
        <v>-148298.57999999996</v>
      </c>
      <c r="P32" s="20">
        <v>-123595.12000000001</v>
      </c>
      <c r="Q32" s="20">
        <v>-161998.28000000003</v>
      </c>
      <c r="R32" s="20">
        <v>-142364.16</v>
      </c>
      <c r="S32" s="20">
        <v>-167785.3</v>
      </c>
      <c r="T32" s="20">
        <v>-167785.3</v>
      </c>
      <c r="U32" s="20">
        <v>-134543.45000000004</v>
      </c>
      <c r="V32" s="20">
        <v>-134543.45000000004</v>
      </c>
      <c r="W32" s="20">
        <v>-147901.47</v>
      </c>
      <c r="X32" s="20">
        <v>-155510.69000000003</v>
      </c>
      <c r="Y32" s="20">
        <v>-148776.24</v>
      </c>
      <c r="Z32" s="20">
        <v>-145962.32999999999</v>
      </c>
      <c r="AA32" s="20">
        <v>-130214.95000000001</v>
      </c>
      <c r="AB32" s="20">
        <v>-127187.29999999999</v>
      </c>
      <c r="AC32" s="20">
        <v>-130646.66999999998</v>
      </c>
      <c r="AD32" s="20">
        <v>-130447.95</v>
      </c>
      <c r="AE32" s="20">
        <v>-145032.66000000003</v>
      </c>
      <c r="AF32" s="20">
        <v>-163991.65000000002</v>
      </c>
      <c r="AG32" s="20">
        <v>-185657.44</v>
      </c>
      <c r="AH32" s="20">
        <v>-51742.820000000007</v>
      </c>
      <c r="AI32" s="20">
        <v>-84021.97</v>
      </c>
      <c r="AJ32" s="20">
        <v>-65302.580999999991</v>
      </c>
      <c r="AK32" s="20">
        <v>-64063.389999999992</v>
      </c>
      <c r="AL32" s="20">
        <v>-59907.12999999999</v>
      </c>
      <c r="AM32" s="20">
        <v>-60847.680000000008</v>
      </c>
      <c r="AN32" s="20">
        <v>-58176.169799999996</v>
      </c>
      <c r="AO32" s="20">
        <v>-62653.755600000004</v>
      </c>
      <c r="AP32" s="20">
        <v>-51678.737499999996</v>
      </c>
      <c r="AQ32" s="20">
        <v>-68470.740000000005</v>
      </c>
      <c r="AR32" s="20">
        <v>-60074.569000000003</v>
      </c>
      <c r="AS32" s="20">
        <v>-63940.700000000004</v>
      </c>
      <c r="AT32" s="20">
        <v>-64358.880000000005</v>
      </c>
      <c r="AU32" s="20">
        <v>-60730.195500000002</v>
      </c>
      <c r="AV32" s="20">
        <v>-69443.160399999993</v>
      </c>
      <c r="AW32" s="20">
        <v>-65998.149999999994</v>
      </c>
      <c r="AX32" s="20">
        <v>-67928.26999999999</v>
      </c>
      <c r="AY32" s="20">
        <v>-65455.923500000004</v>
      </c>
      <c r="AZ32" s="20">
        <v>-64810.391500000005</v>
      </c>
      <c r="BA32" s="20">
        <v>-64800.018400000001</v>
      </c>
      <c r="BB32" s="20">
        <v>-71491.451399999991</v>
      </c>
      <c r="BC32" s="20">
        <v>-77489.373599999992</v>
      </c>
      <c r="BD32" s="20">
        <v>-79794.998999999996</v>
      </c>
      <c r="BE32" s="20">
        <v>-86235.760500000004</v>
      </c>
      <c r="BF32" s="103">
        <v>-80646.669500000004</v>
      </c>
      <c r="BG32" s="103">
        <v>-71810.100000000006</v>
      </c>
      <c r="BH32" s="103">
        <v>-91751.489999999991</v>
      </c>
      <c r="BI32" s="103"/>
      <c r="BJ32" s="103"/>
      <c r="BK32" s="103"/>
      <c r="BL32" s="103"/>
      <c r="BM32" s="103"/>
      <c r="BN32" s="103"/>
      <c r="BO32" s="103"/>
      <c r="BP32" s="103"/>
      <c r="BQ32" s="103"/>
      <c r="BR32" s="243">
        <f t="shared" si="14"/>
        <v>0.27769617365802279</v>
      </c>
      <c r="BS32" s="103">
        <f t="shared" si="1"/>
        <v>-838536.5737999999</v>
      </c>
      <c r="BT32" s="103">
        <f t="shared" si="2"/>
        <v>-244208.25949999999</v>
      </c>
      <c r="BU32" s="103">
        <f t="shared" si="3"/>
        <v>-69878.047816666658</v>
      </c>
      <c r="BV32" s="103">
        <f t="shared" si="4"/>
        <v>-81402.753166666662</v>
      </c>
      <c r="BW32" s="243">
        <f t="shared" si="5"/>
        <v>0.12713005925174281</v>
      </c>
      <c r="BZ32">
        <f t="shared" si="6"/>
        <v>3</v>
      </c>
    </row>
    <row r="33" spans="1:78" ht="15" x14ac:dyDescent="0.2">
      <c r="A33" s="2" t="s">
        <v>107</v>
      </c>
      <c r="B33" s="2">
        <v>32</v>
      </c>
      <c r="C33" s="2"/>
      <c r="D33" s="99" t="s">
        <v>206</v>
      </c>
      <c r="E33" s="20"/>
      <c r="F33" s="20"/>
      <c r="G33" s="20" t="str">
        <f t="shared" si="0"/>
        <v>1 - TOTAL</v>
      </c>
      <c r="H33" s="87">
        <f>H30+H31+H32</f>
        <v>-815071.55111119989</v>
      </c>
      <c r="I33" s="87">
        <f t="shared" ref="I33:BH33" si="16">I30+I31+I32</f>
        <v>-803539.57712819835</v>
      </c>
      <c r="J33" s="87">
        <f t="shared" si="16"/>
        <v>-825469.47999748867</v>
      </c>
      <c r="K33" s="87">
        <f t="shared" si="16"/>
        <v>-831962.60000000009</v>
      </c>
      <c r="L33" s="87">
        <f t="shared" si="16"/>
        <v>-838041.17999999982</v>
      </c>
      <c r="M33" s="87">
        <f t="shared" si="16"/>
        <v>-873653.45000000007</v>
      </c>
      <c r="N33" s="87">
        <f t="shared" si="16"/>
        <v>-887336.92999999993</v>
      </c>
      <c r="O33" s="87">
        <f t="shared" si="16"/>
        <v>-907452.25</v>
      </c>
      <c r="P33" s="87">
        <f t="shared" si="16"/>
        <v>-832497.31</v>
      </c>
      <c r="Q33" s="87">
        <f t="shared" si="16"/>
        <v>-943688.20000000019</v>
      </c>
      <c r="R33" s="87">
        <f t="shared" si="16"/>
        <v>-893559.91</v>
      </c>
      <c r="S33" s="87">
        <f t="shared" si="16"/>
        <v>-1385067.6500000001</v>
      </c>
      <c r="T33" s="87">
        <f t="shared" si="16"/>
        <v>-961281.65000000014</v>
      </c>
      <c r="U33" s="87">
        <f t="shared" si="16"/>
        <v>-881404.00000000012</v>
      </c>
      <c r="V33" s="87">
        <f t="shared" si="16"/>
        <v>-457618</v>
      </c>
      <c r="W33" s="87">
        <f t="shared" si="16"/>
        <v>-917385.41999999993</v>
      </c>
      <c r="X33" s="87">
        <f t="shared" si="16"/>
        <v>-947045.84000000008</v>
      </c>
      <c r="Y33" s="87">
        <f t="shared" si="16"/>
        <v>-939848.43999999983</v>
      </c>
      <c r="Z33" s="87">
        <f t="shared" si="16"/>
        <v>-982985.15999999992</v>
      </c>
      <c r="AA33" s="87">
        <f t="shared" si="16"/>
        <v>-988234.12999999989</v>
      </c>
      <c r="AB33" s="87">
        <f t="shared" si="16"/>
        <v>-1005347.8999999999</v>
      </c>
      <c r="AC33" s="87">
        <f t="shared" si="16"/>
        <v>-1040280.4558999999</v>
      </c>
      <c r="AD33" s="87">
        <f t="shared" si="16"/>
        <v>-1048748.76</v>
      </c>
      <c r="AE33" s="87">
        <f t="shared" si="16"/>
        <v>-1089330.8500000001</v>
      </c>
      <c r="AF33" s="87">
        <f t="shared" si="16"/>
        <v>-1127344.8791999999</v>
      </c>
      <c r="AG33" s="87">
        <f t="shared" si="16"/>
        <v>-1123082.32</v>
      </c>
      <c r="AH33" s="87">
        <f t="shared" si="16"/>
        <v>-1011442.49</v>
      </c>
      <c r="AI33" s="87">
        <f t="shared" si="16"/>
        <v>-1038969.99</v>
      </c>
      <c r="AJ33" s="87">
        <f t="shared" si="16"/>
        <v>-1043012.2028096772</v>
      </c>
      <c r="AK33" s="87">
        <f t="shared" si="16"/>
        <v>-1020687.8799999999</v>
      </c>
      <c r="AL33" s="87">
        <f t="shared" si="16"/>
        <v>-1027227.4099999998</v>
      </c>
      <c r="AM33" s="87">
        <f t="shared" si="16"/>
        <v>-1001311.4804</v>
      </c>
      <c r="AN33" s="87">
        <f t="shared" si="16"/>
        <v>-1030385.6097999997</v>
      </c>
      <c r="AO33" s="87">
        <f t="shared" si="16"/>
        <v>-1016784.0816</v>
      </c>
      <c r="AP33" s="87">
        <f t="shared" si="16"/>
        <v>-981896.70496774209</v>
      </c>
      <c r="AQ33" s="87">
        <f t="shared" si="16"/>
        <v>-1057278.5135889</v>
      </c>
      <c r="AR33" s="87">
        <f t="shared" si="16"/>
        <v>-1034859.3484000001</v>
      </c>
      <c r="AS33" s="87">
        <f t="shared" si="16"/>
        <v>-1050471.0854</v>
      </c>
      <c r="AT33" s="87">
        <f t="shared" si="16"/>
        <v>-1076666.06</v>
      </c>
      <c r="AU33" s="87">
        <f t="shared" si="16"/>
        <v>-1047517.7755000001</v>
      </c>
      <c r="AV33" s="87">
        <f t="shared" si="16"/>
        <v>-1099065.9356000002</v>
      </c>
      <c r="AW33" s="87">
        <f t="shared" si="16"/>
        <v>-1088740.6000000001</v>
      </c>
      <c r="AX33" s="87">
        <f t="shared" si="16"/>
        <v>-1129244.51</v>
      </c>
      <c r="AY33" s="87">
        <f t="shared" si="16"/>
        <v>-1156559.3922000001</v>
      </c>
      <c r="AZ33" s="87">
        <f t="shared" si="16"/>
        <v>-1187845.307</v>
      </c>
      <c r="BA33" s="87">
        <f t="shared" si="16"/>
        <v>-1204247.4384000001</v>
      </c>
      <c r="BB33" s="87">
        <f t="shared" si="16"/>
        <v>-1189383.6913999999</v>
      </c>
      <c r="BC33" s="87">
        <f t="shared" si="16"/>
        <v>-1251790.6303999999</v>
      </c>
      <c r="BD33" s="87">
        <f t="shared" si="16"/>
        <v>-1234305.6667999998</v>
      </c>
      <c r="BE33" s="87">
        <f t="shared" si="16"/>
        <v>-1251953.9505</v>
      </c>
      <c r="BF33" s="87">
        <f t="shared" si="16"/>
        <v>-1292391.9922999996</v>
      </c>
      <c r="BG33" s="87">
        <f t="shared" si="16"/>
        <v>-1274352.8200000005</v>
      </c>
      <c r="BH33" s="87">
        <f t="shared" si="16"/>
        <v>-1307419.74</v>
      </c>
      <c r="BI33" s="141"/>
      <c r="BJ33" s="141"/>
      <c r="BK33" s="141"/>
      <c r="BL33" s="141"/>
      <c r="BM33" s="141"/>
      <c r="BN33" s="141"/>
      <c r="BO33" s="141"/>
      <c r="BP33" s="141"/>
      <c r="BQ33" s="141"/>
      <c r="BR33" s="243">
        <f t="shared" si="14"/>
        <v>2.5948010222160756E-2</v>
      </c>
      <c r="BS33" s="103">
        <f t="shared" si="1"/>
        <v>-13917320.957800003</v>
      </c>
      <c r="BT33" s="103">
        <f t="shared" si="2"/>
        <v>-3874164.5523000006</v>
      </c>
      <c r="BU33" s="103">
        <f t="shared" si="3"/>
        <v>-1159776.7464833336</v>
      </c>
      <c r="BV33" s="103">
        <f t="shared" si="4"/>
        <v>-1291388.1841000002</v>
      </c>
      <c r="BW33" s="243">
        <f t="shared" si="5"/>
        <v>1.2414203643323907E-2</v>
      </c>
      <c r="BZ33">
        <f t="shared" si="6"/>
        <v>3</v>
      </c>
    </row>
    <row r="34" spans="1:78" ht="15" x14ac:dyDescent="0.2">
      <c r="A34" s="2" t="s">
        <v>107</v>
      </c>
      <c r="B34" s="2">
        <v>33</v>
      </c>
      <c r="C34" s="2"/>
      <c r="D34" s="99" t="s">
        <v>207</v>
      </c>
      <c r="E34" s="20"/>
      <c r="F34" s="20"/>
      <c r="G34" s="20" t="str">
        <f t="shared" ref="G34:G65" si="17">CONCATENATE(A34,E34)</f>
        <v>1 - TOTAL</v>
      </c>
      <c r="H34" s="87">
        <f>H6+H14+H26+H27+H28+H33</f>
        <v>-1763525.2161111999</v>
      </c>
      <c r="I34" s="87">
        <f t="shared" ref="I34:BH34" si="18">I6+I14+I26+I27+I28+I33</f>
        <v>-1617599.8416804646</v>
      </c>
      <c r="J34" s="87">
        <f t="shared" si="18"/>
        <v>-1487717.9</v>
      </c>
      <c r="K34" s="87">
        <f t="shared" si="18"/>
        <v>-1428873.3795004657</v>
      </c>
      <c r="L34" s="87">
        <f t="shared" si="18"/>
        <v>-1326652.5894171321</v>
      </c>
      <c r="M34" s="87">
        <f t="shared" si="18"/>
        <v>-1272790.405</v>
      </c>
      <c r="N34" s="87">
        <f t="shared" si="18"/>
        <v>-1535004.75</v>
      </c>
      <c r="O34" s="87">
        <f t="shared" si="18"/>
        <v>-1520031.5215837988</v>
      </c>
      <c r="P34" s="87">
        <f t="shared" si="18"/>
        <v>-1465711.7200000002</v>
      </c>
      <c r="Q34" s="87">
        <f t="shared" si="18"/>
        <v>-1672469.7130004657</v>
      </c>
      <c r="R34" s="87">
        <f t="shared" si="18"/>
        <v>-1843152.7819171324</v>
      </c>
      <c r="S34" s="87">
        <f t="shared" si="18"/>
        <v>-2252898.3245000001</v>
      </c>
      <c r="T34" s="87">
        <f t="shared" si="18"/>
        <v>-1829112.3245000001</v>
      </c>
      <c r="U34" s="87">
        <f t="shared" si="18"/>
        <v>-1564415.6500000001</v>
      </c>
      <c r="V34" s="87">
        <f t="shared" si="18"/>
        <v>-1140629.6499999999</v>
      </c>
      <c r="W34" s="87">
        <f t="shared" si="18"/>
        <v>-1553144.8218333332</v>
      </c>
      <c r="X34" s="87">
        <f t="shared" si="18"/>
        <v>-1644442.9782499992</v>
      </c>
      <c r="Y34" s="87">
        <f t="shared" si="18"/>
        <v>-1650736.3110833331</v>
      </c>
      <c r="Z34" s="87">
        <f t="shared" si="18"/>
        <v>-1651667.4959999998</v>
      </c>
      <c r="AA34" s="87">
        <f t="shared" si="18"/>
        <v>-1619718.56</v>
      </c>
      <c r="AB34" s="87">
        <f t="shared" si="18"/>
        <v>-1810248.0100000019</v>
      </c>
      <c r="AC34" s="87">
        <f t="shared" si="18"/>
        <v>-1948051.7050666676</v>
      </c>
      <c r="AD34" s="87">
        <f t="shared" si="18"/>
        <v>-1910234.2868333333</v>
      </c>
      <c r="AE34" s="87">
        <f t="shared" si="18"/>
        <v>-1985994.3184166667</v>
      </c>
      <c r="AF34" s="87">
        <f t="shared" si="18"/>
        <v>-2122823.6047</v>
      </c>
      <c r="AG34" s="87">
        <f t="shared" si="18"/>
        <v>-2236398.041666667</v>
      </c>
      <c r="AH34" s="87">
        <f t="shared" si="18"/>
        <v>-1949099.21253225</v>
      </c>
      <c r="AI34" s="87">
        <f t="shared" si="18"/>
        <v>-1857228.06708025</v>
      </c>
      <c r="AJ34" s="87">
        <f t="shared" si="18"/>
        <v>-2002373.6585761772</v>
      </c>
      <c r="AK34" s="87">
        <f t="shared" si="18"/>
        <v>-2010814.5999999999</v>
      </c>
      <c r="AL34" s="87">
        <f t="shared" si="18"/>
        <v>-2042098.9380219998</v>
      </c>
      <c r="AM34" s="87">
        <f t="shared" si="18"/>
        <v>-1982207.7903999998</v>
      </c>
      <c r="AN34" s="87">
        <f t="shared" si="18"/>
        <v>-2135287.6697999998</v>
      </c>
      <c r="AO34" s="87">
        <f t="shared" si="18"/>
        <v>-2049865.6038802499</v>
      </c>
      <c r="AP34" s="87">
        <f t="shared" si="18"/>
        <v>-2076592.2259342421</v>
      </c>
      <c r="AQ34" s="87">
        <f t="shared" si="18"/>
        <v>-2172058.8035888998</v>
      </c>
      <c r="AR34" s="87">
        <f t="shared" si="18"/>
        <v>-2253458.5944000003</v>
      </c>
      <c r="AS34" s="87">
        <f t="shared" si="18"/>
        <v>-2504976.6654000022</v>
      </c>
      <c r="AT34" s="87">
        <f t="shared" si="18"/>
        <v>-2156896.81</v>
      </c>
      <c r="AU34" s="87">
        <f t="shared" si="18"/>
        <v>-2201438.6554999999</v>
      </c>
      <c r="AV34" s="87">
        <f t="shared" si="18"/>
        <v>-2301123.2956000003</v>
      </c>
      <c r="AW34" s="87">
        <f t="shared" si="18"/>
        <v>-2448120.94</v>
      </c>
      <c r="AX34" s="87">
        <f t="shared" si="18"/>
        <v>-2568380.58</v>
      </c>
      <c r="AY34" s="87">
        <f t="shared" si="18"/>
        <v>-2551024.1422000001</v>
      </c>
      <c r="AZ34" s="87">
        <f t="shared" si="18"/>
        <v>-2602941.416666667</v>
      </c>
      <c r="BA34" s="87">
        <f t="shared" si="18"/>
        <v>-2647088.1480666669</v>
      </c>
      <c r="BB34" s="87">
        <f t="shared" si="18"/>
        <v>-2666106.2510666666</v>
      </c>
      <c r="BC34" s="87">
        <f t="shared" si="18"/>
        <v>-2989804.5700666672</v>
      </c>
      <c r="BD34" s="87">
        <f t="shared" si="18"/>
        <v>-2855162.7164666662</v>
      </c>
      <c r="BE34" s="87">
        <f t="shared" si="18"/>
        <v>-3347664.0901666665</v>
      </c>
      <c r="BF34" s="87">
        <f t="shared" si="18"/>
        <v>-2861248.7887203996</v>
      </c>
      <c r="BG34" s="87">
        <f t="shared" si="18"/>
        <v>-2650974.7364204004</v>
      </c>
      <c r="BH34" s="87">
        <f t="shared" si="18"/>
        <v>-2685804.1864203997</v>
      </c>
      <c r="BI34" s="141"/>
      <c r="BJ34" s="141"/>
      <c r="BK34" s="141"/>
      <c r="BL34" s="141"/>
      <c r="BM34" s="141"/>
      <c r="BN34" s="141"/>
      <c r="BO34" s="141"/>
      <c r="BP34" s="141"/>
      <c r="BQ34" s="141"/>
      <c r="BR34" s="243">
        <f t="shared" si="14"/>
        <v>1.3138356062581513E-2</v>
      </c>
      <c r="BS34" s="103">
        <f t="shared" si="1"/>
        <v>-31335751.615799997</v>
      </c>
      <c r="BT34" s="103">
        <f t="shared" si="2"/>
        <v>-8198027.7115611993</v>
      </c>
      <c r="BU34" s="103">
        <f t="shared" si="3"/>
        <v>-2611312.6346499999</v>
      </c>
      <c r="BV34" s="103">
        <f t="shared" si="4"/>
        <v>-2732675.9038537331</v>
      </c>
      <c r="BW34" s="243">
        <f t="shared" si="5"/>
        <v>-1.7152314830760962E-2</v>
      </c>
      <c r="BX34">
        <v>6</v>
      </c>
      <c r="BZ34">
        <f t="shared" si="6"/>
        <v>3</v>
      </c>
    </row>
    <row r="35" spans="1:78" ht="15" x14ac:dyDescent="0.2">
      <c r="A35" s="2" t="s">
        <v>107</v>
      </c>
      <c r="B35" s="2">
        <v>34</v>
      </c>
      <c r="C35" s="2"/>
      <c r="D35" s="104" t="s">
        <v>212</v>
      </c>
      <c r="E35" s="87"/>
      <c r="F35" s="87"/>
      <c r="G35" s="20" t="str">
        <f t="shared" si="17"/>
        <v>1 - TOTAL</v>
      </c>
      <c r="H35" s="87">
        <f t="shared" ref="H35:AM35" si="19">H2+H34</f>
        <v>365427.57488876022</v>
      </c>
      <c r="I35" s="87">
        <f t="shared" si="19"/>
        <v>-44327.751680464484</v>
      </c>
      <c r="J35" s="87">
        <f t="shared" si="19"/>
        <v>989243.54199990025</v>
      </c>
      <c r="K35" s="87">
        <f t="shared" si="19"/>
        <v>657612.55849948456</v>
      </c>
      <c r="L35" s="87">
        <f t="shared" si="19"/>
        <v>711456.47058281885</v>
      </c>
      <c r="M35" s="87">
        <f t="shared" si="19"/>
        <v>687297.34499999997</v>
      </c>
      <c r="N35" s="87">
        <f t="shared" si="19"/>
        <v>914573.64000000013</v>
      </c>
      <c r="O35" s="87">
        <f t="shared" si="19"/>
        <v>231373.19841620116</v>
      </c>
      <c r="P35" s="87">
        <f t="shared" si="19"/>
        <v>1170393.1899999995</v>
      </c>
      <c r="Q35" s="87">
        <f t="shared" si="19"/>
        <v>318587.65699953423</v>
      </c>
      <c r="R35" s="87">
        <f t="shared" si="19"/>
        <v>1047324.4480828675</v>
      </c>
      <c r="S35" s="87">
        <f t="shared" si="19"/>
        <v>419644.03549999977</v>
      </c>
      <c r="T35" s="87">
        <f t="shared" si="19"/>
        <v>843430.03549999977</v>
      </c>
      <c r="U35" s="87">
        <f t="shared" si="19"/>
        <v>595859.51999999979</v>
      </c>
      <c r="V35" s="87">
        <f t="shared" si="19"/>
        <v>1019645.52</v>
      </c>
      <c r="W35" s="87">
        <f t="shared" si="19"/>
        <v>176025.73816666682</v>
      </c>
      <c r="X35" s="87">
        <f t="shared" si="19"/>
        <v>-236324.79824999929</v>
      </c>
      <c r="Y35" s="87">
        <f t="shared" si="19"/>
        <v>543567.77891666675</v>
      </c>
      <c r="Z35" s="87">
        <f t="shared" si="19"/>
        <v>998711.31400000025</v>
      </c>
      <c r="AA35" s="87">
        <f t="shared" si="19"/>
        <v>589696.91999999993</v>
      </c>
      <c r="AB35" s="87">
        <f t="shared" si="19"/>
        <v>522307.89999999828</v>
      </c>
      <c r="AC35" s="87">
        <f t="shared" si="19"/>
        <v>232818.36493333173</v>
      </c>
      <c r="AD35" s="87">
        <f t="shared" si="19"/>
        <v>364013.15316666709</v>
      </c>
      <c r="AE35" s="87">
        <f t="shared" si="19"/>
        <v>602766.40158333303</v>
      </c>
      <c r="AF35" s="87">
        <f t="shared" si="19"/>
        <v>458457.49530000007</v>
      </c>
      <c r="AG35" s="87">
        <f t="shared" si="19"/>
        <v>766379.09833333315</v>
      </c>
      <c r="AH35" s="87">
        <f t="shared" si="19"/>
        <v>287676.13746775012</v>
      </c>
      <c r="AI35" s="87">
        <f t="shared" si="19"/>
        <v>-424572.83708025003</v>
      </c>
      <c r="AJ35" s="87">
        <f t="shared" si="19"/>
        <v>8985.2714238227345</v>
      </c>
      <c r="AK35" s="87">
        <f t="shared" si="19"/>
        <v>648216.38000000012</v>
      </c>
      <c r="AL35" s="87">
        <f t="shared" si="19"/>
        <v>964480.81197800022</v>
      </c>
      <c r="AM35" s="87">
        <f t="shared" si="19"/>
        <v>482693.56960000005</v>
      </c>
      <c r="AN35" s="87">
        <f t="shared" ref="AN35:BH35" si="20">AN2+AN34</f>
        <v>366094.39020000026</v>
      </c>
      <c r="AO35" s="87">
        <f t="shared" si="20"/>
        <v>154994.44611974992</v>
      </c>
      <c r="AP35" s="87">
        <f t="shared" si="20"/>
        <v>480303.80406575766</v>
      </c>
      <c r="AQ35" s="87">
        <f t="shared" si="20"/>
        <v>535638.63641110016</v>
      </c>
      <c r="AR35" s="87">
        <f t="shared" si="20"/>
        <v>162423.94559999974</v>
      </c>
      <c r="AS35" s="87">
        <f t="shared" si="20"/>
        <v>187807.97459999798</v>
      </c>
      <c r="AT35" s="87">
        <f t="shared" si="20"/>
        <v>702688.5</v>
      </c>
      <c r="AU35" s="87">
        <f t="shared" si="20"/>
        <v>89064.964500000235</v>
      </c>
      <c r="AV35" s="87">
        <f t="shared" si="20"/>
        <v>-42359.505600000266</v>
      </c>
      <c r="AW35" s="87">
        <f t="shared" si="20"/>
        <v>778244.29</v>
      </c>
      <c r="AX35" s="87">
        <f t="shared" si="20"/>
        <v>191250.14000000013</v>
      </c>
      <c r="AY35" s="87">
        <f t="shared" si="20"/>
        <v>213472.20779999997</v>
      </c>
      <c r="AZ35" s="87">
        <f t="shared" si="20"/>
        <v>236247.5933333328</v>
      </c>
      <c r="BA35" s="87">
        <f t="shared" si="20"/>
        <v>1154486.7019333337</v>
      </c>
      <c r="BB35" s="87">
        <f t="shared" si="20"/>
        <v>680688.54893333325</v>
      </c>
      <c r="BC35" s="87">
        <f t="shared" si="20"/>
        <v>255901.54993333295</v>
      </c>
      <c r="BD35" s="87">
        <f t="shared" si="20"/>
        <v>624285.97353333328</v>
      </c>
      <c r="BE35" s="87">
        <f t="shared" si="20"/>
        <v>1575584.8298333334</v>
      </c>
      <c r="BF35" s="87">
        <f t="shared" si="20"/>
        <v>348506.47127960017</v>
      </c>
      <c r="BG35" s="87">
        <f t="shared" si="20"/>
        <v>605962.93357959948</v>
      </c>
      <c r="BH35" s="87">
        <f t="shared" si="20"/>
        <v>-80611.706420399249</v>
      </c>
      <c r="BI35" s="141"/>
      <c r="BJ35" s="141"/>
      <c r="BK35" s="141"/>
      <c r="BL35" s="141"/>
      <c r="BM35" s="141"/>
      <c r="BN35" s="141"/>
      <c r="BO35" s="141"/>
      <c r="BP35" s="141"/>
      <c r="BQ35" s="141"/>
      <c r="BR35" s="243">
        <f t="shared" si="14"/>
        <v>-1.1330307547760428</v>
      </c>
      <c r="BS35" s="103">
        <f t="shared" si="1"/>
        <v>6459555.7941999994</v>
      </c>
      <c r="BT35" s="103">
        <f t="shared" si="2"/>
        <v>873857.69843880041</v>
      </c>
      <c r="BU35" s="103">
        <f t="shared" si="3"/>
        <v>538296.31618333329</v>
      </c>
      <c r="BV35" s="103">
        <f t="shared" si="4"/>
        <v>291285.89947960014</v>
      </c>
      <c r="BW35" s="243">
        <f t="shared" si="5"/>
        <v>-1.2767442796387223</v>
      </c>
      <c r="BX35">
        <v>5</v>
      </c>
      <c r="BZ35">
        <f t="shared" si="6"/>
        <v>3</v>
      </c>
    </row>
    <row r="36" spans="1:78" ht="15" x14ac:dyDescent="0.2">
      <c r="A36" s="2" t="s">
        <v>107</v>
      </c>
      <c r="B36" s="2">
        <v>35</v>
      </c>
      <c r="C36" s="2"/>
      <c r="D36" s="99" t="s">
        <v>208</v>
      </c>
      <c r="E36" s="80"/>
      <c r="F36" s="80"/>
      <c r="G36" s="20" t="str">
        <f t="shared" si="17"/>
        <v>1 - TOTAL</v>
      </c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20">
        <v>-80213.36</v>
      </c>
      <c r="AU36" s="20">
        <v>-81593.86</v>
      </c>
      <c r="AV36" s="20">
        <v>-82351.89</v>
      </c>
      <c r="AW36" s="20">
        <v>-81651.520000000004</v>
      </c>
      <c r="AX36" s="20">
        <v>-82655.31</v>
      </c>
      <c r="AY36" s="20">
        <v>-83031.83</v>
      </c>
      <c r="AZ36" s="20">
        <v>-81344.25</v>
      </c>
      <c r="BA36" s="20">
        <v>-81832.36</v>
      </c>
      <c r="BB36" s="20">
        <v>-82171.59</v>
      </c>
      <c r="BC36" s="20">
        <v>-383857.86</v>
      </c>
      <c r="BD36" s="20">
        <v>-54765.37</v>
      </c>
      <c r="BE36" s="20">
        <v>-54921.58</v>
      </c>
      <c r="BF36" s="103">
        <v>-67178.67</v>
      </c>
      <c r="BG36" s="103">
        <v>-55046.55</v>
      </c>
      <c r="BH36" s="103">
        <v>-55419.35</v>
      </c>
      <c r="BI36" s="103"/>
      <c r="BJ36" s="103"/>
      <c r="BK36" s="103"/>
      <c r="BL36" s="103"/>
      <c r="BM36" s="103"/>
      <c r="BN36" s="103"/>
      <c r="BO36" s="103"/>
      <c r="BP36" s="103"/>
      <c r="BQ36" s="103"/>
      <c r="BR36" s="243">
        <f t="shared" si="14"/>
        <v>6.7724498628887186E-3</v>
      </c>
      <c r="BS36" s="103">
        <f t="shared" si="1"/>
        <v>-1230390.7800000003</v>
      </c>
      <c r="BT36" s="103">
        <f t="shared" si="2"/>
        <v>-177644.57</v>
      </c>
      <c r="BU36" s="103">
        <f t="shared" si="3"/>
        <v>-102532.56500000002</v>
      </c>
      <c r="BV36" s="103">
        <f t="shared" si="4"/>
        <v>-59214.856666666667</v>
      </c>
      <c r="BW36" s="243">
        <f t="shared" si="5"/>
        <v>-6.4097202633325634E-2</v>
      </c>
      <c r="BZ36">
        <f t="shared" si="6"/>
        <v>3</v>
      </c>
    </row>
    <row r="37" spans="1:78" ht="15" x14ac:dyDescent="0.2">
      <c r="A37" s="2" t="s">
        <v>107</v>
      </c>
      <c r="B37" s="2">
        <v>36</v>
      </c>
      <c r="C37" s="2"/>
      <c r="D37" s="99" t="s">
        <v>209</v>
      </c>
      <c r="E37" s="20"/>
      <c r="F37" s="20"/>
      <c r="G37" s="20" t="str">
        <f t="shared" si="17"/>
        <v>1 - TOTAL</v>
      </c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20">
        <v>-10724.36</v>
      </c>
      <c r="AU37" s="20">
        <v>-19305.18</v>
      </c>
      <c r="AV37" s="20">
        <v>-8638.8700000000008</v>
      </c>
      <c r="AW37" s="20">
        <v>-20260.13</v>
      </c>
      <c r="AX37" s="20">
        <v>-20681.330000000002</v>
      </c>
      <c r="AY37" s="20">
        <v>-10674.23</v>
      </c>
      <c r="AZ37" s="20">
        <v>-20584.98</v>
      </c>
      <c r="BA37" s="20">
        <v>-14517.68</v>
      </c>
      <c r="BB37" s="20">
        <v>-19874.509999999998</v>
      </c>
      <c r="BC37" s="20">
        <v>-13966.44</v>
      </c>
      <c r="BD37" s="20">
        <v>-10838.52</v>
      </c>
      <c r="BE37" s="20">
        <v>-22641.94</v>
      </c>
      <c r="BF37" s="103">
        <v>-9859.9699999999993</v>
      </c>
      <c r="BG37" s="103">
        <v>-9377.1299999999992</v>
      </c>
      <c r="BH37" s="103">
        <v>-8973.6299999999992</v>
      </c>
      <c r="BI37" s="103"/>
      <c r="BJ37" s="103"/>
      <c r="BK37" s="103"/>
      <c r="BL37" s="103"/>
      <c r="BM37" s="103"/>
      <c r="BN37" s="103"/>
      <c r="BO37" s="103"/>
      <c r="BP37" s="103"/>
      <c r="BQ37" s="103"/>
      <c r="BR37" s="243">
        <f t="shared" si="14"/>
        <v>-4.3030223533213285E-2</v>
      </c>
      <c r="BS37" s="103">
        <f t="shared" si="1"/>
        <v>-192708.17</v>
      </c>
      <c r="BT37" s="103">
        <f>SUM(BF37:BQ37)</f>
        <v>-28210.729999999996</v>
      </c>
      <c r="BU37" s="103">
        <f t="shared" si="3"/>
        <v>-16059.014166666668</v>
      </c>
      <c r="BV37" s="103">
        <f>AVERAGE(BF37:BQ37)</f>
        <v>-9403.5766666666659</v>
      </c>
      <c r="BW37" s="243">
        <f t="shared" si="5"/>
        <v>-4.5721610181657879E-2</v>
      </c>
      <c r="BZ37">
        <f t="shared" si="6"/>
        <v>3</v>
      </c>
    </row>
    <row r="38" spans="1:78" ht="15" x14ac:dyDescent="0.2">
      <c r="A38" s="2" t="s">
        <v>107</v>
      </c>
      <c r="B38" s="2">
        <v>37</v>
      </c>
      <c r="C38" s="2"/>
      <c r="D38" s="99" t="s">
        <v>210</v>
      </c>
      <c r="E38" s="20"/>
      <c r="F38" s="20"/>
      <c r="G38" s="20" t="str">
        <f t="shared" si="17"/>
        <v>1 - TOTAL</v>
      </c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7">
        <f>'[8]FLUXO CAIXA'!TC6</f>
        <v>2950365.4299999988</v>
      </c>
      <c r="AU38" s="107">
        <f>'[8]FLUXO CAIXA'!TU6</f>
        <v>2229619.5699999994</v>
      </c>
      <c r="AV38" s="107">
        <f>'[8]FLUXO CAIXA'!UR6</f>
        <v>1388648.28</v>
      </c>
      <c r="AW38" s="107">
        <f>'[8]FLUXO CAIXA'!VJ6</f>
        <v>2275974.4100000006</v>
      </c>
      <c r="AX38" s="107">
        <f>'[8]FLUXO CAIXA'!WF6</f>
        <v>2686195.6500000008</v>
      </c>
      <c r="AY38" s="107">
        <f>'[8]FLUXO CAIXA'!XA6</f>
        <v>2200371.2799999989</v>
      </c>
      <c r="AZ38" s="107">
        <f>'[8]FLUXO CAIXA'!XV6</f>
        <v>2219483.4099999992</v>
      </c>
      <c r="BA38" s="107">
        <f>'[8]FLUXO CAIXA'!YS6</f>
        <v>2969217.99</v>
      </c>
      <c r="BB38" s="107">
        <f>'[8]FLUXO CAIXA'!ZM6</f>
        <v>2643189.7600000016</v>
      </c>
      <c r="BC38" s="107">
        <f>'[8]FLUXO CAIXA'!AAH6</f>
        <v>4159359.5899999989</v>
      </c>
      <c r="BD38" s="107">
        <f>'[8]FLUXO CAIXA'!ABA6</f>
        <v>4224591.8899999987</v>
      </c>
      <c r="BE38" s="107">
        <f>'[8]FLUXO CAIXA'!ABU6</f>
        <v>4377668.6399999987</v>
      </c>
      <c r="BF38" s="107">
        <f>'[8]FLUXO CAIXA'!ACQ6</f>
        <v>5082042.0500000017</v>
      </c>
      <c r="BG38" s="107">
        <f>'[8]FLUXO CAIXA'!ADJ6</f>
        <v>2468403.7200000007</v>
      </c>
      <c r="BH38" s="213"/>
      <c r="BI38" s="142"/>
      <c r="BJ38" s="142"/>
      <c r="BK38" s="142"/>
      <c r="BL38" s="142"/>
      <c r="BM38" s="142"/>
      <c r="BN38" s="142"/>
      <c r="BO38" s="142"/>
      <c r="BP38" s="142"/>
      <c r="BQ38" s="142"/>
      <c r="BR38" s="243">
        <f t="shared" si="14"/>
        <v>-1</v>
      </c>
      <c r="BS38" s="103"/>
      <c r="BT38" s="103"/>
      <c r="BU38" s="103"/>
      <c r="BV38" s="103"/>
      <c r="BW38" s="243"/>
      <c r="BZ38">
        <f t="shared" si="6"/>
        <v>3</v>
      </c>
    </row>
    <row r="39" spans="1:78" ht="15" x14ac:dyDescent="0.2">
      <c r="A39" s="2" t="s">
        <v>107</v>
      </c>
      <c r="B39" s="2">
        <v>38</v>
      </c>
      <c r="C39" s="2"/>
      <c r="D39" s="99" t="s">
        <v>233</v>
      </c>
      <c r="E39" s="20"/>
      <c r="F39" s="20"/>
      <c r="G39" s="20" t="str">
        <f t="shared" si="17"/>
        <v>1 - TOTAL</v>
      </c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7">
        <v>-326979.21999999997</v>
      </c>
      <c r="AU39" s="107">
        <v>-480578.27</v>
      </c>
      <c r="AV39" s="107">
        <v>-809424.28</v>
      </c>
      <c r="AW39" s="107">
        <v>-546105.4299999997</v>
      </c>
      <c r="AX39" s="87">
        <v>-474741.31</v>
      </c>
      <c r="AY39" s="87">
        <v>-811997.68000000028</v>
      </c>
      <c r="AZ39" s="87">
        <v>-750416.74000000046</v>
      </c>
      <c r="BA39" s="87">
        <v>-900432.83999999601</v>
      </c>
      <c r="BB39" s="107">
        <v>-966019.72000000067</v>
      </c>
      <c r="BC39" s="87">
        <v>-1000118.3300000007</v>
      </c>
      <c r="BD39" s="87">
        <v>-1196701.2599999991</v>
      </c>
      <c r="BE39" s="87">
        <v>-1318130.4000000185</v>
      </c>
      <c r="BF39" s="141"/>
      <c r="BG39" s="141"/>
      <c r="BH39" s="141"/>
      <c r="BI39" s="141"/>
      <c r="BJ39" s="141"/>
      <c r="BK39" s="141"/>
      <c r="BL39" s="141"/>
      <c r="BM39" s="141"/>
      <c r="BN39" s="141"/>
      <c r="BO39" s="141"/>
      <c r="BP39" s="141"/>
      <c r="BQ39" s="141"/>
      <c r="BR39" s="243" t="str">
        <f t="shared" si="14"/>
        <v/>
      </c>
      <c r="BS39" s="103"/>
      <c r="BT39" s="103"/>
      <c r="BU39" s="103"/>
      <c r="BV39" s="103"/>
      <c r="BW39" s="243"/>
      <c r="BZ39">
        <f t="shared" si="6"/>
        <v>3</v>
      </c>
    </row>
    <row r="40" spans="1:78" ht="15" x14ac:dyDescent="0.2">
      <c r="A40" s="2" t="s">
        <v>107</v>
      </c>
      <c r="B40" s="2">
        <v>39</v>
      </c>
      <c r="C40" s="2"/>
      <c r="D40" s="99" t="s">
        <v>232</v>
      </c>
      <c r="E40" s="20"/>
      <c r="F40" s="20"/>
      <c r="G40" s="20" t="str">
        <f t="shared" si="17"/>
        <v>1 - TOTAL</v>
      </c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7">
        <v>162617.25</v>
      </c>
      <c r="AU40" s="107">
        <v>444672.6</v>
      </c>
      <c r="AV40" s="107">
        <v>366521.3</v>
      </c>
      <c r="AW40" s="107">
        <v>122262.05000000104</v>
      </c>
      <c r="AX40" s="87">
        <v>491385.9399999911</v>
      </c>
      <c r="AY40" s="87">
        <v>460659.07999997947</v>
      </c>
      <c r="AZ40" s="87">
        <v>443564.43999999971</v>
      </c>
      <c r="BA40" s="87">
        <v>466561.2199999601</v>
      </c>
      <c r="BB40" s="107">
        <v>78651.169999950274</v>
      </c>
      <c r="BC40" s="87">
        <v>1156914.0099999402</v>
      </c>
      <c r="BD40" s="87">
        <v>1040774.7199999401</v>
      </c>
      <c r="BE40" s="87">
        <v>773481.43999992986</v>
      </c>
      <c r="BF40" s="141"/>
      <c r="BG40" s="141"/>
      <c r="BH40" s="141"/>
      <c r="BI40" s="141"/>
      <c r="BJ40" s="141"/>
      <c r="BK40" s="141"/>
      <c r="BL40" s="141"/>
      <c r="BM40" s="141"/>
      <c r="BN40" s="141"/>
      <c r="BO40" s="141"/>
      <c r="BP40" s="141"/>
      <c r="BQ40" s="141"/>
      <c r="BR40" s="243" t="str">
        <f t="shared" si="14"/>
        <v/>
      </c>
      <c r="BS40" s="103"/>
      <c r="BT40" s="103"/>
      <c r="BU40" s="103"/>
      <c r="BV40" s="103"/>
      <c r="BW40" s="243"/>
      <c r="BZ40">
        <f t="shared" si="6"/>
        <v>3</v>
      </c>
    </row>
    <row r="41" spans="1:78" ht="15" x14ac:dyDescent="0.2">
      <c r="A41" s="2" t="s">
        <v>107</v>
      </c>
      <c r="B41" s="2">
        <v>40</v>
      </c>
      <c r="C41" s="2"/>
      <c r="D41" s="99" t="s">
        <v>234</v>
      </c>
      <c r="E41" s="20"/>
      <c r="F41" s="20"/>
      <c r="G41" s="20" t="str">
        <f t="shared" si="17"/>
        <v>1 - TOTAL</v>
      </c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7">
        <f t="shared" ref="AT41:BH41" si="21">AT39+AT40</f>
        <v>-164361.96999999997</v>
      </c>
      <c r="AU41" s="107">
        <f t="shared" si="21"/>
        <v>-35905.670000000042</v>
      </c>
      <c r="AV41" s="107">
        <f t="shared" si="21"/>
        <v>-442902.98000000004</v>
      </c>
      <c r="AW41" s="107">
        <f t="shared" si="21"/>
        <v>-423843.37999999867</v>
      </c>
      <c r="AX41" s="107">
        <f t="shared" si="21"/>
        <v>16644.629999991099</v>
      </c>
      <c r="AY41" s="107">
        <f t="shared" si="21"/>
        <v>-351338.60000002082</v>
      </c>
      <c r="AZ41" s="107">
        <f t="shared" si="21"/>
        <v>-306852.30000000075</v>
      </c>
      <c r="BA41" s="107">
        <f t="shared" si="21"/>
        <v>-433871.62000003591</v>
      </c>
      <c r="BB41" s="107">
        <f t="shared" si="21"/>
        <v>-887368.55000005034</v>
      </c>
      <c r="BC41" s="107">
        <f t="shared" si="21"/>
        <v>156795.67999993952</v>
      </c>
      <c r="BD41" s="107">
        <f t="shared" si="21"/>
        <v>-155926.54000005894</v>
      </c>
      <c r="BE41" s="107">
        <f t="shared" si="21"/>
        <v>-544648.96000008867</v>
      </c>
      <c r="BF41" s="107">
        <f t="shared" si="21"/>
        <v>0</v>
      </c>
      <c r="BG41" s="107">
        <f t="shared" si="21"/>
        <v>0</v>
      </c>
      <c r="BH41" s="107">
        <f t="shared" si="21"/>
        <v>0</v>
      </c>
      <c r="BI41" s="142"/>
      <c r="BJ41" s="142"/>
      <c r="BK41" s="142"/>
      <c r="BL41" s="142"/>
      <c r="BM41" s="142"/>
      <c r="BN41" s="142"/>
      <c r="BO41" s="142"/>
      <c r="BP41" s="142"/>
      <c r="BQ41" s="142"/>
      <c r="BR41" s="243" t="str">
        <f t="shared" si="14"/>
        <v/>
      </c>
      <c r="BS41" s="103"/>
      <c r="BT41" s="103"/>
      <c r="BU41" s="103"/>
      <c r="BV41" s="103"/>
      <c r="BW41" s="243"/>
      <c r="BZ41">
        <f t="shared" si="6"/>
        <v>3</v>
      </c>
    </row>
    <row r="42" spans="1:78" ht="15.75" thickBot="1" x14ac:dyDescent="0.25">
      <c r="A42" s="2" t="s">
        <v>107</v>
      </c>
      <c r="B42" s="2">
        <v>41</v>
      </c>
      <c r="C42" s="2"/>
      <c r="D42" s="100" t="s">
        <v>211</v>
      </c>
      <c r="E42" s="20"/>
      <c r="F42" s="20"/>
      <c r="G42" s="20" t="str">
        <f t="shared" si="17"/>
        <v>1 - TOTAL</v>
      </c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20">
        <v>-23090.57</v>
      </c>
      <c r="AU42" s="20">
        <v>-27405.034500000002</v>
      </c>
      <c r="AV42" s="20">
        <v>-100663.3843999997</v>
      </c>
      <c r="AW42" s="20">
        <v>-14118.84</v>
      </c>
      <c r="AX42" s="20">
        <v>-530.29000000000008</v>
      </c>
      <c r="AY42" s="20">
        <v>-108418.3103</v>
      </c>
      <c r="AZ42" s="20">
        <v>-27673.953000000012</v>
      </c>
      <c r="BA42" s="20">
        <v>-31050.391600000003</v>
      </c>
      <c r="BB42" s="20">
        <v>-32531.1486</v>
      </c>
      <c r="BC42" s="20">
        <v>-167025.80960000001</v>
      </c>
      <c r="BD42" s="20">
        <v>-97792.312999999995</v>
      </c>
      <c r="BE42" s="20">
        <v>-37037.925600000002</v>
      </c>
      <c r="BF42" s="103">
        <v>-90187.142100000259</v>
      </c>
      <c r="BG42" s="103">
        <v>-232008.01</v>
      </c>
      <c r="BH42" s="103">
        <v>-51179.24</v>
      </c>
      <c r="BI42" s="103"/>
      <c r="BJ42" s="103"/>
      <c r="BK42" s="103"/>
      <c r="BL42" s="103"/>
      <c r="BM42" s="103"/>
      <c r="BN42" s="103"/>
      <c r="BO42" s="103"/>
      <c r="BP42" s="103"/>
      <c r="BQ42" s="103"/>
      <c r="BR42" s="243">
        <f t="shared" si="14"/>
        <v>-0.77940744373437798</v>
      </c>
      <c r="BS42" s="103">
        <f t="shared" si="1"/>
        <v>-667337.97059999965</v>
      </c>
      <c r="BT42" s="103">
        <f>SUM(BF42:BQ42)</f>
        <v>-373374.39210000029</v>
      </c>
      <c r="BU42" s="103">
        <f t="shared" si="3"/>
        <v>-55611.497549999971</v>
      </c>
      <c r="BV42" s="103">
        <f>AVERAGE(BF42:BQ42)</f>
        <v>-124458.1307000001</v>
      </c>
      <c r="BW42" s="243">
        <f t="shared" ref="BW42" si="22">BH42/BV42-1</f>
        <v>-0.58878347511610218</v>
      </c>
      <c r="BZ42">
        <f t="shared" si="6"/>
        <v>3</v>
      </c>
    </row>
    <row r="43" spans="1:78" ht="15" x14ac:dyDescent="0.2">
      <c r="A43" s="2" t="s">
        <v>104</v>
      </c>
      <c r="B43" s="2">
        <v>1</v>
      </c>
      <c r="C43" s="2"/>
      <c r="D43" s="108" t="s">
        <v>183</v>
      </c>
      <c r="E43" s="20"/>
      <c r="F43" s="20"/>
      <c r="G43" s="20" t="str">
        <f t="shared" si="17"/>
        <v>2 - GAN</v>
      </c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>
        <v>1943702.4300000002</v>
      </c>
      <c r="AI43">
        <v>1278609.17</v>
      </c>
      <c r="AJ43">
        <v>1748984.21</v>
      </c>
      <c r="AK43">
        <v>2442005.48</v>
      </c>
      <c r="AL43">
        <v>2683096.94</v>
      </c>
      <c r="AM43">
        <v>2076825.6699999997</v>
      </c>
      <c r="AN43">
        <v>2168864.44</v>
      </c>
      <c r="AO43">
        <v>1878740.4199999997</v>
      </c>
      <c r="AP43">
        <v>2160109.86</v>
      </c>
      <c r="AQ43">
        <v>2229593.1</v>
      </c>
      <c r="AR43">
        <v>2156433.66</v>
      </c>
      <c r="AS43">
        <v>2348347.66</v>
      </c>
      <c r="BZ43">
        <f t="shared" si="6"/>
        <v>3</v>
      </c>
    </row>
    <row r="44" spans="1:78" ht="15" x14ac:dyDescent="0.2">
      <c r="A44" s="2" t="s">
        <v>104</v>
      </c>
      <c r="B44" s="2">
        <v>2</v>
      </c>
      <c r="C44" s="2"/>
      <c r="D44" s="99" t="s">
        <v>184</v>
      </c>
      <c r="E44" s="20"/>
      <c r="F44" s="20"/>
      <c r="G44" s="20" t="str">
        <f t="shared" si="17"/>
        <v>2 - GAN</v>
      </c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>
        <v>1913955.8</v>
      </c>
      <c r="AI44">
        <v>1259667.4099999999</v>
      </c>
      <c r="AJ44">
        <v>1716069.05</v>
      </c>
      <c r="AK44">
        <v>2335937.7599999998</v>
      </c>
      <c r="AL44">
        <v>2618977.5299999998</v>
      </c>
      <c r="AM44">
        <v>1965819.1999999997</v>
      </c>
      <c r="AN44">
        <v>2157312.59</v>
      </c>
      <c r="AO44">
        <v>1748361.7799999998</v>
      </c>
      <c r="AP44">
        <v>2093881.92</v>
      </c>
      <c r="AQ44">
        <v>2149574.25</v>
      </c>
      <c r="AR44">
        <v>1973799.4700000002</v>
      </c>
      <c r="AS44">
        <v>2214970.91</v>
      </c>
      <c r="BZ44">
        <f t="shared" si="6"/>
        <v>3</v>
      </c>
    </row>
    <row r="45" spans="1:78" ht="15" x14ac:dyDescent="0.2">
      <c r="A45" s="2" t="s">
        <v>104</v>
      </c>
      <c r="B45" s="2">
        <v>3</v>
      </c>
      <c r="C45" s="2"/>
      <c r="D45" s="99" t="s">
        <v>185</v>
      </c>
      <c r="E45" s="20"/>
      <c r="F45" s="20"/>
      <c r="G45" s="20" t="str">
        <f t="shared" si="17"/>
        <v>2 - GAN</v>
      </c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>
        <v>29746.630000000005</v>
      </c>
      <c r="AI45">
        <v>18941.760000000002</v>
      </c>
      <c r="AJ45">
        <v>32915.160000000003</v>
      </c>
      <c r="AK45">
        <v>106067.72</v>
      </c>
      <c r="AL45">
        <v>64119.41</v>
      </c>
      <c r="AM45">
        <v>111006.47</v>
      </c>
      <c r="AN45">
        <v>11551.849999999999</v>
      </c>
      <c r="AO45">
        <v>130378.63999999998</v>
      </c>
      <c r="AP45">
        <v>66227.94</v>
      </c>
      <c r="AQ45">
        <v>80018.850000000006</v>
      </c>
      <c r="AR45">
        <v>182634.19</v>
      </c>
      <c r="AS45">
        <v>133376.75</v>
      </c>
      <c r="BZ45">
        <f t="shared" si="6"/>
        <v>3</v>
      </c>
    </row>
    <row r="46" spans="1:78" ht="15" x14ac:dyDescent="0.2">
      <c r="A46" s="2" t="s">
        <v>104</v>
      </c>
      <c r="B46" s="2">
        <v>4</v>
      </c>
      <c r="C46" s="2"/>
      <c r="D46" s="99" t="s">
        <v>186</v>
      </c>
      <c r="E46" s="20"/>
      <c r="F46" s="20"/>
      <c r="G46" s="20" t="str">
        <f t="shared" si="17"/>
        <v>2 - GAN</v>
      </c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>
        <v>1943702.4300000002</v>
      </c>
      <c r="AI46">
        <v>1278609.17</v>
      </c>
      <c r="AJ46">
        <v>1748984.21</v>
      </c>
      <c r="AK46">
        <v>2442005.48</v>
      </c>
      <c r="AL46">
        <v>2683096.94</v>
      </c>
      <c r="AM46">
        <v>2076825.6699999997</v>
      </c>
      <c r="AN46">
        <v>2168864.44</v>
      </c>
      <c r="AO46">
        <v>1878740.4199999997</v>
      </c>
      <c r="AP46">
        <v>2160109.86</v>
      </c>
      <c r="AQ46">
        <v>2229593.1</v>
      </c>
      <c r="AR46">
        <v>2156433.66</v>
      </c>
      <c r="AS46">
        <v>2348347.66</v>
      </c>
      <c r="BZ46">
        <f t="shared" si="6"/>
        <v>3</v>
      </c>
    </row>
    <row r="47" spans="1:78" ht="15" x14ac:dyDescent="0.2">
      <c r="A47" s="2" t="s">
        <v>104</v>
      </c>
      <c r="B47" s="2">
        <v>5</v>
      </c>
      <c r="C47" s="2"/>
      <c r="D47" s="101" t="s">
        <v>32</v>
      </c>
      <c r="E47" s="20"/>
      <c r="F47" s="20"/>
      <c r="G47" s="20" t="str">
        <f t="shared" si="17"/>
        <v>2 - GAN</v>
      </c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87">
        <f t="shared" ref="AH47:AS47" si="23">AH48+AH49+AH50+AH51+AH52+AH53</f>
        <v>-182474.15</v>
      </c>
      <c r="AI47" s="87">
        <f t="shared" si="23"/>
        <v>-103547.46999999999</v>
      </c>
      <c r="AJ47" s="87">
        <f t="shared" si="23"/>
        <v>-69216.59</v>
      </c>
      <c r="AK47" s="87">
        <f t="shared" si="23"/>
        <v>-120092.13999999998</v>
      </c>
      <c r="AL47" s="87">
        <f t="shared" si="23"/>
        <v>-154442.19</v>
      </c>
      <c r="AM47" s="87">
        <f t="shared" si="23"/>
        <v>-197578.41999999998</v>
      </c>
      <c r="AN47" s="87">
        <f t="shared" si="23"/>
        <v>-239809.90999999997</v>
      </c>
      <c r="AO47" s="87">
        <f t="shared" si="23"/>
        <v>-192940.47</v>
      </c>
      <c r="AP47" s="87">
        <f t="shared" si="23"/>
        <v>-211742.53</v>
      </c>
      <c r="AQ47" s="87">
        <f t="shared" si="23"/>
        <v>-196483.48</v>
      </c>
      <c r="AR47" s="87">
        <f t="shared" si="23"/>
        <v>-217534.9</v>
      </c>
      <c r="AS47" s="87">
        <f t="shared" si="23"/>
        <v>-377334.15</v>
      </c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Z47">
        <f t="shared" si="6"/>
        <v>3</v>
      </c>
    </row>
    <row r="48" spans="1:78" ht="15" x14ac:dyDescent="0.2">
      <c r="A48" s="2" t="s">
        <v>104</v>
      </c>
      <c r="B48" s="2">
        <v>6</v>
      </c>
      <c r="C48" t="s">
        <v>213</v>
      </c>
      <c r="D48" t="s">
        <v>187</v>
      </c>
      <c r="E48" t="s">
        <v>219</v>
      </c>
      <c r="F48">
        <v>1</v>
      </c>
      <c r="G48" s="20" t="str">
        <f t="shared" si="17"/>
        <v>2 - GANPESSOAL CLT (BO / ASSIS JURÍD / NEGOC)</v>
      </c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>
        <v>-193.12</v>
      </c>
      <c r="AI48">
        <v>0</v>
      </c>
      <c r="AJ48">
        <v>-138.19999999999999</v>
      </c>
      <c r="AK48">
        <v>0</v>
      </c>
      <c r="AL48">
        <v>0</v>
      </c>
      <c r="AM48">
        <v>0</v>
      </c>
      <c r="AN48">
        <v>-32171.75</v>
      </c>
      <c r="AO48">
        <v>0</v>
      </c>
      <c r="AP48">
        <v>0</v>
      </c>
      <c r="AQ48">
        <v>0</v>
      </c>
      <c r="AR48">
        <v>0</v>
      </c>
      <c r="AS48">
        <v>0</v>
      </c>
      <c r="BZ48">
        <f t="shared" si="6"/>
        <v>3</v>
      </c>
    </row>
    <row r="49" spans="1:78" ht="15" x14ac:dyDescent="0.2">
      <c r="A49" s="2" t="s">
        <v>104</v>
      </c>
      <c r="B49" s="2">
        <v>7</v>
      </c>
      <c r="C49" t="s">
        <v>213</v>
      </c>
      <c r="D49" s="99" t="s">
        <v>188</v>
      </c>
      <c r="E49" s="99" t="s">
        <v>28</v>
      </c>
      <c r="G49" s="20" t="str">
        <f t="shared" si="17"/>
        <v>2 - GANCORRESPONDENTES</v>
      </c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>
        <v>-109533.53</v>
      </c>
      <c r="AI49">
        <v>-74020.899999999994</v>
      </c>
      <c r="AJ49">
        <v>-39068.36</v>
      </c>
      <c r="AK49">
        <v>-88815.599999999991</v>
      </c>
      <c r="AL49">
        <v>-102471.2</v>
      </c>
      <c r="AM49">
        <v>-88645.099999999991</v>
      </c>
      <c r="AN49">
        <v>-94878.15</v>
      </c>
      <c r="AO49">
        <v>-95849.9</v>
      </c>
      <c r="AP49">
        <v>-84653</v>
      </c>
      <c r="AQ49">
        <v>-115922.8</v>
      </c>
      <c r="AR49">
        <v>-115353.28</v>
      </c>
      <c r="AS49">
        <v>-128208.49</v>
      </c>
      <c r="BZ49">
        <f t="shared" si="6"/>
        <v>3</v>
      </c>
    </row>
    <row r="50" spans="1:78" ht="15" x14ac:dyDescent="0.2">
      <c r="A50" s="2" t="s">
        <v>104</v>
      </c>
      <c r="B50" s="2">
        <v>8</v>
      </c>
      <c r="C50" t="s">
        <v>213</v>
      </c>
      <c r="D50" s="99" t="s">
        <v>189</v>
      </c>
      <c r="E50" s="99" t="s">
        <v>29</v>
      </c>
      <c r="G50" s="20" t="str">
        <f t="shared" si="17"/>
        <v>2 - GANVALORES RESCISÓRIOS</v>
      </c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>
        <v>-1238.7</v>
      </c>
      <c r="AI50">
        <v>0</v>
      </c>
      <c r="AJ50">
        <v>0</v>
      </c>
      <c r="AK50">
        <v>0</v>
      </c>
      <c r="AL50">
        <v>0</v>
      </c>
      <c r="AM50">
        <v>-5530.49</v>
      </c>
      <c r="AN50">
        <v>-2379.0100000000002</v>
      </c>
      <c r="AO50">
        <v>-13114</v>
      </c>
      <c r="AP50">
        <v>-5105.45</v>
      </c>
      <c r="AQ50">
        <v>-3009.92</v>
      </c>
      <c r="AR50">
        <v>-2896.87</v>
      </c>
      <c r="AS50">
        <v>-2896.87</v>
      </c>
      <c r="BZ50">
        <f t="shared" si="6"/>
        <v>3</v>
      </c>
    </row>
    <row r="51" spans="1:78" ht="15" x14ac:dyDescent="0.2">
      <c r="A51" s="2" t="s">
        <v>104</v>
      </c>
      <c r="B51" s="2">
        <v>9</v>
      </c>
      <c r="C51" t="s">
        <v>213</v>
      </c>
      <c r="D51" s="99" t="s">
        <v>190</v>
      </c>
      <c r="E51" s="99" t="s">
        <v>30</v>
      </c>
      <c r="G51" s="20" t="str">
        <f t="shared" si="17"/>
        <v>2 - GANPENALIDADES E GLOSAS DE CLIENTES</v>
      </c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>
        <v>-11747.12</v>
      </c>
      <c r="AI51">
        <v>-5696.73</v>
      </c>
      <c r="AJ51">
        <v>-5693.35</v>
      </c>
      <c r="AK51">
        <v>-7446.7</v>
      </c>
      <c r="AL51">
        <v>-14391.15</v>
      </c>
      <c r="AM51">
        <v>-14336.19</v>
      </c>
      <c r="AN51">
        <v>-2040.76</v>
      </c>
      <c r="AO51">
        <v>-5100.3500000000004</v>
      </c>
      <c r="AP51">
        <v>-6902.78</v>
      </c>
      <c r="AQ51">
        <v>-14970.919999999998</v>
      </c>
      <c r="AR51">
        <v>-13723.560000000001</v>
      </c>
      <c r="AS51">
        <v>-176797.66</v>
      </c>
      <c r="BZ51">
        <f t="shared" si="6"/>
        <v>3</v>
      </c>
    </row>
    <row r="52" spans="1:78" ht="15" x14ac:dyDescent="0.2">
      <c r="A52" s="2" t="s">
        <v>104</v>
      </c>
      <c r="B52" s="2">
        <v>10</v>
      </c>
      <c r="C52" t="s">
        <v>213</v>
      </c>
      <c r="D52" s="99" t="s">
        <v>191</v>
      </c>
      <c r="E52" s="99" t="s">
        <v>31</v>
      </c>
      <c r="G52" s="20" t="str">
        <f t="shared" si="17"/>
        <v>2 - GANPROCESSOS TRABALHISTAS</v>
      </c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>
        <v>-59761.68</v>
      </c>
      <c r="AI52">
        <v>-23829.84</v>
      </c>
      <c r="AJ52">
        <v>-24316.68</v>
      </c>
      <c r="AK52">
        <v>-23829.84</v>
      </c>
      <c r="AL52">
        <v>-37579.839999999997</v>
      </c>
      <c r="AM52">
        <v>-89066.64</v>
      </c>
      <c r="AN52">
        <v>-108340.24</v>
      </c>
      <c r="AO52">
        <v>-78876.22</v>
      </c>
      <c r="AP52">
        <v>-115081.3</v>
      </c>
      <c r="AQ52">
        <v>-62579.839999999997</v>
      </c>
      <c r="AR52">
        <v>-85561.19</v>
      </c>
      <c r="AS52">
        <v>-69431.13</v>
      </c>
      <c r="BZ52">
        <f t="shared" si="6"/>
        <v>3</v>
      </c>
    </row>
    <row r="53" spans="1:78" ht="15" x14ac:dyDescent="0.2">
      <c r="A53" s="2" t="s">
        <v>104</v>
      </c>
      <c r="B53" s="2">
        <v>11</v>
      </c>
      <c r="C53" t="s">
        <v>213</v>
      </c>
      <c r="D53" s="99" t="s">
        <v>192</v>
      </c>
      <c r="E53" s="99" t="s">
        <v>172</v>
      </c>
      <c r="G53" s="20" t="str">
        <f t="shared" si="17"/>
        <v>2 - GANDESCONTO PAGAMENTOS EM DUPLICIDADE</v>
      </c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BZ53">
        <f t="shared" si="6"/>
        <v>3</v>
      </c>
    </row>
    <row r="54" spans="1:78" ht="15" x14ac:dyDescent="0.2">
      <c r="A54" s="2" t="s">
        <v>104</v>
      </c>
      <c r="B54" s="2">
        <v>12</v>
      </c>
      <c r="C54" s="2"/>
      <c r="D54" s="98" t="s">
        <v>63</v>
      </c>
      <c r="E54" s="98"/>
      <c r="F54" s="90"/>
      <c r="G54" s="20" t="str">
        <f t="shared" si="17"/>
        <v>2 - GAN</v>
      </c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>
        <v>819707.23000000021</v>
      </c>
      <c r="AI54">
        <v>236727.46999999997</v>
      </c>
      <c r="AJ54">
        <v>718432.62819032278</v>
      </c>
      <c r="AK54">
        <v>1381663.4800000002</v>
      </c>
      <c r="AL54">
        <v>1578130.7000000002</v>
      </c>
      <c r="AM54">
        <v>955158.07959999982</v>
      </c>
      <c r="AN54">
        <v>973702.34000000032</v>
      </c>
      <c r="AO54">
        <v>748821.66399999964</v>
      </c>
      <c r="AP54">
        <v>1034752.8525322578</v>
      </c>
      <c r="AQ54">
        <v>1061178.0064111</v>
      </c>
      <c r="AR54">
        <v>980961.76059999992</v>
      </c>
      <c r="AS54">
        <v>1001330.2746000001</v>
      </c>
      <c r="BZ54">
        <f t="shared" si="6"/>
        <v>3</v>
      </c>
    </row>
    <row r="55" spans="1:78" ht="15" x14ac:dyDescent="0.2">
      <c r="A55" s="2" t="s">
        <v>104</v>
      </c>
      <c r="B55" s="2">
        <v>13</v>
      </c>
      <c r="C55" s="2"/>
      <c r="D55" s="101" t="s">
        <v>62</v>
      </c>
      <c r="E55" s="101"/>
      <c r="F55" s="111"/>
      <c r="G55" s="20" t="str">
        <f t="shared" si="17"/>
        <v>2 - GAN</v>
      </c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87">
        <f t="shared" ref="AH55:AS55" si="24">AH56+AH57+AH58+AH59+AH60+AH61+AH62+AH63</f>
        <v>-116188.9</v>
      </c>
      <c r="AI55" s="87">
        <f t="shared" si="24"/>
        <v>-109355.41</v>
      </c>
      <c r="AJ55" s="87">
        <f t="shared" si="24"/>
        <v>-179189.47</v>
      </c>
      <c r="AK55" s="87">
        <f t="shared" si="24"/>
        <v>-166856.40999999997</v>
      </c>
      <c r="AL55" s="87">
        <f t="shared" si="24"/>
        <v>-125343.01</v>
      </c>
      <c r="AM55" s="87">
        <f t="shared" si="24"/>
        <v>-107935.72000000002</v>
      </c>
      <c r="AN55" s="87">
        <f t="shared" si="24"/>
        <v>-145234.44</v>
      </c>
      <c r="AO55" s="87">
        <f t="shared" si="24"/>
        <v>-115146.83000000002</v>
      </c>
      <c r="AP55" s="87">
        <f t="shared" si="24"/>
        <v>-124283.82000000002</v>
      </c>
      <c r="AQ55" s="87">
        <f t="shared" si="24"/>
        <v>-123603.35999999999</v>
      </c>
      <c r="AR55" s="87">
        <f t="shared" si="24"/>
        <v>-127307.81999999999</v>
      </c>
      <c r="AS55" s="87">
        <f t="shared" si="24"/>
        <v>-143672.31000000003</v>
      </c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Z55">
        <f t="shared" si="6"/>
        <v>3</v>
      </c>
    </row>
    <row r="56" spans="1:78" ht="15" x14ac:dyDescent="0.2">
      <c r="A56" s="2" t="s">
        <v>104</v>
      </c>
      <c r="B56" s="2">
        <v>14</v>
      </c>
      <c r="C56" s="2" t="s">
        <v>214</v>
      </c>
      <c r="D56" s="99" t="s">
        <v>193</v>
      </c>
      <c r="E56" s="99" t="s">
        <v>102</v>
      </c>
      <c r="F56">
        <v>1</v>
      </c>
      <c r="G56" s="20" t="str">
        <f t="shared" si="17"/>
        <v>2 - GANPESSOAL CLT ADM</v>
      </c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>
        <v>0</v>
      </c>
      <c r="AI56">
        <v>-358.12</v>
      </c>
      <c r="AJ56">
        <v>-40481.58</v>
      </c>
      <c r="AK56">
        <v>-382.55</v>
      </c>
      <c r="AL56">
        <v>-358.12</v>
      </c>
      <c r="AM56">
        <v>-358.12</v>
      </c>
      <c r="AN56">
        <v>-14737.720000000001</v>
      </c>
      <c r="AO56">
        <v>-358.12</v>
      </c>
      <c r="AP56">
        <v>-1244.57</v>
      </c>
      <c r="AQ56">
        <v>0</v>
      </c>
      <c r="AR56">
        <v>0</v>
      </c>
      <c r="AS56">
        <v>0</v>
      </c>
      <c r="BZ56">
        <f t="shared" si="6"/>
        <v>3</v>
      </c>
    </row>
    <row r="57" spans="1:78" ht="15" x14ac:dyDescent="0.2">
      <c r="A57" s="2" t="s">
        <v>104</v>
      </c>
      <c r="B57" s="2">
        <v>15</v>
      </c>
      <c r="C57" s="2" t="s">
        <v>214</v>
      </c>
      <c r="D57" s="99" t="s">
        <v>194</v>
      </c>
      <c r="E57" s="99" t="s">
        <v>0</v>
      </c>
      <c r="G57" s="20" t="str">
        <f t="shared" si="17"/>
        <v>2 - GANLOCALIZAÇÃO (ALUGUEL, COND, LUZ, IPTU)</v>
      </c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>
        <v>-44157.21</v>
      </c>
      <c r="AI57">
        <v>-9865.9399999999987</v>
      </c>
      <c r="AJ57">
        <v>-42236.34</v>
      </c>
      <c r="AK57">
        <v>-41696.36</v>
      </c>
      <c r="AL57">
        <v>-39940.329999999994</v>
      </c>
      <c r="AM57">
        <v>-41261.850000000006</v>
      </c>
      <c r="AN57">
        <v>-39014.810000000005</v>
      </c>
      <c r="AO57">
        <v>-36927.440000000002</v>
      </c>
      <c r="AP57">
        <v>-38481.96</v>
      </c>
      <c r="AQ57">
        <v>-40705.67</v>
      </c>
      <c r="AR57">
        <v>-36264.51</v>
      </c>
      <c r="AS57">
        <v>-38809.89</v>
      </c>
      <c r="BZ57">
        <f t="shared" si="6"/>
        <v>3</v>
      </c>
    </row>
    <row r="58" spans="1:78" ht="15" x14ac:dyDescent="0.2">
      <c r="A58" s="2" t="s">
        <v>104</v>
      </c>
      <c r="B58" s="2">
        <v>16</v>
      </c>
      <c r="C58" s="2" t="s">
        <v>214</v>
      </c>
      <c r="D58" s="99" t="s">
        <v>195</v>
      </c>
      <c r="E58" s="99" t="s">
        <v>1</v>
      </c>
      <c r="G58" s="20" t="str">
        <f t="shared" si="17"/>
        <v>2 - GANMARKETING</v>
      </c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>
        <v>-19667.11</v>
      </c>
      <c r="AI58">
        <v>-21913.34</v>
      </c>
      <c r="AJ58">
        <v>-26080.400000000001</v>
      </c>
      <c r="AK58">
        <v>-11070.64</v>
      </c>
      <c r="AL58">
        <v>-12646.36</v>
      </c>
      <c r="AM58">
        <v>-10357.08</v>
      </c>
      <c r="AN58">
        <v>-12971.63</v>
      </c>
      <c r="AO58">
        <v>-17551.77</v>
      </c>
      <c r="AP58">
        <v>-17005.850000000002</v>
      </c>
      <c r="AQ58">
        <v>-16092.84</v>
      </c>
      <c r="AR58">
        <v>-20659.189999999999</v>
      </c>
      <c r="AS58">
        <v>-38138.080000000002</v>
      </c>
      <c r="BZ58">
        <f t="shared" si="6"/>
        <v>3</v>
      </c>
    </row>
    <row r="59" spans="1:78" ht="15" x14ac:dyDescent="0.2">
      <c r="A59" s="2" t="s">
        <v>104</v>
      </c>
      <c r="B59" s="2">
        <v>17</v>
      </c>
      <c r="C59" s="2" t="s">
        <v>214</v>
      </c>
      <c r="D59" s="99" t="s">
        <v>196</v>
      </c>
      <c r="E59" s="99" t="s">
        <v>2</v>
      </c>
      <c r="G59" s="20" t="str">
        <f t="shared" si="17"/>
        <v>2 - GANCOMUNICAÇÃO</v>
      </c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>
        <v>-19144.97</v>
      </c>
      <c r="AI59">
        <v>-19837.999999999996</v>
      </c>
      <c r="AJ59">
        <v>-11823.37</v>
      </c>
      <c r="AK59">
        <v>-21505.200000000001</v>
      </c>
      <c r="AL59">
        <v>-21236.73</v>
      </c>
      <c r="AM59">
        <v>-17852.379999999997</v>
      </c>
      <c r="AN59">
        <v>-17522.560000000001</v>
      </c>
      <c r="AO59">
        <v>-17728.010000000002</v>
      </c>
      <c r="AP59">
        <v>-18922.02</v>
      </c>
      <c r="AQ59">
        <v>-19003.29</v>
      </c>
      <c r="AR59">
        <v>-19918.32</v>
      </c>
      <c r="AS59">
        <v>-20349</v>
      </c>
      <c r="BZ59">
        <f t="shared" si="6"/>
        <v>3</v>
      </c>
    </row>
    <row r="60" spans="1:78" ht="15" x14ac:dyDescent="0.2">
      <c r="A60" s="2" t="s">
        <v>104</v>
      </c>
      <c r="B60" s="2">
        <v>18</v>
      </c>
      <c r="C60" s="2" t="s">
        <v>214</v>
      </c>
      <c r="D60" s="99" t="s">
        <v>197</v>
      </c>
      <c r="E60" s="99" t="s">
        <v>3</v>
      </c>
      <c r="G60" s="20" t="str">
        <f t="shared" si="17"/>
        <v>2 - GANPRESTADOR DE SERVIÇOS</v>
      </c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>
        <v>-8982.75</v>
      </c>
      <c r="AI60">
        <v>-14654.349999999999</v>
      </c>
      <c r="AJ60">
        <v>-12107.78</v>
      </c>
      <c r="AK60">
        <v>-11537.650000000001</v>
      </c>
      <c r="AL60">
        <v>-10315.900000000001</v>
      </c>
      <c r="AM60">
        <v>-13038.650000000001</v>
      </c>
      <c r="AN60">
        <v>-10309.630000000001</v>
      </c>
      <c r="AO60">
        <v>-11794.29</v>
      </c>
      <c r="AP60">
        <v>-12022.210000000001</v>
      </c>
      <c r="AQ60">
        <v>-11246.39</v>
      </c>
      <c r="AR60">
        <v>-10753.45</v>
      </c>
      <c r="AS60">
        <v>-11501.27</v>
      </c>
      <c r="BZ60">
        <f t="shared" si="6"/>
        <v>3</v>
      </c>
    </row>
    <row r="61" spans="1:78" ht="15" x14ac:dyDescent="0.2">
      <c r="A61" s="2" t="s">
        <v>104</v>
      </c>
      <c r="B61" s="2">
        <v>19</v>
      </c>
      <c r="C61" s="2" t="s">
        <v>214</v>
      </c>
      <c r="D61" s="99" t="s">
        <v>198</v>
      </c>
      <c r="E61" s="99" t="s">
        <v>220</v>
      </c>
      <c r="G61" s="20" t="str">
        <f t="shared" si="17"/>
        <v>2 - GANALUGUEL DE EQUIPAM / MANUT MÁQ EQUIPAM</v>
      </c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>
        <v>-7236.11</v>
      </c>
      <c r="AI61">
        <v>-7795</v>
      </c>
      <c r="AJ61">
        <v>-6435</v>
      </c>
      <c r="AK61">
        <v>-6985</v>
      </c>
      <c r="AL61">
        <v>-7372.9</v>
      </c>
      <c r="AM61">
        <v>-5280</v>
      </c>
      <c r="AN61">
        <v>-6602.2699999999995</v>
      </c>
      <c r="AO61">
        <v>-5653.4699999999993</v>
      </c>
      <c r="AP61">
        <v>-6323.4699999999993</v>
      </c>
      <c r="AQ61">
        <v>-5728.0499999999993</v>
      </c>
      <c r="AR61">
        <v>-5653.4699999999993</v>
      </c>
      <c r="AS61">
        <v>-5480.52</v>
      </c>
      <c r="BZ61">
        <f t="shared" si="6"/>
        <v>3</v>
      </c>
    </row>
    <row r="62" spans="1:78" ht="15" x14ac:dyDescent="0.2">
      <c r="A62" s="2" t="s">
        <v>104</v>
      </c>
      <c r="B62" s="2">
        <v>20</v>
      </c>
      <c r="C62" s="2" t="s">
        <v>214</v>
      </c>
      <c r="D62" s="99" t="s">
        <v>199</v>
      </c>
      <c r="E62" s="99" t="s">
        <v>5</v>
      </c>
      <c r="G62" s="20" t="str">
        <f t="shared" si="17"/>
        <v>2 - GANCONSUMO DE MATERIAL</v>
      </c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>
        <v>-3281.43</v>
      </c>
      <c r="AI62">
        <v>-526.66</v>
      </c>
      <c r="AJ62">
        <v>-4215.25</v>
      </c>
      <c r="AK62">
        <v>-6418.93</v>
      </c>
      <c r="AL62">
        <v>-7943.6900000000005</v>
      </c>
      <c r="AM62">
        <v>-4054.55</v>
      </c>
      <c r="AN62">
        <v>-3208.18</v>
      </c>
      <c r="AO62">
        <v>-6997.66</v>
      </c>
      <c r="AP62">
        <v>-9790.36</v>
      </c>
      <c r="AQ62">
        <v>-7749.96</v>
      </c>
      <c r="AR62">
        <v>-7804.1900000000005</v>
      </c>
      <c r="AS62">
        <v>-6227.85</v>
      </c>
      <c r="BZ62">
        <f t="shared" si="6"/>
        <v>3</v>
      </c>
    </row>
    <row r="63" spans="1:78" ht="15" x14ac:dyDescent="0.2">
      <c r="A63" s="2" t="s">
        <v>104</v>
      </c>
      <c r="B63" s="2">
        <v>21</v>
      </c>
      <c r="C63" s="2" t="s">
        <v>214</v>
      </c>
      <c r="D63" s="99" t="s">
        <v>231</v>
      </c>
      <c r="E63" s="99" t="s">
        <v>230</v>
      </c>
      <c r="G63" s="20" t="str">
        <f t="shared" si="17"/>
        <v>2 - GANDESPESAS GERAIS / INVESTIMENTOS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>
        <v>-13719.32</v>
      </c>
      <c r="AI63">
        <v>-34404</v>
      </c>
      <c r="AJ63">
        <v>-35809.749999999993</v>
      </c>
      <c r="AK63">
        <v>-67260.08</v>
      </c>
      <c r="AL63">
        <v>-25528.98</v>
      </c>
      <c r="AM63">
        <v>-15733.09</v>
      </c>
      <c r="AN63">
        <v>-40867.64</v>
      </c>
      <c r="AO63">
        <v>-18136.07</v>
      </c>
      <c r="AP63">
        <v>-20493.38</v>
      </c>
      <c r="AQ63">
        <v>-23077.159999999996</v>
      </c>
      <c r="AR63">
        <v>-26254.69</v>
      </c>
      <c r="AS63">
        <v>-23165.7</v>
      </c>
      <c r="BZ63">
        <f t="shared" si="6"/>
        <v>3</v>
      </c>
    </row>
    <row r="64" spans="1:78" ht="15" x14ac:dyDescent="0.2">
      <c r="A64" s="2" t="s">
        <v>104</v>
      </c>
      <c r="B64" s="2">
        <v>22</v>
      </c>
      <c r="C64" s="2" t="s">
        <v>214</v>
      </c>
      <c r="D64" s="99" t="s">
        <v>228</v>
      </c>
      <c r="E64" s="99" t="s">
        <v>229</v>
      </c>
      <c r="G64" s="20" t="str">
        <f t="shared" si="17"/>
        <v>2 - GANDESPESAS INTERCOMPANY</v>
      </c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BZ64">
        <f t="shared" si="6"/>
        <v>3</v>
      </c>
    </row>
    <row r="65" spans="1:78" ht="15" x14ac:dyDescent="0.2">
      <c r="A65" s="2" t="s">
        <v>104</v>
      </c>
      <c r="B65" s="2">
        <v>23</v>
      </c>
      <c r="C65" s="2"/>
      <c r="D65" s="98" t="s">
        <v>178</v>
      </c>
      <c r="E65" s="98"/>
      <c r="F65" s="90"/>
      <c r="G65" s="20" t="str">
        <f t="shared" si="17"/>
        <v>2 - GAN</v>
      </c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87">
        <f t="shared" ref="AH65:AS65" si="25">AH54+AH55</f>
        <v>703518.33000000019</v>
      </c>
      <c r="AI65" s="87">
        <f t="shared" si="25"/>
        <v>127372.05999999997</v>
      </c>
      <c r="AJ65" s="87">
        <f t="shared" si="25"/>
        <v>539243.15819032281</v>
      </c>
      <c r="AK65" s="87">
        <f t="shared" si="25"/>
        <v>1214807.0700000003</v>
      </c>
      <c r="AL65" s="87">
        <f t="shared" si="25"/>
        <v>1452787.6900000002</v>
      </c>
      <c r="AM65" s="87">
        <f t="shared" si="25"/>
        <v>847222.35959999985</v>
      </c>
      <c r="AN65" s="87">
        <f t="shared" si="25"/>
        <v>828467.90000000037</v>
      </c>
      <c r="AO65" s="87">
        <f t="shared" si="25"/>
        <v>633674.83399999957</v>
      </c>
      <c r="AP65" s="87">
        <f t="shared" si="25"/>
        <v>910469.03253225773</v>
      </c>
      <c r="AQ65" s="87">
        <f t="shared" si="25"/>
        <v>937574.64641110005</v>
      </c>
      <c r="AR65" s="87">
        <f t="shared" si="25"/>
        <v>853653.94059999997</v>
      </c>
      <c r="AS65" s="87">
        <f t="shared" si="25"/>
        <v>857657.96460000006</v>
      </c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Z65">
        <f t="shared" si="6"/>
        <v>3</v>
      </c>
    </row>
    <row r="66" spans="1:78" ht="15" x14ac:dyDescent="0.2">
      <c r="A66" s="2" t="s">
        <v>104</v>
      </c>
      <c r="B66" s="2">
        <v>24</v>
      </c>
      <c r="C66" s="2" t="s">
        <v>215</v>
      </c>
      <c r="D66" s="99" t="s">
        <v>200</v>
      </c>
      <c r="E66" s="99" t="s">
        <v>221</v>
      </c>
      <c r="G66" s="20" t="str">
        <f t="shared" ref="G66:G97" si="26">CONCATENATE(A66,E66)</f>
        <v>2 - GANDEPRECIAÇÃO / AMORTIZAÇÃO</v>
      </c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>
        <v>-7202.8725322500004</v>
      </c>
      <c r="AI66">
        <v>-7448.4570802500002</v>
      </c>
      <c r="AJ66">
        <v>-7448.4557665000002</v>
      </c>
      <c r="AK66">
        <v>-7259.89</v>
      </c>
      <c r="AL66">
        <v>-7246.5</v>
      </c>
      <c r="AM66">
        <v>-7202.87</v>
      </c>
      <c r="AN66">
        <v>-7220.38</v>
      </c>
      <c r="AO66">
        <v>-7219.1622802499996</v>
      </c>
      <c r="AP66">
        <v>-7219.1609664999996</v>
      </c>
      <c r="AQ66">
        <v>-38127.54</v>
      </c>
      <c r="AR66">
        <v>-38127.54</v>
      </c>
      <c r="AS66">
        <v>-38127.54</v>
      </c>
      <c r="BZ66">
        <f t="shared" si="6"/>
        <v>3</v>
      </c>
    </row>
    <row r="67" spans="1:78" ht="15" x14ac:dyDescent="0.2">
      <c r="A67" s="2" t="s">
        <v>104</v>
      </c>
      <c r="B67" s="2">
        <v>25</v>
      </c>
      <c r="C67" s="2" t="s">
        <v>216</v>
      </c>
      <c r="D67" s="99" t="s">
        <v>77</v>
      </c>
      <c r="E67" s="99" t="s">
        <v>89</v>
      </c>
      <c r="G67" s="20" t="str">
        <f t="shared" si="26"/>
        <v>2 - GANRESULTADO FINANCEIRO</v>
      </c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>
        <v>-475.92000000000007</v>
      </c>
      <c r="AI67">
        <v>917</v>
      </c>
      <c r="AJ67">
        <v>-21509.449999999997</v>
      </c>
      <c r="AK67">
        <v>-5633.6</v>
      </c>
      <c r="AL67">
        <v>1038.3222000000001</v>
      </c>
      <c r="AM67">
        <v>7211.2800000000007</v>
      </c>
      <c r="AN67">
        <v>3440.16</v>
      </c>
      <c r="AO67">
        <v>763.30999999999949</v>
      </c>
      <c r="AP67">
        <v>-2612.67</v>
      </c>
      <c r="AQ67">
        <v>2081.91</v>
      </c>
      <c r="AR67">
        <v>-8337.5300000000007</v>
      </c>
      <c r="AS67">
        <v>-14540.010000000002</v>
      </c>
      <c r="BZ67">
        <f t="shared" si="6"/>
        <v>3</v>
      </c>
    </row>
    <row r="68" spans="1:78" ht="15" x14ac:dyDescent="0.2">
      <c r="A68" s="2" t="s">
        <v>104</v>
      </c>
      <c r="B68" s="2">
        <v>26</v>
      </c>
      <c r="C68" s="2" t="s">
        <v>217</v>
      </c>
      <c r="D68" s="99" t="s">
        <v>201</v>
      </c>
      <c r="E68" s="99" t="s">
        <v>222</v>
      </c>
      <c r="G68" s="20" t="str">
        <f t="shared" si="26"/>
        <v>2 - GANIMPOSTOS (IRPJ+CSLL+PIS+COFINS+ISS)</v>
      </c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>
        <v>-378156.05</v>
      </c>
      <c r="AI68">
        <v>-350718.22</v>
      </c>
      <c r="AJ68">
        <v>-374686.25</v>
      </c>
      <c r="AK68">
        <v>-385876.47</v>
      </c>
      <c r="AL68">
        <v>-417806.500222</v>
      </c>
      <c r="AM68">
        <v>-369817.74</v>
      </c>
      <c r="AN68">
        <v>-406605.57999999996</v>
      </c>
      <c r="AO68">
        <v>-387777.37</v>
      </c>
      <c r="AP68">
        <v>-416300.75</v>
      </c>
      <c r="AQ68">
        <v>-403730.58</v>
      </c>
      <c r="AR68">
        <v>-409069.34</v>
      </c>
      <c r="AS68">
        <v>-416419.03000000201</v>
      </c>
      <c r="BZ68">
        <f t="shared" si="6"/>
        <v>3</v>
      </c>
    </row>
    <row r="69" spans="1:78" ht="15" x14ac:dyDescent="0.2">
      <c r="A69" s="2" t="s">
        <v>104</v>
      </c>
      <c r="B69" s="2">
        <v>27</v>
      </c>
      <c r="C69" s="2"/>
      <c r="D69" s="104" t="s">
        <v>202</v>
      </c>
      <c r="E69" s="104"/>
      <c r="F69" s="112"/>
      <c r="G69" s="20" t="str">
        <f t="shared" si="26"/>
        <v>2 - GAN</v>
      </c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87">
        <f t="shared" ref="AH69:AS69" si="27">AH54+AH55+AH66+AH67+AH68</f>
        <v>317683.48746775015</v>
      </c>
      <c r="AI69" s="87">
        <f t="shared" si="27"/>
        <v>-229877.61708025</v>
      </c>
      <c r="AJ69" s="87">
        <f t="shared" si="27"/>
        <v>135599.00242382282</v>
      </c>
      <c r="AK69" s="87">
        <f t="shared" si="27"/>
        <v>816037.11000000034</v>
      </c>
      <c r="AL69" s="87">
        <f t="shared" si="27"/>
        <v>1028773.0119780002</v>
      </c>
      <c r="AM69" s="87">
        <f t="shared" si="27"/>
        <v>477413.02959999989</v>
      </c>
      <c r="AN69" s="87">
        <f t="shared" si="27"/>
        <v>418082.10000000044</v>
      </c>
      <c r="AO69" s="87">
        <f t="shared" si="27"/>
        <v>239441.61171974964</v>
      </c>
      <c r="AP69" s="87">
        <f t="shared" si="27"/>
        <v>484336.45156575774</v>
      </c>
      <c r="AQ69" s="87">
        <f t="shared" si="27"/>
        <v>497798.43641110003</v>
      </c>
      <c r="AR69" s="87">
        <f t="shared" si="27"/>
        <v>398119.53059999988</v>
      </c>
      <c r="AS69" s="87">
        <f t="shared" si="27"/>
        <v>388571.38459999801</v>
      </c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Z69">
        <f t="shared" si="6"/>
        <v>3</v>
      </c>
    </row>
    <row r="70" spans="1:78" ht="15" x14ac:dyDescent="0.2">
      <c r="A70" s="2" t="s">
        <v>104</v>
      </c>
      <c r="B70" s="2">
        <v>28</v>
      </c>
      <c r="C70" s="2" t="s">
        <v>218</v>
      </c>
      <c r="D70" s="99" t="s">
        <v>203</v>
      </c>
      <c r="E70" s="99" t="s">
        <v>98</v>
      </c>
      <c r="F70">
        <v>1</v>
      </c>
      <c r="G70" s="20" t="str">
        <f t="shared" si="26"/>
        <v>2 - GANDISTR LUCROS E DESPESAS SS (JURÍDICO)</v>
      </c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>
        <v>-847898.45</v>
      </c>
      <c r="AI70">
        <v>-843620.84</v>
      </c>
      <c r="AJ70">
        <v>-875677.44180967717</v>
      </c>
      <c r="AK70">
        <v>-855509.10999999987</v>
      </c>
      <c r="AL70">
        <v>-856237.37999999977</v>
      </c>
      <c r="AM70">
        <v>-828360.95039999997</v>
      </c>
      <c r="AN70">
        <v>-858332.99999999965</v>
      </c>
      <c r="AO70">
        <v>-843550.576</v>
      </c>
      <c r="AP70">
        <v>-823273.71746774204</v>
      </c>
      <c r="AQ70">
        <v>-876122.20358890004</v>
      </c>
      <c r="AR70">
        <v>-860272.84940000006</v>
      </c>
      <c r="AS70">
        <v>-868044.27540000004</v>
      </c>
      <c r="BZ70">
        <f t="shared" si="6"/>
        <v>3</v>
      </c>
    </row>
    <row r="71" spans="1:78" ht="15" x14ac:dyDescent="0.2">
      <c r="A71" s="2" t="s">
        <v>104</v>
      </c>
      <c r="B71" s="2">
        <v>29</v>
      </c>
      <c r="C71" s="2" t="s">
        <v>218</v>
      </c>
      <c r="D71" s="99" t="s">
        <v>204</v>
      </c>
      <c r="E71" s="99" t="s">
        <v>223</v>
      </c>
      <c r="F71">
        <v>1</v>
      </c>
      <c r="G71" s="20" t="str">
        <f t="shared" si="26"/>
        <v>2 - GANDISTR LUCROS E DESPESAS SC (3)</v>
      </c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>
        <v>-93622.6</v>
      </c>
      <c r="AI71">
        <v>-94713.39</v>
      </c>
      <c r="AJ71">
        <v>-85657.55</v>
      </c>
      <c r="AK71">
        <v>-84740.75</v>
      </c>
      <c r="AL71">
        <v>-94286.67</v>
      </c>
      <c r="AM71">
        <v>-95728.22</v>
      </c>
      <c r="AN71">
        <v>-97019.19</v>
      </c>
      <c r="AO71">
        <v>-93427.71</v>
      </c>
      <c r="AP71">
        <v>-90340.760000000009</v>
      </c>
      <c r="AQ71">
        <v>-95809.409999999989</v>
      </c>
      <c r="AR71">
        <v>-97664.15</v>
      </c>
      <c r="AS71">
        <v>-101638.96</v>
      </c>
      <c r="BZ71">
        <f t="shared" si="6"/>
        <v>3</v>
      </c>
    </row>
    <row r="72" spans="1:78" ht="15" x14ac:dyDescent="0.2">
      <c r="A72" s="2" t="s">
        <v>104</v>
      </c>
      <c r="B72" s="2">
        <v>30</v>
      </c>
      <c r="C72" s="2" t="s">
        <v>218</v>
      </c>
      <c r="D72" s="99" t="s">
        <v>205</v>
      </c>
      <c r="E72" s="99" t="s">
        <v>224</v>
      </c>
      <c r="F72">
        <v>1</v>
      </c>
      <c r="G72" s="20" t="str">
        <f t="shared" si="26"/>
        <v>2 - GANDISTR LUCROS E DESPESAS SS GESTÃO ADM (11)</v>
      </c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>
        <v>-51742.820000000007</v>
      </c>
      <c r="AI72">
        <v>-9827.76</v>
      </c>
      <c r="AJ72">
        <v>-10130.959999999999</v>
      </c>
      <c r="AK72">
        <v>-11722.3</v>
      </c>
      <c r="AL72">
        <v>-299</v>
      </c>
      <c r="AM72">
        <v>6808.64</v>
      </c>
      <c r="AN72">
        <v>-6216.47</v>
      </c>
      <c r="AO72">
        <v>-2917.44</v>
      </c>
      <c r="AP72">
        <v>-3687.93</v>
      </c>
      <c r="AQ72">
        <v>-5037.4399999999996</v>
      </c>
      <c r="AR72">
        <v>-4917.4400000000005</v>
      </c>
      <c r="AS72">
        <v>-3887.93</v>
      </c>
      <c r="BZ72">
        <f t="shared" ref="BZ72:BZ140" si="28">MONTH($BY$2)</f>
        <v>3</v>
      </c>
    </row>
    <row r="73" spans="1:78" ht="15" x14ac:dyDescent="0.2">
      <c r="A73" s="2" t="s">
        <v>104</v>
      </c>
      <c r="B73" s="2">
        <v>31</v>
      </c>
      <c r="C73" s="2"/>
      <c r="D73" s="99" t="s">
        <v>206</v>
      </c>
      <c r="E73" s="20"/>
      <c r="F73" s="20"/>
      <c r="G73" s="20" t="str">
        <f t="shared" si="26"/>
        <v>2 - GAN</v>
      </c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87">
        <f t="shared" ref="AH73:AS73" si="29">AH70+AH71+AH72</f>
        <v>-993263.86999999988</v>
      </c>
      <c r="AI73" s="87">
        <f t="shared" si="29"/>
        <v>-948161.99</v>
      </c>
      <c r="AJ73" s="87">
        <f t="shared" si="29"/>
        <v>-971465.95180967718</v>
      </c>
      <c r="AK73" s="87">
        <f t="shared" si="29"/>
        <v>-951972.15999999992</v>
      </c>
      <c r="AL73" s="87">
        <f t="shared" si="29"/>
        <v>-950823.04999999981</v>
      </c>
      <c r="AM73" s="87">
        <f t="shared" si="29"/>
        <v>-917280.53039999993</v>
      </c>
      <c r="AN73" s="87">
        <f t="shared" si="29"/>
        <v>-961568.65999999968</v>
      </c>
      <c r="AO73" s="87">
        <f t="shared" si="29"/>
        <v>-939895.72599999991</v>
      </c>
      <c r="AP73" s="87">
        <f t="shared" si="29"/>
        <v>-917302.4074677421</v>
      </c>
      <c r="AQ73" s="87">
        <f t="shared" si="29"/>
        <v>-976969.05358890002</v>
      </c>
      <c r="AR73" s="87">
        <f t="shared" si="29"/>
        <v>-962854.43940000003</v>
      </c>
      <c r="AS73" s="87">
        <f t="shared" si="29"/>
        <v>-973571.16540000006</v>
      </c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Z73">
        <f t="shared" si="28"/>
        <v>3</v>
      </c>
    </row>
    <row r="74" spans="1:78" ht="15" x14ac:dyDescent="0.2">
      <c r="A74" s="2" t="s">
        <v>104</v>
      </c>
      <c r="B74" s="2">
        <v>32</v>
      </c>
      <c r="C74" s="2"/>
      <c r="D74" s="99" t="s">
        <v>207</v>
      </c>
      <c r="E74" s="20"/>
      <c r="F74" s="20"/>
      <c r="G74" s="20" t="str">
        <f t="shared" si="26"/>
        <v>2 - GAN</v>
      </c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87">
        <f t="shared" ref="AH74:AS74" si="30">AH47+AH55+AH66+AH67+AH68+AH73</f>
        <v>-1677761.7625322498</v>
      </c>
      <c r="AI74" s="87">
        <f t="shared" si="30"/>
        <v>-1518314.54708025</v>
      </c>
      <c r="AJ74" s="87">
        <f t="shared" si="30"/>
        <v>-1623516.167576177</v>
      </c>
      <c r="AK74" s="87">
        <f t="shared" si="30"/>
        <v>-1637690.67</v>
      </c>
      <c r="AL74" s="87">
        <f t="shared" si="30"/>
        <v>-1654622.9280219998</v>
      </c>
      <c r="AM74" s="87">
        <f t="shared" si="30"/>
        <v>-1592604.0003999998</v>
      </c>
      <c r="AN74" s="87">
        <f t="shared" si="30"/>
        <v>-1756998.8099999996</v>
      </c>
      <c r="AO74" s="87">
        <f t="shared" si="30"/>
        <v>-1642216.24828025</v>
      </c>
      <c r="AP74" s="87">
        <f t="shared" si="30"/>
        <v>-1679461.3384342422</v>
      </c>
      <c r="AQ74" s="87">
        <f t="shared" si="30"/>
        <v>-1736832.1035889001</v>
      </c>
      <c r="AR74" s="87">
        <f t="shared" si="30"/>
        <v>-1763231.5693999999</v>
      </c>
      <c r="AS74" s="87">
        <f t="shared" si="30"/>
        <v>-1963664.2054000022</v>
      </c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Z74">
        <f t="shared" si="28"/>
        <v>3</v>
      </c>
    </row>
    <row r="75" spans="1:78" ht="15" x14ac:dyDescent="0.2">
      <c r="A75" s="2" t="s">
        <v>104</v>
      </c>
      <c r="B75" s="2">
        <v>33</v>
      </c>
      <c r="C75" s="2"/>
      <c r="D75" s="104" t="s">
        <v>212</v>
      </c>
      <c r="E75" s="87"/>
      <c r="F75" s="87"/>
      <c r="G75" s="20" t="str">
        <f t="shared" si="26"/>
        <v>2 - GAN</v>
      </c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87">
        <f>AH43+AH74</f>
        <v>265940.66746775038</v>
      </c>
      <c r="AI75" s="87">
        <f t="shared" ref="AI75:AS75" si="31">AI43+AI74</f>
        <v>-239705.37708025007</v>
      </c>
      <c r="AJ75" s="87">
        <f t="shared" si="31"/>
        <v>125468.04242382292</v>
      </c>
      <c r="AK75" s="87">
        <f t="shared" si="31"/>
        <v>804314.81</v>
      </c>
      <c r="AL75" s="87">
        <f t="shared" si="31"/>
        <v>1028474.0119780002</v>
      </c>
      <c r="AM75" s="87">
        <f t="shared" si="31"/>
        <v>484221.66959999991</v>
      </c>
      <c r="AN75" s="87">
        <f t="shared" si="31"/>
        <v>411865.63000000035</v>
      </c>
      <c r="AO75" s="87">
        <f t="shared" si="31"/>
        <v>236524.17171974969</v>
      </c>
      <c r="AP75" s="87">
        <f t="shared" si="31"/>
        <v>480648.52156575769</v>
      </c>
      <c r="AQ75" s="87">
        <f t="shared" si="31"/>
        <v>492760.99641110003</v>
      </c>
      <c r="AR75" s="87">
        <f t="shared" si="31"/>
        <v>393202.09060000023</v>
      </c>
      <c r="AS75" s="87">
        <f t="shared" si="31"/>
        <v>384683.45459999796</v>
      </c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Z75">
        <f t="shared" si="28"/>
        <v>3</v>
      </c>
    </row>
    <row r="76" spans="1:78" ht="15" x14ac:dyDescent="0.2">
      <c r="A76" s="2" t="s">
        <v>104</v>
      </c>
      <c r="B76" s="2">
        <v>34</v>
      </c>
      <c r="C76" s="2"/>
      <c r="D76" s="99" t="s">
        <v>208</v>
      </c>
      <c r="E76" s="80"/>
      <c r="F76" s="80"/>
      <c r="G76" s="20" t="str">
        <f t="shared" si="26"/>
        <v>2 - GAN</v>
      </c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BZ76">
        <f t="shared" si="28"/>
        <v>3</v>
      </c>
    </row>
    <row r="77" spans="1:78" ht="15" x14ac:dyDescent="0.2">
      <c r="A77" s="2" t="s">
        <v>104</v>
      </c>
      <c r="B77" s="2">
        <v>35</v>
      </c>
      <c r="C77" s="2"/>
      <c r="D77" s="99" t="s">
        <v>209</v>
      </c>
      <c r="E77" s="20"/>
      <c r="F77" s="20"/>
      <c r="G77" s="20" t="str">
        <f t="shared" si="26"/>
        <v>2 - GAN</v>
      </c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BZ77">
        <f t="shared" si="28"/>
        <v>3</v>
      </c>
    </row>
    <row r="78" spans="1:78" ht="15" x14ac:dyDescent="0.2">
      <c r="A78" s="2" t="s">
        <v>104</v>
      </c>
      <c r="B78" s="2">
        <v>36</v>
      </c>
      <c r="C78" s="2"/>
      <c r="D78" s="99" t="s">
        <v>210</v>
      </c>
      <c r="E78" s="20"/>
      <c r="F78" s="20"/>
      <c r="G78" s="20" t="str">
        <f t="shared" si="26"/>
        <v>2 - GAN</v>
      </c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Z78">
        <f t="shared" si="28"/>
        <v>3</v>
      </c>
    </row>
    <row r="79" spans="1:78" ht="15" x14ac:dyDescent="0.2">
      <c r="A79" s="2" t="s">
        <v>104</v>
      </c>
      <c r="B79" s="2">
        <v>37</v>
      </c>
      <c r="C79" s="2"/>
      <c r="D79" s="99" t="s">
        <v>233</v>
      </c>
      <c r="E79" s="20"/>
      <c r="F79" s="20"/>
      <c r="G79" s="20" t="str">
        <f t="shared" si="26"/>
        <v>2 - GAN</v>
      </c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Z79">
        <f t="shared" si="28"/>
        <v>3</v>
      </c>
    </row>
    <row r="80" spans="1:78" ht="15" x14ac:dyDescent="0.2">
      <c r="A80" s="2" t="s">
        <v>104</v>
      </c>
      <c r="B80" s="2">
        <v>38</v>
      </c>
      <c r="C80" s="2"/>
      <c r="D80" s="99" t="s">
        <v>232</v>
      </c>
      <c r="E80" s="20"/>
      <c r="F80" s="20"/>
      <c r="G80" s="20" t="str">
        <f t="shared" si="26"/>
        <v>2 - GAN</v>
      </c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</row>
    <row r="81" spans="1:78" ht="15" x14ac:dyDescent="0.2">
      <c r="A81" s="2" t="s">
        <v>104</v>
      </c>
      <c r="B81" s="2">
        <v>39</v>
      </c>
      <c r="C81" s="2"/>
      <c r="D81" s="99" t="s">
        <v>234</v>
      </c>
      <c r="E81" s="20"/>
      <c r="F81" s="20"/>
      <c r="G81" s="20" t="str">
        <f t="shared" si="26"/>
        <v>2 - GAN</v>
      </c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</row>
    <row r="82" spans="1:78" ht="15.75" thickBot="1" x14ac:dyDescent="0.25">
      <c r="A82" s="2" t="s">
        <v>104</v>
      </c>
      <c r="B82" s="2">
        <v>40</v>
      </c>
      <c r="C82" s="2"/>
      <c r="D82" s="100" t="s">
        <v>211</v>
      </c>
      <c r="E82" s="20"/>
      <c r="F82" s="20"/>
      <c r="G82" s="20" t="str">
        <f t="shared" si="26"/>
        <v>2 - GAN</v>
      </c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BZ82">
        <f t="shared" si="28"/>
        <v>3</v>
      </c>
    </row>
    <row r="83" spans="1:78" ht="15" x14ac:dyDescent="0.2">
      <c r="A83" s="2" t="s">
        <v>105</v>
      </c>
      <c r="B83" s="2">
        <v>1</v>
      </c>
      <c r="C83" s="2"/>
      <c r="D83" s="108" t="s">
        <v>183</v>
      </c>
      <c r="E83" s="20"/>
      <c r="F83" s="20"/>
      <c r="G83" s="20" t="str">
        <f t="shared" si="26"/>
        <v>3 - GAA</v>
      </c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>
        <v>293072.92</v>
      </c>
      <c r="AI83">
        <v>154046.06</v>
      </c>
      <c r="AJ83">
        <v>262374.71999999997</v>
      </c>
      <c r="AK83">
        <v>217025.5</v>
      </c>
      <c r="AL83">
        <v>323482.81</v>
      </c>
      <c r="AM83">
        <v>307417.69</v>
      </c>
      <c r="AN83">
        <v>247192.62</v>
      </c>
      <c r="AO83">
        <v>267102.63</v>
      </c>
      <c r="AP83">
        <v>306993.67</v>
      </c>
      <c r="AQ83">
        <v>417896.84</v>
      </c>
      <c r="AR83">
        <v>184448.88</v>
      </c>
      <c r="AS83">
        <v>194841.48</v>
      </c>
      <c r="BZ83">
        <f t="shared" si="28"/>
        <v>3</v>
      </c>
    </row>
    <row r="84" spans="1:78" ht="15" x14ac:dyDescent="0.2">
      <c r="A84" s="2" t="s">
        <v>105</v>
      </c>
      <c r="B84" s="2">
        <v>2</v>
      </c>
      <c r="C84" s="2"/>
      <c r="D84" s="99" t="s">
        <v>184</v>
      </c>
      <c r="E84" s="20"/>
      <c r="F84" s="20"/>
      <c r="G84" s="20" t="str">
        <f t="shared" si="26"/>
        <v>3 - GAA</v>
      </c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>
        <v>293072.92</v>
      </c>
      <c r="AI84">
        <v>154046.06</v>
      </c>
      <c r="AJ84">
        <v>262374.71999999997</v>
      </c>
      <c r="AK84">
        <v>217025.5</v>
      </c>
      <c r="AL84">
        <v>323482.81</v>
      </c>
      <c r="AM84">
        <v>307417.69</v>
      </c>
      <c r="AN84">
        <v>247192.62</v>
      </c>
      <c r="AO84">
        <v>267102.63</v>
      </c>
      <c r="AP84">
        <v>306993.67</v>
      </c>
      <c r="AQ84">
        <v>417896.84</v>
      </c>
      <c r="AR84">
        <v>184448.88</v>
      </c>
      <c r="AS84">
        <v>194841.48</v>
      </c>
      <c r="BZ84">
        <f t="shared" si="28"/>
        <v>3</v>
      </c>
    </row>
    <row r="85" spans="1:78" ht="15" x14ac:dyDescent="0.2">
      <c r="A85" s="2" t="s">
        <v>105</v>
      </c>
      <c r="B85" s="2">
        <v>3</v>
      </c>
      <c r="C85" s="2"/>
      <c r="D85" s="99" t="s">
        <v>185</v>
      </c>
      <c r="E85" s="20"/>
      <c r="F85" s="20"/>
      <c r="G85" s="20" t="str">
        <f t="shared" si="26"/>
        <v>3 - GAA</v>
      </c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BZ85">
        <f t="shared" si="28"/>
        <v>3</v>
      </c>
    </row>
    <row r="86" spans="1:78" ht="15" x14ac:dyDescent="0.2">
      <c r="A86" s="2" t="s">
        <v>105</v>
      </c>
      <c r="B86" s="2">
        <v>4</v>
      </c>
      <c r="C86" s="2"/>
      <c r="D86" s="99" t="s">
        <v>186</v>
      </c>
      <c r="E86" s="20"/>
      <c r="F86" s="20"/>
      <c r="G86" s="20" t="str">
        <f t="shared" si="26"/>
        <v>3 - GAA</v>
      </c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>
        <v>293072.92</v>
      </c>
      <c r="AI86">
        <v>154046.06</v>
      </c>
      <c r="AJ86">
        <v>262374.71999999997</v>
      </c>
      <c r="AK86">
        <v>217025.5</v>
      </c>
      <c r="AL86">
        <v>323482.81</v>
      </c>
      <c r="AM86">
        <v>307417.69</v>
      </c>
      <c r="AN86">
        <v>247192.62</v>
      </c>
      <c r="AO86">
        <v>267102.63</v>
      </c>
      <c r="AP86">
        <v>306993.67</v>
      </c>
      <c r="AQ86">
        <v>417896.84</v>
      </c>
      <c r="AR86">
        <v>184448.88</v>
      </c>
      <c r="AS86">
        <v>194841.48</v>
      </c>
      <c r="BZ86">
        <f t="shared" si="28"/>
        <v>3</v>
      </c>
    </row>
    <row r="87" spans="1:78" ht="15" x14ac:dyDescent="0.2">
      <c r="A87" s="2" t="s">
        <v>105</v>
      </c>
      <c r="B87" s="2">
        <v>5</v>
      </c>
      <c r="C87" s="2"/>
      <c r="D87" s="101" t="s">
        <v>32</v>
      </c>
      <c r="E87" s="20"/>
      <c r="F87" s="20"/>
      <c r="G87" s="20" t="str">
        <f t="shared" si="26"/>
        <v>3 - GAA</v>
      </c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87">
        <f t="shared" ref="AH87:AS87" si="32">AH88+AH89+AH90+AH91+AH92+AH93</f>
        <v>-139182.28</v>
      </c>
      <c r="AI87" s="87">
        <f t="shared" si="32"/>
        <v>-135132.07</v>
      </c>
      <c r="AJ87" s="87">
        <f t="shared" si="32"/>
        <v>-173236.63000000003</v>
      </c>
      <c r="AK87" s="87">
        <f t="shared" si="32"/>
        <v>-129682.89000000001</v>
      </c>
      <c r="AL87" s="87">
        <f t="shared" si="32"/>
        <v>-105391.50000000001</v>
      </c>
      <c r="AM87" s="87">
        <f t="shared" si="32"/>
        <v>-90024.62</v>
      </c>
      <c r="AN87" s="87">
        <f t="shared" si="32"/>
        <v>-96767.71</v>
      </c>
      <c r="AO87" s="87">
        <f t="shared" si="32"/>
        <v>-102489.19999999998</v>
      </c>
      <c r="AP87" s="87">
        <f t="shared" si="32"/>
        <v>-108262</v>
      </c>
      <c r="AQ87" s="87">
        <f t="shared" si="32"/>
        <v>-127124.38999999998</v>
      </c>
      <c r="AR87" s="87">
        <f t="shared" si="32"/>
        <v>-141063.03600000002</v>
      </c>
      <c r="AS87" s="87">
        <f t="shared" si="32"/>
        <v>-168073.67000000004</v>
      </c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67"/>
      <c r="BP87" s="67"/>
      <c r="BQ87" s="67"/>
      <c r="BZ87">
        <f t="shared" si="28"/>
        <v>3</v>
      </c>
    </row>
    <row r="88" spans="1:78" ht="15" x14ac:dyDescent="0.2">
      <c r="A88" s="2" t="s">
        <v>105</v>
      </c>
      <c r="B88" s="2">
        <v>6</v>
      </c>
      <c r="C88" t="s">
        <v>213</v>
      </c>
      <c r="D88" t="s">
        <v>187</v>
      </c>
      <c r="E88" t="s">
        <v>219</v>
      </c>
      <c r="F88">
        <v>1</v>
      </c>
      <c r="G88" s="20" t="str">
        <f t="shared" si="26"/>
        <v>3 - GAAPESSOAL CLT (BO / ASSIS JURÍD / NEGOC)</v>
      </c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>
        <v>-139182.28</v>
      </c>
      <c r="AI88">
        <v>-135132.07</v>
      </c>
      <c r="AJ88">
        <v>-173236.63000000003</v>
      </c>
      <c r="AK88">
        <v>-127638.90000000001</v>
      </c>
      <c r="AL88">
        <v>-105391.50000000001</v>
      </c>
      <c r="AM88">
        <v>-90024.62</v>
      </c>
      <c r="AN88">
        <v>-92444.420000000013</v>
      </c>
      <c r="AO88">
        <v>-102489.19999999998</v>
      </c>
      <c r="AP88">
        <v>-108262</v>
      </c>
      <c r="AQ88">
        <v>-112873.59999999999</v>
      </c>
      <c r="AR88">
        <v>-141063.03600000002</v>
      </c>
      <c r="AS88">
        <v>-168073.67000000004</v>
      </c>
      <c r="BZ88">
        <f t="shared" si="28"/>
        <v>3</v>
      </c>
    </row>
    <row r="89" spans="1:78" ht="15" x14ac:dyDescent="0.2">
      <c r="A89" s="2" t="s">
        <v>105</v>
      </c>
      <c r="B89" s="2">
        <v>7</v>
      </c>
      <c r="C89" t="s">
        <v>213</v>
      </c>
      <c r="D89" s="99" t="s">
        <v>188</v>
      </c>
      <c r="E89" s="99" t="s">
        <v>28</v>
      </c>
      <c r="G89" s="20" t="str">
        <f t="shared" si="26"/>
        <v>3 - GAACORRESPONDENTES</v>
      </c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BZ89">
        <f t="shared" si="28"/>
        <v>3</v>
      </c>
    </row>
    <row r="90" spans="1:78" ht="15" x14ac:dyDescent="0.2">
      <c r="A90" s="2" t="s">
        <v>105</v>
      </c>
      <c r="B90" s="2">
        <v>8</v>
      </c>
      <c r="C90" t="s">
        <v>213</v>
      </c>
      <c r="D90" s="99" t="s">
        <v>189</v>
      </c>
      <c r="E90" s="99" t="s">
        <v>29</v>
      </c>
      <c r="G90" s="20" t="str">
        <f t="shared" si="26"/>
        <v>3 - GAAVALORES RESCISÓRIOS</v>
      </c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>
        <v>0</v>
      </c>
      <c r="AI90">
        <v>0</v>
      </c>
      <c r="AJ90">
        <v>0</v>
      </c>
      <c r="AK90">
        <v>-2043.99</v>
      </c>
      <c r="AL90">
        <v>0</v>
      </c>
      <c r="AM90">
        <v>0</v>
      </c>
      <c r="AN90">
        <v>-4323.29</v>
      </c>
      <c r="AO90">
        <v>0</v>
      </c>
      <c r="AP90">
        <v>0</v>
      </c>
      <c r="AQ90">
        <v>0</v>
      </c>
      <c r="AR90">
        <v>0</v>
      </c>
      <c r="AS90">
        <v>0</v>
      </c>
      <c r="BZ90">
        <f t="shared" si="28"/>
        <v>3</v>
      </c>
    </row>
    <row r="91" spans="1:78" ht="15" x14ac:dyDescent="0.2">
      <c r="A91" s="2" t="s">
        <v>105</v>
      </c>
      <c r="B91" s="2">
        <v>9</v>
      </c>
      <c r="C91" t="s">
        <v>213</v>
      </c>
      <c r="D91" s="99" t="s">
        <v>190</v>
      </c>
      <c r="E91" s="99" t="s">
        <v>30</v>
      </c>
      <c r="G91" s="20" t="str">
        <f t="shared" si="26"/>
        <v>3 - GAAPENALIDADES E GLOSAS DE CLIENTES</v>
      </c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BZ91">
        <f t="shared" si="28"/>
        <v>3</v>
      </c>
    </row>
    <row r="92" spans="1:78" ht="15" x14ac:dyDescent="0.2">
      <c r="A92" s="2" t="s">
        <v>105</v>
      </c>
      <c r="B92" s="2">
        <v>10</v>
      </c>
      <c r="C92" t="s">
        <v>213</v>
      </c>
      <c r="D92" s="99" t="s">
        <v>191</v>
      </c>
      <c r="E92" s="99" t="s">
        <v>31</v>
      </c>
      <c r="G92" s="20" t="str">
        <f t="shared" si="26"/>
        <v>3 - GAAPROCESSOS TRABALHISTAS</v>
      </c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-14250.79</v>
      </c>
      <c r="AR92">
        <v>0</v>
      </c>
      <c r="AS92">
        <v>0</v>
      </c>
      <c r="BZ92">
        <f t="shared" si="28"/>
        <v>3</v>
      </c>
    </row>
    <row r="93" spans="1:78" ht="15" x14ac:dyDescent="0.2">
      <c r="A93" s="2" t="s">
        <v>105</v>
      </c>
      <c r="B93" s="2">
        <v>11</v>
      </c>
      <c r="C93" t="s">
        <v>213</v>
      </c>
      <c r="D93" s="99" t="s">
        <v>192</v>
      </c>
      <c r="E93" s="99" t="s">
        <v>172</v>
      </c>
      <c r="G93" s="20" t="str">
        <f t="shared" si="26"/>
        <v>3 - GAADESCONTO PAGAMENTOS EM DUPLICIDADE</v>
      </c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BZ93">
        <f t="shared" si="28"/>
        <v>3</v>
      </c>
    </row>
    <row r="94" spans="1:78" ht="15" x14ac:dyDescent="0.2">
      <c r="A94" s="2" t="s">
        <v>105</v>
      </c>
      <c r="B94" s="2">
        <v>12</v>
      </c>
      <c r="C94" s="2"/>
      <c r="D94" s="98" t="s">
        <v>63</v>
      </c>
      <c r="E94" s="98"/>
      <c r="F94" s="90"/>
      <c r="G94" s="20" t="str">
        <f t="shared" si="26"/>
        <v>3 - GAA</v>
      </c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>
        <v>135712.01999999999</v>
      </c>
      <c r="AI94">
        <v>2300.1999999999825</v>
      </c>
      <c r="AJ94">
        <v>72763.459999999934</v>
      </c>
      <c r="AK94">
        <v>70967.98000000001</v>
      </c>
      <c r="AL94">
        <v>201295.08</v>
      </c>
      <c r="AM94">
        <v>201018.44</v>
      </c>
      <c r="AN94">
        <v>133567.65999999997</v>
      </c>
      <c r="AO94">
        <v>147461.39000000001</v>
      </c>
      <c r="AP94">
        <v>182128.18</v>
      </c>
      <c r="AQ94">
        <v>273896.29000000004</v>
      </c>
      <c r="AR94">
        <v>26538.063999999984</v>
      </c>
      <c r="AS94">
        <v>9920.6599999999744</v>
      </c>
      <c r="BZ94">
        <f t="shared" si="28"/>
        <v>3</v>
      </c>
    </row>
    <row r="95" spans="1:78" ht="15" x14ac:dyDescent="0.2">
      <c r="A95" s="2" t="s">
        <v>105</v>
      </c>
      <c r="B95" s="2">
        <v>13</v>
      </c>
      <c r="C95" s="2"/>
      <c r="D95" s="101" t="s">
        <v>62</v>
      </c>
      <c r="E95" s="101"/>
      <c r="F95" s="111"/>
      <c r="G95" s="20" t="str">
        <f t="shared" si="26"/>
        <v>3 - GAA</v>
      </c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87">
        <f t="shared" ref="AH95:AS95" si="33">AH96+AH97+AH98+AH99+AH100+AH101+AH102+AH103</f>
        <v>-67132.899999999994</v>
      </c>
      <c r="AI95" s="87">
        <f t="shared" si="33"/>
        <v>-65846.8</v>
      </c>
      <c r="AJ95" s="87">
        <f t="shared" si="33"/>
        <v>-81101.87999999999</v>
      </c>
      <c r="AK95" s="87">
        <f t="shared" si="33"/>
        <v>-79421.100000000006</v>
      </c>
      <c r="AL95" s="87">
        <f t="shared" si="33"/>
        <v>-75088.549999999988</v>
      </c>
      <c r="AM95" s="87">
        <f t="shared" si="33"/>
        <v>-76521.610000000015</v>
      </c>
      <c r="AN95" s="87">
        <f t="shared" si="33"/>
        <v>-69046.460000000006</v>
      </c>
      <c r="AO95" s="87">
        <f t="shared" si="33"/>
        <v>-79206.319999999992</v>
      </c>
      <c r="AP95" s="87">
        <f t="shared" si="33"/>
        <v>-75428.479999999981</v>
      </c>
      <c r="AQ95" s="87">
        <f t="shared" si="33"/>
        <v>-78498.780000000013</v>
      </c>
      <c r="AR95" s="87">
        <f t="shared" si="33"/>
        <v>-90212.45</v>
      </c>
      <c r="AS95" s="87">
        <f t="shared" si="33"/>
        <v>-104169.61</v>
      </c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Z95">
        <f t="shared" si="28"/>
        <v>3</v>
      </c>
    </row>
    <row r="96" spans="1:78" ht="15" x14ac:dyDescent="0.2">
      <c r="A96" s="2" t="s">
        <v>105</v>
      </c>
      <c r="B96" s="2">
        <v>14</v>
      </c>
      <c r="C96" s="2" t="s">
        <v>214</v>
      </c>
      <c r="D96" s="99" t="s">
        <v>193</v>
      </c>
      <c r="E96" s="99" t="s">
        <v>102</v>
      </c>
      <c r="F96">
        <v>1</v>
      </c>
      <c r="G96" s="20" t="str">
        <f t="shared" si="26"/>
        <v>3 - GAAPESSOAL CLT ADM</v>
      </c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>
        <v>-65475.9</v>
      </c>
      <c r="AI96">
        <v>-64060</v>
      </c>
      <c r="AJ96">
        <v>-79215.179999999993</v>
      </c>
      <c r="AK96">
        <v>-79421.100000000006</v>
      </c>
      <c r="AL96">
        <v>-74296.51999999999</v>
      </c>
      <c r="AM96">
        <v>-76521.610000000015</v>
      </c>
      <c r="AN96">
        <v>-69031.86</v>
      </c>
      <c r="AO96">
        <v>-79031.42</v>
      </c>
      <c r="AP96">
        <v>-75428.479999999981</v>
      </c>
      <c r="AQ96">
        <v>-78498.780000000013</v>
      </c>
      <c r="AR96">
        <v>-88654.92</v>
      </c>
      <c r="AS96">
        <v>-103994.71</v>
      </c>
      <c r="BZ96">
        <f t="shared" si="28"/>
        <v>3</v>
      </c>
    </row>
    <row r="97" spans="1:78" ht="15" x14ac:dyDescent="0.2">
      <c r="A97" s="2" t="s">
        <v>105</v>
      </c>
      <c r="B97" s="2">
        <v>15</v>
      </c>
      <c r="C97" s="2" t="s">
        <v>214</v>
      </c>
      <c r="D97" s="99" t="s">
        <v>194</v>
      </c>
      <c r="E97" s="99" t="s">
        <v>0</v>
      </c>
      <c r="G97" s="20" t="str">
        <f t="shared" si="26"/>
        <v>3 - GAALOCALIZAÇÃO (ALUGUEL, COND, LUZ, IPTU)</v>
      </c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BZ97">
        <f t="shared" si="28"/>
        <v>3</v>
      </c>
    </row>
    <row r="98" spans="1:78" ht="15" x14ac:dyDescent="0.2">
      <c r="A98" s="2" t="s">
        <v>105</v>
      </c>
      <c r="B98" s="2">
        <v>16</v>
      </c>
      <c r="C98" s="2" t="s">
        <v>214</v>
      </c>
      <c r="D98" s="99" t="s">
        <v>195</v>
      </c>
      <c r="E98" s="99" t="s">
        <v>1</v>
      </c>
      <c r="G98" s="20" t="str">
        <f t="shared" ref="G98:G129" si="34">CONCATENATE(A98,E98)</f>
        <v>3 - GAAMARKETING</v>
      </c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>
        <v>-1657</v>
      </c>
      <c r="AI98">
        <v>-1786.8</v>
      </c>
      <c r="AJ98">
        <v>-1886.7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-1507.53</v>
      </c>
      <c r="AS98">
        <v>0</v>
      </c>
      <c r="BZ98">
        <f t="shared" si="28"/>
        <v>3</v>
      </c>
    </row>
    <row r="99" spans="1:78" ht="15" x14ac:dyDescent="0.2">
      <c r="A99" s="2" t="s">
        <v>105</v>
      </c>
      <c r="B99" s="2">
        <v>17</v>
      </c>
      <c r="C99" s="2" t="s">
        <v>214</v>
      </c>
      <c r="D99" s="99" t="s">
        <v>196</v>
      </c>
      <c r="E99" s="99" t="s">
        <v>2</v>
      </c>
      <c r="G99" s="20" t="str">
        <f t="shared" si="34"/>
        <v>3 - GAACOMUNICAÇÃO</v>
      </c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>
        <v>0</v>
      </c>
      <c r="AI99">
        <v>0</v>
      </c>
      <c r="AJ99">
        <v>0</v>
      </c>
      <c r="AK99">
        <v>0</v>
      </c>
      <c r="AL99">
        <v>-453.03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BZ99">
        <f t="shared" si="28"/>
        <v>3</v>
      </c>
    </row>
    <row r="100" spans="1:78" ht="15" x14ac:dyDescent="0.2">
      <c r="A100" s="2" t="s">
        <v>105</v>
      </c>
      <c r="B100" s="2">
        <v>18</v>
      </c>
      <c r="C100" s="2" t="s">
        <v>214</v>
      </c>
      <c r="D100" s="99" t="s">
        <v>197</v>
      </c>
      <c r="E100" s="99" t="s">
        <v>3</v>
      </c>
      <c r="G100" s="20" t="str">
        <f t="shared" si="34"/>
        <v>3 - GAAPRESTADOR DE SERVIÇOS</v>
      </c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BZ100">
        <f t="shared" si="28"/>
        <v>3</v>
      </c>
    </row>
    <row r="101" spans="1:78" ht="15" x14ac:dyDescent="0.2">
      <c r="A101" s="2" t="s">
        <v>105</v>
      </c>
      <c r="B101" s="2">
        <v>19</v>
      </c>
      <c r="C101" s="2" t="s">
        <v>214</v>
      </c>
      <c r="D101" s="99" t="s">
        <v>198</v>
      </c>
      <c r="E101" s="99" t="s">
        <v>220</v>
      </c>
      <c r="G101" s="20" t="str">
        <f t="shared" si="34"/>
        <v>3 - GAAALUGUEL DE EQUIPAM / MANUT MÁQ EQUIPAM</v>
      </c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-174.9</v>
      </c>
      <c r="AP101">
        <v>0</v>
      </c>
      <c r="AQ101">
        <v>0</v>
      </c>
      <c r="AR101">
        <v>0</v>
      </c>
      <c r="AS101">
        <v>-174.9</v>
      </c>
      <c r="BZ101">
        <f t="shared" si="28"/>
        <v>3</v>
      </c>
    </row>
    <row r="102" spans="1:78" ht="15" x14ac:dyDescent="0.2">
      <c r="A102" s="2" t="s">
        <v>105</v>
      </c>
      <c r="B102" s="2">
        <v>20</v>
      </c>
      <c r="C102" s="2" t="s">
        <v>214</v>
      </c>
      <c r="D102" s="99" t="s">
        <v>199</v>
      </c>
      <c r="E102" s="99" t="s">
        <v>5</v>
      </c>
      <c r="G102" s="20" t="str">
        <f t="shared" si="34"/>
        <v>3 - GAACONSUMO DE MATERIAL</v>
      </c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BZ102">
        <f t="shared" si="28"/>
        <v>3</v>
      </c>
    </row>
    <row r="103" spans="1:78" ht="15" x14ac:dyDescent="0.2">
      <c r="A103" s="2" t="s">
        <v>105</v>
      </c>
      <c r="B103" s="2">
        <v>21</v>
      </c>
      <c r="C103" s="2" t="s">
        <v>214</v>
      </c>
      <c r="D103" s="99" t="s">
        <v>231</v>
      </c>
      <c r="E103" s="99" t="s">
        <v>230</v>
      </c>
      <c r="G103" s="20" t="str">
        <f t="shared" si="34"/>
        <v>3 - GAADESPESAS GERAIS / INVESTIMENTOS</v>
      </c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>
        <v>0</v>
      </c>
      <c r="AI103">
        <v>0</v>
      </c>
      <c r="AJ103">
        <v>0</v>
      </c>
      <c r="AK103">
        <v>0</v>
      </c>
      <c r="AL103">
        <v>-339</v>
      </c>
      <c r="AM103">
        <v>0</v>
      </c>
      <c r="AN103">
        <v>-14.6</v>
      </c>
      <c r="AO103">
        <v>0</v>
      </c>
      <c r="AP103">
        <v>0</v>
      </c>
      <c r="AQ103">
        <v>0</v>
      </c>
      <c r="AR103">
        <v>-50</v>
      </c>
      <c r="AS103">
        <v>0</v>
      </c>
      <c r="BZ103">
        <f t="shared" si="28"/>
        <v>3</v>
      </c>
    </row>
    <row r="104" spans="1:78" ht="15" x14ac:dyDescent="0.2">
      <c r="A104" s="2" t="s">
        <v>105</v>
      </c>
      <c r="B104" s="2">
        <v>22</v>
      </c>
      <c r="C104" s="2" t="s">
        <v>214</v>
      </c>
      <c r="D104" s="99" t="s">
        <v>228</v>
      </c>
      <c r="E104" s="99" t="s">
        <v>229</v>
      </c>
      <c r="G104" s="20" t="str">
        <f t="shared" si="34"/>
        <v>3 - GAADESPESAS INTERCOMPANY</v>
      </c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BZ104">
        <f t="shared" si="28"/>
        <v>3</v>
      </c>
    </row>
    <row r="105" spans="1:78" ht="15" x14ac:dyDescent="0.2">
      <c r="A105" s="2" t="s">
        <v>105</v>
      </c>
      <c r="B105" s="2">
        <v>23</v>
      </c>
      <c r="C105" s="2"/>
      <c r="D105" s="98" t="s">
        <v>178</v>
      </c>
      <c r="E105" s="98"/>
      <c r="F105" s="90"/>
      <c r="G105" s="20" t="str">
        <f t="shared" si="34"/>
        <v>3 - GAA</v>
      </c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87">
        <f t="shared" ref="AH105:AS105" si="35">AH94+AH95</f>
        <v>68579.12</v>
      </c>
      <c r="AI105" s="87">
        <f t="shared" si="35"/>
        <v>-63546.60000000002</v>
      </c>
      <c r="AJ105" s="87">
        <f t="shared" si="35"/>
        <v>-8338.4200000000565</v>
      </c>
      <c r="AK105" s="87">
        <f t="shared" si="35"/>
        <v>-8453.1199999999953</v>
      </c>
      <c r="AL105" s="87">
        <f t="shared" si="35"/>
        <v>126206.53</v>
      </c>
      <c r="AM105" s="87">
        <f t="shared" si="35"/>
        <v>124496.82999999999</v>
      </c>
      <c r="AN105" s="87">
        <f t="shared" si="35"/>
        <v>64521.199999999968</v>
      </c>
      <c r="AO105" s="87">
        <f t="shared" si="35"/>
        <v>68255.070000000022</v>
      </c>
      <c r="AP105" s="87">
        <f t="shared" si="35"/>
        <v>106699.70000000001</v>
      </c>
      <c r="AQ105" s="87">
        <f t="shared" si="35"/>
        <v>195397.51</v>
      </c>
      <c r="AR105" s="87">
        <f t="shared" si="35"/>
        <v>-63674.386000000013</v>
      </c>
      <c r="AS105" s="87">
        <f t="shared" si="35"/>
        <v>-94248.950000000026</v>
      </c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67"/>
      <c r="BP105" s="67"/>
      <c r="BQ105" s="67"/>
      <c r="BZ105">
        <f t="shared" si="28"/>
        <v>3</v>
      </c>
    </row>
    <row r="106" spans="1:78" ht="15" x14ac:dyDescent="0.2">
      <c r="A106" s="2" t="s">
        <v>105</v>
      </c>
      <c r="B106" s="2">
        <v>24</v>
      </c>
      <c r="C106" s="2" t="s">
        <v>215</v>
      </c>
      <c r="D106" s="99" t="s">
        <v>200</v>
      </c>
      <c r="E106" s="99" t="s">
        <v>221</v>
      </c>
      <c r="G106" s="20" t="str">
        <f t="shared" si="34"/>
        <v>3 - GAADEPRECIAÇÃO / AMORTIZAÇÃO</v>
      </c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BZ106">
        <f t="shared" si="28"/>
        <v>3</v>
      </c>
    </row>
    <row r="107" spans="1:78" ht="15" x14ac:dyDescent="0.2">
      <c r="A107" s="2" t="s">
        <v>105</v>
      </c>
      <c r="B107" s="2">
        <v>25</v>
      </c>
      <c r="C107" s="2" t="s">
        <v>216</v>
      </c>
      <c r="D107" s="99" t="s">
        <v>77</v>
      </c>
      <c r="E107" s="99" t="s">
        <v>89</v>
      </c>
      <c r="G107" s="20" t="str">
        <f t="shared" si="34"/>
        <v>3 - GAARESULTADO FINANCEIRO</v>
      </c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>
        <v>-164.41</v>
      </c>
      <c r="AI107">
        <v>-167.41</v>
      </c>
      <c r="AJ107">
        <v>-268.03999999999996</v>
      </c>
      <c r="AK107">
        <v>-349.54999999999995</v>
      </c>
      <c r="AL107">
        <v>-353.24</v>
      </c>
      <c r="AM107">
        <v>-416.54999999999995</v>
      </c>
      <c r="AN107">
        <v>-355.51</v>
      </c>
      <c r="AO107">
        <v>-250</v>
      </c>
      <c r="AP107">
        <v>-411.41999999999996</v>
      </c>
      <c r="AQ107">
        <v>-360.28</v>
      </c>
      <c r="AR107">
        <v>-350.4</v>
      </c>
      <c r="AS107">
        <v>-358.03999999999996</v>
      </c>
      <c r="BZ107">
        <f t="shared" si="28"/>
        <v>3</v>
      </c>
    </row>
    <row r="108" spans="1:78" ht="15" x14ac:dyDescent="0.2">
      <c r="A108" s="2" t="s">
        <v>105</v>
      </c>
      <c r="B108" s="2">
        <v>26</v>
      </c>
      <c r="C108" s="2" t="s">
        <v>217</v>
      </c>
      <c r="D108" s="99" t="s">
        <v>201</v>
      </c>
      <c r="E108" s="99" t="s">
        <v>222</v>
      </c>
      <c r="G108" s="20" t="str">
        <f t="shared" si="34"/>
        <v>3 - GAAIMPOSTOS (IRPJ+CSLL+PIS+COFINS+ISS)</v>
      </c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>
        <v>-46679.24</v>
      </c>
      <c r="AI108">
        <v>-46712.89</v>
      </c>
      <c r="AJ108">
        <v>-44798.78</v>
      </c>
      <c r="AK108">
        <v>-40851.589999999997</v>
      </c>
      <c r="AL108">
        <v>-57005.2</v>
      </c>
      <c r="AM108">
        <v>-49446.5</v>
      </c>
      <c r="AN108">
        <v>-51917.71</v>
      </c>
      <c r="AO108">
        <v>-51550.7</v>
      </c>
      <c r="AP108">
        <v>-51820.28</v>
      </c>
      <c r="AQ108">
        <v>-51534.15</v>
      </c>
      <c r="AR108">
        <v>-50401.85</v>
      </c>
      <c r="AS108">
        <v>-58051.88</v>
      </c>
      <c r="BZ108">
        <f t="shared" si="28"/>
        <v>3</v>
      </c>
    </row>
    <row r="109" spans="1:78" ht="15" x14ac:dyDescent="0.2">
      <c r="A109" s="2" t="s">
        <v>105</v>
      </c>
      <c r="B109" s="2">
        <v>27</v>
      </c>
      <c r="C109" s="2"/>
      <c r="D109" s="104" t="s">
        <v>202</v>
      </c>
      <c r="E109" s="104"/>
      <c r="F109" s="112"/>
      <c r="G109" s="20" t="str">
        <f t="shared" si="34"/>
        <v>3 - GAA</v>
      </c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87">
        <f t="shared" ref="AH109:AS109" si="36">AH94+AH95+AH106+AH107+AH108</f>
        <v>21735.469999999994</v>
      </c>
      <c r="AI109" s="87">
        <f t="shared" si="36"/>
        <v>-110426.90000000002</v>
      </c>
      <c r="AJ109" s="87">
        <f t="shared" si="36"/>
        <v>-53405.240000000056</v>
      </c>
      <c r="AK109" s="87">
        <f t="shared" si="36"/>
        <v>-49654.259999999995</v>
      </c>
      <c r="AL109" s="87">
        <f t="shared" si="36"/>
        <v>68848.09</v>
      </c>
      <c r="AM109" s="87">
        <f t="shared" si="36"/>
        <v>74633.779999999984</v>
      </c>
      <c r="AN109" s="87">
        <f t="shared" si="36"/>
        <v>12247.979999999967</v>
      </c>
      <c r="AO109" s="87">
        <f t="shared" si="36"/>
        <v>16454.370000000024</v>
      </c>
      <c r="AP109" s="87">
        <f t="shared" si="36"/>
        <v>54468.000000000015</v>
      </c>
      <c r="AQ109" s="87">
        <f t="shared" si="36"/>
        <v>143503.08000000002</v>
      </c>
      <c r="AR109" s="87">
        <f t="shared" si="36"/>
        <v>-114426.63600000001</v>
      </c>
      <c r="AS109" s="87">
        <f t="shared" si="36"/>
        <v>-152658.87000000002</v>
      </c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67"/>
      <c r="BP109" s="67"/>
      <c r="BQ109" s="67"/>
      <c r="BZ109">
        <f t="shared" si="28"/>
        <v>3</v>
      </c>
    </row>
    <row r="110" spans="1:78" ht="15" x14ac:dyDescent="0.2">
      <c r="A110" s="2" t="s">
        <v>105</v>
      </c>
      <c r="B110" s="2">
        <v>28</v>
      </c>
      <c r="C110" s="2" t="s">
        <v>218</v>
      </c>
      <c r="D110" s="99" t="s">
        <v>203</v>
      </c>
      <c r="E110" s="99" t="s">
        <v>98</v>
      </c>
      <c r="F110">
        <v>1</v>
      </c>
      <c r="G110" s="20" t="str">
        <f t="shared" si="34"/>
        <v>3 - GAADISTR LUCROS E DESPESAS SS (JURÍDICO)</v>
      </c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BZ110">
        <f t="shared" si="28"/>
        <v>3</v>
      </c>
    </row>
    <row r="111" spans="1:78" ht="15" x14ac:dyDescent="0.2">
      <c r="A111" s="2" t="s">
        <v>105</v>
      </c>
      <c r="B111" s="2">
        <v>29</v>
      </c>
      <c r="C111" s="2" t="s">
        <v>218</v>
      </c>
      <c r="D111" s="99" t="s">
        <v>204</v>
      </c>
      <c r="E111" s="99" t="s">
        <v>223</v>
      </c>
      <c r="F111">
        <v>1</v>
      </c>
      <c r="G111" s="20" t="str">
        <f t="shared" si="34"/>
        <v>3 - GAADISTR LUCROS E DESPESAS SC (3)</v>
      </c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>
        <v>-18178.620000000003</v>
      </c>
      <c r="AI111">
        <v>-16613.79</v>
      </c>
      <c r="AJ111">
        <v>-16374.63</v>
      </c>
      <c r="AK111">
        <v>-16374.63</v>
      </c>
      <c r="AL111">
        <v>-16796.23</v>
      </c>
      <c r="AM111">
        <v>-16374.63</v>
      </c>
      <c r="AN111">
        <v>-16857.25</v>
      </c>
      <c r="AO111">
        <v>-17152.04</v>
      </c>
      <c r="AP111">
        <v>-16603.489999999998</v>
      </c>
      <c r="AQ111">
        <v>-16876.16</v>
      </c>
      <c r="AR111">
        <v>-16847.78</v>
      </c>
      <c r="AS111">
        <v>-16847.149999999998</v>
      </c>
      <c r="BZ111">
        <f t="shared" si="28"/>
        <v>3</v>
      </c>
    </row>
    <row r="112" spans="1:78" ht="15" x14ac:dyDescent="0.2">
      <c r="A112" s="2" t="s">
        <v>105</v>
      </c>
      <c r="B112" s="2">
        <v>30</v>
      </c>
      <c r="C112" s="2" t="s">
        <v>218</v>
      </c>
      <c r="D112" s="99" t="s">
        <v>205</v>
      </c>
      <c r="E112" s="99" t="s">
        <v>224</v>
      </c>
      <c r="F112">
        <v>1</v>
      </c>
      <c r="G112" s="20" t="str">
        <f t="shared" si="34"/>
        <v>3 - GAADISTR LUCROS E DESPESAS SS GESTÃO ADM (11)</v>
      </c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>
        <v>0</v>
      </c>
      <c r="AI112">
        <v>-26124.86</v>
      </c>
      <c r="AJ112">
        <v>-27093.530699999996</v>
      </c>
      <c r="AK112">
        <v>-25762.009999999995</v>
      </c>
      <c r="AL112">
        <v>-28380.919999999995</v>
      </c>
      <c r="AM112">
        <v>-26029.38</v>
      </c>
      <c r="AN112">
        <v>-26879.778299999998</v>
      </c>
      <c r="AO112">
        <v>-28953.275600000001</v>
      </c>
      <c r="AP112">
        <v>-29673.309999999998</v>
      </c>
      <c r="AQ112">
        <v>-29557.47</v>
      </c>
      <c r="AR112">
        <v>-30589.7</v>
      </c>
      <c r="AS112">
        <v>-29275.990000000005</v>
      </c>
      <c r="BZ112">
        <f t="shared" si="28"/>
        <v>3</v>
      </c>
    </row>
    <row r="113" spans="1:78" ht="15" x14ac:dyDescent="0.2">
      <c r="A113" s="2" t="s">
        <v>105</v>
      </c>
      <c r="B113" s="2">
        <v>31</v>
      </c>
      <c r="C113" s="2"/>
      <c r="D113" s="99" t="s">
        <v>206</v>
      </c>
      <c r="E113" s="20"/>
      <c r="F113" s="20"/>
      <c r="G113" s="20" t="str">
        <f t="shared" si="34"/>
        <v>3 - GAA</v>
      </c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87">
        <f t="shared" ref="AH113:AS113" si="37">AH110+AH111+AH112</f>
        <v>-18178.620000000003</v>
      </c>
      <c r="AI113" s="87">
        <f t="shared" si="37"/>
        <v>-42738.65</v>
      </c>
      <c r="AJ113" s="87">
        <f t="shared" si="37"/>
        <v>-43468.160699999993</v>
      </c>
      <c r="AK113" s="87">
        <f t="shared" si="37"/>
        <v>-42136.639999999992</v>
      </c>
      <c r="AL113" s="87">
        <f t="shared" si="37"/>
        <v>-45177.149999999994</v>
      </c>
      <c r="AM113" s="87">
        <f t="shared" si="37"/>
        <v>-42404.01</v>
      </c>
      <c r="AN113" s="87">
        <f t="shared" si="37"/>
        <v>-43737.028299999998</v>
      </c>
      <c r="AO113" s="87">
        <f t="shared" si="37"/>
        <v>-46105.315600000002</v>
      </c>
      <c r="AP113" s="87">
        <f t="shared" si="37"/>
        <v>-46276.799999999996</v>
      </c>
      <c r="AQ113" s="87">
        <f t="shared" si="37"/>
        <v>-46433.630000000005</v>
      </c>
      <c r="AR113" s="87">
        <f t="shared" si="37"/>
        <v>-47437.479999999996</v>
      </c>
      <c r="AS113" s="87">
        <f t="shared" si="37"/>
        <v>-46123.14</v>
      </c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67"/>
      <c r="BP113" s="67"/>
      <c r="BQ113" s="67"/>
      <c r="BZ113">
        <f t="shared" si="28"/>
        <v>3</v>
      </c>
    </row>
    <row r="114" spans="1:78" ht="15" x14ac:dyDescent="0.2">
      <c r="A114" s="2" t="s">
        <v>105</v>
      </c>
      <c r="B114" s="2">
        <v>32</v>
      </c>
      <c r="C114" s="2"/>
      <c r="D114" s="99" t="s">
        <v>207</v>
      </c>
      <c r="E114" s="20"/>
      <c r="F114" s="20"/>
      <c r="G114" s="20" t="str">
        <f t="shared" si="34"/>
        <v>3 - GAA</v>
      </c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87">
        <f t="shared" ref="AH114:AS114" si="38">AH87+AH95+AH106+AH107+AH108+AH113</f>
        <v>-271337.45</v>
      </c>
      <c r="AI114" s="87">
        <f t="shared" si="38"/>
        <v>-290597.82</v>
      </c>
      <c r="AJ114" s="87">
        <f t="shared" si="38"/>
        <v>-342873.49070000002</v>
      </c>
      <c r="AK114" s="87">
        <f t="shared" si="38"/>
        <v>-292441.77</v>
      </c>
      <c r="AL114" s="87">
        <f t="shared" si="38"/>
        <v>-283015.64</v>
      </c>
      <c r="AM114" s="87">
        <f t="shared" si="38"/>
        <v>-258813.29</v>
      </c>
      <c r="AN114" s="87">
        <f t="shared" si="38"/>
        <v>-261824.41830000002</v>
      </c>
      <c r="AO114" s="87">
        <f t="shared" si="38"/>
        <v>-279601.53559999994</v>
      </c>
      <c r="AP114" s="87">
        <f t="shared" si="38"/>
        <v>-282198.98</v>
      </c>
      <c r="AQ114" s="87">
        <f t="shared" si="38"/>
        <v>-303951.23</v>
      </c>
      <c r="AR114" s="87">
        <f t="shared" si="38"/>
        <v>-329465.21600000001</v>
      </c>
      <c r="AS114" s="87">
        <f t="shared" si="38"/>
        <v>-376776.34</v>
      </c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67"/>
      <c r="BP114" s="67"/>
      <c r="BQ114" s="67"/>
      <c r="BZ114">
        <f t="shared" si="28"/>
        <v>3</v>
      </c>
    </row>
    <row r="115" spans="1:78" ht="15" x14ac:dyDescent="0.2">
      <c r="A115" s="2" t="s">
        <v>105</v>
      </c>
      <c r="B115" s="2">
        <v>33</v>
      </c>
      <c r="C115" s="2"/>
      <c r="D115" s="104" t="s">
        <v>212</v>
      </c>
      <c r="E115" s="87"/>
      <c r="F115" s="87"/>
      <c r="G115" s="20" t="str">
        <f t="shared" si="34"/>
        <v>3 - GAA</v>
      </c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87">
        <f>AH83+AH114</f>
        <v>21735.469999999972</v>
      </c>
      <c r="AI115" s="87">
        <f t="shared" ref="AI115:AS115" si="39">AI83+AI114</f>
        <v>-136551.76</v>
      </c>
      <c r="AJ115" s="87">
        <f t="shared" si="39"/>
        <v>-80498.770700000052</v>
      </c>
      <c r="AK115" s="87">
        <f t="shared" si="39"/>
        <v>-75416.270000000019</v>
      </c>
      <c r="AL115" s="87">
        <f t="shared" si="39"/>
        <v>40467.169999999984</v>
      </c>
      <c r="AM115" s="87">
        <f t="shared" si="39"/>
        <v>48604.399999999994</v>
      </c>
      <c r="AN115" s="87">
        <f t="shared" si="39"/>
        <v>-14631.798300000024</v>
      </c>
      <c r="AO115" s="87">
        <f t="shared" si="39"/>
        <v>-12498.90559999994</v>
      </c>
      <c r="AP115" s="87">
        <f t="shared" si="39"/>
        <v>24794.690000000002</v>
      </c>
      <c r="AQ115" s="87">
        <f t="shared" si="39"/>
        <v>113945.61000000004</v>
      </c>
      <c r="AR115" s="87">
        <f t="shared" si="39"/>
        <v>-145016.33600000001</v>
      </c>
      <c r="AS115" s="87">
        <f t="shared" si="39"/>
        <v>-181934.86000000002</v>
      </c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Z115">
        <f t="shared" si="28"/>
        <v>3</v>
      </c>
    </row>
    <row r="116" spans="1:78" ht="15" x14ac:dyDescent="0.2">
      <c r="A116" s="2" t="s">
        <v>105</v>
      </c>
      <c r="B116" s="2">
        <v>34</v>
      </c>
      <c r="C116" s="2"/>
      <c r="D116" s="99" t="s">
        <v>208</v>
      </c>
      <c r="E116" s="80"/>
      <c r="F116" s="80"/>
      <c r="G116" s="20" t="str">
        <f t="shared" si="34"/>
        <v>3 - GAA</v>
      </c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BZ116">
        <f t="shared" si="28"/>
        <v>3</v>
      </c>
    </row>
    <row r="117" spans="1:78" ht="15" x14ac:dyDescent="0.2">
      <c r="A117" s="2" t="s">
        <v>105</v>
      </c>
      <c r="B117" s="2">
        <v>35</v>
      </c>
      <c r="C117" s="2"/>
      <c r="D117" s="99" t="s">
        <v>209</v>
      </c>
      <c r="E117" s="20"/>
      <c r="F117" s="20"/>
      <c r="G117" s="20" t="str">
        <f t="shared" si="34"/>
        <v>3 - GAA</v>
      </c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BZ117">
        <f t="shared" si="28"/>
        <v>3</v>
      </c>
    </row>
    <row r="118" spans="1:78" ht="15" x14ac:dyDescent="0.2">
      <c r="A118" s="2" t="s">
        <v>105</v>
      </c>
      <c r="B118" s="2">
        <v>36</v>
      </c>
      <c r="C118" s="2"/>
      <c r="D118" s="99" t="s">
        <v>210</v>
      </c>
      <c r="E118" s="20"/>
      <c r="F118" s="20"/>
      <c r="G118" s="20" t="str">
        <f t="shared" si="34"/>
        <v>3 - GAA</v>
      </c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BZ118">
        <f t="shared" si="28"/>
        <v>3</v>
      </c>
    </row>
    <row r="119" spans="1:78" ht="15" x14ac:dyDescent="0.2">
      <c r="A119" s="2" t="s">
        <v>105</v>
      </c>
      <c r="B119" s="2">
        <v>37</v>
      </c>
      <c r="C119" s="2"/>
      <c r="D119" s="99" t="s">
        <v>233</v>
      </c>
      <c r="E119" s="20"/>
      <c r="F119" s="20"/>
      <c r="G119" s="20" t="str">
        <f t="shared" si="34"/>
        <v>3 - GAA</v>
      </c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BZ119">
        <f t="shared" si="28"/>
        <v>3</v>
      </c>
    </row>
    <row r="120" spans="1:78" ht="15" x14ac:dyDescent="0.2">
      <c r="A120" s="2" t="s">
        <v>105</v>
      </c>
      <c r="B120" s="2">
        <v>38</v>
      </c>
      <c r="C120" s="2"/>
      <c r="D120" s="99" t="s">
        <v>232</v>
      </c>
      <c r="E120" s="20"/>
      <c r="F120" s="20"/>
      <c r="G120" s="20" t="str">
        <f t="shared" si="34"/>
        <v>3 - GAA</v>
      </c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</row>
    <row r="121" spans="1:78" ht="15" x14ac:dyDescent="0.2">
      <c r="A121" s="2" t="s">
        <v>105</v>
      </c>
      <c r="B121" s="2">
        <v>39</v>
      </c>
      <c r="C121" s="2"/>
      <c r="D121" s="99" t="s">
        <v>234</v>
      </c>
      <c r="E121" s="20"/>
      <c r="F121" s="20"/>
      <c r="G121" s="20" t="str">
        <f t="shared" si="34"/>
        <v>3 - GAA</v>
      </c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</row>
    <row r="122" spans="1:78" ht="15.75" thickBot="1" x14ac:dyDescent="0.25">
      <c r="A122" s="2" t="s">
        <v>105</v>
      </c>
      <c r="B122" s="2">
        <v>40</v>
      </c>
      <c r="C122" s="2"/>
      <c r="D122" s="100" t="s">
        <v>211</v>
      </c>
      <c r="E122" s="20"/>
      <c r="F122" s="20"/>
      <c r="G122" s="20" t="str">
        <f t="shared" si="34"/>
        <v>3 - GAA</v>
      </c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BZ122">
        <f t="shared" si="28"/>
        <v>3</v>
      </c>
    </row>
    <row r="123" spans="1:78" ht="15" x14ac:dyDescent="0.2">
      <c r="A123" s="2" t="s">
        <v>106</v>
      </c>
      <c r="B123" s="2">
        <v>1</v>
      </c>
      <c r="C123" s="2"/>
      <c r="D123" s="108" t="s">
        <v>183</v>
      </c>
      <c r="E123" s="20"/>
      <c r="F123" s="20"/>
      <c r="G123" s="20" t="str">
        <f t="shared" si="34"/>
        <v>4 - GAT</v>
      </c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>
        <v>0</v>
      </c>
      <c r="AI123">
        <v>0</v>
      </c>
      <c r="AJ123">
        <v>0</v>
      </c>
      <c r="AK123">
        <v>0</v>
      </c>
      <c r="AL123">
        <v>0</v>
      </c>
      <c r="AM123">
        <v>80658</v>
      </c>
      <c r="AN123">
        <v>85325</v>
      </c>
      <c r="AO123">
        <v>59017</v>
      </c>
      <c r="AP123">
        <v>89792.5</v>
      </c>
      <c r="AQ123">
        <v>60207.5</v>
      </c>
      <c r="AR123">
        <v>75000</v>
      </c>
      <c r="AS123">
        <v>149595.5</v>
      </c>
      <c r="BZ123">
        <f t="shared" si="28"/>
        <v>3</v>
      </c>
    </row>
    <row r="124" spans="1:78" ht="15" x14ac:dyDescent="0.2">
      <c r="A124" s="2" t="s">
        <v>106</v>
      </c>
      <c r="B124" s="2">
        <v>2</v>
      </c>
      <c r="C124" s="2"/>
      <c r="D124" s="99" t="s">
        <v>184</v>
      </c>
      <c r="E124" s="20"/>
      <c r="F124" s="20"/>
      <c r="G124" s="20" t="str">
        <f t="shared" si="34"/>
        <v>4 - GAT</v>
      </c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>
        <v>0</v>
      </c>
      <c r="AI124">
        <v>0</v>
      </c>
      <c r="AJ124">
        <v>0</v>
      </c>
      <c r="AK124">
        <v>0</v>
      </c>
      <c r="AL124">
        <v>0</v>
      </c>
      <c r="AM124">
        <v>80658</v>
      </c>
      <c r="AN124">
        <v>85325</v>
      </c>
      <c r="AO124">
        <v>59017</v>
      </c>
      <c r="AP124">
        <v>89792.5</v>
      </c>
      <c r="AQ124">
        <v>60207.5</v>
      </c>
      <c r="AR124">
        <v>75000</v>
      </c>
      <c r="AS124">
        <v>149595.5</v>
      </c>
      <c r="BZ124">
        <f t="shared" si="28"/>
        <v>3</v>
      </c>
    </row>
    <row r="125" spans="1:78" ht="15" x14ac:dyDescent="0.2">
      <c r="A125" s="2" t="s">
        <v>106</v>
      </c>
      <c r="B125" s="2">
        <v>3</v>
      </c>
      <c r="C125" s="2"/>
      <c r="D125" s="99" t="s">
        <v>185</v>
      </c>
      <c r="E125" s="20"/>
      <c r="F125" s="20"/>
      <c r="G125" s="20" t="str">
        <f t="shared" si="34"/>
        <v>4 - GAT</v>
      </c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BZ125">
        <f t="shared" si="28"/>
        <v>3</v>
      </c>
    </row>
    <row r="126" spans="1:78" ht="15" x14ac:dyDescent="0.2">
      <c r="A126" s="2" t="s">
        <v>106</v>
      </c>
      <c r="B126" s="2">
        <v>4</v>
      </c>
      <c r="C126" s="2"/>
      <c r="D126" s="99" t="s">
        <v>186</v>
      </c>
      <c r="E126" s="20"/>
      <c r="F126" s="20"/>
      <c r="G126" s="20" t="str">
        <f t="shared" si="34"/>
        <v>4 - GAT</v>
      </c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>
        <v>0</v>
      </c>
      <c r="AI126">
        <v>0</v>
      </c>
      <c r="AJ126">
        <v>0</v>
      </c>
      <c r="AK126">
        <v>0</v>
      </c>
      <c r="AL126">
        <v>0</v>
      </c>
      <c r="AM126">
        <v>80658</v>
      </c>
      <c r="AN126">
        <v>85325</v>
      </c>
      <c r="AO126">
        <v>59017</v>
      </c>
      <c r="AP126">
        <v>89792.5</v>
      </c>
      <c r="AQ126">
        <v>60207.5</v>
      </c>
      <c r="AR126">
        <v>75000</v>
      </c>
      <c r="AS126">
        <v>149595.5</v>
      </c>
      <c r="BZ126">
        <f t="shared" si="28"/>
        <v>3</v>
      </c>
    </row>
    <row r="127" spans="1:78" ht="15" x14ac:dyDescent="0.2">
      <c r="A127" s="2" t="s">
        <v>106</v>
      </c>
      <c r="B127" s="2">
        <v>5</v>
      </c>
      <c r="C127" s="2"/>
      <c r="D127" s="101" t="s">
        <v>32</v>
      </c>
      <c r="E127" s="20"/>
      <c r="F127" s="20"/>
      <c r="G127" s="20" t="str">
        <f t="shared" si="34"/>
        <v>4 - GAT</v>
      </c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87">
        <f t="shared" ref="AH127:AS127" si="40">AH128+AH129+AH130+AH131+AH132+AH133</f>
        <v>0</v>
      </c>
      <c r="AI127" s="87">
        <f t="shared" si="40"/>
        <v>0</v>
      </c>
      <c r="AJ127" s="87">
        <f t="shared" si="40"/>
        <v>-6441.98</v>
      </c>
      <c r="AK127" s="87">
        <f t="shared" si="40"/>
        <v>-43372.73</v>
      </c>
      <c r="AL127" s="87">
        <f t="shared" si="40"/>
        <v>-56961.71</v>
      </c>
      <c r="AM127" s="87">
        <f t="shared" si="40"/>
        <v>-67015.509999999995</v>
      </c>
      <c r="AN127" s="87">
        <f t="shared" si="40"/>
        <v>-63655.360000000008</v>
      </c>
      <c r="AO127" s="87">
        <f t="shared" si="40"/>
        <v>-71419.039999999994</v>
      </c>
      <c r="AP127" s="87">
        <f t="shared" si="40"/>
        <v>-75277.680000000008</v>
      </c>
      <c r="AQ127" s="87">
        <f t="shared" si="40"/>
        <v>-75309.16</v>
      </c>
      <c r="AR127" s="87">
        <f t="shared" si="40"/>
        <v>-102764.25</v>
      </c>
      <c r="AS127" s="87">
        <f t="shared" si="40"/>
        <v>-104662.91</v>
      </c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Z127">
        <f t="shared" si="28"/>
        <v>3</v>
      </c>
    </row>
    <row r="128" spans="1:78" ht="15" x14ac:dyDescent="0.2">
      <c r="A128" s="2" t="s">
        <v>106</v>
      </c>
      <c r="B128" s="2">
        <v>6</v>
      </c>
      <c r="C128" t="s">
        <v>213</v>
      </c>
      <c r="D128" t="s">
        <v>187</v>
      </c>
      <c r="E128" t="s">
        <v>219</v>
      </c>
      <c r="F128">
        <v>1</v>
      </c>
      <c r="G128" s="20" t="str">
        <f t="shared" si="34"/>
        <v>4 - GATPESSOAL CLT (BO / ASSIS JURÍD / NEGOC)</v>
      </c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>
        <v>0</v>
      </c>
      <c r="AI128">
        <v>0</v>
      </c>
      <c r="AJ128">
        <v>-6441.98</v>
      </c>
      <c r="AK128">
        <v>-43372.73</v>
      </c>
      <c r="AL128">
        <v>-56961.71</v>
      </c>
      <c r="AM128">
        <v>-67015.509999999995</v>
      </c>
      <c r="AN128">
        <v>-63655.360000000008</v>
      </c>
      <c r="AO128">
        <v>-71419.039999999994</v>
      </c>
      <c r="AP128">
        <v>-75277.680000000008</v>
      </c>
      <c r="AQ128">
        <v>-75309.16</v>
      </c>
      <c r="AR128">
        <v>-102764.25</v>
      </c>
      <c r="AS128">
        <v>-104662.91</v>
      </c>
      <c r="BZ128">
        <f t="shared" si="28"/>
        <v>3</v>
      </c>
    </row>
    <row r="129" spans="1:78" ht="15" x14ac:dyDescent="0.2">
      <c r="A129" s="2" t="s">
        <v>106</v>
      </c>
      <c r="B129" s="2">
        <v>7</v>
      </c>
      <c r="C129" t="s">
        <v>213</v>
      </c>
      <c r="D129" s="99" t="s">
        <v>188</v>
      </c>
      <c r="E129" s="99" t="s">
        <v>28</v>
      </c>
      <c r="G129" s="20" t="str">
        <f t="shared" si="34"/>
        <v>4 - GATCORRESPONDENTES</v>
      </c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BZ129">
        <f t="shared" si="28"/>
        <v>3</v>
      </c>
    </row>
    <row r="130" spans="1:78" ht="15" x14ac:dyDescent="0.2">
      <c r="A130" s="2" t="s">
        <v>106</v>
      </c>
      <c r="B130" s="2">
        <v>8</v>
      </c>
      <c r="C130" t="s">
        <v>213</v>
      </c>
      <c r="D130" s="99" t="s">
        <v>189</v>
      </c>
      <c r="E130" s="99" t="s">
        <v>29</v>
      </c>
      <c r="G130" s="20" t="str">
        <f t="shared" ref="G130:G162" si="41">CONCATENATE(A130,E130)</f>
        <v>4 - GATVALORES RESCISÓRIOS</v>
      </c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BZ130">
        <f t="shared" si="28"/>
        <v>3</v>
      </c>
    </row>
    <row r="131" spans="1:78" ht="15" x14ac:dyDescent="0.2">
      <c r="A131" s="2" t="s">
        <v>106</v>
      </c>
      <c r="B131" s="2">
        <v>9</v>
      </c>
      <c r="C131" t="s">
        <v>213</v>
      </c>
      <c r="D131" s="99" t="s">
        <v>190</v>
      </c>
      <c r="E131" s="99" t="s">
        <v>30</v>
      </c>
      <c r="G131" s="20" t="str">
        <f t="shared" si="41"/>
        <v>4 - GATPENALIDADES E GLOSAS DE CLIENTES</v>
      </c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BZ131">
        <f t="shared" si="28"/>
        <v>3</v>
      </c>
    </row>
    <row r="132" spans="1:78" ht="15" x14ac:dyDescent="0.2">
      <c r="A132" s="2" t="s">
        <v>106</v>
      </c>
      <c r="B132" s="2">
        <v>10</v>
      </c>
      <c r="C132" t="s">
        <v>213</v>
      </c>
      <c r="D132" s="99" t="s">
        <v>191</v>
      </c>
      <c r="E132" s="99" t="s">
        <v>31</v>
      </c>
      <c r="G132" s="20" t="str">
        <f t="shared" si="41"/>
        <v>4 - GATPROCESSOS TRABALHISTAS</v>
      </c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BZ132">
        <f t="shared" si="28"/>
        <v>3</v>
      </c>
    </row>
    <row r="133" spans="1:78" ht="15" x14ac:dyDescent="0.2">
      <c r="A133" s="2" t="s">
        <v>106</v>
      </c>
      <c r="B133" s="2">
        <v>11</v>
      </c>
      <c r="C133" t="s">
        <v>213</v>
      </c>
      <c r="D133" s="99" t="s">
        <v>192</v>
      </c>
      <c r="E133" s="99" t="s">
        <v>172</v>
      </c>
      <c r="G133" s="20" t="str">
        <f t="shared" si="41"/>
        <v>4 - GATDESCONTO PAGAMENTOS EM DUPLICIDADE</v>
      </c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BZ133">
        <f t="shared" si="28"/>
        <v>3</v>
      </c>
    </row>
    <row r="134" spans="1:78" ht="15" x14ac:dyDescent="0.2">
      <c r="A134" s="2" t="s">
        <v>106</v>
      </c>
      <c r="B134" s="2">
        <v>12</v>
      </c>
      <c r="C134" s="2"/>
      <c r="D134" s="98" t="s">
        <v>63</v>
      </c>
      <c r="E134" s="98"/>
      <c r="F134" s="90"/>
      <c r="G134" s="20" t="str">
        <f t="shared" si="41"/>
        <v>4 - GAT</v>
      </c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>
        <v>0</v>
      </c>
      <c r="AI134">
        <v>0</v>
      </c>
      <c r="AJ134">
        <v>-6441.98</v>
      </c>
      <c r="AK134">
        <v>-43372.73</v>
      </c>
      <c r="AL134">
        <v>-56961.71</v>
      </c>
      <c r="AM134">
        <v>13642.490000000005</v>
      </c>
      <c r="AN134">
        <v>21669.639999999992</v>
      </c>
      <c r="AO134">
        <v>-12402.039999999994</v>
      </c>
      <c r="AP134">
        <v>14514.819999999992</v>
      </c>
      <c r="AQ134">
        <v>-15101.660000000003</v>
      </c>
      <c r="AR134">
        <v>-27764.25</v>
      </c>
      <c r="AS134">
        <v>44932.59</v>
      </c>
      <c r="BZ134">
        <f t="shared" si="28"/>
        <v>3</v>
      </c>
    </row>
    <row r="135" spans="1:78" ht="15" x14ac:dyDescent="0.2">
      <c r="A135" s="2" t="s">
        <v>106</v>
      </c>
      <c r="B135" s="2">
        <v>13</v>
      </c>
      <c r="C135" s="2"/>
      <c r="D135" s="101" t="s">
        <v>62</v>
      </c>
      <c r="E135" s="101"/>
      <c r="F135" s="111"/>
      <c r="G135" s="20" t="str">
        <f t="shared" si="41"/>
        <v>4 - GAT</v>
      </c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87">
        <f t="shared" ref="AH135:AS135" si="42">AH136+AH137+AH138+AH139+AH140+AH141+AH142+AH143</f>
        <v>0</v>
      </c>
      <c r="AI135" s="87">
        <f t="shared" si="42"/>
        <v>-224.28</v>
      </c>
      <c r="AJ135" s="87">
        <f t="shared" si="42"/>
        <v>-1264.9299999999998</v>
      </c>
      <c r="AK135" s="87">
        <f t="shared" si="42"/>
        <v>-10365.34</v>
      </c>
      <c r="AL135" s="87">
        <f t="shared" si="42"/>
        <v>-11783.45</v>
      </c>
      <c r="AM135" s="87">
        <f t="shared" si="42"/>
        <v>-16627.419999999998</v>
      </c>
      <c r="AN135" s="87">
        <f t="shared" si="42"/>
        <v>-20382.47</v>
      </c>
      <c r="AO135" s="87">
        <f t="shared" si="42"/>
        <v>-18575.140000000003</v>
      </c>
      <c r="AP135" s="87">
        <f t="shared" si="42"/>
        <v>-12739.29</v>
      </c>
      <c r="AQ135" s="87">
        <f t="shared" si="42"/>
        <v>-13100.06</v>
      </c>
      <c r="AR135" s="87">
        <f t="shared" si="42"/>
        <v>-24213.03</v>
      </c>
      <c r="AS135" s="87">
        <f t="shared" si="42"/>
        <v>-19677.629999999997</v>
      </c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Z135">
        <f t="shared" si="28"/>
        <v>3</v>
      </c>
    </row>
    <row r="136" spans="1:78" ht="15" x14ac:dyDescent="0.2">
      <c r="A136" s="2" t="s">
        <v>106</v>
      </c>
      <c r="B136" s="2">
        <v>14</v>
      </c>
      <c r="C136" s="2" t="s">
        <v>214</v>
      </c>
      <c r="D136" s="99" t="s">
        <v>193</v>
      </c>
      <c r="E136" s="99" t="s">
        <v>102</v>
      </c>
      <c r="F136">
        <v>1</v>
      </c>
      <c r="G136" s="20" t="str">
        <f t="shared" si="41"/>
        <v>4 - GATPESSOAL CLT ADM</v>
      </c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>
        <v>0</v>
      </c>
      <c r="AI136">
        <v>0</v>
      </c>
      <c r="AJ136">
        <v>-751.81</v>
      </c>
      <c r="AK136">
        <v>-10365.34</v>
      </c>
      <c r="AL136">
        <v>-11783.45</v>
      </c>
      <c r="AM136">
        <v>-16627.419999999998</v>
      </c>
      <c r="AN136">
        <v>-20382.47</v>
      </c>
      <c r="AO136">
        <v>-16715.710000000003</v>
      </c>
      <c r="AP136">
        <v>-12739.29</v>
      </c>
      <c r="AQ136">
        <v>-13100.06</v>
      </c>
      <c r="AR136">
        <v>-23157.51</v>
      </c>
      <c r="AS136">
        <v>-19445.629999999997</v>
      </c>
      <c r="BZ136">
        <f t="shared" si="28"/>
        <v>3</v>
      </c>
    </row>
    <row r="137" spans="1:78" ht="15" x14ac:dyDescent="0.2">
      <c r="A137" s="2" t="s">
        <v>106</v>
      </c>
      <c r="B137" s="2">
        <v>15</v>
      </c>
      <c r="C137" s="2" t="s">
        <v>214</v>
      </c>
      <c r="D137" s="99" t="s">
        <v>194</v>
      </c>
      <c r="E137" s="99" t="s">
        <v>0</v>
      </c>
      <c r="G137" s="20" t="str">
        <f t="shared" si="41"/>
        <v>4 - GATLOCALIZAÇÃO (ALUGUEL, COND, LUZ, IPTU)</v>
      </c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BZ137">
        <f t="shared" si="28"/>
        <v>3</v>
      </c>
    </row>
    <row r="138" spans="1:78" ht="15" x14ac:dyDescent="0.2">
      <c r="A138" s="2" t="s">
        <v>106</v>
      </c>
      <c r="B138" s="2">
        <v>16</v>
      </c>
      <c r="C138" s="2" t="s">
        <v>214</v>
      </c>
      <c r="D138" s="99" t="s">
        <v>195</v>
      </c>
      <c r="E138" s="99" t="s">
        <v>1</v>
      </c>
      <c r="G138" s="20" t="str">
        <f t="shared" si="41"/>
        <v>4 - GATMARKETING</v>
      </c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-1055.52</v>
      </c>
      <c r="AS138">
        <v>0</v>
      </c>
      <c r="BZ138">
        <f t="shared" si="28"/>
        <v>3</v>
      </c>
    </row>
    <row r="139" spans="1:78" ht="15" x14ac:dyDescent="0.2">
      <c r="A139" s="2" t="s">
        <v>106</v>
      </c>
      <c r="B139" s="2">
        <v>17</v>
      </c>
      <c r="C139" s="2" t="s">
        <v>214</v>
      </c>
      <c r="D139" s="99" t="s">
        <v>196</v>
      </c>
      <c r="E139" s="99" t="s">
        <v>2</v>
      </c>
      <c r="G139" s="20" t="str">
        <f t="shared" si="41"/>
        <v>4 - GATCOMUNICAÇÃO</v>
      </c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BZ139">
        <f t="shared" si="28"/>
        <v>3</v>
      </c>
    </row>
    <row r="140" spans="1:78" ht="15" x14ac:dyDescent="0.2">
      <c r="A140" s="2" t="s">
        <v>106</v>
      </c>
      <c r="B140" s="2">
        <v>18</v>
      </c>
      <c r="C140" s="2" t="s">
        <v>214</v>
      </c>
      <c r="D140" s="99" t="s">
        <v>197</v>
      </c>
      <c r="E140" s="99" t="s">
        <v>3</v>
      </c>
      <c r="G140" s="20" t="str">
        <f t="shared" si="41"/>
        <v>4 - GATPRESTADOR DE SERVIÇOS</v>
      </c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BZ140">
        <f t="shared" si="28"/>
        <v>3</v>
      </c>
    </row>
    <row r="141" spans="1:78" ht="15" x14ac:dyDescent="0.2">
      <c r="A141" s="2" t="s">
        <v>106</v>
      </c>
      <c r="B141" s="2">
        <v>19</v>
      </c>
      <c r="C141" s="2" t="s">
        <v>214</v>
      </c>
      <c r="D141" s="99" t="s">
        <v>198</v>
      </c>
      <c r="E141" s="99" t="s">
        <v>220</v>
      </c>
      <c r="G141" s="20" t="str">
        <f t="shared" si="41"/>
        <v>4 - GATALUGUEL DE EQUIPAM / MANUT MÁQ EQUIPAM</v>
      </c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BZ141">
        <f t="shared" ref="BZ141:BZ162" si="43">MONTH($BY$2)</f>
        <v>3</v>
      </c>
    </row>
    <row r="142" spans="1:78" ht="15" x14ac:dyDescent="0.2">
      <c r="A142" s="2" t="s">
        <v>106</v>
      </c>
      <c r="B142" s="2">
        <v>20</v>
      </c>
      <c r="C142" s="2" t="s">
        <v>214</v>
      </c>
      <c r="D142" s="99" t="s">
        <v>199</v>
      </c>
      <c r="E142" s="99" t="s">
        <v>5</v>
      </c>
      <c r="G142" s="20" t="str">
        <f t="shared" si="41"/>
        <v>4 - GATCONSUMO DE MATERIAL</v>
      </c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BZ142">
        <f t="shared" si="43"/>
        <v>3</v>
      </c>
    </row>
    <row r="143" spans="1:78" ht="15" x14ac:dyDescent="0.2">
      <c r="A143" s="2" t="s">
        <v>106</v>
      </c>
      <c r="B143" s="2">
        <v>21</v>
      </c>
      <c r="C143" s="2" t="s">
        <v>214</v>
      </c>
      <c r="D143" s="99" t="s">
        <v>231</v>
      </c>
      <c r="E143" s="99" t="s">
        <v>230</v>
      </c>
      <c r="G143" s="20" t="str">
        <f t="shared" si="41"/>
        <v>4 - GATDESPESAS GERAIS / INVESTIMENTOS</v>
      </c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>
        <v>0</v>
      </c>
      <c r="AI143">
        <v>-224.28</v>
      </c>
      <c r="AJ143">
        <v>-513.12</v>
      </c>
      <c r="AK143">
        <v>0</v>
      </c>
      <c r="AL143">
        <v>0</v>
      </c>
      <c r="AM143">
        <v>0</v>
      </c>
      <c r="AN143">
        <v>0</v>
      </c>
      <c r="AO143">
        <v>-1859.43</v>
      </c>
      <c r="AP143">
        <v>0</v>
      </c>
      <c r="AQ143">
        <v>0</v>
      </c>
      <c r="AR143">
        <v>0</v>
      </c>
      <c r="AS143">
        <v>-232</v>
      </c>
      <c r="BZ143">
        <f t="shared" si="43"/>
        <v>3</v>
      </c>
    </row>
    <row r="144" spans="1:78" ht="15" x14ac:dyDescent="0.2">
      <c r="A144" s="2" t="s">
        <v>106</v>
      </c>
      <c r="B144" s="2">
        <v>22</v>
      </c>
      <c r="C144" s="2" t="s">
        <v>214</v>
      </c>
      <c r="D144" s="99" t="s">
        <v>228</v>
      </c>
      <c r="E144" s="99" t="s">
        <v>229</v>
      </c>
      <c r="G144" s="20" t="str">
        <f t="shared" si="41"/>
        <v>4 - GATDESPESAS INTERCOMPANY</v>
      </c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BZ144">
        <f t="shared" si="43"/>
        <v>3</v>
      </c>
    </row>
    <row r="145" spans="1:78" ht="15" x14ac:dyDescent="0.2">
      <c r="A145" s="2" t="s">
        <v>106</v>
      </c>
      <c r="B145" s="2">
        <v>23</v>
      </c>
      <c r="C145" s="2"/>
      <c r="D145" s="98" t="s">
        <v>178</v>
      </c>
      <c r="E145" s="98"/>
      <c r="F145" s="90"/>
      <c r="G145" s="20" t="str">
        <f t="shared" si="41"/>
        <v>4 - GAT</v>
      </c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87">
        <f t="shared" ref="AH145:AS145" si="44">AH134+AH135</f>
        <v>0</v>
      </c>
      <c r="AI145" s="87">
        <f t="shared" si="44"/>
        <v>-224.28</v>
      </c>
      <c r="AJ145" s="87">
        <f t="shared" si="44"/>
        <v>-7706.91</v>
      </c>
      <c r="AK145" s="87">
        <f t="shared" si="44"/>
        <v>-53738.070000000007</v>
      </c>
      <c r="AL145" s="87">
        <f t="shared" si="44"/>
        <v>-68745.16</v>
      </c>
      <c r="AM145" s="87">
        <f t="shared" si="44"/>
        <v>-2984.929999999993</v>
      </c>
      <c r="AN145" s="87">
        <f t="shared" si="44"/>
        <v>1287.169999999991</v>
      </c>
      <c r="AO145" s="87">
        <f t="shared" si="44"/>
        <v>-30977.179999999997</v>
      </c>
      <c r="AP145" s="87">
        <f t="shared" si="44"/>
        <v>1775.5299999999916</v>
      </c>
      <c r="AQ145" s="87">
        <f t="shared" si="44"/>
        <v>-28201.72</v>
      </c>
      <c r="AR145" s="87">
        <f t="shared" si="44"/>
        <v>-51977.279999999999</v>
      </c>
      <c r="AS145" s="87">
        <f t="shared" si="44"/>
        <v>25254.959999999999</v>
      </c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Z145">
        <f t="shared" si="43"/>
        <v>3</v>
      </c>
    </row>
    <row r="146" spans="1:78" ht="15" x14ac:dyDescent="0.2">
      <c r="A146" s="2" t="s">
        <v>106</v>
      </c>
      <c r="B146" s="2">
        <v>24</v>
      </c>
      <c r="C146" s="2" t="s">
        <v>215</v>
      </c>
      <c r="D146" s="99" t="s">
        <v>200</v>
      </c>
      <c r="E146" s="99" t="s">
        <v>221</v>
      </c>
      <c r="G146" s="20" t="str">
        <f t="shared" si="41"/>
        <v>4 - GATDEPRECIAÇÃO / AMORTIZAÇÃO</v>
      </c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BZ146">
        <f t="shared" si="43"/>
        <v>3</v>
      </c>
    </row>
    <row r="147" spans="1:78" ht="15" x14ac:dyDescent="0.2">
      <c r="A147" s="2" t="s">
        <v>106</v>
      </c>
      <c r="B147" s="2">
        <v>25</v>
      </c>
      <c r="C147" s="2" t="s">
        <v>216</v>
      </c>
      <c r="D147" s="99" t="s">
        <v>77</v>
      </c>
      <c r="E147" s="99" t="s">
        <v>89</v>
      </c>
      <c r="G147" s="20" t="str">
        <f t="shared" si="41"/>
        <v>4 - GATRESULTADO FINANCEIRO</v>
      </c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>
        <v>0</v>
      </c>
      <c r="AI147">
        <v>-22.07</v>
      </c>
      <c r="AJ147">
        <v>-199</v>
      </c>
      <c r="AK147">
        <v>-365.01</v>
      </c>
      <c r="AL147">
        <v>12</v>
      </c>
      <c r="AM147">
        <v>-420.63</v>
      </c>
      <c r="AN147">
        <v>-312.94</v>
      </c>
      <c r="AO147">
        <v>-295.58999999999997</v>
      </c>
      <c r="AP147">
        <v>-246.19</v>
      </c>
      <c r="AQ147">
        <v>-292.08999999999997</v>
      </c>
      <c r="AR147">
        <v>-292.08999999999997</v>
      </c>
      <c r="AS147">
        <v>-334.14</v>
      </c>
      <c r="BZ147">
        <f t="shared" si="43"/>
        <v>3</v>
      </c>
    </row>
    <row r="148" spans="1:78" ht="15" x14ac:dyDescent="0.2">
      <c r="A148" s="2" t="s">
        <v>106</v>
      </c>
      <c r="B148" s="2">
        <v>26</v>
      </c>
      <c r="C148" s="2" t="s">
        <v>217</v>
      </c>
      <c r="D148" s="99" t="s">
        <v>201</v>
      </c>
      <c r="E148" s="99" t="s">
        <v>222</v>
      </c>
      <c r="G148" s="20" t="str">
        <f t="shared" si="41"/>
        <v>4 - GATIMPOSTOS (IRPJ+CSLL+PIS+COFINS+ISS)</v>
      </c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>
        <v>0</v>
      </c>
      <c r="AI148">
        <v>0</v>
      </c>
      <c r="AJ148">
        <v>0</v>
      </c>
      <c r="AK148">
        <v>0</v>
      </c>
      <c r="AL148">
        <v>-4500</v>
      </c>
      <c r="AM148">
        <v>-5100</v>
      </c>
      <c r="AN148">
        <v>-7033.75</v>
      </c>
      <c r="AO148">
        <v>-6975.01</v>
      </c>
      <c r="AP148">
        <v>-8351.25</v>
      </c>
      <c r="AQ148">
        <v>-8698.33</v>
      </c>
      <c r="AR148">
        <v>-8925.01</v>
      </c>
      <c r="AS148">
        <v>-9084.66</v>
      </c>
      <c r="BZ148">
        <f t="shared" si="43"/>
        <v>3</v>
      </c>
    </row>
    <row r="149" spans="1:78" ht="15" x14ac:dyDescent="0.2">
      <c r="A149" s="2" t="s">
        <v>106</v>
      </c>
      <c r="B149" s="2">
        <v>27</v>
      </c>
      <c r="C149" s="2"/>
      <c r="D149" s="104" t="s">
        <v>202</v>
      </c>
      <c r="E149" s="104"/>
      <c r="F149" s="112"/>
      <c r="G149" s="20" t="str">
        <f t="shared" si="41"/>
        <v>4 - GAT</v>
      </c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87">
        <f t="shared" ref="AH149:AS149" si="45">AH134+AH135+AH146+AH147+AH148</f>
        <v>0</v>
      </c>
      <c r="AI149" s="87">
        <f t="shared" si="45"/>
        <v>-246.35</v>
      </c>
      <c r="AJ149" s="87">
        <f t="shared" si="45"/>
        <v>-7905.91</v>
      </c>
      <c r="AK149" s="87">
        <f t="shared" si="45"/>
        <v>-54103.080000000009</v>
      </c>
      <c r="AL149" s="87">
        <f t="shared" si="45"/>
        <v>-73233.16</v>
      </c>
      <c r="AM149" s="87">
        <f t="shared" si="45"/>
        <v>-8505.559999999994</v>
      </c>
      <c r="AN149" s="87">
        <f t="shared" si="45"/>
        <v>-6059.5200000000095</v>
      </c>
      <c r="AO149" s="87">
        <f t="shared" si="45"/>
        <v>-38247.78</v>
      </c>
      <c r="AP149" s="87">
        <f t="shared" si="45"/>
        <v>-6821.9100000000089</v>
      </c>
      <c r="AQ149" s="87">
        <f t="shared" si="45"/>
        <v>-37192.14</v>
      </c>
      <c r="AR149" s="87">
        <f t="shared" si="45"/>
        <v>-61194.38</v>
      </c>
      <c r="AS149" s="87">
        <f t="shared" si="45"/>
        <v>15836.16</v>
      </c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Z149">
        <f t="shared" si="43"/>
        <v>3</v>
      </c>
    </row>
    <row r="150" spans="1:78" ht="15" x14ac:dyDescent="0.2">
      <c r="A150" s="2" t="s">
        <v>106</v>
      </c>
      <c r="B150" s="2">
        <v>28</v>
      </c>
      <c r="C150" s="2" t="s">
        <v>218</v>
      </c>
      <c r="D150" s="99" t="s">
        <v>203</v>
      </c>
      <c r="E150" s="99" t="s">
        <v>98</v>
      </c>
      <c r="F150">
        <v>1</v>
      </c>
      <c r="G150" s="20" t="str">
        <f t="shared" si="41"/>
        <v>4 - GATDISTR LUCROS E DESPESAS SS (JURÍDICO)</v>
      </c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BZ150">
        <f t="shared" si="43"/>
        <v>3</v>
      </c>
    </row>
    <row r="151" spans="1:78" ht="15" x14ac:dyDescent="0.2">
      <c r="A151" s="2" t="s">
        <v>106</v>
      </c>
      <c r="B151" s="2">
        <v>29</v>
      </c>
      <c r="C151" s="2" t="s">
        <v>218</v>
      </c>
      <c r="D151" s="99" t="s">
        <v>204</v>
      </c>
      <c r="E151" s="99" t="s">
        <v>223</v>
      </c>
      <c r="F151">
        <v>1</v>
      </c>
      <c r="G151" s="20" t="str">
        <f t="shared" si="41"/>
        <v>4 - GATDISTR LUCROS E DESPESAS SC (3)</v>
      </c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BZ151">
        <f t="shared" si="43"/>
        <v>3</v>
      </c>
    </row>
    <row r="152" spans="1:78" ht="15" x14ac:dyDescent="0.2">
      <c r="A152" s="2" t="s">
        <v>106</v>
      </c>
      <c r="B152" s="2">
        <v>30</v>
      </c>
      <c r="C152" s="2" t="s">
        <v>218</v>
      </c>
      <c r="D152" s="99" t="s">
        <v>205</v>
      </c>
      <c r="E152" s="99" t="s">
        <v>224</v>
      </c>
      <c r="F152">
        <v>1</v>
      </c>
      <c r="G152" s="20" t="str">
        <f t="shared" si="41"/>
        <v>4 - GATDISTR LUCROS E DESPESAS SS GESTÃO ADM (11)</v>
      </c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>
        <v>0</v>
      </c>
      <c r="AI152">
        <v>-48069.350000000006</v>
      </c>
      <c r="AJ152">
        <v>-28078.090299999996</v>
      </c>
      <c r="AK152">
        <v>-26579.079999999994</v>
      </c>
      <c r="AL152">
        <v>-31227.21</v>
      </c>
      <c r="AM152">
        <v>-41626.94</v>
      </c>
      <c r="AN152">
        <v>-25079.921499999997</v>
      </c>
      <c r="AO152">
        <v>-30783.040000000001</v>
      </c>
      <c r="AP152">
        <v>-18317.497499999998</v>
      </c>
      <c r="AQ152">
        <v>-33875.83</v>
      </c>
      <c r="AR152">
        <v>-24567.429</v>
      </c>
      <c r="AS152">
        <v>-30776.78</v>
      </c>
      <c r="BZ152">
        <f t="shared" si="43"/>
        <v>3</v>
      </c>
    </row>
    <row r="153" spans="1:78" ht="15" x14ac:dyDescent="0.2">
      <c r="A153" s="2" t="s">
        <v>106</v>
      </c>
      <c r="B153" s="2">
        <v>31</v>
      </c>
      <c r="C153" s="2"/>
      <c r="D153" s="99" t="s">
        <v>206</v>
      </c>
      <c r="E153" s="20"/>
      <c r="F153" s="20"/>
      <c r="G153" s="20" t="str">
        <f t="shared" si="41"/>
        <v>4 - GAT</v>
      </c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87">
        <f t="shared" ref="AH153:AS153" si="46">AH150+AH151+AH152</f>
        <v>0</v>
      </c>
      <c r="AI153" s="87">
        <f t="shared" si="46"/>
        <v>-48069.350000000006</v>
      </c>
      <c r="AJ153" s="87">
        <f t="shared" si="46"/>
        <v>-28078.090299999996</v>
      </c>
      <c r="AK153" s="87">
        <f t="shared" si="46"/>
        <v>-26579.079999999994</v>
      </c>
      <c r="AL153" s="87">
        <f t="shared" si="46"/>
        <v>-31227.21</v>
      </c>
      <c r="AM153" s="87">
        <f t="shared" si="46"/>
        <v>-41626.94</v>
      </c>
      <c r="AN153" s="87">
        <f t="shared" si="46"/>
        <v>-25079.921499999997</v>
      </c>
      <c r="AO153" s="87">
        <f t="shared" si="46"/>
        <v>-30783.040000000001</v>
      </c>
      <c r="AP153" s="87">
        <f t="shared" si="46"/>
        <v>-18317.497499999998</v>
      </c>
      <c r="AQ153" s="87">
        <f t="shared" si="46"/>
        <v>-33875.83</v>
      </c>
      <c r="AR153" s="87">
        <f t="shared" si="46"/>
        <v>-24567.429</v>
      </c>
      <c r="AS153" s="87">
        <f t="shared" si="46"/>
        <v>-30776.78</v>
      </c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Z153">
        <f t="shared" si="43"/>
        <v>3</v>
      </c>
    </row>
    <row r="154" spans="1:78" ht="15" x14ac:dyDescent="0.2">
      <c r="A154" s="2" t="s">
        <v>106</v>
      </c>
      <c r="B154" s="2">
        <v>32</v>
      </c>
      <c r="C154" s="2"/>
      <c r="D154" s="99" t="s">
        <v>207</v>
      </c>
      <c r="E154" s="20"/>
      <c r="F154" s="20"/>
      <c r="G154" s="20" t="str">
        <f t="shared" si="41"/>
        <v>4 - GAT</v>
      </c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87">
        <f t="shared" ref="AH154:AS154" si="47">AH127+AH135+AH146+AH147+AH148+AH153</f>
        <v>0</v>
      </c>
      <c r="AI154" s="87">
        <f t="shared" si="47"/>
        <v>-48315.700000000004</v>
      </c>
      <c r="AJ154" s="87">
        <f t="shared" si="47"/>
        <v>-35984.0003</v>
      </c>
      <c r="AK154" s="87">
        <f t="shared" si="47"/>
        <v>-80682.16</v>
      </c>
      <c r="AL154" s="87">
        <f t="shared" si="47"/>
        <v>-104460.37</v>
      </c>
      <c r="AM154" s="87">
        <f t="shared" si="47"/>
        <v>-130790.5</v>
      </c>
      <c r="AN154" s="87">
        <f t="shared" si="47"/>
        <v>-116464.44150000002</v>
      </c>
      <c r="AO154" s="87">
        <f t="shared" si="47"/>
        <v>-128047.81999999998</v>
      </c>
      <c r="AP154" s="87">
        <f t="shared" si="47"/>
        <v>-114931.9075</v>
      </c>
      <c r="AQ154" s="87">
        <f t="shared" si="47"/>
        <v>-131275.47</v>
      </c>
      <c r="AR154" s="87">
        <f t="shared" si="47"/>
        <v>-160761.80900000001</v>
      </c>
      <c r="AS154" s="87">
        <f t="shared" si="47"/>
        <v>-164536.12</v>
      </c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Z154">
        <f t="shared" si="43"/>
        <v>3</v>
      </c>
    </row>
    <row r="155" spans="1:78" ht="15" x14ac:dyDescent="0.2">
      <c r="A155" s="2" t="s">
        <v>106</v>
      </c>
      <c r="B155" s="2">
        <v>33</v>
      </c>
      <c r="C155" s="2"/>
      <c r="D155" s="104" t="s">
        <v>212</v>
      </c>
      <c r="E155" s="87"/>
      <c r="F155" s="87"/>
      <c r="G155" s="20" t="str">
        <f t="shared" si="41"/>
        <v>4 - GAT</v>
      </c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87">
        <f>AH123+AH154</f>
        <v>0</v>
      </c>
      <c r="AI155" s="87">
        <f t="shared" ref="AI155:AS155" si="48">AI123+AI154</f>
        <v>-48315.700000000004</v>
      </c>
      <c r="AJ155" s="87">
        <f t="shared" si="48"/>
        <v>-35984.0003</v>
      </c>
      <c r="AK155" s="87">
        <f t="shared" si="48"/>
        <v>-80682.16</v>
      </c>
      <c r="AL155" s="87">
        <f t="shared" si="48"/>
        <v>-104460.37</v>
      </c>
      <c r="AM155" s="87">
        <f t="shared" si="48"/>
        <v>-50132.5</v>
      </c>
      <c r="AN155" s="87">
        <f t="shared" si="48"/>
        <v>-31139.441500000015</v>
      </c>
      <c r="AO155" s="87">
        <f t="shared" si="48"/>
        <v>-69030.819999999978</v>
      </c>
      <c r="AP155" s="87">
        <f t="shared" si="48"/>
        <v>-25139.407500000001</v>
      </c>
      <c r="AQ155" s="87">
        <f t="shared" si="48"/>
        <v>-71067.97</v>
      </c>
      <c r="AR155" s="87">
        <f t="shared" si="48"/>
        <v>-85761.809000000008</v>
      </c>
      <c r="AS155" s="87">
        <f t="shared" si="48"/>
        <v>-14940.619999999995</v>
      </c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Z155">
        <f t="shared" si="43"/>
        <v>3</v>
      </c>
    </row>
    <row r="156" spans="1:78" ht="15" x14ac:dyDescent="0.2">
      <c r="A156" s="2" t="s">
        <v>106</v>
      </c>
      <c r="B156" s="2">
        <v>34</v>
      </c>
      <c r="C156" s="2"/>
      <c r="D156" s="99" t="s">
        <v>208</v>
      </c>
      <c r="E156" s="80"/>
      <c r="F156" s="80"/>
      <c r="G156" s="20" t="str">
        <f t="shared" si="41"/>
        <v>4 - GAT</v>
      </c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BZ156">
        <f t="shared" si="43"/>
        <v>3</v>
      </c>
    </row>
    <row r="157" spans="1:78" ht="15" x14ac:dyDescent="0.2">
      <c r="A157" s="2" t="s">
        <v>106</v>
      </c>
      <c r="B157" s="2">
        <v>35</v>
      </c>
      <c r="C157" s="2"/>
      <c r="D157" s="99" t="s">
        <v>209</v>
      </c>
      <c r="E157" s="20"/>
      <c r="F157" s="20"/>
      <c r="G157" s="20" t="str">
        <f t="shared" si="41"/>
        <v>4 - GAT</v>
      </c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BZ157">
        <f t="shared" si="43"/>
        <v>3</v>
      </c>
    </row>
    <row r="158" spans="1:78" ht="15" x14ac:dyDescent="0.2">
      <c r="A158" s="2" t="s">
        <v>106</v>
      </c>
      <c r="B158" s="2">
        <v>36</v>
      </c>
      <c r="C158" s="2"/>
      <c r="D158" s="99" t="s">
        <v>210</v>
      </c>
      <c r="E158" s="20"/>
      <c r="F158" s="20"/>
      <c r="G158" s="20" t="str">
        <f t="shared" si="41"/>
        <v>4 - GAT</v>
      </c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BZ158">
        <f t="shared" si="43"/>
        <v>3</v>
      </c>
    </row>
    <row r="159" spans="1:78" ht="15" x14ac:dyDescent="0.2">
      <c r="A159" s="2" t="s">
        <v>106</v>
      </c>
      <c r="B159" s="2">
        <v>37</v>
      </c>
      <c r="C159" s="2"/>
      <c r="D159" s="99" t="s">
        <v>233</v>
      </c>
      <c r="E159" s="20"/>
      <c r="F159" s="20"/>
      <c r="G159" s="20" t="str">
        <f t="shared" si="41"/>
        <v>4 - GAT</v>
      </c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BZ159">
        <f t="shared" si="43"/>
        <v>3</v>
      </c>
    </row>
    <row r="160" spans="1:78" ht="15" x14ac:dyDescent="0.2">
      <c r="A160" s="2" t="s">
        <v>106</v>
      </c>
      <c r="B160" s="2">
        <v>38</v>
      </c>
      <c r="C160" s="2"/>
      <c r="D160" s="99" t="s">
        <v>232</v>
      </c>
      <c r="E160" s="20"/>
      <c r="F160" s="20"/>
      <c r="G160" s="20" t="str">
        <f t="shared" si="41"/>
        <v>4 - GAT</v>
      </c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</row>
    <row r="161" spans="1:78" ht="15" x14ac:dyDescent="0.2">
      <c r="A161" s="2" t="s">
        <v>106</v>
      </c>
      <c r="B161" s="2">
        <v>39</v>
      </c>
      <c r="C161" s="2"/>
      <c r="D161" s="99" t="s">
        <v>234</v>
      </c>
      <c r="E161" s="20"/>
      <c r="F161" s="20"/>
      <c r="G161" s="20" t="str">
        <f t="shared" si="41"/>
        <v>4 - GAT</v>
      </c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</row>
    <row r="162" spans="1:78" ht="15.75" thickBot="1" x14ac:dyDescent="0.25">
      <c r="A162" s="2" t="s">
        <v>106</v>
      </c>
      <c r="B162" s="2">
        <v>40</v>
      </c>
      <c r="C162" s="2"/>
      <c r="D162" s="100" t="s">
        <v>211</v>
      </c>
      <c r="E162" s="20"/>
      <c r="F162" s="20"/>
      <c r="G162" s="20" t="str">
        <f t="shared" si="41"/>
        <v>4 - GAT</v>
      </c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BZ162">
        <f t="shared" si="43"/>
        <v>3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59A5-63B6-4C96-8A67-35927BCAC5DB}">
  <sheetPr>
    <tabColor rgb="FFFF0000"/>
  </sheetPr>
  <dimension ref="A1:B48"/>
  <sheetViews>
    <sheetView topLeftCell="A43" workbookViewId="0"/>
  </sheetViews>
  <sheetFormatPr defaultRowHeight="12.75" x14ac:dyDescent="0.2"/>
  <cols>
    <col min="1" max="1" width="54" bestFit="1" customWidth="1"/>
  </cols>
  <sheetData>
    <row r="1" spans="1:2" ht="14.25" x14ac:dyDescent="0.2">
      <c r="A1" s="287" t="s">
        <v>324</v>
      </c>
      <c r="B1" t="s">
        <v>388</v>
      </c>
    </row>
    <row r="2" spans="1:2" x14ac:dyDescent="0.2">
      <c r="A2" s="251" t="s">
        <v>325</v>
      </c>
      <c r="B2" t="s">
        <v>389</v>
      </c>
    </row>
    <row r="3" spans="1:2" x14ac:dyDescent="0.2">
      <c r="A3" s="258" t="s">
        <v>326</v>
      </c>
      <c r="B3" t="s">
        <v>390</v>
      </c>
    </row>
    <row r="4" spans="1:2" x14ac:dyDescent="0.2">
      <c r="A4" s="258" t="s">
        <v>327</v>
      </c>
      <c r="B4" t="s">
        <v>391</v>
      </c>
    </row>
    <row r="5" spans="1:2" x14ac:dyDescent="0.2">
      <c r="A5" s="246" t="s">
        <v>328</v>
      </c>
      <c r="B5" t="s">
        <v>392</v>
      </c>
    </row>
    <row r="6" spans="1:2" x14ac:dyDescent="0.2">
      <c r="A6" s="246" t="s">
        <v>329</v>
      </c>
      <c r="B6" t="s">
        <v>393</v>
      </c>
    </row>
    <row r="7" spans="1:2" x14ac:dyDescent="0.2">
      <c r="A7" s="246" t="s">
        <v>330</v>
      </c>
      <c r="B7" t="s">
        <v>388</v>
      </c>
    </row>
    <row r="8" spans="1:2" x14ac:dyDescent="0.2">
      <c r="A8" s="246" t="s">
        <v>331</v>
      </c>
      <c r="B8" t="s">
        <v>389</v>
      </c>
    </row>
    <row r="9" spans="1:2" x14ac:dyDescent="0.2">
      <c r="A9" s="261" t="s">
        <v>332</v>
      </c>
      <c r="B9" t="s">
        <v>390</v>
      </c>
    </row>
    <row r="10" spans="1:2" ht="14.25" x14ac:dyDescent="0.2">
      <c r="A10" s="288" t="s">
        <v>333</v>
      </c>
      <c r="B10" t="s">
        <v>391</v>
      </c>
    </row>
    <row r="11" spans="1:2" x14ac:dyDescent="0.2">
      <c r="A11" s="246" t="s">
        <v>334</v>
      </c>
      <c r="B11" t="s">
        <v>392</v>
      </c>
    </row>
    <row r="12" spans="1:2" x14ac:dyDescent="0.2">
      <c r="A12" s="246" t="s">
        <v>335</v>
      </c>
      <c r="B12" t="s">
        <v>393</v>
      </c>
    </row>
    <row r="13" spans="1:2" x14ac:dyDescent="0.2">
      <c r="A13" s="246" t="s">
        <v>336</v>
      </c>
      <c r="B13" t="s">
        <v>388</v>
      </c>
    </row>
    <row r="14" spans="1:2" x14ac:dyDescent="0.2">
      <c r="A14" s="246" t="s">
        <v>337</v>
      </c>
      <c r="B14" t="s">
        <v>389</v>
      </c>
    </row>
    <row r="15" spans="1:2" ht="14.25" x14ac:dyDescent="0.2">
      <c r="A15" s="248" t="s">
        <v>338</v>
      </c>
      <c r="B15" t="s">
        <v>390</v>
      </c>
    </row>
    <row r="16" spans="1:2" x14ac:dyDescent="0.2">
      <c r="A16" s="245" t="s">
        <v>340</v>
      </c>
      <c r="B16" t="s">
        <v>391</v>
      </c>
    </row>
    <row r="17" spans="1:2" x14ac:dyDescent="0.2">
      <c r="A17" s="245" t="s">
        <v>341</v>
      </c>
      <c r="B17" t="s">
        <v>392</v>
      </c>
    </row>
    <row r="18" spans="1:2" x14ac:dyDescent="0.2">
      <c r="A18" s="245" t="s">
        <v>342</v>
      </c>
      <c r="B18" t="s">
        <v>393</v>
      </c>
    </row>
    <row r="19" spans="1:2" x14ac:dyDescent="0.2">
      <c r="A19" s="245" t="s">
        <v>343</v>
      </c>
      <c r="B19" t="s">
        <v>388</v>
      </c>
    </row>
    <row r="20" spans="1:2" x14ac:dyDescent="0.2">
      <c r="A20" s="245" t="s">
        <v>344</v>
      </c>
      <c r="B20" t="s">
        <v>389</v>
      </c>
    </row>
    <row r="21" spans="1:2" ht="14.25" x14ac:dyDescent="0.2">
      <c r="A21" s="286" t="s">
        <v>345</v>
      </c>
      <c r="B21" t="s">
        <v>390</v>
      </c>
    </row>
    <row r="22" spans="1:2" ht="14.25" x14ac:dyDescent="0.2">
      <c r="A22" s="248" t="s">
        <v>346</v>
      </c>
      <c r="B22" t="s">
        <v>391</v>
      </c>
    </row>
    <row r="23" spans="1:2" x14ac:dyDescent="0.2">
      <c r="A23" s="258" t="s">
        <v>347</v>
      </c>
      <c r="B23" t="s">
        <v>392</v>
      </c>
    </row>
    <row r="24" spans="1:2" x14ac:dyDescent="0.2">
      <c r="A24" s="245" t="s">
        <v>349</v>
      </c>
      <c r="B24" t="s">
        <v>393</v>
      </c>
    </row>
    <row r="25" spans="1:2" x14ac:dyDescent="0.2">
      <c r="A25" s="245" t="s">
        <v>350</v>
      </c>
      <c r="B25" t="s">
        <v>388</v>
      </c>
    </row>
    <row r="26" spans="1:2" x14ac:dyDescent="0.2">
      <c r="A26" s="245" t="s">
        <v>351</v>
      </c>
      <c r="B26" t="s">
        <v>389</v>
      </c>
    </row>
    <row r="27" spans="1:2" x14ac:dyDescent="0.2">
      <c r="A27" s="245" t="s">
        <v>352</v>
      </c>
      <c r="B27" t="s">
        <v>390</v>
      </c>
    </row>
    <row r="28" spans="1:2" x14ac:dyDescent="0.2">
      <c r="A28" s="245" t="s">
        <v>353</v>
      </c>
      <c r="B28" t="s">
        <v>391</v>
      </c>
    </row>
    <row r="29" spans="1:2" x14ac:dyDescent="0.2">
      <c r="A29" s="245" t="s">
        <v>354</v>
      </c>
      <c r="B29" t="s">
        <v>392</v>
      </c>
    </row>
    <row r="30" spans="1:2" x14ac:dyDescent="0.2">
      <c r="A30" s="258" t="s">
        <v>355</v>
      </c>
      <c r="B30" t="s">
        <v>393</v>
      </c>
    </row>
    <row r="31" spans="1:2" x14ac:dyDescent="0.2">
      <c r="A31" s="258" t="s">
        <v>356</v>
      </c>
      <c r="B31" t="s">
        <v>388</v>
      </c>
    </row>
    <row r="32" spans="1:2" x14ac:dyDescent="0.2">
      <c r="A32" s="258" t="s">
        <v>357</v>
      </c>
      <c r="B32" t="s">
        <v>389</v>
      </c>
    </row>
    <row r="33" spans="1:2" ht="14.25" x14ac:dyDescent="0.2">
      <c r="A33" s="287" t="s">
        <v>358</v>
      </c>
      <c r="B33" t="s">
        <v>390</v>
      </c>
    </row>
    <row r="34" spans="1:2" x14ac:dyDescent="0.2">
      <c r="A34" s="258" t="s">
        <v>362</v>
      </c>
      <c r="B34" t="s">
        <v>391</v>
      </c>
    </row>
    <row r="35" spans="1:2" x14ac:dyDescent="0.2">
      <c r="A35" s="246" t="s">
        <v>359</v>
      </c>
      <c r="B35" t="s">
        <v>392</v>
      </c>
    </row>
    <row r="36" spans="1:2" x14ac:dyDescent="0.2">
      <c r="A36" s="246" t="s">
        <v>360</v>
      </c>
      <c r="B36" t="s">
        <v>393</v>
      </c>
    </row>
    <row r="37" spans="1:2" x14ac:dyDescent="0.2">
      <c r="A37" s="253" t="s">
        <v>361</v>
      </c>
      <c r="B37" t="s">
        <v>388</v>
      </c>
    </row>
    <row r="38" spans="1:2" x14ac:dyDescent="0.2">
      <c r="A38" s="258" t="s">
        <v>363</v>
      </c>
      <c r="B38" t="s">
        <v>389</v>
      </c>
    </row>
    <row r="39" spans="1:2" x14ac:dyDescent="0.2">
      <c r="A39" s="258" t="s">
        <v>364</v>
      </c>
      <c r="B39" t="s">
        <v>390</v>
      </c>
    </row>
    <row r="40" spans="1:2" ht="14.25" x14ac:dyDescent="0.2">
      <c r="A40" s="287" t="s">
        <v>365</v>
      </c>
      <c r="B40" t="s">
        <v>391</v>
      </c>
    </row>
    <row r="41" spans="1:2" ht="14.25" x14ac:dyDescent="0.2">
      <c r="A41" s="248" t="s">
        <v>36</v>
      </c>
      <c r="B41" t="s">
        <v>392</v>
      </c>
    </row>
    <row r="42" spans="1:2" ht="14.25" x14ac:dyDescent="0.2">
      <c r="A42" s="287" t="s">
        <v>366</v>
      </c>
      <c r="B42" t="s">
        <v>393</v>
      </c>
    </row>
    <row r="43" spans="1:2" ht="14.25" x14ac:dyDescent="0.2">
      <c r="A43" s="287" t="s">
        <v>367</v>
      </c>
      <c r="B43" t="s">
        <v>388</v>
      </c>
    </row>
    <row r="44" spans="1:2" ht="14.25" x14ac:dyDescent="0.2">
      <c r="A44" s="255" t="s">
        <v>368</v>
      </c>
      <c r="B44" t="s">
        <v>389</v>
      </c>
    </row>
    <row r="45" spans="1:2" ht="15" x14ac:dyDescent="0.2">
      <c r="A45" s="254" t="s">
        <v>370</v>
      </c>
      <c r="B45" t="s">
        <v>390</v>
      </c>
    </row>
    <row r="46" spans="1:2" ht="15" x14ac:dyDescent="0.2">
      <c r="A46" s="254" t="s">
        <v>371</v>
      </c>
      <c r="B46" t="s">
        <v>391</v>
      </c>
    </row>
    <row r="47" spans="1:2" ht="15" x14ac:dyDescent="0.2">
      <c r="A47" s="254" t="s">
        <v>372</v>
      </c>
      <c r="B47" t="s">
        <v>392</v>
      </c>
    </row>
    <row r="48" spans="1:2" ht="15" x14ac:dyDescent="0.2">
      <c r="A48" s="254" t="s">
        <v>373</v>
      </c>
      <c r="B48" t="s">
        <v>393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700F-54B9-4360-88C9-37545B9016C6}">
  <sheetPr>
    <tabColor rgb="FFFF0000"/>
  </sheetPr>
  <dimension ref="A1:I65"/>
  <sheetViews>
    <sheetView workbookViewId="0">
      <selection activeCell="D38" sqref="D38"/>
    </sheetView>
  </sheetViews>
  <sheetFormatPr defaultRowHeight="12.75" x14ac:dyDescent="0.2"/>
  <cols>
    <col min="2" max="2" width="54" bestFit="1" customWidth="1"/>
    <col min="3" max="3" width="17.85546875" bestFit="1" customWidth="1"/>
    <col min="4" max="4" width="15.140625" bestFit="1" customWidth="1"/>
    <col min="5" max="5" width="17.85546875" bestFit="1" customWidth="1"/>
    <col min="6" max="6" width="14.85546875" bestFit="1" customWidth="1"/>
    <col min="7" max="7" width="20.5703125" bestFit="1" customWidth="1"/>
    <col min="8" max="8" width="23.140625" bestFit="1" customWidth="1"/>
    <col min="9" max="9" width="12.85546875" bestFit="1" customWidth="1"/>
  </cols>
  <sheetData>
    <row r="1" spans="1:9" ht="15.75" x14ac:dyDescent="0.2">
      <c r="B1" s="500" t="s">
        <v>375</v>
      </c>
      <c r="C1" s="501"/>
      <c r="D1" s="501"/>
      <c r="E1" s="501"/>
      <c r="F1" s="289"/>
      <c r="G1" s="285">
        <v>45502</v>
      </c>
      <c r="H1" s="292"/>
      <c r="I1" s="289"/>
    </row>
    <row r="2" spans="1:9" ht="13.5" thickBot="1" x14ac:dyDescent="0.25">
      <c r="B2" s="277"/>
      <c r="C2" s="264"/>
      <c r="D2" s="291"/>
      <c r="E2" s="264"/>
      <c r="F2" s="291"/>
      <c r="G2" s="264"/>
      <c r="H2" s="291"/>
      <c r="I2" s="291"/>
    </row>
    <row r="3" spans="1:9" ht="18" x14ac:dyDescent="0.2">
      <c r="B3" s="502" t="s">
        <v>376</v>
      </c>
      <c r="C3" s="503"/>
      <c r="D3" s="503"/>
      <c r="E3" s="504"/>
      <c r="F3" s="290"/>
      <c r="G3" s="276"/>
      <c r="H3" s="315"/>
      <c r="I3" s="316"/>
    </row>
    <row r="4" spans="1:9" ht="18.75" thickBot="1" x14ac:dyDescent="0.3">
      <c r="B4" s="505"/>
      <c r="C4" s="506"/>
      <c r="D4" s="506"/>
      <c r="E4" s="507"/>
      <c r="F4" s="290"/>
      <c r="G4" s="244"/>
      <c r="H4" s="244"/>
      <c r="I4" s="290"/>
    </row>
    <row r="5" spans="1:9" ht="15" x14ac:dyDescent="0.25">
      <c r="B5" s="278"/>
      <c r="C5" s="265"/>
      <c r="D5" s="292"/>
      <c r="E5" s="265"/>
      <c r="F5" s="292"/>
      <c r="G5" s="265"/>
      <c r="H5" s="292"/>
      <c r="I5" s="244"/>
    </row>
    <row r="6" spans="1:9" ht="15" x14ac:dyDescent="0.2">
      <c r="B6" s="247" t="s">
        <v>377</v>
      </c>
      <c r="C6" s="322">
        <v>45413</v>
      </c>
      <c r="D6" s="323" t="s">
        <v>378</v>
      </c>
      <c r="E6" s="322">
        <v>45444</v>
      </c>
      <c r="F6" s="323" t="s">
        <v>379</v>
      </c>
      <c r="G6" s="322" t="s">
        <v>380</v>
      </c>
      <c r="H6" s="323" t="s">
        <v>381</v>
      </c>
      <c r="I6" s="323" t="s">
        <v>382</v>
      </c>
    </row>
    <row r="7" spans="1:9" x14ac:dyDescent="0.2">
      <c r="B7" s="249"/>
      <c r="C7" s="256"/>
      <c r="D7" s="292"/>
      <c r="E7" s="256"/>
      <c r="F7" s="292"/>
      <c r="G7" s="256"/>
      <c r="H7" s="292"/>
      <c r="I7" s="292">
        <v>0.11093903680898465</v>
      </c>
    </row>
    <row r="8" spans="1:9" ht="14.25" x14ac:dyDescent="0.2">
      <c r="A8" t="s">
        <v>75</v>
      </c>
      <c r="B8" s="287" t="s">
        <v>324</v>
      </c>
      <c r="C8" s="266">
        <v>3629988.73</v>
      </c>
      <c r="D8" s="295"/>
      <c r="E8" s="266">
        <v>4068124.12</v>
      </c>
      <c r="F8" s="295"/>
      <c r="G8" s="270">
        <v>7698112.8499999996</v>
      </c>
      <c r="H8" s="307"/>
      <c r="I8" s="295">
        <v>0.12069882927708164</v>
      </c>
    </row>
    <row r="9" spans="1:9" x14ac:dyDescent="0.2">
      <c r="A9">
        <v>1</v>
      </c>
      <c r="B9" s="251" t="s">
        <v>325</v>
      </c>
      <c r="C9" s="263">
        <v>-209321.72</v>
      </c>
      <c r="D9" s="296">
        <v>1</v>
      </c>
      <c r="E9" s="263">
        <v>-232543.66999999998</v>
      </c>
      <c r="F9" s="296">
        <v>1</v>
      </c>
      <c r="G9" s="263">
        <v>-441865.39</v>
      </c>
      <c r="H9" s="296">
        <v>1</v>
      </c>
      <c r="I9" s="296">
        <v>0.11093903680898465</v>
      </c>
    </row>
    <row r="10" spans="1:9" x14ac:dyDescent="0.2">
      <c r="A10">
        <v>2</v>
      </c>
      <c r="B10" s="258" t="s">
        <v>326</v>
      </c>
      <c r="C10" s="263">
        <v>-165768.84</v>
      </c>
      <c r="D10" s="296">
        <v>0.79193329770078325</v>
      </c>
      <c r="E10" s="263">
        <v>-200839.05</v>
      </c>
      <c r="F10" s="296">
        <v>0.86366165116427385</v>
      </c>
      <c r="G10" s="263">
        <v>-366607.89</v>
      </c>
      <c r="H10" s="296">
        <v>0.82968229306214725</v>
      </c>
      <c r="I10" s="296">
        <v>0.21156093026892142</v>
      </c>
    </row>
    <row r="11" spans="1:9" x14ac:dyDescent="0.2">
      <c r="A11">
        <v>3</v>
      </c>
      <c r="B11" s="258" t="s">
        <v>327</v>
      </c>
      <c r="C11" s="263">
        <v>-43552.88</v>
      </c>
      <c r="D11" s="296">
        <v>0.20806670229921675</v>
      </c>
      <c r="E11" s="263">
        <v>-31704.62</v>
      </c>
      <c r="F11" s="296">
        <v>0.13633834883572621</v>
      </c>
      <c r="G11" s="263">
        <v>-75257.5</v>
      </c>
      <c r="H11" s="296">
        <v>0.17031770693785273</v>
      </c>
      <c r="I11" s="305">
        <v>-0.27204308876933048</v>
      </c>
    </row>
    <row r="12" spans="1:9" x14ac:dyDescent="0.2">
      <c r="A12">
        <v>4</v>
      </c>
      <c r="B12" s="246" t="s">
        <v>328</v>
      </c>
      <c r="C12" s="257">
        <v>-2474.79</v>
      </c>
      <c r="D12" s="297">
        <v>1.1822901130374812E-2</v>
      </c>
      <c r="E12" s="257">
        <v>0</v>
      </c>
      <c r="F12" s="297">
        <v>0</v>
      </c>
      <c r="G12" s="257">
        <v>-2474.79</v>
      </c>
      <c r="H12" s="297">
        <v>5.6007781012221841E-3</v>
      </c>
      <c r="I12" s="313">
        <v>-1</v>
      </c>
    </row>
    <row r="13" spans="1:9" x14ac:dyDescent="0.2">
      <c r="A13">
        <v>5</v>
      </c>
      <c r="B13" s="246" t="s">
        <v>329</v>
      </c>
      <c r="C13" s="257">
        <v>-31292.27</v>
      </c>
      <c r="D13" s="297">
        <v>0.14949365980749632</v>
      </c>
      <c r="E13" s="257">
        <v>-31704.62</v>
      </c>
      <c r="F13" s="297">
        <v>0.13633834883572621</v>
      </c>
      <c r="G13" s="257">
        <v>-62996.89</v>
      </c>
      <c r="H13" s="297">
        <v>0.14257031988859775</v>
      </c>
      <c r="I13" s="297">
        <v>1.3177375754459542E-2</v>
      </c>
    </row>
    <row r="14" spans="1:9" x14ac:dyDescent="0.2">
      <c r="A14">
        <v>6</v>
      </c>
      <c r="B14" s="246" t="s">
        <v>330</v>
      </c>
      <c r="C14" s="257">
        <v>-9780.2000000000007</v>
      </c>
      <c r="D14" s="297">
        <v>4.6723292738087577E-2</v>
      </c>
      <c r="E14" s="257">
        <v>0</v>
      </c>
      <c r="F14" s="297">
        <v>0</v>
      </c>
      <c r="G14" s="257">
        <v>-9780.2000000000007</v>
      </c>
      <c r="H14" s="297">
        <v>2.2133890142425502E-2</v>
      </c>
      <c r="I14" s="313">
        <v>-1</v>
      </c>
    </row>
    <row r="15" spans="1:9" x14ac:dyDescent="0.2">
      <c r="A15">
        <v>7</v>
      </c>
      <c r="B15" s="246" t="s">
        <v>331</v>
      </c>
      <c r="C15" s="257">
        <v>-5.62</v>
      </c>
      <c r="D15" s="297">
        <v>2.6848623258016416E-5</v>
      </c>
      <c r="E15" s="257">
        <v>0</v>
      </c>
      <c r="F15" s="297">
        <v>0</v>
      </c>
      <c r="G15" s="257">
        <v>-5.62</v>
      </c>
      <c r="H15" s="297">
        <v>1.2718805607291396E-5</v>
      </c>
      <c r="I15" s="313">
        <v>-1</v>
      </c>
    </row>
    <row r="16" spans="1:9" ht="15" x14ac:dyDescent="0.25">
      <c r="A16">
        <v>8</v>
      </c>
      <c r="B16" s="261" t="s">
        <v>332</v>
      </c>
      <c r="C16" s="267"/>
      <c r="D16" s="298"/>
      <c r="E16" s="244"/>
      <c r="F16" s="298"/>
      <c r="G16" s="244"/>
      <c r="H16" s="244"/>
      <c r="I16" s="298"/>
    </row>
    <row r="17" spans="1:9" ht="15" x14ac:dyDescent="0.2">
      <c r="A17">
        <v>9</v>
      </c>
      <c r="B17" s="288" t="s">
        <v>333</v>
      </c>
      <c r="C17" s="281">
        <v>3420667.01</v>
      </c>
      <c r="D17" s="293">
        <v>1</v>
      </c>
      <c r="E17" s="281">
        <v>3835580.45</v>
      </c>
      <c r="F17" s="293">
        <v>0.99999999999999989</v>
      </c>
      <c r="G17" s="281">
        <v>7256247.46</v>
      </c>
      <c r="H17" s="293">
        <v>0.99999999999999989</v>
      </c>
      <c r="I17" s="310">
        <v>0.12129606266469084</v>
      </c>
    </row>
    <row r="18" spans="1:9" ht="15" x14ac:dyDescent="0.25">
      <c r="A18">
        <v>10</v>
      </c>
      <c r="B18" s="246" t="s">
        <v>334</v>
      </c>
      <c r="C18" s="256">
        <v>3298094.0599999996</v>
      </c>
      <c r="D18" s="292">
        <v>0.96416694473865194</v>
      </c>
      <c r="E18" s="256">
        <v>3630920.75</v>
      </c>
      <c r="F18" s="292">
        <v>0.94664179185708375</v>
      </c>
      <c r="G18" s="269">
        <v>6929014.8099999996</v>
      </c>
      <c r="H18" s="308">
        <v>0.9549033227155127</v>
      </c>
      <c r="I18" s="292">
        <v>0.10091485686736301</v>
      </c>
    </row>
    <row r="19" spans="1:9" ht="15" x14ac:dyDescent="0.25">
      <c r="A19">
        <v>11</v>
      </c>
      <c r="B19" s="246" t="s">
        <v>335</v>
      </c>
      <c r="C19" s="256">
        <v>112128.08</v>
      </c>
      <c r="D19" s="292">
        <v>3.2779595228709504E-2</v>
      </c>
      <c r="E19" s="256">
        <v>187391.46</v>
      </c>
      <c r="F19" s="292">
        <v>4.8856089043836891E-2</v>
      </c>
      <c r="G19" s="256">
        <v>299519.53999999998</v>
      </c>
      <c r="H19" s="308">
        <v>4.1277470435111097E-2</v>
      </c>
      <c r="I19" s="292">
        <v>0.67122686841690316</v>
      </c>
    </row>
    <row r="20" spans="1:9" ht="15" x14ac:dyDescent="0.25">
      <c r="A20">
        <v>12</v>
      </c>
      <c r="B20" s="246" t="s">
        <v>336</v>
      </c>
      <c r="C20" s="256">
        <v>6500</v>
      </c>
      <c r="D20" s="292">
        <v>1.9002141924361121E-3</v>
      </c>
      <c r="E20" s="256">
        <v>4800</v>
      </c>
      <c r="F20" s="292">
        <v>1.2514403132907824E-3</v>
      </c>
      <c r="G20" s="256">
        <v>11300</v>
      </c>
      <c r="H20" s="308">
        <v>1.5572787535556292E-3</v>
      </c>
      <c r="I20" s="297">
        <v>-0.2615384615384615</v>
      </c>
    </row>
    <row r="21" spans="1:9" ht="15" x14ac:dyDescent="0.25">
      <c r="A21">
        <v>13</v>
      </c>
      <c r="B21" s="246" t="s">
        <v>337</v>
      </c>
      <c r="C21" s="256">
        <v>3944.87</v>
      </c>
      <c r="D21" s="292">
        <v>1.1532458402023762E-3</v>
      </c>
      <c r="E21" s="256">
        <v>12468.24</v>
      </c>
      <c r="F21" s="292">
        <v>3.2506787857884715E-3</v>
      </c>
      <c r="G21" s="256">
        <v>16413.11</v>
      </c>
      <c r="H21" s="308">
        <v>2.2619280958204807E-3</v>
      </c>
      <c r="I21" s="292">
        <v>2.1606212625511105</v>
      </c>
    </row>
    <row r="22" spans="1:9" ht="14.25" x14ac:dyDescent="0.2">
      <c r="A22">
        <v>14</v>
      </c>
      <c r="B22" s="248" t="s">
        <v>338</v>
      </c>
      <c r="C22" s="272">
        <v>-1563043.79</v>
      </c>
      <c r="D22" s="312">
        <v>1</v>
      </c>
      <c r="E22" s="272">
        <v>-1564313.0899999999</v>
      </c>
      <c r="F22" s="312">
        <v>1.0000000000000002</v>
      </c>
      <c r="G22" s="272">
        <v>-3127356.88</v>
      </c>
      <c r="H22" s="317">
        <v>1</v>
      </c>
      <c r="I22" s="296">
        <v>8.1206937906697085E-4</v>
      </c>
    </row>
    <row r="23" spans="1:9" x14ac:dyDescent="0.2">
      <c r="A23">
        <v>15</v>
      </c>
      <c r="B23" s="245" t="s">
        <v>340</v>
      </c>
      <c r="C23" s="279">
        <v>-66525.600000000006</v>
      </c>
      <c r="D23" s="311">
        <v>4.25615714835475E-2</v>
      </c>
      <c r="E23" s="257">
        <v>-43713.2</v>
      </c>
      <c r="F23" s="311">
        <v>2.7944022382373597E-2</v>
      </c>
      <c r="G23" s="257">
        <v>-110238.8</v>
      </c>
      <c r="H23" s="311">
        <v>3.524983052142102E-2</v>
      </c>
      <c r="I23" s="313">
        <v>-0.3429116009476052</v>
      </c>
    </row>
    <row r="24" spans="1:9" x14ac:dyDescent="0.2">
      <c r="A24">
        <v>16</v>
      </c>
      <c r="B24" s="245" t="s">
        <v>341</v>
      </c>
      <c r="C24" s="252">
        <v>-138202.63</v>
      </c>
      <c r="D24" s="311">
        <v>8.8418911155393798E-2</v>
      </c>
      <c r="E24" s="257">
        <v>-165444.51</v>
      </c>
      <c r="F24" s="311">
        <v>0.10576176281948776</v>
      </c>
      <c r="G24" s="257">
        <v>-303647.14</v>
      </c>
      <c r="H24" s="311">
        <v>9.7093856458109126E-2</v>
      </c>
      <c r="I24" s="297">
        <v>0.19711549628252367</v>
      </c>
    </row>
    <row r="25" spans="1:9" x14ac:dyDescent="0.2">
      <c r="A25">
        <v>17</v>
      </c>
      <c r="B25" s="245" t="s">
        <v>342</v>
      </c>
      <c r="C25" s="252">
        <v>-1261402.48</v>
      </c>
      <c r="D25" s="311">
        <v>0.80701672472016917</v>
      </c>
      <c r="E25" s="257">
        <v>-1319561.24</v>
      </c>
      <c r="F25" s="311">
        <v>0.84354036825198475</v>
      </c>
      <c r="G25" s="257">
        <v>-2580963.7199999997</v>
      </c>
      <c r="H25" s="311">
        <v>0.82528595840970986</v>
      </c>
      <c r="I25" s="297">
        <v>4.610642592045644E-2</v>
      </c>
    </row>
    <row r="26" spans="1:9" x14ac:dyDescent="0.2">
      <c r="A26">
        <v>18</v>
      </c>
      <c r="B26" s="245" t="s">
        <v>343</v>
      </c>
      <c r="C26" s="252">
        <v>-20420.989999999998</v>
      </c>
      <c r="D26" s="311">
        <v>1.306488668497253E-2</v>
      </c>
      <c r="E26" s="257">
        <v>-35594.14</v>
      </c>
      <c r="F26" s="311">
        <v>2.2753846546154009E-2</v>
      </c>
      <c r="G26" s="257">
        <v>-56015.13</v>
      </c>
      <c r="H26" s="311">
        <v>1.7911332844110839E-2</v>
      </c>
      <c r="I26" s="297">
        <v>0.74301735616147901</v>
      </c>
    </row>
    <row r="27" spans="1:9" x14ac:dyDescent="0.2">
      <c r="A27">
        <v>19</v>
      </c>
      <c r="B27" s="245" t="s">
        <v>344</v>
      </c>
      <c r="C27" s="252">
        <v>-76492.09</v>
      </c>
      <c r="D27" s="311">
        <v>4.8937905955916947E-2</v>
      </c>
      <c r="E27" s="284">
        <v>0</v>
      </c>
      <c r="F27" s="311">
        <v>0</v>
      </c>
      <c r="G27" s="257">
        <v>-76492.09</v>
      </c>
      <c r="H27" s="311">
        <v>2.4459021766649158E-2</v>
      </c>
      <c r="I27" s="313">
        <v>-1</v>
      </c>
    </row>
    <row r="28" spans="1:9" ht="14.25" x14ac:dyDescent="0.2">
      <c r="A28">
        <v>20</v>
      </c>
      <c r="B28" s="286" t="s">
        <v>345</v>
      </c>
      <c r="C28" s="324">
        <v>1857623.2199999997</v>
      </c>
      <c r="D28" s="325">
        <v>0.5117435226858128</v>
      </c>
      <c r="E28" s="324">
        <v>2271267.3600000003</v>
      </c>
      <c r="F28" s="325">
        <v>0.5583082750189049</v>
      </c>
      <c r="G28" s="324">
        <v>4128890.58</v>
      </c>
      <c r="H28" s="325"/>
      <c r="I28" s="325"/>
    </row>
    <row r="29" spans="1:9" ht="14.25" x14ac:dyDescent="0.2">
      <c r="A29">
        <v>21</v>
      </c>
      <c r="B29" s="248" t="s">
        <v>346</v>
      </c>
      <c r="C29" s="272">
        <v>-594460.91</v>
      </c>
      <c r="D29" s="312">
        <v>1</v>
      </c>
      <c r="E29" s="272">
        <v>-646297.59</v>
      </c>
      <c r="F29" s="312">
        <v>1</v>
      </c>
      <c r="G29" s="272">
        <v>-1240758.5</v>
      </c>
      <c r="H29" s="317">
        <v>1</v>
      </c>
      <c r="I29" s="297">
        <v>8.7199476244787855E-2</v>
      </c>
    </row>
    <row r="30" spans="1:9" x14ac:dyDescent="0.2">
      <c r="A30">
        <v>22</v>
      </c>
      <c r="B30" s="258" t="s">
        <v>347</v>
      </c>
      <c r="C30" s="259">
        <v>-159350.01999999999</v>
      </c>
      <c r="D30" s="301">
        <v>0.2680580292487188</v>
      </c>
      <c r="E30" s="259">
        <v>-152360.52000000002</v>
      </c>
      <c r="F30" s="301">
        <v>0.23574359916768375</v>
      </c>
      <c r="G30" s="263">
        <v>-311710.54000000004</v>
      </c>
      <c r="H30" s="296">
        <v>0.25122579454422439</v>
      </c>
      <c r="I30" s="313">
        <v>-4.3862561171940651E-2</v>
      </c>
    </row>
    <row r="31" spans="1:9" x14ac:dyDescent="0.2">
      <c r="A31">
        <v>23</v>
      </c>
      <c r="B31" s="245" t="s">
        <v>349</v>
      </c>
      <c r="C31" s="252">
        <v>-28028.559999999998</v>
      </c>
      <c r="D31" s="300">
        <v>4.7149542599865812E-2</v>
      </c>
      <c r="E31" s="271">
        <v>-8354.27</v>
      </c>
      <c r="F31" s="300">
        <v>1.2926351775503296E-2</v>
      </c>
      <c r="G31" s="257">
        <v>-36382.83</v>
      </c>
      <c r="H31" s="297">
        <v>2.9323055211791821E-2</v>
      </c>
      <c r="I31" s="313">
        <v>-0.70193723830264554</v>
      </c>
    </row>
    <row r="32" spans="1:9" x14ac:dyDescent="0.2">
      <c r="A32">
        <v>24</v>
      </c>
      <c r="B32" s="245" t="s">
        <v>350</v>
      </c>
      <c r="C32" s="252">
        <v>-11955.59</v>
      </c>
      <c r="D32" s="300">
        <v>2.0111650402715293E-2</v>
      </c>
      <c r="E32" s="257">
        <v>-13545.1</v>
      </c>
      <c r="F32" s="300">
        <v>2.0957992431938358E-2</v>
      </c>
      <c r="G32" s="257">
        <v>-25500.690000000002</v>
      </c>
      <c r="H32" s="297">
        <v>2.0552500748534062E-2</v>
      </c>
      <c r="I32" s="297">
        <v>0.13295119688781565</v>
      </c>
    </row>
    <row r="33" spans="1:9" x14ac:dyDescent="0.2">
      <c r="A33">
        <v>25</v>
      </c>
      <c r="B33" s="245" t="s">
        <v>351</v>
      </c>
      <c r="C33" s="252">
        <v>-57562.549999999996</v>
      </c>
      <c r="D33" s="300">
        <v>9.6831514119237863E-2</v>
      </c>
      <c r="E33" s="257">
        <v>-66297.600000000006</v>
      </c>
      <c r="F33" s="300">
        <v>0.1025806084160085</v>
      </c>
      <c r="G33" s="257">
        <v>-123860.15</v>
      </c>
      <c r="H33" s="297">
        <v>9.9826154727128608E-2</v>
      </c>
      <c r="I33" s="297">
        <v>0.15174883670025063</v>
      </c>
    </row>
    <row r="34" spans="1:9" x14ac:dyDescent="0.2">
      <c r="A34">
        <v>26</v>
      </c>
      <c r="B34" s="245" t="s">
        <v>352</v>
      </c>
      <c r="C34" s="252">
        <v>-7231.5300000000007</v>
      </c>
      <c r="D34" s="300">
        <v>1.2164853699127164E-2</v>
      </c>
      <c r="E34" s="257">
        <v>-5268.5</v>
      </c>
      <c r="F34" s="300">
        <v>8.1518174932386795E-3</v>
      </c>
      <c r="G34" s="257">
        <v>-12500.03</v>
      </c>
      <c r="H34" s="297">
        <v>1.0074506843999055E-2</v>
      </c>
      <c r="I34" s="313">
        <v>-0.27145431188144142</v>
      </c>
    </row>
    <row r="35" spans="1:9" x14ac:dyDescent="0.2">
      <c r="A35">
        <v>27</v>
      </c>
      <c r="B35" s="245" t="s">
        <v>353</v>
      </c>
      <c r="C35" s="252">
        <v>-37496.6</v>
      </c>
      <c r="D35" s="300">
        <v>6.3076645359238168E-2</v>
      </c>
      <c r="E35" s="257">
        <v>-40796.76</v>
      </c>
      <c r="F35" s="300">
        <v>6.3123800291441601E-2</v>
      </c>
      <c r="G35" s="257">
        <v>-78293.36</v>
      </c>
      <c r="H35" s="297">
        <v>6.3101207849875704E-2</v>
      </c>
      <c r="I35" s="297">
        <v>8.8012246443677666E-2</v>
      </c>
    </row>
    <row r="36" spans="1:9" x14ac:dyDescent="0.2">
      <c r="A36">
        <v>28</v>
      </c>
      <c r="B36" s="245" t="s">
        <v>354</v>
      </c>
      <c r="C36" s="252">
        <v>-17075.189999999999</v>
      </c>
      <c r="D36" s="300">
        <v>2.8723823068534476E-2</v>
      </c>
      <c r="E36" s="257">
        <v>-18098.29</v>
      </c>
      <c r="F36" s="300">
        <v>2.8003028759553322E-2</v>
      </c>
      <c r="G36" s="257">
        <v>-35173.479999999996</v>
      </c>
      <c r="H36" s="297">
        <v>2.8348369162895112E-2</v>
      </c>
      <c r="I36" s="297">
        <v>5.9917342061786893E-2</v>
      </c>
    </row>
    <row r="37" spans="1:9" x14ac:dyDescent="0.2">
      <c r="A37">
        <v>29</v>
      </c>
      <c r="B37" s="258" t="s">
        <v>355</v>
      </c>
      <c r="C37" s="260">
        <v>-52394.22</v>
      </c>
      <c r="D37" s="302">
        <v>8.8137368023071525E-2</v>
      </c>
      <c r="E37" s="263">
        <v>-41642.620000000003</v>
      </c>
      <c r="F37" s="302">
        <v>6.4432578187395076E-2</v>
      </c>
      <c r="G37" s="263">
        <v>-94036.84</v>
      </c>
      <c r="H37" s="296">
        <v>7.5789801157920736E-2</v>
      </c>
      <c r="I37" s="313">
        <v>-0.20520584140769726</v>
      </c>
    </row>
    <row r="38" spans="1:9" x14ac:dyDescent="0.2">
      <c r="A38">
        <v>30</v>
      </c>
      <c r="B38" s="258" t="s">
        <v>356</v>
      </c>
      <c r="C38" s="260">
        <v>-377876.51</v>
      </c>
      <c r="D38" s="302">
        <v>0.63566250302311722</v>
      </c>
      <c r="E38" s="263">
        <v>-447513.51</v>
      </c>
      <c r="F38" s="302">
        <v>0.6924263944725525</v>
      </c>
      <c r="G38" s="263">
        <v>-825390.02</v>
      </c>
      <c r="H38" s="296">
        <v>0.66523019588421117</v>
      </c>
      <c r="I38" s="297">
        <v>0.18428507239044833</v>
      </c>
    </row>
    <row r="39" spans="1:9" x14ac:dyDescent="0.2">
      <c r="A39">
        <v>31</v>
      </c>
      <c r="B39" s="258" t="s">
        <v>357</v>
      </c>
      <c r="C39" s="260">
        <v>-4840.16</v>
      </c>
      <c r="D39" s="302">
        <v>8.1420997050924669E-3</v>
      </c>
      <c r="E39" s="263">
        <v>-4780.9400000000005</v>
      </c>
      <c r="F39" s="302">
        <v>7.397428172368708E-3</v>
      </c>
      <c r="G39" s="263">
        <v>-9621.1</v>
      </c>
      <c r="H39" s="296">
        <v>7.7542084136437515E-3</v>
      </c>
      <c r="I39" s="313">
        <v>-1.2235132722885012E-2</v>
      </c>
    </row>
    <row r="40" spans="1:9" ht="14.25" x14ac:dyDescent="0.2">
      <c r="A40">
        <v>32</v>
      </c>
      <c r="B40" s="287" t="s">
        <v>358</v>
      </c>
      <c r="C40" s="262">
        <v>1263162.3099999996</v>
      </c>
      <c r="D40" s="303">
        <v>0.34797967816280234</v>
      </c>
      <c r="E40" s="262">
        <v>1624969.7700000005</v>
      </c>
      <c r="F40" s="303">
        <v>0.39943957511306227</v>
      </c>
      <c r="G40" s="262">
        <v>2888132.08</v>
      </c>
      <c r="H40" s="303"/>
      <c r="I40" s="303"/>
    </row>
    <row r="41" spans="1:9" ht="14.25" x14ac:dyDescent="0.2">
      <c r="A41">
        <v>33</v>
      </c>
      <c r="B41" s="258" t="s">
        <v>362</v>
      </c>
      <c r="C41" s="272">
        <v>-13257.33</v>
      </c>
      <c r="D41" s="299"/>
      <c r="E41" s="272">
        <v>-22935.85</v>
      </c>
      <c r="F41" s="299"/>
      <c r="G41" s="272">
        <v>-36193.18</v>
      </c>
      <c r="H41" s="314"/>
      <c r="I41" s="296">
        <v>0.73005047019271596</v>
      </c>
    </row>
    <row r="42" spans="1:9" x14ac:dyDescent="0.2">
      <c r="A42">
        <v>34</v>
      </c>
      <c r="B42" s="246" t="s">
        <v>359</v>
      </c>
      <c r="C42" s="250">
        <v>417.34</v>
      </c>
      <c r="D42" s="304"/>
      <c r="E42" s="256">
        <v>0</v>
      </c>
      <c r="F42" s="304"/>
      <c r="G42" s="263">
        <v>417.34</v>
      </c>
      <c r="H42" s="296"/>
      <c r="I42" s="296">
        <v>-1</v>
      </c>
    </row>
    <row r="43" spans="1:9" x14ac:dyDescent="0.2">
      <c r="A43">
        <v>35</v>
      </c>
      <c r="B43" s="246" t="s">
        <v>360</v>
      </c>
      <c r="C43" s="250">
        <v>4179.58</v>
      </c>
      <c r="D43" s="304"/>
      <c r="E43" s="256">
        <v>0</v>
      </c>
      <c r="F43" s="304"/>
      <c r="G43" s="263">
        <v>4179.58</v>
      </c>
      <c r="H43" s="296"/>
      <c r="I43" s="296">
        <v>-1</v>
      </c>
    </row>
    <row r="44" spans="1:9" x14ac:dyDescent="0.2">
      <c r="A44">
        <v>36</v>
      </c>
      <c r="B44" s="253" t="s">
        <v>361</v>
      </c>
      <c r="C44" s="252">
        <v>-17854.25</v>
      </c>
      <c r="D44" s="300"/>
      <c r="E44" s="257">
        <v>-22935.85</v>
      </c>
      <c r="F44" s="300"/>
      <c r="G44" s="263">
        <v>-40790.1</v>
      </c>
      <c r="H44" s="296"/>
      <c r="I44" s="296">
        <v>0.2846157077446545</v>
      </c>
    </row>
    <row r="45" spans="1:9" ht="14.25" x14ac:dyDescent="0.2">
      <c r="A45">
        <v>37</v>
      </c>
      <c r="B45" s="258" t="s">
        <v>363</v>
      </c>
      <c r="C45" s="272">
        <v>-411975.31</v>
      </c>
      <c r="D45" s="312">
        <v>0.14589556898209025</v>
      </c>
      <c r="E45" s="272">
        <v>-492544.97</v>
      </c>
      <c r="F45" s="312">
        <v>0.16874536743295471</v>
      </c>
      <c r="G45" s="272">
        <v>-904520.28</v>
      </c>
      <c r="H45" s="317">
        <v>0.1575096618282158</v>
      </c>
      <c r="I45" s="296">
        <v>0.19556914709281958</v>
      </c>
    </row>
    <row r="46" spans="1:9" ht="14.25" x14ac:dyDescent="0.2">
      <c r="A46">
        <v>38</v>
      </c>
      <c r="B46" s="258" t="s">
        <v>364</v>
      </c>
      <c r="C46" s="272">
        <v>-32092.9664204</v>
      </c>
      <c r="D46" s="312">
        <v>1.1365296615050483E-2</v>
      </c>
      <c r="E46" s="272">
        <v>-32092.9664204</v>
      </c>
      <c r="F46" s="312">
        <v>1.0995015156938615E-2</v>
      </c>
      <c r="G46" s="272">
        <v>-64185.9328408</v>
      </c>
      <c r="H46" s="317">
        <v>1.1177089999444766E-2</v>
      </c>
      <c r="I46" s="296">
        <v>0</v>
      </c>
    </row>
    <row r="47" spans="1:9" x14ac:dyDescent="0.2">
      <c r="A47">
        <v>39</v>
      </c>
      <c r="B47" s="258"/>
      <c r="C47" s="263"/>
      <c r="D47" s="296"/>
      <c r="E47" s="263"/>
      <c r="F47" s="296"/>
      <c r="G47" s="263"/>
      <c r="H47" s="296"/>
      <c r="I47" s="296"/>
    </row>
    <row r="48" spans="1:9" ht="14.25" x14ac:dyDescent="0.2">
      <c r="A48">
        <v>40</v>
      </c>
      <c r="B48" s="287" t="s">
        <v>365</v>
      </c>
      <c r="C48" s="275">
        <v>-2823768.4864204</v>
      </c>
      <c r="D48" s="295"/>
      <c r="E48" s="275">
        <v>-2918865.1368203997</v>
      </c>
      <c r="F48" s="295"/>
      <c r="G48" s="275">
        <v>-5742633.6232407996</v>
      </c>
      <c r="H48" s="294"/>
      <c r="I48" s="328">
        <v>3.3677212157201541E-2</v>
      </c>
    </row>
    <row r="49" spans="1:9" x14ac:dyDescent="0.2">
      <c r="A49">
        <v>41</v>
      </c>
      <c r="B49" s="258"/>
      <c r="C49" s="263"/>
      <c r="D49" s="296"/>
      <c r="E49" s="263"/>
      <c r="F49" s="296"/>
      <c r="G49" s="263"/>
      <c r="H49" s="296"/>
      <c r="I49" s="296"/>
    </row>
    <row r="50" spans="1:9" x14ac:dyDescent="0.2">
      <c r="A50">
        <v>42</v>
      </c>
      <c r="B50" s="258"/>
      <c r="C50" s="263"/>
      <c r="D50" s="296"/>
      <c r="E50" s="263"/>
      <c r="F50" s="296"/>
      <c r="G50" s="263"/>
      <c r="H50" s="296"/>
      <c r="I50" s="296"/>
    </row>
    <row r="51" spans="1:9" ht="14.25" x14ac:dyDescent="0.2">
      <c r="A51">
        <v>43</v>
      </c>
      <c r="B51" s="248" t="s">
        <v>36</v>
      </c>
      <c r="C51" s="273">
        <v>383.54</v>
      </c>
      <c r="D51" s="305"/>
      <c r="E51" s="273">
        <v>71862.999599999996</v>
      </c>
      <c r="F51" s="305"/>
      <c r="G51" s="273">
        <v>72246.539599999989</v>
      </c>
      <c r="H51" s="305"/>
      <c r="I51" s="305"/>
    </row>
    <row r="52" spans="1:9" ht="15" x14ac:dyDescent="0.2">
      <c r="A52">
        <v>44</v>
      </c>
      <c r="B52" s="258"/>
      <c r="C52" s="263"/>
      <c r="D52" s="326" t="s">
        <v>383</v>
      </c>
      <c r="E52" s="327"/>
      <c r="F52" s="326" t="s">
        <v>383</v>
      </c>
      <c r="G52" s="263"/>
      <c r="H52" s="296"/>
      <c r="I52" s="296"/>
    </row>
    <row r="53" spans="1:9" ht="14.25" x14ac:dyDescent="0.2">
      <c r="A53">
        <v>45</v>
      </c>
      <c r="B53" s="287" t="s">
        <v>366</v>
      </c>
      <c r="C53" s="282">
        <v>806220.24357959954</v>
      </c>
      <c r="D53" s="306">
        <v>0.22209993020545812</v>
      </c>
      <c r="E53" s="282">
        <v>1149258.9831796004</v>
      </c>
      <c r="F53" s="306">
        <v>0.28250342154742331</v>
      </c>
      <c r="G53" s="282">
        <v>1955479.2267592</v>
      </c>
      <c r="H53" s="306"/>
      <c r="I53" s="306">
        <v>0.42549010934892517</v>
      </c>
    </row>
    <row r="54" spans="1:9" ht="14.25" x14ac:dyDescent="0.2">
      <c r="A54">
        <v>46</v>
      </c>
      <c r="B54" s="287" t="s">
        <v>367</v>
      </c>
      <c r="C54" s="282">
        <v>806220.24364159955</v>
      </c>
      <c r="D54" s="306"/>
      <c r="E54" s="282">
        <v>1149258.9832056006</v>
      </c>
      <c r="F54" s="306"/>
      <c r="G54" s="282">
        <v>1955479.2268472002</v>
      </c>
      <c r="H54" s="306"/>
      <c r="I54" s="306">
        <v>0.42549010927155151</v>
      </c>
    </row>
    <row r="55" spans="1:9" ht="14.25" x14ac:dyDescent="0.2">
      <c r="A55">
        <v>47</v>
      </c>
      <c r="B55" s="274"/>
      <c r="C55" s="268"/>
      <c r="D55" s="307"/>
      <c r="E55" s="268"/>
      <c r="F55" s="307"/>
      <c r="G55" s="263"/>
      <c r="H55" s="296"/>
      <c r="I55" s="307"/>
    </row>
    <row r="56" spans="1:9" ht="14.25" x14ac:dyDescent="0.2">
      <c r="A56">
        <v>48</v>
      </c>
      <c r="B56" s="255" t="s">
        <v>368</v>
      </c>
      <c r="C56" s="268"/>
      <c r="D56" s="307"/>
      <c r="E56" s="268"/>
      <c r="F56" s="307"/>
      <c r="G56" s="263"/>
      <c r="H56" s="296"/>
      <c r="I56" s="307"/>
    </row>
    <row r="57" spans="1:9" ht="15" x14ac:dyDescent="0.2">
      <c r="A57">
        <v>49</v>
      </c>
      <c r="B57" s="254" t="s">
        <v>370</v>
      </c>
      <c r="C57" s="268">
        <v>80550.75</v>
      </c>
      <c r="D57" s="307"/>
      <c r="E57" s="268">
        <v>80550.75</v>
      </c>
      <c r="F57" s="307"/>
      <c r="G57" s="268">
        <v>161101.5</v>
      </c>
      <c r="H57" s="307"/>
      <c r="I57" s="307"/>
    </row>
    <row r="58" spans="1:9" ht="15" x14ac:dyDescent="0.2">
      <c r="A58">
        <v>50</v>
      </c>
      <c r="B58" s="254" t="s">
        <v>371</v>
      </c>
      <c r="C58" s="268">
        <v>8399.23</v>
      </c>
      <c r="D58" s="307"/>
      <c r="E58" s="268">
        <v>20197.809999999998</v>
      </c>
      <c r="F58" s="307"/>
      <c r="G58" s="268">
        <v>28597.039999999997</v>
      </c>
      <c r="H58" s="307"/>
      <c r="I58" s="307"/>
    </row>
    <row r="59" spans="1:9" ht="15.75" x14ac:dyDescent="0.25">
      <c r="A59">
        <v>51</v>
      </c>
      <c r="B59" s="254" t="s">
        <v>372</v>
      </c>
      <c r="C59" s="320">
        <v>3124165.6</v>
      </c>
      <c r="D59" s="321"/>
      <c r="E59" s="320">
        <v>5277227.9000000004</v>
      </c>
      <c r="F59" s="321"/>
      <c r="G59" s="320" t="s">
        <v>384</v>
      </c>
      <c r="H59" s="244"/>
      <c r="I59" s="244"/>
    </row>
    <row r="60" spans="1:9" ht="15.75" x14ac:dyDescent="0.25">
      <c r="A60">
        <v>52</v>
      </c>
      <c r="B60" s="254" t="s">
        <v>373</v>
      </c>
      <c r="C60" s="320">
        <v>-1495000</v>
      </c>
      <c r="D60" s="321"/>
      <c r="E60" s="320">
        <v>-1500000</v>
      </c>
      <c r="F60" s="321"/>
      <c r="G60" s="320" t="s">
        <v>384</v>
      </c>
      <c r="H60" s="244"/>
      <c r="I60" s="244"/>
    </row>
    <row r="61" spans="1:9" ht="15.75" x14ac:dyDescent="0.25">
      <c r="B61" s="254"/>
      <c r="C61" s="318"/>
      <c r="D61" s="319"/>
      <c r="E61" s="318"/>
      <c r="F61" s="319"/>
      <c r="G61" s="318"/>
      <c r="H61" s="309"/>
      <c r="I61" s="309"/>
    </row>
    <row r="62" spans="1:9" ht="15" x14ac:dyDescent="0.25">
      <c r="B62" s="244"/>
      <c r="C62" s="269"/>
      <c r="D62" s="244"/>
      <c r="E62" s="269"/>
      <c r="F62" s="244"/>
      <c r="G62" s="269"/>
      <c r="H62" s="244"/>
      <c r="I62" s="244"/>
    </row>
    <row r="63" spans="1:9" ht="15" x14ac:dyDescent="0.25">
      <c r="B63" s="280" t="s">
        <v>385</v>
      </c>
      <c r="C63" s="269"/>
      <c r="D63" s="244"/>
      <c r="E63" s="269"/>
      <c r="F63" s="244"/>
      <c r="G63" s="269"/>
      <c r="H63" s="244"/>
      <c r="I63" s="244"/>
    </row>
    <row r="65" spans="2:2" ht="24" x14ac:dyDescent="0.2">
      <c r="B65" s="283" t="s">
        <v>386</v>
      </c>
    </row>
  </sheetData>
  <mergeCells count="2">
    <mergeCell ref="B1:E1"/>
    <mergeCell ref="B3:E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00A5-6435-42E3-B641-BAE6813A2E70}">
  <sheetPr codeName="Planilha42">
    <tabColor rgb="FFFF0000"/>
  </sheetPr>
  <dimension ref="A1:E4"/>
  <sheetViews>
    <sheetView workbookViewId="0"/>
  </sheetViews>
  <sheetFormatPr defaultRowHeight="12.75" x14ac:dyDescent="0.2"/>
  <cols>
    <col min="3" max="3" width="32.85546875" bestFit="1" customWidth="1"/>
    <col min="4" max="4" width="49.28515625" bestFit="1" customWidth="1"/>
    <col min="5" max="5" width="27" bestFit="1" customWidth="1"/>
  </cols>
  <sheetData>
    <row r="1" spans="1:5" ht="15" x14ac:dyDescent="0.2">
      <c r="A1" s="2" t="s">
        <v>75</v>
      </c>
      <c r="B1" s="1" t="s">
        <v>9</v>
      </c>
      <c r="C1" s="53" t="s">
        <v>76</v>
      </c>
      <c r="D1" s="17" t="s">
        <v>33</v>
      </c>
      <c r="E1" s="1" t="s">
        <v>122</v>
      </c>
    </row>
    <row r="2" spans="1:5" ht="75" x14ac:dyDescent="0.2">
      <c r="A2" s="2">
        <v>9</v>
      </c>
      <c r="B2" s="77">
        <v>44896</v>
      </c>
      <c r="C2" t="s">
        <v>213</v>
      </c>
      <c r="D2" s="99" t="s">
        <v>190</v>
      </c>
      <c r="E2" s="116" t="s">
        <v>237</v>
      </c>
    </row>
    <row r="3" spans="1:5" x14ac:dyDescent="0.2">
      <c r="A3" s="2">
        <v>22</v>
      </c>
      <c r="B3" s="77">
        <v>44958</v>
      </c>
      <c r="C3" s="2" t="s">
        <v>214</v>
      </c>
      <c r="D3" s="99" t="s">
        <v>228</v>
      </c>
      <c r="E3" s="2" t="s">
        <v>235</v>
      </c>
    </row>
    <row r="4" spans="1:5" x14ac:dyDescent="0.2">
      <c r="A4" s="2">
        <v>22</v>
      </c>
      <c r="B4" s="77">
        <v>44986</v>
      </c>
      <c r="C4" s="2" t="s">
        <v>214</v>
      </c>
      <c r="D4" s="99" t="s">
        <v>228</v>
      </c>
      <c r="E4" s="2" t="s">
        <v>236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E037-3AEC-47B2-819A-97A4D8CB1505}">
  <sheetPr codeName="Planilha10">
    <tabColor rgb="FFFF0000"/>
  </sheetPr>
  <dimension ref="A1:L803"/>
  <sheetViews>
    <sheetView topLeftCell="A787" zoomScale="85" zoomScaleNormal="85" workbookViewId="0">
      <selection activeCell="A803" sqref="A803"/>
    </sheetView>
  </sheetViews>
  <sheetFormatPr defaultColWidth="9.140625" defaultRowHeight="12.75" x14ac:dyDescent="0.2"/>
  <cols>
    <col min="1" max="1" width="9.140625" style="1"/>
    <col min="2" max="2" width="10.42578125" style="1" bestFit="1" customWidth="1"/>
    <col min="3" max="3" width="6.5703125" style="1" bestFit="1" customWidth="1"/>
    <col min="4" max="4" width="6.5703125" style="1" customWidth="1"/>
    <col min="5" max="5" width="25.42578125" style="1" bestFit="1" customWidth="1"/>
    <col min="6" max="6" width="12.28515625" style="1" bestFit="1" customWidth="1"/>
    <col min="7" max="7" width="14" style="71" bestFit="1" customWidth="1"/>
    <col min="8" max="8" width="31.5703125" style="1" bestFit="1" customWidth="1"/>
    <col min="9" max="9" width="6" style="1" bestFit="1" customWidth="1"/>
    <col min="10" max="10" width="18.42578125" style="1" bestFit="1" customWidth="1"/>
    <col min="11" max="11" width="36.85546875" style="1" bestFit="1" customWidth="1"/>
    <col min="12" max="12" width="45.7109375" style="1" customWidth="1"/>
    <col min="13" max="16384" width="9.140625" style="1"/>
  </cols>
  <sheetData>
    <row r="1" spans="1:12" ht="30.75" thickBot="1" x14ac:dyDescent="0.25">
      <c r="A1" s="1" t="s">
        <v>140</v>
      </c>
      <c r="B1" s="70" t="s">
        <v>118</v>
      </c>
      <c r="C1" s="70" t="s">
        <v>9</v>
      </c>
      <c r="D1" s="70" t="s">
        <v>75</v>
      </c>
      <c r="E1" s="68" t="s">
        <v>112</v>
      </c>
      <c r="F1" s="73" t="s">
        <v>113</v>
      </c>
      <c r="G1" s="72" t="s">
        <v>120</v>
      </c>
      <c r="H1" s="1" t="s">
        <v>122</v>
      </c>
      <c r="I1" s="1" t="s">
        <v>151</v>
      </c>
      <c r="J1" s="1" t="s">
        <v>155</v>
      </c>
      <c r="K1" s="1" t="s">
        <v>157</v>
      </c>
      <c r="L1" s="1" t="s">
        <v>158</v>
      </c>
    </row>
    <row r="2" spans="1:12" ht="15" x14ac:dyDescent="0.25">
      <c r="A2" s="53" t="s">
        <v>279</v>
      </c>
      <c r="B2" s="1" t="s">
        <v>119</v>
      </c>
      <c r="C2" s="5">
        <v>44166</v>
      </c>
      <c r="D2" s="138">
        <v>1</v>
      </c>
      <c r="E2" s="69" t="s">
        <v>280</v>
      </c>
      <c r="F2" s="74">
        <v>26</v>
      </c>
      <c r="G2" s="137">
        <v>23400</v>
      </c>
    </row>
    <row r="3" spans="1:12" ht="15" x14ac:dyDescent="0.25">
      <c r="A3" s="53" t="s">
        <v>279</v>
      </c>
      <c r="B3" s="1" t="s">
        <v>119</v>
      </c>
      <c r="C3" s="5">
        <v>44166</v>
      </c>
      <c r="D3" s="138">
        <v>2</v>
      </c>
      <c r="E3" s="69" t="s">
        <v>281</v>
      </c>
      <c r="F3" s="74">
        <v>0</v>
      </c>
      <c r="G3" s="137">
        <v>0</v>
      </c>
    </row>
    <row r="4" spans="1:12" ht="15" x14ac:dyDescent="0.25">
      <c r="A4" s="53" t="s">
        <v>279</v>
      </c>
      <c r="B4" s="1" t="s">
        <v>119</v>
      </c>
      <c r="C4" s="5">
        <v>44166</v>
      </c>
      <c r="D4" s="138">
        <v>3</v>
      </c>
      <c r="E4" s="69" t="s">
        <v>282</v>
      </c>
      <c r="F4" s="74">
        <v>0</v>
      </c>
      <c r="G4" s="137">
        <v>0</v>
      </c>
    </row>
    <row r="5" spans="1:12" ht="15" x14ac:dyDescent="0.25">
      <c r="A5" s="53" t="s">
        <v>279</v>
      </c>
      <c r="B5" s="1" t="s">
        <v>119</v>
      </c>
      <c r="C5" s="5">
        <v>44166</v>
      </c>
      <c r="D5" s="138">
        <v>4</v>
      </c>
      <c r="E5" s="69" t="s">
        <v>283</v>
      </c>
      <c r="F5" s="74">
        <v>1</v>
      </c>
      <c r="G5" s="137">
        <v>1100</v>
      </c>
    </row>
    <row r="6" spans="1:12" ht="26.25" x14ac:dyDescent="0.25">
      <c r="A6" s="1" t="s">
        <v>141</v>
      </c>
      <c r="B6" s="1" t="s">
        <v>119</v>
      </c>
      <c r="C6" s="5">
        <v>44166</v>
      </c>
      <c r="D6" s="1">
        <v>6</v>
      </c>
      <c r="E6" s="69" t="s">
        <v>114</v>
      </c>
      <c r="F6" s="74">
        <v>11</v>
      </c>
      <c r="G6" s="71">
        <v>29480</v>
      </c>
      <c r="H6" s="89" t="s">
        <v>150</v>
      </c>
      <c r="J6" s="1" t="s">
        <v>156</v>
      </c>
    </row>
    <row r="7" spans="1:12" ht="26.25" x14ac:dyDescent="0.25">
      <c r="A7" s="1" t="s">
        <v>141</v>
      </c>
      <c r="B7" s="1" t="s">
        <v>119</v>
      </c>
      <c r="C7" s="5">
        <v>44166</v>
      </c>
      <c r="D7" s="1">
        <v>9</v>
      </c>
      <c r="E7" s="69" t="s">
        <v>40</v>
      </c>
      <c r="F7" s="74">
        <v>35</v>
      </c>
      <c r="G7" s="71">
        <v>83300</v>
      </c>
      <c r="H7" s="89" t="s">
        <v>150</v>
      </c>
      <c r="J7" s="1" t="s">
        <v>156</v>
      </c>
    </row>
    <row r="8" spans="1:12" ht="26.25" x14ac:dyDescent="0.25">
      <c r="A8" s="1" t="s">
        <v>141</v>
      </c>
      <c r="B8" s="1" t="s">
        <v>119</v>
      </c>
      <c r="C8" s="5">
        <v>44166</v>
      </c>
      <c r="D8" s="1">
        <v>10</v>
      </c>
      <c r="E8" s="69" t="s">
        <v>41</v>
      </c>
      <c r="F8" s="74">
        <v>75</v>
      </c>
      <c r="G8" s="71">
        <v>201000</v>
      </c>
      <c r="H8" s="89" t="s">
        <v>150</v>
      </c>
      <c r="J8" s="1" t="s">
        <v>156</v>
      </c>
    </row>
    <row r="9" spans="1:12" ht="26.25" x14ac:dyDescent="0.25">
      <c r="A9" s="1" t="s">
        <v>141</v>
      </c>
      <c r="B9" s="1" t="s">
        <v>119</v>
      </c>
      <c r="C9" s="5">
        <v>44166</v>
      </c>
      <c r="D9" s="1">
        <v>11</v>
      </c>
      <c r="E9" s="69" t="s">
        <v>42</v>
      </c>
      <c r="F9" s="74">
        <v>35</v>
      </c>
      <c r="G9" s="71">
        <v>101500</v>
      </c>
      <c r="H9" s="89" t="s">
        <v>150</v>
      </c>
      <c r="J9" s="1" t="s">
        <v>156</v>
      </c>
    </row>
    <row r="10" spans="1:12" ht="26.25" x14ac:dyDescent="0.25">
      <c r="A10" s="1" t="s">
        <v>141</v>
      </c>
      <c r="B10" s="1" t="s">
        <v>119</v>
      </c>
      <c r="C10" s="5">
        <v>44166</v>
      </c>
      <c r="D10" s="1">
        <v>12</v>
      </c>
      <c r="E10" s="69" t="s">
        <v>43</v>
      </c>
      <c r="F10" s="74">
        <v>11</v>
      </c>
      <c r="G10" s="71">
        <v>34540</v>
      </c>
      <c r="H10" s="89" t="s">
        <v>150</v>
      </c>
      <c r="J10" s="1" t="s">
        <v>156</v>
      </c>
    </row>
    <row r="11" spans="1:12" ht="26.25" x14ac:dyDescent="0.25">
      <c r="A11" s="1" t="s">
        <v>141</v>
      </c>
      <c r="B11" s="1" t="s">
        <v>119</v>
      </c>
      <c r="C11" s="5">
        <v>44166</v>
      </c>
      <c r="D11" s="1">
        <v>13</v>
      </c>
      <c r="E11" s="69" t="s">
        <v>44</v>
      </c>
      <c r="F11" s="74">
        <v>6</v>
      </c>
      <c r="G11" s="71">
        <v>21060</v>
      </c>
      <c r="H11" s="89" t="s">
        <v>150</v>
      </c>
      <c r="J11" s="1" t="s">
        <v>156</v>
      </c>
    </row>
    <row r="12" spans="1:12" ht="26.25" x14ac:dyDescent="0.25">
      <c r="A12" s="1" t="s">
        <v>141</v>
      </c>
      <c r="B12" s="1" t="s">
        <v>119</v>
      </c>
      <c r="C12" s="5">
        <v>44166</v>
      </c>
      <c r="D12" s="1">
        <v>14</v>
      </c>
      <c r="E12" s="69" t="s">
        <v>45</v>
      </c>
      <c r="F12" s="74">
        <v>5</v>
      </c>
      <c r="G12" s="71">
        <v>19325</v>
      </c>
      <c r="H12" s="89" t="s">
        <v>150</v>
      </c>
      <c r="J12" s="1" t="s">
        <v>156</v>
      </c>
    </row>
    <row r="13" spans="1:12" ht="26.25" x14ac:dyDescent="0.25">
      <c r="A13" s="1" t="s">
        <v>141</v>
      </c>
      <c r="B13" s="1" t="s">
        <v>119</v>
      </c>
      <c r="C13" s="5">
        <v>44166</v>
      </c>
      <c r="D13" s="1">
        <v>15</v>
      </c>
      <c r="E13" s="69" t="s">
        <v>46</v>
      </c>
      <c r="F13" s="74">
        <v>6</v>
      </c>
      <c r="G13" s="71">
        <v>25620</v>
      </c>
      <c r="H13" s="89" t="s">
        <v>150</v>
      </c>
      <c r="J13" s="1" t="s">
        <v>156</v>
      </c>
    </row>
    <row r="14" spans="1:12" ht="26.25" x14ac:dyDescent="0.25">
      <c r="A14" s="1" t="s">
        <v>141</v>
      </c>
      <c r="B14" s="1" t="s">
        <v>119</v>
      </c>
      <c r="C14" s="5">
        <v>44166</v>
      </c>
      <c r="D14" s="1">
        <v>16</v>
      </c>
      <c r="E14" s="69" t="s">
        <v>47</v>
      </c>
      <c r="F14" s="74">
        <v>2</v>
      </c>
      <c r="G14" s="71">
        <v>9560</v>
      </c>
      <c r="H14" s="89" t="s">
        <v>150</v>
      </c>
      <c r="J14" s="1" t="s">
        <v>156</v>
      </c>
    </row>
    <row r="15" spans="1:12" ht="26.25" x14ac:dyDescent="0.25">
      <c r="A15" s="1" t="s">
        <v>141</v>
      </c>
      <c r="B15" s="1" t="s">
        <v>119</v>
      </c>
      <c r="C15" s="5">
        <v>44166</v>
      </c>
      <c r="D15" s="1">
        <v>17</v>
      </c>
      <c r="E15" s="69" t="s">
        <v>48</v>
      </c>
      <c r="F15" s="74">
        <v>4</v>
      </c>
      <c r="G15" s="71">
        <v>21680</v>
      </c>
      <c r="H15" s="89" t="s">
        <v>150</v>
      </c>
      <c r="J15" s="1" t="s">
        <v>156</v>
      </c>
    </row>
    <row r="16" spans="1:12" ht="26.25" x14ac:dyDescent="0.25">
      <c r="A16" s="1" t="s">
        <v>141</v>
      </c>
      <c r="B16" s="1" t="s">
        <v>119</v>
      </c>
      <c r="C16" s="5">
        <v>44166</v>
      </c>
      <c r="D16" s="1">
        <v>18</v>
      </c>
      <c r="E16" s="69" t="s">
        <v>49</v>
      </c>
      <c r="F16" s="74">
        <v>7</v>
      </c>
      <c r="G16" s="71">
        <v>43050</v>
      </c>
      <c r="H16" s="89" t="s">
        <v>150</v>
      </c>
      <c r="J16" s="1" t="s">
        <v>156</v>
      </c>
    </row>
    <row r="17" spans="1:10" ht="26.25" x14ac:dyDescent="0.25">
      <c r="A17" s="1" t="s">
        <v>141</v>
      </c>
      <c r="B17" s="1" t="s">
        <v>119</v>
      </c>
      <c r="C17" s="5">
        <v>44166</v>
      </c>
      <c r="D17" s="1">
        <v>19</v>
      </c>
      <c r="E17" s="69" t="s">
        <v>50</v>
      </c>
      <c r="F17" s="74">
        <v>6</v>
      </c>
      <c r="G17" s="71">
        <v>41880</v>
      </c>
      <c r="H17" s="89" t="s">
        <v>150</v>
      </c>
      <c r="J17" s="1" t="s">
        <v>156</v>
      </c>
    </row>
    <row r="18" spans="1:10" ht="26.25" x14ac:dyDescent="0.25">
      <c r="A18" s="1" t="s">
        <v>141</v>
      </c>
      <c r="B18" s="1" t="s">
        <v>119</v>
      </c>
      <c r="C18" s="5">
        <v>44166</v>
      </c>
      <c r="D18" s="1">
        <v>20</v>
      </c>
      <c r="E18" s="69" t="s">
        <v>115</v>
      </c>
      <c r="F18" s="74"/>
      <c r="G18" s="71">
        <v>0</v>
      </c>
      <c r="H18" s="89" t="s">
        <v>150</v>
      </c>
      <c r="J18" s="1" t="s">
        <v>156</v>
      </c>
    </row>
    <row r="19" spans="1:10" ht="26.25" x14ac:dyDescent="0.25">
      <c r="A19" s="1" t="s">
        <v>141</v>
      </c>
      <c r="B19" s="1" t="s">
        <v>119</v>
      </c>
      <c r="C19" s="5">
        <v>44166</v>
      </c>
      <c r="D19" s="1">
        <v>21</v>
      </c>
      <c r="E19" s="69" t="s">
        <v>116</v>
      </c>
      <c r="F19" s="74"/>
      <c r="G19" s="71">
        <v>0</v>
      </c>
      <c r="H19" s="89" t="s">
        <v>150</v>
      </c>
      <c r="J19" s="1" t="s">
        <v>156</v>
      </c>
    </row>
    <row r="20" spans="1:10" ht="26.25" x14ac:dyDescent="0.25">
      <c r="A20" s="1" t="s">
        <v>141</v>
      </c>
      <c r="B20" s="1" t="s">
        <v>119</v>
      </c>
      <c r="C20" s="5">
        <v>44166</v>
      </c>
      <c r="D20" s="1">
        <v>22</v>
      </c>
      <c r="E20" s="69" t="s">
        <v>117</v>
      </c>
      <c r="F20" s="74"/>
      <c r="G20" s="71">
        <v>0</v>
      </c>
      <c r="H20" s="89" t="s">
        <v>150</v>
      </c>
      <c r="J20" s="1" t="s">
        <v>156</v>
      </c>
    </row>
    <row r="21" spans="1:10" ht="15" x14ac:dyDescent="0.25">
      <c r="A21" s="53" t="s">
        <v>279</v>
      </c>
      <c r="B21" s="1" t="s">
        <v>119</v>
      </c>
      <c r="C21" s="5">
        <v>44531</v>
      </c>
      <c r="D21" s="138">
        <v>1</v>
      </c>
      <c r="E21" s="69" t="s">
        <v>280</v>
      </c>
      <c r="F21" s="74">
        <v>26</v>
      </c>
      <c r="G21" s="71">
        <v>23400</v>
      </c>
      <c r="H21" s="89"/>
    </row>
    <row r="22" spans="1:10" ht="15" x14ac:dyDescent="0.25">
      <c r="A22" s="53" t="s">
        <v>279</v>
      </c>
      <c r="B22" s="1" t="s">
        <v>119</v>
      </c>
      <c r="C22" s="5">
        <v>44531</v>
      </c>
      <c r="D22" s="138">
        <v>2</v>
      </c>
      <c r="E22" s="69" t="s">
        <v>281</v>
      </c>
      <c r="F22" s="74">
        <v>0</v>
      </c>
      <c r="G22" s="71">
        <v>0</v>
      </c>
      <c r="H22" s="89"/>
    </row>
    <row r="23" spans="1:10" ht="15" x14ac:dyDescent="0.25">
      <c r="A23" s="53" t="s">
        <v>279</v>
      </c>
      <c r="B23" s="1" t="s">
        <v>119</v>
      </c>
      <c r="C23" s="5">
        <v>44531</v>
      </c>
      <c r="D23" s="138">
        <v>3</v>
      </c>
      <c r="E23" s="69" t="s">
        <v>282</v>
      </c>
      <c r="F23" s="74">
        <v>1</v>
      </c>
      <c r="G23" s="71">
        <v>1520.22</v>
      </c>
      <c r="H23" s="89"/>
    </row>
    <row r="24" spans="1:10" ht="15" x14ac:dyDescent="0.25">
      <c r="A24" s="53" t="s">
        <v>279</v>
      </c>
      <c r="B24" s="1" t="s">
        <v>119</v>
      </c>
      <c r="C24" s="5">
        <v>44531</v>
      </c>
      <c r="D24" s="138">
        <v>4</v>
      </c>
      <c r="E24" s="69" t="s">
        <v>283</v>
      </c>
      <c r="F24" s="74">
        <v>1</v>
      </c>
      <c r="G24" s="71">
        <v>1100</v>
      </c>
      <c r="H24" s="89"/>
    </row>
    <row r="25" spans="1:10" ht="26.25" x14ac:dyDescent="0.25">
      <c r="A25" s="1" t="s">
        <v>141</v>
      </c>
      <c r="B25" s="1" t="s">
        <v>119</v>
      </c>
      <c r="C25" s="5">
        <v>44531</v>
      </c>
      <c r="D25" s="1">
        <v>6</v>
      </c>
      <c r="E25" s="69" t="s">
        <v>114</v>
      </c>
      <c r="F25" s="74">
        <v>9</v>
      </c>
      <c r="G25" s="71">
        <v>24120</v>
      </c>
      <c r="H25" s="89" t="s">
        <v>150</v>
      </c>
      <c r="J25" s="1" t="s">
        <v>156</v>
      </c>
    </row>
    <row r="26" spans="1:10" ht="26.25" x14ac:dyDescent="0.25">
      <c r="A26" s="1" t="s">
        <v>141</v>
      </c>
      <c r="B26" s="1" t="s">
        <v>119</v>
      </c>
      <c r="C26" s="5">
        <v>44531</v>
      </c>
      <c r="D26" s="1">
        <v>9</v>
      </c>
      <c r="E26" s="69" t="s">
        <v>40</v>
      </c>
      <c r="F26" s="74">
        <v>38</v>
      </c>
      <c r="G26" s="71">
        <v>90440</v>
      </c>
      <c r="H26" s="89" t="s">
        <v>150</v>
      </c>
      <c r="J26" s="1" t="s">
        <v>156</v>
      </c>
    </row>
    <row r="27" spans="1:10" ht="26.25" x14ac:dyDescent="0.25">
      <c r="A27" s="1" t="s">
        <v>141</v>
      </c>
      <c r="B27" s="1" t="s">
        <v>119</v>
      </c>
      <c r="C27" s="5">
        <v>44531</v>
      </c>
      <c r="D27" s="1">
        <v>10</v>
      </c>
      <c r="E27" s="69" t="s">
        <v>41</v>
      </c>
      <c r="F27" s="74">
        <v>92</v>
      </c>
      <c r="G27" s="71">
        <v>246560</v>
      </c>
      <c r="H27" s="89" t="s">
        <v>150</v>
      </c>
      <c r="J27" s="1" t="s">
        <v>156</v>
      </c>
    </row>
    <row r="28" spans="1:10" ht="26.25" x14ac:dyDescent="0.25">
      <c r="A28" s="1" t="s">
        <v>141</v>
      </c>
      <c r="B28" s="1" t="s">
        <v>119</v>
      </c>
      <c r="C28" s="5">
        <v>44531</v>
      </c>
      <c r="D28" s="1">
        <v>11</v>
      </c>
      <c r="E28" s="69" t="s">
        <v>42</v>
      </c>
      <c r="F28" s="74">
        <v>47</v>
      </c>
      <c r="G28" s="71">
        <v>136300</v>
      </c>
      <c r="H28" s="89" t="s">
        <v>150</v>
      </c>
      <c r="J28" s="1" t="s">
        <v>156</v>
      </c>
    </row>
    <row r="29" spans="1:10" ht="26.25" x14ac:dyDescent="0.25">
      <c r="A29" s="1" t="s">
        <v>141</v>
      </c>
      <c r="B29" s="1" t="s">
        <v>119</v>
      </c>
      <c r="C29" s="5">
        <v>44531</v>
      </c>
      <c r="D29" s="1">
        <v>12</v>
      </c>
      <c r="E29" s="69" t="s">
        <v>43</v>
      </c>
      <c r="F29" s="74">
        <v>21</v>
      </c>
      <c r="G29" s="71">
        <v>65940</v>
      </c>
      <c r="H29" s="89" t="s">
        <v>150</v>
      </c>
      <c r="J29" s="1" t="s">
        <v>156</v>
      </c>
    </row>
    <row r="30" spans="1:10" ht="26.25" x14ac:dyDescent="0.25">
      <c r="A30" s="1" t="s">
        <v>141</v>
      </c>
      <c r="B30" s="1" t="s">
        <v>119</v>
      </c>
      <c r="C30" s="5">
        <v>44531</v>
      </c>
      <c r="D30" s="1">
        <v>13</v>
      </c>
      <c r="E30" s="69" t="s">
        <v>44</v>
      </c>
      <c r="F30" s="74">
        <v>9</v>
      </c>
      <c r="G30" s="71">
        <v>31590</v>
      </c>
      <c r="H30" s="89" t="s">
        <v>150</v>
      </c>
      <c r="J30" s="1" t="s">
        <v>156</v>
      </c>
    </row>
    <row r="31" spans="1:10" ht="26.25" x14ac:dyDescent="0.25">
      <c r="A31" s="1" t="s">
        <v>141</v>
      </c>
      <c r="B31" s="1" t="s">
        <v>119</v>
      </c>
      <c r="C31" s="5">
        <v>44531</v>
      </c>
      <c r="D31" s="1">
        <v>14</v>
      </c>
      <c r="E31" s="69" t="s">
        <v>45</v>
      </c>
      <c r="F31" s="74">
        <v>5</v>
      </c>
      <c r="G31" s="71">
        <v>19325</v>
      </c>
      <c r="H31" s="89" t="s">
        <v>150</v>
      </c>
      <c r="J31" s="1" t="s">
        <v>156</v>
      </c>
    </row>
    <row r="32" spans="1:10" ht="26.25" x14ac:dyDescent="0.25">
      <c r="A32" s="1" t="s">
        <v>141</v>
      </c>
      <c r="B32" s="1" t="s">
        <v>119</v>
      </c>
      <c r="C32" s="5">
        <v>44531</v>
      </c>
      <c r="D32" s="1">
        <v>15</v>
      </c>
      <c r="E32" s="69" t="s">
        <v>46</v>
      </c>
      <c r="F32" s="74">
        <v>6</v>
      </c>
      <c r="G32" s="71">
        <v>25620</v>
      </c>
      <c r="H32" s="89" t="s">
        <v>150</v>
      </c>
      <c r="J32" s="1" t="s">
        <v>156</v>
      </c>
    </row>
    <row r="33" spans="1:12" ht="26.25" x14ac:dyDescent="0.25">
      <c r="A33" s="1" t="s">
        <v>141</v>
      </c>
      <c r="B33" s="1" t="s">
        <v>119</v>
      </c>
      <c r="C33" s="5">
        <v>44531</v>
      </c>
      <c r="D33" s="1">
        <v>16</v>
      </c>
      <c r="E33" s="69" t="s">
        <v>47</v>
      </c>
      <c r="F33" s="74">
        <v>3</v>
      </c>
      <c r="G33" s="71">
        <v>14340</v>
      </c>
      <c r="H33" s="89" t="s">
        <v>150</v>
      </c>
      <c r="J33" s="1" t="s">
        <v>156</v>
      </c>
    </row>
    <row r="34" spans="1:12" ht="26.25" x14ac:dyDescent="0.25">
      <c r="A34" s="1" t="s">
        <v>141</v>
      </c>
      <c r="B34" s="1" t="s">
        <v>119</v>
      </c>
      <c r="C34" s="5">
        <v>44531</v>
      </c>
      <c r="D34" s="1">
        <v>17</v>
      </c>
      <c r="E34" s="69" t="s">
        <v>48</v>
      </c>
      <c r="F34" s="74">
        <v>1</v>
      </c>
      <c r="G34" s="71">
        <v>5420</v>
      </c>
      <c r="H34" s="89" t="s">
        <v>150</v>
      </c>
      <c r="J34" s="1" t="s">
        <v>156</v>
      </c>
    </row>
    <row r="35" spans="1:12" ht="26.25" x14ac:dyDescent="0.25">
      <c r="A35" s="1" t="s">
        <v>141</v>
      </c>
      <c r="B35" s="1" t="s">
        <v>119</v>
      </c>
      <c r="C35" s="5">
        <v>44531</v>
      </c>
      <c r="D35" s="1">
        <v>18</v>
      </c>
      <c r="E35" s="69" t="s">
        <v>49</v>
      </c>
      <c r="F35" s="74">
        <v>5</v>
      </c>
      <c r="G35" s="71">
        <v>30750</v>
      </c>
      <c r="H35" s="89" t="s">
        <v>150</v>
      </c>
      <c r="J35" s="1" t="s">
        <v>156</v>
      </c>
    </row>
    <row r="36" spans="1:12" ht="26.25" x14ac:dyDescent="0.25">
      <c r="A36" s="1" t="s">
        <v>141</v>
      </c>
      <c r="B36" s="1" t="s">
        <v>119</v>
      </c>
      <c r="C36" s="5">
        <v>44531</v>
      </c>
      <c r="D36" s="1">
        <v>19</v>
      </c>
      <c r="E36" s="69" t="s">
        <v>50</v>
      </c>
      <c r="F36" s="74">
        <v>8</v>
      </c>
      <c r="G36" s="71">
        <v>55840</v>
      </c>
      <c r="H36" s="89" t="s">
        <v>150</v>
      </c>
      <c r="J36" s="1" t="s">
        <v>156</v>
      </c>
    </row>
    <row r="37" spans="1:12" ht="26.25" x14ac:dyDescent="0.25">
      <c r="A37" s="1" t="s">
        <v>141</v>
      </c>
      <c r="B37" s="1" t="s">
        <v>119</v>
      </c>
      <c r="C37" s="5">
        <v>44531</v>
      </c>
      <c r="D37" s="1">
        <v>20</v>
      </c>
      <c r="E37" s="69" t="s">
        <v>115</v>
      </c>
      <c r="F37" s="74">
        <v>2</v>
      </c>
      <c r="G37" s="71">
        <v>17000</v>
      </c>
      <c r="H37" s="89" t="s">
        <v>150</v>
      </c>
      <c r="J37" s="1" t="s">
        <v>156</v>
      </c>
    </row>
    <row r="38" spans="1:12" ht="26.25" x14ac:dyDescent="0.25">
      <c r="A38" s="1" t="s">
        <v>141</v>
      </c>
      <c r="B38" s="1" t="s">
        <v>119</v>
      </c>
      <c r="C38" s="5">
        <v>44531</v>
      </c>
      <c r="D38" s="1">
        <v>21</v>
      </c>
      <c r="E38" s="69" t="s">
        <v>116</v>
      </c>
      <c r="F38" s="74">
        <v>1</v>
      </c>
      <c r="G38" s="71">
        <v>9500</v>
      </c>
      <c r="H38" s="89" t="s">
        <v>150</v>
      </c>
      <c r="J38" s="1" t="s">
        <v>156</v>
      </c>
    </row>
    <row r="39" spans="1:12" ht="26.25" x14ac:dyDescent="0.25">
      <c r="A39" s="1" t="s">
        <v>141</v>
      </c>
      <c r="B39" s="1" t="s">
        <v>119</v>
      </c>
      <c r="C39" s="5">
        <v>44531</v>
      </c>
      <c r="D39" s="1">
        <v>22</v>
      </c>
      <c r="E39" s="69" t="s">
        <v>117</v>
      </c>
      <c r="F39" s="74">
        <v>0</v>
      </c>
      <c r="G39" s="71">
        <v>0</v>
      </c>
      <c r="H39" s="89" t="s">
        <v>150</v>
      </c>
      <c r="J39" s="1" t="s">
        <v>156</v>
      </c>
    </row>
    <row r="40" spans="1:12" ht="15" x14ac:dyDescent="0.25">
      <c r="A40" s="53" t="s">
        <v>279</v>
      </c>
      <c r="B40" s="1" t="s">
        <v>119</v>
      </c>
      <c r="C40" s="5">
        <v>44562</v>
      </c>
      <c r="D40" s="138">
        <v>1</v>
      </c>
      <c r="E40" s="69" t="s">
        <v>280</v>
      </c>
      <c r="F40" s="74"/>
      <c r="H40" s="89"/>
    </row>
    <row r="41" spans="1:12" ht="15" x14ac:dyDescent="0.25">
      <c r="A41" s="53" t="s">
        <v>279</v>
      </c>
      <c r="B41" s="1" t="s">
        <v>119</v>
      </c>
      <c r="C41" s="5">
        <v>44562</v>
      </c>
      <c r="D41" s="138">
        <v>2</v>
      </c>
      <c r="E41" s="69" t="s">
        <v>281</v>
      </c>
      <c r="F41" s="74"/>
      <c r="H41" s="89"/>
    </row>
    <row r="42" spans="1:12" ht="15" x14ac:dyDescent="0.25">
      <c r="A42" s="53" t="s">
        <v>279</v>
      </c>
      <c r="B42" s="1" t="s">
        <v>119</v>
      </c>
      <c r="C42" s="5">
        <v>44562</v>
      </c>
      <c r="D42" s="138">
        <v>3</v>
      </c>
      <c r="E42" s="69" t="s">
        <v>282</v>
      </c>
      <c r="F42" s="74"/>
      <c r="H42" s="89"/>
    </row>
    <row r="43" spans="1:12" ht="15" x14ac:dyDescent="0.25">
      <c r="A43" s="53" t="s">
        <v>279</v>
      </c>
      <c r="B43" s="1" t="s">
        <v>119</v>
      </c>
      <c r="C43" s="5">
        <v>44562</v>
      </c>
      <c r="D43" s="138">
        <v>4</v>
      </c>
      <c r="E43" s="69" t="s">
        <v>283</v>
      </c>
      <c r="F43" s="74"/>
      <c r="H43" s="89"/>
    </row>
    <row r="44" spans="1:12" ht="26.25" x14ac:dyDescent="0.25">
      <c r="A44" s="1" t="s">
        <v>141</v>
      </c>
      <c r="B44" s="1" t="s">
        <v>119</v>
      </c>
      <c r="C44" s="5">
        <v>44562</v>
      </c>
      <c r="D44" s="1">
        <v>6</v>
      </c>
      <c r="E44" s="69" t="s">
        <v>114</v>
      </c>
      <c r="F44" s="74">
        <v>9</v>
      </c>
      <c r="G44" s="71">
        <v>24120</v>
      </c>
      <c r="H44" s="89" t="s">
        <v>150</v>
      </c>
      <c r="J44" s="1" t="s">
        <v>156</v>
      </c>
      <c r="L44" s="1" t="s">
        <v>153</v>
      </c>
    </row>
    <row r="45" spans="1:12" ht="26.25" x14ac:dyDescent="0.25">
      <c r="A45" s="1" t="s">
        <v>141</v>
      </c>
      <c r="B45" s="1" t="s">
        <v>119</v>
      </c>
      <c r="C45" s="5">
        <v>44562</v>
      </c>
      <c r="D45" s="1">
        <v>9</v>
      </c>
      <c r="E45" s="69" t="s">
        <v>40</v>
      </c>
      <c r="F45" s="74">
        <v>36</v>
      </c>
      <c r="G45" s="71">
        <v>85680</v>
      </c>
      <c r="H45" s="89" t="s">
        <v>150</v>
      </c>
      <c r="J45" s="1" t="s">
        <v>156</v>
      </c>
    </row>
    <row r="46" spans="1:12" ht="26.25" x14ac:dyDescent="0.25">
      <c r="A46" s="1" t="s">
        <v>141</v>
      </c>
      <c r="B46" s="1" t="s">
        <v>119</v>
      </c>
      <c r="C46" s="5">
        <v>44562</v>
      </c>
      <c r="D46" s="1">
        <v>10</v>
      </c>
      <c r="E46" s="69" t="s">
        <v>41</v>
      </c>
      <c r="F46" s="74">
        <v>94</v>
      </c>
      <c r="G46" s="71">
        <v>251920</v>
      </c>
      <c r="H46" s="89" t="s">
        <v>150</v>
      </c>
      <c r="J46" s="1" t="s">
        <v>156</v>
      </c>
    </row>
    <row r="47" spans="1:12" ht="26.25" x14ac:dyDescent="0.25">
      <c r="A47" s="1" t="s">
        <v>141</v>
      </c>
      <c r="B47" s="1" t="s">
        <v>119</v>
      </c>
      <c r="C47" s="5">
        <v>44562</v>
      </c>
      <c r="D47" s="1">
        <v>11</v>
      </c>
      <c r="E47" s="69" t="s">
        <v>42</v>
      </c>
      <c r="F47" s="74">
        <v>46</v>
      </c>
      <c r="G47" s="71">
        <v>133400</v>
      </c>
      <c r="H47" s="89" t="s">
        <v>150</v>
      </c>
      <c r="J47" s="1" t="s">
        <v>156</v>
      </c>
    </row>
    <row r="48" spans="1:12" ht="26.25" x14ac:dyDescent="0.25">
      <c r="A48" s="1" t="s">
        <v>141</v>
      </c>
      <c r="B48" s="1" t="s">
        <v>119</v>
      </c>
      <c r="C48" s="5">
        <v>44562</v>
      </c>
      <c r="D48" s="1">
        <v>12</v>
      </c>
      <c r="E48" s="69" t="s">
        <v>43</v>
      </c>
      <c r="F48" s="74">
        <v>18</v>
      </c>
      <c r="G48" s="71">
        <v>56520</v>
      </c>
      <c r="H48" s="89" t="s">
        <v>150</v>
      </c>
      <c r="J48" s="1" t="s">
        <v>156</v>
      </c>
    </row>
    <row r="49" spans="1:10" ht="26.25" x14ac:dyDescent="0.25">
      <c r="A49" s="1" t="s">
        <v>141</v>
      </c>
      <c r="B49" s="1" t="s">
        <v>119</v>
      </c>
      <c r="C49" s="5">
        <v>44562</v>
      </c>
      <c r="D49" s="1">
        <v>13</v>
      </c>
      <c r="E49" s="69" t="s">
        <v>44</v>
      </c>
      <c r="F49" s="74">
        <v>6</v>
      </c>
      <c r="G49" s="71">
        <v>21060</v>
      </c>
      <c r="H49" s="89" t="s">
        <v>150</v>
      </c>
      <c r="J49" s="1" t="s">
        <v>156</v>
      </c>
    </row>
    <row r="50" spans="1:10" ht="26.25" x14ac:dyDescent="0.25">
      <c r="A50" s="1" t="s">
        <v>141</v>
      </c>
      <c r="B50" s="1" t="s">
        <v>119</v>
      </c>
      <c r="C50" s="5">
        <v>44562</v>
      </c>
      <c r="D50" s="1">
        <v>14</v>
      </c>
      <c r="E50" s="69" t="s">
        <v>45</v>
      </c>
      <c r="F50" s="74">
        <v>12</v>
      </c>
      <c r="G50" s="71">
        <v>46380</v>
      </c>
      <c r="H50" s="89" t="s">
        <v>150</v>
      </c>
      <c r="J50" s="1" t="s">
        <v>156</v>
      </c>
    </row>
    <row r="51" spans="1:10" ht="26.25" x14ac:dyDescent="0.25">
      <c r="A51" s="1" t="s">
        <v>141</v>
      </c>
      <c r="B51" s="1" t="s">
        <v>119</v>
      </c>
      <c r="C51" s="5">
        <v>44562</v>
      </c>
      <c r="D51" s="1">
        <v>15</v>
      </c>
      <c r="E51" s="69" t="s">
        <v>46</v>
      </c>
      <c r="F51" s="74">
        <v>6</v>
      </c>
      <c r="G51" s="71">
        <v>25620</v>
      </c>
      <c r="H51" s="89" t="s">
        <v>150</v>
      </c>
      <c r="J51" s="1" t="s">
        <v>156</v>
      </c>
    </row>
    <row r="52" spans="1:10" ht="26.25" x14ac:dyDescent="0.25">
      <c r="A52" s="1" t="s">
        <v>141</v>
      </c>
      <c r="B52" s="1" t="s">
        <v>119</v>
      </c>
      <c r="C52" s="5">
        <v>44562</v>
      </c>
      <c r="D52" s="1">
        <v>16</v>
      </c>
      <c r="E52" s="69" t="s">
        <v>47</v>
      </c>
      <c r="F52" s="74">
        <v>2</v>
      </c>
      <c r="G52" s="71">
        <v>9560</v>
      </c>
      <c r="H52" s="89" t="s">
        <v>150</v>
      </c>
      <c r="J52" s="1" t="s">
        <v>156</v>
      </c>
    </row>
    <row r="53" spans="1:10" ht="26.25" x14ac:dyDescent="0.25">
      <c r="A53" s="1" t="s">
        <v>141</v>
      </c>
      <c r="B53" s="1" t="s">
        <v>119</v>
      </c>
      <c r="C53" s="5">
        <v>44562</v>
      </c>
      <c r="D53" s="1">
        <v>17</v>
      </c>
      <c r="E53" s="69" t="s">
        <v>48</v>
      </c>
      <c r="F53" s="74">
        <v>2</v>
      </c>
      <c r="G53" s="71">
        <v>10840</v>
      </c>
      <c r="H53" s="89" t="s">
        <v>150</v>
      </c>
      <c r="J53" s="1" t="s">
        <v>156</v>
      </c>
    </row>
    <row r="54" spans="1:10" ht="26.25" x14ac:dyDescent="0.25">
      <c r="A54" s="1" t="s">
        <v>141</v>
      </c>
      <c r="B54" s="1" t="s">
        <v>119</v>
      </c>
      <c r="C54" s="5">
        <v>44562</v>
      </c>
      <c r="D54" s="1">
        <v>18</v>
      </c>
      <c r="E54" s="69" t="s">
        <v>49</v>
      </c>
      <c r="F54" s="74">
        <v>5</v>
      </c>
      <c r="G54" s="71">
        <v>30750</v>
      </c>
      <c r="H54" s="89" t="s">
        <v>150</v>
      </c>
      <c r="J54" s="1" t="s">
        <v>156</v>
      </c>
    </row>
    <row r="55" spans="1:10" ht="26.25" x14ac:dyDescent="0.25">
      <c r="A55" s="1" t="s">
        <v>141</v>
      </c>
      <c r="B55" s="1" t="s">
        <v>119</v>
      </c>
      <c r="C55" s="5">
        <v>44562</v>
      </c>
      <c r="D55" s="1">
        <v>19</v>
      </c>
      <c r="E55" s="69" t="s">
        <v>50</v>
      </c>
      <c r="F55" s="74">
        <v>6</v>
      </c>
      <c r="G55" s="71">
        <v>41880</v>
      </c>
      <c r="H55" s="89" t="s">
        <v>150</v>
      </c>
      <c r="J55" s="1" t="s">
        <v>156</v>
      </c>
    </row>
    <row r="56" spans="1:10" ht="26.25" x14ac:dyDescent="0.25">
      <c r="A56" s="1" t="s">
        <v>141</v>
      </c>
      <c r="B56" s="1" t="s">
        <v>119</v>
      </c>
      <c r="C56" s="5">
        <v>44562</v>
      </c>
      <c r="D56" s="1">
        <v>20</v>
      </c>
      <c r="E56" s="69" t="s">
        <v>115</v>
      </c>
      <c r="F56" s="74">
        <v>4</v>
      </c>
      <c r="G56" s="71">
        <v>34000</v>
      </c>
      <c r="H56" s="89" t="s">
        <v>150</v>
      </c>
      <c r="J56" s="1" t="s">
        <v>156</v>
      </c>
    </row>
    <row r="57" spans="1:10" ht="26.25" x14ac:dyDescent="0.25">
      <c r="A57" s="1" t="s">
        <v>141</v>
      </c>
      <c r="B57" s="1" t="s">
        <v>119</v>
      </c>
      <c r="C57" s="5">
        <v>44562</v>
      </c>
      <c r="D57" s="1">
        <v>21</v>
      </c>
      <c r="E57" s="69" t="s">
        <v>116</v>
      </c>
      <c r="F57" s="74">
        <v>1</v>
      </c>
      <c r="G57" s="71">
        <v>9500</v>
      </c>
      <c r="H57" s="89" t="s">
        <v>150</v>
      </c>
      <c r="J57" s="1" t="s">
        <v>156</v>
      </c>
    </row>
    <row r="58" spans="1:10" ht="26.25" x14ac:dyDescent="0.25">
      <c r="A58" s="1" t="s">
        <v>141</v>
      </c>
      <c r="B58" s="1" t="s">
        <v>119</v>
      </c>
      <c r="C58" s="5">
        <v>44562</v>
      </c>
      <c r="D58" s="1">
        <v>22</v>
      </c>
      <c r="E58" s="69" t="s">
        <v>117</v>
      </c>
      <c r="F58" s="74">
        <v>0</v>
      </c>
      <c r="G58" s="71">
        <v>0</v>
      </c>
      <c r="H58" s="89" t="s">
        <v>150</v>
      </c>
      <c r="J58" s="1" t="s">
        <v>156</v>
      </c>
    </row>
    <row r="59" spans="1:10" ht="15" x14ac:dyDescent="0.25">
      <c r="A59" s="53" t="s">
        <v>279</v>
      </c>
      <c r="B59" s="1" t="s">
        <v>119</v>
      </c>
      <c r="C59" s="5">
        <v>44593</v>
      </c>
      <c r="D59" s="138">
        <v>1</v>
      </c>
      <c r="E59" s="69" t="s">
        <v>280</v>
      </c>
      <c r="F59" s="74"/>
      <c r="H59" s="89"/>
    </row>
    <row r="60" spans="1:10" ht="15" x14ac:dyDescent="0.25">
      <c r="A60" s="53" t="s">
        <v>279</v>
      </c>
      <c r="B60" s="1" t="s">
        <v>119</v>
      </c>
      <c r="C60" s="5">
        <v>44593</v>
      </c>
      <c r="D60" s="138">
        <v>2</v>
      </c>
      <c r="E60" s="69" t="s">
        <v>281</v>
      </c>
      <c r="F60" s="74"/>
      <c r="H60" s="89"/>
    </row>
    <row r="61" spans="1:10" ht="15" x14ac:dyDescent="0.25">
      <c r="A61" s="53" t="s">
        <v>279</v>
      </c>
      <c r="B61" s="1" t="s">
        <v>119</v>
      </c>
      <c r="C61" s="5">
        <v>44593</v>
      </c>
      <c r="D61" s="138">
        <v>3</v>
      </c>
      <c r="E61" s="69" t="s">
        <v>282</v>
      </c>
      <c r="F61" s="74"/>
      <c r="H61" s="89"/>
    </row>
    <row r="62" spans="1:10" ht="15" x14ac:dyDescent="0.25">
      <c r="A62" s="53" t="s">
        <v>279</v>
      </c>
      <c r="B62" s="1" t="s">
        <v>119</v>
      </c>
      <c r="C62" s="5">
        <v>44593</v>
      </c>
      <c r="D62" s="138">
        <v>4</v>
      </c>
      <c r="E62" s="69" t="s">
        <v>283</v>
      </c>
      <c r="F62" s="74"/>
      <c r="H62" s="89"/>
    </row>
    <row r="63" spans="1:10" ht="26.25" x14ac:dyDescent="0.25">
      <c r="A63" s="1" t="s">
        <v>141</v>
      </c>
      <c r="B63" s="1" t="s">
        <v>119</v>
      </c>
      <c r="C63" s="5">
        <v>44593</v>
      </c>
      <c r="D63" s="1">
        <v>6</v>
      </c>
      <c r="E63" s="69" t="s">
        <v>114</v>
      </c>
      <c r="F63" s="74">
        <v>9</v>
      </c>
      <c r="G63" s="71">
        <v>24120</v>
      </c>
      <c r="H63" s="89" t="s">
        <v>150</v>
      </c>
      <c r="J63" s="1" t="s">
        <v>156</v>
      </c>
    </row>
    <row r="64" spans="1:10" ht="26.25" x14ac:dyDescent="0.25">
      <c r="A64" s="1" t="s">
        <v>141</v>
      </c>
      <c r="B64" s="1" t="s">
        <v>119</v>
      </c>
      <c r="C64" s="5">
        <v>44593</v>
      </c>
      <c r="D64" s="1">
        <v>9</v>
      </c>
      <c r="E64" s="69" t="s">
        <v>40</v>
      </c>
      <c r="F64" s="74">
        <v>37</v>
      </c>
      <c r="G64" s="71">
        <v>88060</v>
      </c>
      <c r="H64" s="89" t="s">
        <v>150</v>
      </c>
      <c r="J64" s="1" t="s">
        <v>156</v>
      </c>
    </row>
    <row r="65" spans="1:10" ht="26.25" x14ac:dyDescent="0.25">
      <c r="A65" s="1" t="s">
        <v>141</v>
      </c>
      <c r="B65" s="1" t="s">
        <v>119</v>
      </c>
      <c r="C65" s="5">
        <v>44593</v>
      </c>
      <c r="D65" s="1">
        <v>10</v>
      </c>
      <c r="E65" s="69" t="s">
        <v>41</v>
      </c>
      <c r="F65" s="74">
        <v>96</v>
      </c>
      <c r="G65" s="71">
        <v>257280</v>
      </c>
      <c r="H65" s="89" t="s">
        <v>150</v>
      </c>
      <c r="J65" s="1" t="s">
        <v>156</v>
      </c>
    </row>
    <row r="66" spans="1:10" ht="26.25" x14ac:dyDescent="0.25">
      <c r="A66" s="1" t="s">
        <v>141</v>
      </c>
      <c r="B66" s="1" t="s">
        <v>119</v>
      </c>
      <c r="C66" s="5">
        <v>44593</v>
      </c>
      <c r="D66" s="1">
        <v>11</v>
      </c>
      <c r="E66" s="69" t="s">
        <v>42</v>
      </c>
      <c r="F66" s="74">
        <v>46</v>
      </c>
      <c r="G66" s="71">
        <v>133400</v>
      </c>
      <c r="H66" s="89" t="s">
        <v>150</v>
      </c>
      <c r="J66" s="1" t="s">
        <v>156</v>
      </c>
    </row>
    <row r="67" spans="1:10" ht="26.25" x14ac:dyDescent="0.25">
      <c r="A67" s="1" t="s">
        <v>141</v>
      </c>
      <c r="B67" s="1" t="s">
        <v>119</v>
      </c>
      <c r="C67" s="5">
        <v>44593</v>
      </c>
      <c r="D67" s="1">
        <v>12</v>
      </c>
      <c r="E67" s="69" t="s">
        <v>43</v>
      </c>
      <c r="F67" s="74">
        <v>18</v>
      </c>
      <c r="G67" s="71">
        <v>56520</v>
      </c>
      <c r="H67" s="89" t="s">
        <v>150</v>
      </c>
      <c r="J67" s="1" t="s">
        <v>156</v>
      </c>
    </row>
    <row r="68" spans="1:10" ht="26.25" x14ac:dyDescent="0.25">
      <c r="A68" s="1" t="s">
        <v>141</v>
      </c>
      <c r="B68" s="1" t="s">
        <v>119</v>
      </c>
      <c r="C68" s="5">
        <v>44593</v>
      </c>
      <c r="D68" s="1">
        <v>13</v>
      </c>
      <c r="E68" s="69" t="s">
        <v>44</v>
      </c>
      <c r="F68" s="74">
        <v>6</v>
      </c>
      <c r="G68" s="71">
        <v>21060</v>
      </c>
      <c r="H68" s="89" t="s">
        <v>150</v>
      </c>
      <c r="J68" s="1" t="s">
        <v>156</v>
      </c>
    </row>
    <row r="69" spans="1:10" ht="26.25" x14ac:dyDescent="0.25">
      <c r="A69" s="1" t="s">
        <v>141</v>
      </c>
      <c r="B69" s="1" t="s">
        <v>119</v>
      </c>
      <c r="C69" s="5">
        <v>44593</v>
      </c>
      <c r="D69" s="1">
        <v>14</v>
      </c>
      <c r="E69" s="69" t="s">
        <v>45</v>
      </c>
      <c r="F69" s="74">
        <v>11</v>
      </c>
      <c r="G69" s="71">
        <v>42515</v>
      </c>
      <c r="H69" s="89" t="s">
        <v>150</v>
      </c>
      <c r="J69" s="1" t="s">
        <v>156</v>
      </c>
    </row>
    <row r="70" spans="1:10" ht="26.25" x14ac:dyDescent="0.25">
      <c r="A70" s="1" t="s">
        <v>141</v>
      </c>
      <c r="B70" s="1" t="s">
        <v>119</v>
      </c>
      <c r="C70" s="5">
        <v>44593</v>
      </c>
      <c r="D70" s="1">
        <v>15</v>
      </c>
      <c r="E70" s="69" t="s">
        <v>46</v>
      </c>
      <c r="F70" s="74">
        <v>6</v>
      </c>
      <c r="G70" s="71">
        <v>25620</v>
      </c>
      <c r="H70" s="89" t="s">
        <v>150</v>
      </c>
      <c r="J70" s="1" t="s">
        <v>156</v>
      </c>
    </row>
    <row r="71" spans="1:10" ht="26.25" x14ac:dyDescent="0.25">
      <c r="A71" s="1" t="s">
        <v>141</v>
      </c>
      <c r="B71" s="1" t="s">
        <v>119</v>
      </c>
      <c r="C71" s="5">
        <v>44593</v>
      </c>
      <c r="D71" s="1">
        <v>16</v>
      </c>
      <c r="E71" s="69" t="s">
        <v>47</v>
      </c>
      <c r="F71" s="74">
        <v>2</v>
      </c>
      <c r="G71" s="71">
        <v>9560</v>
      </c>
      <c r="H71" s="89" t="s">
        <v>150</v>
      </c>
      <c r="J71" s="1" t="s">
        <v>156</v>
      </c>
    </row>
    <row r="72" spans="1:10" ht="26.25" x14ac:dyDescent="0.25">
      <c r="A72" s="1" t="s">
        <v>141</v>
      </c>
      <c r="B72" s="1" t="s">
        <v>119</v>
      </c>
      <c r="C72" s="5">
        <v>44593</v>
      </c>
      <c r="D72" s="1">
        <v>17</v>
      </c>
      <c r="E72" s="69" t="s">
        <v>48</v>
      </c>
      <c r="F72" s="74">
        <v>2</v>
      </c>
      <c r="G72" s="71">
        <v>10840</v>
      </c>
      <c r="H72" s="89" t="s">
        <v>150</v>
      </c>
      <c r="J72" s="1" t="s">
        <v>156</v>
      </c>
    </row>
    <row r="73" spans="1:10" ht="26.25" x14ac:dyDescent="0.25">
      <c r="A73" s="1" t="s">
        <v>141</v>
      </c>
      <c r="B73" s="1" t="s">
        <v>119</v>
      </c>
      <c r="C73" s="5">
        <v>44593</v>
      </c>
      <c r="D73" s="1">
        <v>18</v>
      </c>
      <c r="E73" s="69" t="s">
        <v>49</v>
      </c>
      <c r="F73" s="74">
        <v>5</v>
      </c>
      <c r="G73" s="71">
        <v>30750</v>
      </c>
      <c r="H73" s="89" t="s">
        <v>150</v>
      </c>
      <c r="J73" s="1" t="s">
        <v>156</v>
      </c>
    </row>
    <row r="74" spans="1:10" ht="26.25" x14ac:dyDescent="0.25">
      <c r="A74" s="1" t="s">
        <v>141</v>
      </c>
      <c r="B74" s="1" t="s">
        <v>119</v>
      </c>
      <c r="C74" s="5">
        <v>44593</v>
      </c>
      <c r="D74" s="1">
        <v>19</v>
      </c>
      <c r="E74" s="69" t="s">
        <v>50</v>
      </c>
      <c r="F74" s="74">
        <v>6</v>
      </c>
      <c r="G74" s="71">
        <v>41880</v>
      </c>
      <c r="H74" s="89" t="s">
        <v>150</v>
      </c>
      <c r="J74" s="1" t="s">
        <v>156</v>
      </c>
    </row>
    <row r="75" spans="1:10" ht="26.25" x14ac:dyDescent="0.25">
      <c r="A75" s="1" t="s">
        <v>141</v>
      </c>
      <c r="B75" s="1" t="s">
        <v>119</v>
      </c>
      <c r="C75" s="5">
        <v>44593</v>
      </c>
      <c r="D75" s="1">
        <v>20</v>
      </c>
      <c r="E75" s="69" t="s">
        <v>115</v>
      </c>
      <c r="F75" s="74">
        <v>4</v>
      </c>
      <c r="G75" s="71">
        <v>34000</v>
      </c>
      <c r="H75" s="89" t="s">
        <v>150</v>
      </c>
      <c r="J75" s="1" t="s">
        <v>156</v>
      </c>
    </row>
    <row r="76" spans="1:10" ht="26.25" x14ac:dyDescent="0.25">
      <c r="A76" s="1" t="s">
        <v>141</v>
      </c>
      <c r="B76" s="1" t="s">
        <v>119</v>
      </c>
      <c r="C76" s="5">
        <v>44593</v>
      </c>
      <c r="D76" s="1">
        <v>21</v>
      </c>
      <c r="E76" s="69" t="s">
        <v>116</v>
      </c>
      <c r="F76" s="74">
        <v>1</v>
      </c>
      <c r="G76" s="71">
        <v>9500</v>
      </c>
      <c r="H76" s="89" t="s">
        <v>150</v>
      </c>
      <c r="J76" s="1" t="s">
        <v>156</v>
      </c>
    </row>
    <row r="77" spans="1:10" ht="26.25" x14ac:dyDescent="0.25">
      <c r="A77" s="1" t="s">
        <v>141</v>
      </c>
      <c r="B77" s="1" t="s">
        <v>119</v>
      </c>
      <c r="C77" s="5">
        <v>44593</v>
      </c>
      <c r="D77" s="1">
        <v>22</v>
      </c>
      <c r="E77" s="69" t="s">
        <v>117</v>
      </c>
      <c r="F77" s="74">
        <v>0</v>
      </c>
      <c r="G77" s="71">
        <v>0</v>
      </c>
      <c r="H77" s="89" t="s">
        <v>150</v>
      </c>
      <c r="J77" s="1" t="s">
        <v>156</v>
      </c>
    </row>
    <row r="78" spans="1:10" ht="15" x14ac:dyDescent="0.25">
      <c r="A78" s="53" t="s">
        <v>279</v>
      </c>
      <c r="B78" s="1" t="s">
        <v>119</v>
      </c>
      <c r="C78" s="5">
        <v>44621</v>
      </c>
      <c r="D78" s="138">
        <v>1</v>
      </c>
      <c r="E78" s="69" t="s">
        <v>280</v>
      </c>
      <c r="F78" s="74"/>
      <c r="H78" s="89"/>
    </row>
    <row r="79" spans="1:10" ht="15" x14ac:dyDescent="0.25">
      <c r="A79" s="53" t="s">
        <v>279</v>
      </c>
      <c r="B79" s="1" t="s">
        <v>119</v>
      </c>
      <c r="C79" s="5">
        <v>44621</v>
      </c>
      <c r="D79" s="138">
        <v>2</v>
      </c>
      <c r="E79" s="69" t="s">
        <v>281</v>
      </c>
      <c r="F79" s="74"/>
      <c r="H79" s="89"/>
    </row>
    <row r="80" spans="1:10" ht="15" x14ac:dyDescent="0.25">
      <c r="A80" s="53" t="s">
        <v>279</v>
      </c>
      <c r="B80" s="1" t="s">
        <v>119</v>
      </c>
      <c r="C80" s="5">
        <v>44621</v>
      </c>
      <c r="D80" s="138">
        <v>3</v>
      </c>
      <c r="E80" s="69" t="s">
        <v>282</v>
      </c>
      <c r="F80" s="74"/>
      <c r="H80" s="89"/>
    </row>
    <row r="81" spans="1:10" ht="15" x14ac:dyDescent="0.25">
      <c r="A81" s="53" t="s">
        <v>279</v>
      </c>
      <c r="B81" s="1" t="s">
        <v>119</v>
      </c>
      <c r="C81" s="5">
        <v>44621</v>
      </c>
      <c r="D81" s="138">
        <v>4</v>
      </c>
      <c r="E81" s="69" t="s">
        <v>283</v>
      </c>
      <c r="F81" s="74"/>
      <c r="H81" s="89"/>
    </row>
    <row r="82" spans="1:10" ht="26.25" x14ac:dyDescent="0.25">
      <c r="A82" s="1" t="s">
        <v>141</v>
      </c>
      <c r="B82" s="1" t="s">
        <v>119</v>
      </c>
      <c r="C82" s="5">
        <v>44621</v>
      </c>
      <c r="D82" s="1">
        <v>6</v>
      </c>
      <c r="E82" s="69" t="s">
        <v>114</v>
      </c>
      <c r="F82" s="74">
        <v>8</v>
      </c>
      <c r="G82" s="71">
        <v>21440</v>
      </c>
      <c r="H82" s="89" t="s">
        <v>150</v>
      </c>
      <c r="I82" s="1">
        <v>1</v>
      </c>
      <c r="J82" s="1" t="s">
        <v>156</v>
      </c>
    </row>
    <row r="83" spans="1:10" ht="26.25" x14ac:dyDescent="0.25">
      <c r="A83" s="1" t="s">
        <v>141</v>
      </c>
      <c r="B83" s="1" t="s">
        <v>119</v>
      </c>
      <c r="C83" s="5">
        <v>44621</v>
      </c>
      <c r="D83" s="1">
        <v>9</v>
      </c>
      <c r="E83" s="69" t="s">
        <v>40</v>
      </c>
      <c r="F83" s="74">
        <v>40</v>
      </c>
      <c r="G83" s="71">
        <v>95200</v>
      </c>
      <c r="H83" s="89" t="s">
        <v>150</v>
      </c>
      <c r="I83" s="1">
        <v>1</v>
      </c>
      <c r="J83" s="1" t="s">
        <v>156</v>
      </c>
    </row>
    <row r="84" spans="1:10" ht="26.25" x14ac:dyDescent="0.25">
      <c r="A84" s="1" t="s">
        <v>141</v>
      </c>
      <c r="B84" s="1" t="s">
        <v>119</v>
      </c>
      <c r="C84" s="5">
        <v>44621</v>
      </c>
      <c r="D84" s="1">
        <v>10</v>
      </c>
      <c r="E84" s="69" t="s">
        <v>41</v>
      </c>
      <c r="F84" s="74">
        <v>96</v>
      </c>
      <c r="G84" s="71">
        <v>257280</v>
      </c>
      <c r="H84" s="89" t="s">
        <v>150</v>
      </c>
      <c r="I84" s="1">
        <v>1</v>
      </c>
      <c r="J84" s="1" t="s">
        <v>156</v>
      </c>
    </row>
    <row r="85" spans="1:10" ht="26.25" x14ac:dyDescent="0.25">
      <c r="A85" s="1" t="s">
        <v>141</v>
      </c>
      <c r="B85" s="1" t="s">
        <v>119</v>
      </c>
      <c r="C85" s="5">
        <v>44621</v>
      </c>
      <c r="D85" s="1">
        <v>11</v>
      </c>
      <c r="E85" s="69" t="s">
        <v>42</v>
      </c>
      <c r="F85" s="74">
        <v>46</v>
      </c>
      <c r="G85" s="71">
        <v>133400</v>
      </c>
      <c r="H85" s="89" t="s">
        <v>150</v>
      </c>
      <c r="I85" s="1">
        <v>1</v>
      </c>
      <c r="J85" s="1" t="s">
        <v>156</v>
      </c>
    </row>
    <row r="86" spans="1:10" ht="26.25" x14ac:dyDescent="0.25">
      <c r="A86" s="1" t="s">
        <v>141</v>
      </c>
      <c r="B86" s="1" t="s">
        <v>119</v>
      </c>
      <c r="C86" s="5">
        <v>44621</v>
      </c>
      <c r="D86" s="1">
        <v>12</v>
      </c>
      <c r="E86" s="69" t="s">
        <v>43</v>
      </c>
      <c r="F86" s="74">
        <v>18</v>
      </c>
      <c r="G86" s="71">
        <v>56520</v>
      </c>
      <c r="H86" s="89" t="s">
        <v>150</v>
      </c>
      <c r="I86" s="1">
        <v>1</v>
      </c>
      <c r="J86" s="1" t="s">
        <v>156</v>
      </c>
    </row>
    <row r="87" spans="1:10" ht="26.25" x14ac:dyDescent="0.25">
      <c r="A87" s="1" t="s">
        <v>141</v>
      </c>
      <c r="B87" s="1" t="s">
        <v>119</v>
      </c>
      <c r="C87" s="5">
        <v>44621</v>
      </c>
      <c r="D87" s="1">
        <v>13</v>
      </c>
      <c r="E87" s="69" t="s">
        <v>44</v>
      </c>
      <c r="F87" s="74">
        <v>7</v>
      </c>
      <c r="G87" s="71">
        <v>24570</v>
      </c>
      <c r="H87" s="89" t="s">
        <v>150</v>
      </c>
      <c r="I87" s="1">
        <v>1</v>
      </c>
      <c r="J87" s="1" t="s">
        <v>156</v>
      </c>
    </row>
    <row r="88" spans="1:10" ht="26.25" x14ac:dyDescent="0.25">
      <c r="A88" s="1" t="s">
        <v>141</v>
      </c>
      <c r="B88" s="1" t="s">
        <v>119</v>
      </c>
      <c r="C88" s="5">
        <v>44621</v>
      </c>
      <c r="D88" s="1">
        <v>14</v>
      </c>
      <c r="E88" s="69" t="s">
        <v>45</v>
      </c>
      <c r="F88" s="74">
        <v>11</v>
      </c>
      <c r="G88" s="71">
        <v>42515</v>
      </c>
      <c r="H88" s="89" t="s">
        <v>150</v>
      </c>
      <c r="I88" s="1">
        <v>1</v>
      </c>
      <c r="J88" s="1" t="s">
        <v>156</v>
      </c>
    </row>
    <row r="89" spans="1:10" ht="26.25" x14ac:dyDescent="0.25">
      <c r="A89" s="1" t="s">
        <v>141</v>
      </c>
      <c r="B89" s="1" t="s">
        <v>119</v>
      </c>
      <c r="C89" s="5">
        <v>44621</v>
      </c>
      <c r="D89" s="1">
        <v>15</v>
      </c>
      <c r="E89" s="69" t="s">
        <v>46</v>
      </c>
      <c r="F89" s="74">
        <v>6</v>
      </c>
      <c r="G89" s="71">
        <v>25620</v>
      </c>
      <c r="H89" s="89" t="s">
        <v>150</v>
      </c>
      <c r="I89" s="1">
        <v>1</v>
      </c>
      <c r="J89" s="1" t="s">
        <v>156</v>
      </c>
    </row>
    <row r="90" spans="1:10" ht="26.25" x14ac:dyDescent="0.25">
      <c r="A90" s="1" t="s">
        <v>141</v>
      </c>
      <c r="B90" s="1" t="s">
        <v>119</v>
      </c>
      <c r="C90" s="5">
        <v>44621</v>
      </c>
      <c r="D90" s="1">
        <v>16</v>
      </c>
      <c r="E90" s="69" t="s">
        <v>47</v>
      </c>
      <c r="F90" s="74">
        <v>2</v>
      </c>
      <c r="G90" s="71">
        <v>9560</v>
      </c>
      <c r="H90" s="89" t="s">
        <v>150</v>
      </c>
      <c r="I90" s="1">
        <v>1</v>
      </c>
      <c r="J90" s="1" t="s">
        <v>156</v>
      </c>
    </row>
    <row r="91" spans="1:10" ht="26.25" x14ac:dyDescent="0.25">
      <c r="A91" s="1" t="s">
        <v>141</v>
      </c>
      <c r="B91" s="1" t="s">
        <v>119</v>
      </c>
      <c r="C91" s="5">
        <v>44621</v>
      </c>
      <c r="D91" s="1">
        <v>17</v>
      </c>
      <c r="E91" s="69" t="s">
        <v>48</v>
      </c>
      <c r="F91" s="74">
        <v>2</v>
      </c>
      <c r="G91" s="71">
        <v>10840</v>
      </c>
      <c r="H91" s="89" t="s">
        <v>150</v>
      </c>
      <c r="I91" s="1">
        <v>1</v>
      </c>
      <c r="J91" s="1" t="s">
        <v>156</v>
      </c>
    </row>
    <row r="92" spans="1:10" ht="26.25" x14ac:dyDescent="0.25">
      <c r="A92" s="1" t="s">
        <v>141</v>
      </c>
      <c r="B92" s="1" t="s">
        <v>119</v>
      </c>
      <c r="C92" s="5">
        <v>44621</v>
      </c>
      <c r="D92" s="1">
        <v>18</v>
      </c>
      <c r="E92" s="69" t="s">
        <v>49</v>
      </c>
      <c r="F92" s="74">
        <v>5</v>
      </c>
      <c r="G92" s="71">
        <v>30750</v>
      </c>
      <c r="H92" s="89" t="s">
        <v>150</v>
      </c>
      <c r="I92" s="1">
        <v>1</v>
      </c>
      <c r="J92" s="1" t="s">
        <v>156</v>
      </c>
    </row>
    <row r="93" spans="1:10" ht="26.25" x14ac:dyDescent="0.25">
      <c r="A93" s="1" t="s">
        <v>141</v>
      </c>
      <c r="B93" s="1" t="s">
        <v>119</v>
      </c>
      <c r="C93" s="5">
        <v>44621</v>
      </c>
      <c r="D93" s="1">
        <v>19</v>
      </c>
      <c r="E93" s="69" t="s">
        <v>50</v>
      </c>
      <c r="F93" s="74">
        <v>6</v>
      </c>
      <c r="G93" s="71">
        <v>41880</v>
      </c>
      <c r="H93" s="89" t="s">
        <v>150</v>
      </c>
      <c r="I93" s="1">
        <v>1</v>
      </c>
      <c r="J93" s="1" t="s">
        <v>156</v>
      </c>
    </row>
    <row r="94" spans="1:10" ht="26.25" x14ac:dyDescent="0.25">
      <c r="A94" s="1" t="s">
        <v>141</v>
      </c>
      <c r="B94" s="1" t="s">
        <v>119</v>
      </c>
      <c r="C94" s="5">
        <v>44621</v>
      </c>
      <c r="D94" s="1">
        <v>20</v>
      </c>
      <c r="E94" s="69" t="s">
        <v>115</v>
      </c>
      <c r="F94" s="74">
        <v>4</v>
      </c>
      <c r="G94" s="71">
        <v>34000</v>
      </c>
      <c r="H94" s="89" t="s">
        <v>150</v>
      </c>
      <c r="I94" s="1">
        <v>1</v>
      </c>
      <c r="J94" s="1" t="s">
        <v>156</v>
      </c>
    </row>
    <row r="95" spans="1:10" ht="26.25" x14ac:dyDescent="0.25">
      <c r="A95" s="1" t="s">
        <v>141</v>
      </c>
      <c r="B95" s="1" t="s">
        <v>119</v>
      </c>
      <c r="C95" s="5">
        <v>44621</v>
      </c>
      <c r="D95" s="1">
        <v>21</v>
      </c>
      <c r="E95" s="69" t="s">
        <v>116</v>
      </c>
      <c r="F95" s="74">
        <v>1</v>
      </c>
      <c r="G95" s="71">
        <v>9500</v>
      </c>
      <c r="H95" s="89" t="s">
        <v>150</v>
      </c>
      <c r="I95" s="1">
        <v>1</v>
      </c>
      <c r="J95" s="1" t="s">
        <v>156</v>
      </c>
    </row>
    <row r="96" spans="1:10" ht="26.25" x14ac:dyDescent="0.25">
      <c r="A96" s="1" t="s">
        <v>141</v>
      </c>
      <c r="B96" s="1" t="s">
        <v>119</v>
      </c>
      <c r="C96" s="5">
        <v>44621</v>
      </c>
      <c r="D96" s="1">
        <v>22</v>
      </c>
      <c r="E96" s="69" t="s">
        <v>117</v>
      </c>
      <c r="F96" s="74">
        <v>0</v>
      </c>
      <c r="G96" s="71">
        <v>0</v>
      </c>
      <c r="H96" s="89" t="s">
        <v>150</v>
      </c>
      <c r="I96" s="1">
        <v>1</v>
      </c>
      <c r="J96" s="1" t="s">
        <v>156</v>
      </c>
    </row>
    <row r="97" spans="1:10" ht="15" x14ac:dyDescent="0.25">
      <c r="A97" s="53" t="s">
        <v>279</v>
      </c>
      <c r="B97" s="1" t="s">
        <v>119</v>
      </c>
      <c r="C97" s="5">
        <v>44652</v>
      </c>
      <c r="D97" s="138">
        <v>1</v>
      </c>
      <c r="E97" s="69" t="s">
        <v>280</v>
      </c>
      <c r="F97" s="74"/>
      <c r="H97" s="89"/>
    </row>
    <row r="98" spans="1:10" ht="15" x14ac:dyDescent="0.25">
      <c r="A98" s="53" t="s">
        <v>279</v>
      </c>
      <c r="B98" s="1" t="s">
        <v>119</v>
      </c>
      <c r="C98" s="5">
        <v>44652</v>
      </c>
      <c r="D98" s="138">
        <v>2</v>
      </c>
      <c r="E98" s="69" t="s">
        <v>281</v>
      </c>
      <c r="F98" s="74"/>
      <c r="H98" s="89"/>
    </row>
    <row r="99" spans="1:10" ht="15" x14ac:dyDescent="0.25">
      <c r="A99" s="53" t="s">
        <v>279</v>
      </c>
      <c r="B99" s="1" t="s">
        <v>119</v>
      </c>
      <c r="C99" s="5">
        <v>44652</v>
      </c>
      <c r="D99" s="138">
        <v>3</v>
      </c>
      <c r="E99" s="69" t="s">
        <v>282</v>
      </c>
      <c r="F99" s="74"/>
      <c r="H99" s="89"/>
    </row>
    <row r="100" spans="1:10" ht="15" x14ac:dyDescent="0.25">
      <c r="A100" s="53" t="s">
        <v>279</v>
      </c>
      <c r="B100" s="1" t="s">
        <v>119</v>
      </c>
      <c r="C100" s="5">
        <v>44652</v>
      </c>
      <c r="D100" s="138">
        <v>4</v>
      </c>
      <c r="E100" s="69" t="s">
        <v>283</v>
      </c>
      <c r="F100" s="74"/>
      <c r="H100" s="89"/>
    </row>
    <row r="101" spans="1:10" ht="26.25" x14ac:dyDescent="0.25">
      <c r="A101" s="1" t="s">
        <v>141</v>
      </c>
      <c r="B101" s="1" t="s">
        <v>119</v>
      </c>
      <c r="C101" s="5">
        <v>44652</v>
      </c>
      <c r="D101" s="1">
        <v>6</v>
      </c>
      <c r="E101" s="69" t="s">
        <v>114</v>
      </c>
      <c r="F101" s="74">
        <v>8</v>
      </c>
      <c r="G101" s="71">
        <v>21440</v>
      </c>
      <c r="H101" s="89" t="s">
        <v>150</v>
      </c>
      <c r="J101" s="1" t="s">
        <v>156</v>
      </c>
    </row>
    <row r="102" spans="1:10" ht="26.25" x14ac:dyDescent="0.25">
      <c r="A102" s="1" t="s">
        <v>141</v>
      </c>
      <c r="B102" s="1" t="s">
        <v>119</v>
      </c>
      <c r="C102" s="5">
        <v>44652</v>
      </c>
      <c r="D102" s="1">
        <v>9</v>
      </c>
      <c r="E102" s="69" t="s">
        <v>40</v>
      </c>
      <c r="F102" s="74">
        <v>34</v>
      </c>
      <c r="G102" s="71">
        <v>80920</v>
      </c>
      <c r="H102" s="89" t="s">
        <v>150</v>
      </c>
      <c r="J102" s="1" t="s">
        <v>156</v>
      </c>
    </row>
    <row r="103" spans="1:10" ht="26.25" x14ac:dyDescent="0.25">
      <c r="A103" s="1" t="s">
        <v>141</v>
      </c>
      <c r="B103" s="1" t="s">
        <v>119</v>
      </c>
      <c r="C103" s="5">
        <v>44652</v>
      </c>
      <c r="D103" s="1">
        <v>10</v>
      </c>
      <c r="E103" s="69" t="s">
        <v>41</v>
      </c>
      <c r="F103" s="74">
        <v>88</v>
      </c>
      <c r="G103" s="71">
        <v>235840</v>
      </c>
      <c r="H103" s="89" t="s">
        <v>150</v>
      </c>
      <c r="J103" s="1" t="s">
        <v>156</v>
      </c>
    </row>
    <row r="104" spans="1:10" ht="26.25" x14ac:dyDescent="0.25">
      <c r="A104" s="1" t="s">
        <v>141</v>
      </c>
      <c r="B104" s="1" t="s">
        <v>119</v>
      </c>
      <c r="C104" s="5">
        <v>44652</v>
      </c>
      <c r="D104" s="1">
        <v>11</v>
      </c>
      <c r="E104" s="69" t="s">
        <v>42</v>
      </c>
      <c r="F104" s="74">
        <v>54</v>
      </c>
      <c r="G104" s="71">
        <v>156600</v>
      </c>
      <c r="H104" s="89" t="s">
        <v>150</v>
      </c>
      <c r="J104" s="1" t="s">
        <v>156</v>
      </c>
    </row>
    <row r="105" spans="1:10" ht="26.25" x14ac:dyDescent="0.25">
      <c r="A105" s="1" t="s">
        <v>141</v>
      </c>
      <c r="B105" s="1" t="s">
        <v>119</v>
      </c>
      <c r="C105" s="5">
        <v>44652</v>
      </c>
      <c r="D105" s="1">
        <v>12</v>
      </c>
      <c r="E105" s="69" t="s">
        <v>43</v>
      </c>
      <c r="F105" s="74">
        <v>19</v>
      </c>
      <c r="G105" s="71">
        <v>59660</v>
      </c>
      <c r="H105" s="89" t="s">
        <v>150</v>
      </c>
      <c r="J105" s="1" t="s">
        <v>156</v>
      </c>
    </row>
    <row r="106" spans="1:10" ht="26.25" x14ac:dyDescent="0.25">
      <c r="A106" s="1" t="s">
        <v>141</v>
      </c>
      <c r="B106" s="1" t="s">
        <v>119</v>
      </c>
      <c r="C106" s="5">
        <v>44652</v>
      </c>
      <c r="D106" s="1">
        <v>13</v>
      </c>
      <c r="E106" s="69" t="s">
        <v>44</v>
      </c>
      <c r="F106" s="74">
        <v>6</v>
      </c>
      <c r="G106" s="71">
        <v>21060</v>
      </c>
      <c r="H106" s="89" t="s">
        <v>150</v>
      </c>
      <c r="J106" s="1" t="s">
        <v>156</v>
      </c>
    </row>
    <row r="107" spans="1:10" ht="26.25" x14ac:dyDescent="0.25">
      <c r="A107" s="1" t="s">
        <v>141</v>
      </c>
      <c r="B107" s="1" t="s">
        <v>119</v>
      </c>
      <c r="C107" s="5">
        <v>44652</v>
      </c>
      <c r="D107" s="1">
        <v>14</v>
      </c>
      <c r="E107" s="69" t="s">
        <v>45</v>
      </c>
      <c r="F107" s="74">
        <v>10</v>
      </c>
      <c r="G107" s="71">
        <v>38650</v>
      </c>
      <c r="H107" s="89" t="s">
        <v>150</v>
      </c>
      <c r="J107" s="1" t="s">
        <v>156</v>
      </c>
    </row>
    <row r="108" spans="1:10" ht="26.25" x14ac:dyDescent="0.25">
      <c r="A108" s="1" t="s">
        <v>141</v>
      </c>
      <c r="B108" s="1" t="s">
        <v>119</v>
      </c>
      <c r="C108" s="5">
        <v>44652</v>
      </c>
      <c r="D108" s="1">
        <v>15</v>
      </c>
      <c r="E108" s="69" t="s">
        <v>46</v>
      </c>
      <c r="F108" s="74">
        <v>7</v>
      </c>
      <c r="G108" s="71">
        <v>29890</v>
      </c>
      <c r="H108" s="89" t="s">
        <v>150</v>
      </c>
      <c r="J108" s="1" t="s">
        <v>156</v>
      </c>
    </row>
    <row r="109" spans="1:10" ht="26.25" x14ac:dyDescent="0.25">
      <c r="A109" s="1" t="s">
        <v>141</v>
      </c>
      <c r="B109" s="1" t="s">
        <v>119</v>
      </c>
      <c r="C109" s="5">
        <v>44652</v>
      </c>
      <c r="D109" s="1">
        <v>16</v>
      </c>
      <c r="E109" s="69" t="s">
        <v>47</v>
      </c>
      <c r="F109" s="74">
        <v>1</v>
      </c>
      <c r="G109" s="71">
        <v>4780</v>
      </c>
      <c r="H109" s="89" t="s">
        <v>150</v>
      </c>
      <c r="J109" s="1" t="s">
        <v>156</v>
      </c>
    </row>
    <row r="110" spans="1:10" ht="26.25" x14ac:dyDescent="0.25">
      <c r="A110" s="1" t="s">
        <v>141</v>
      </c>
      <c r="B110" s="1" t="s">
        <v>119</v>
      </c>
      <c r="C110" s="5">
        <v>44652</v>
      </c>
      <c r="D110" s="1">
        <v>17</v>
      </c>
      <c r="E110" s="69" t="s">
        <v>48</v>
      </c>
      <c r="F110" s="74">
        <v>3</v>
      </c>
      <c r="G110" s="71">
        <v>16260</v>
      </c>
      <c r="H110" s="89" t="s">
        <v>150</v>
      </c>
      <c r="J110" s="1" t="s">
        <v>156</v>
      </c>
    </row>
    <row r="111" spans="1:10" ht="26.25" x14ac:dyDescent="0.25">
      <c r="A111" s="1" t="s">
        <v>141</v>
      </c>
      <c r="B111" s="1" t="s">
        <v>119</v>
      </c>
      <c r="C111" s="5">
        <v>44652</v>
      </c>
      <c r="D111" s="1">
        <v>18</v>
      </c>
      <c r="E111" s="69" t="s">
        <v>49</v>
      </c>
      <c r="F111" s="74">
        <v>5</v>
      </c>
      <c r="G111" s="71">
        <v>30750</v>
      </c>
      <c r="H111" s="89" t="s">
        <v>150</v>
      </c>
      <c r="J111" s="1" t="s">
        <v>156</v>
      </c>
    </row>
    <row r="112" spans="1:10" ht="26.25" x14ac:dyDescent="0.25">
      <c r="A112" s="1" t="s">
        <v>141</v>
      </c>
      <c r="B112" s="1" t="s">
        <v>119</v>
      </c>
      <c r="C112" s="5">
        <v>44652</v>
      </c>
      <c r="D112" s="1">
        <v>19</v>
      </c>
      <c r="E112" s="69" t="s">
        <v>50</v>
      </c>
      <c r="F112" s="74">
        <v>6</v>
      </c>
      <c r="G112" s="71">
        <v>41880</v>
      </c>
      <c r="H112" s="89" t="s">
        <v>150</v>
      </c>
      <c r="J112" s="1" t="s">
        <v>156</v>
      </c>
    </row>
    <row r="113" spans="1:11" ht="26.25" x14ac:dyDescent="0.25">
      <c r="A113" s="1" t="s">
        <v>141</v>
      </c>
      <c r="B113" s="1" t="s">
        <v>119</v>
      </c>
      <c r="C113" s="5">
        <v>44652</v>
      </c>
      <c r="D113" s="1">
        <v>20</v>
      </c>
      <c r="E113" s="69" t="s">
        <v>115</v>
      </c>
      <c r="F113" s="74">
        <v>4</v>
      </c>
      <c r="G113" s="71">
        <v>34000</v>
      </c>
      <c r="H113" s="89" t="s">
        <v>150</v>
      </c>
      <c r="J113" s="1" t="s">
        <v>156</v>
      </c>
    </row>
    <row r="114" spans="1:11" ht="26.25" x14ac:dyDescent="0.25">
      <c r="A114" s="1" t="s">
        <v>141</v>
      </c>
      <c r="B114" s="1" t="s">
        <v>119</v>
      </c>
      <c r="C114" s="5">
        <v>44652</v>
      </c>
      <c r="D114" s="1">
        <v>21</v>
      </c>
      <c r="E114" s="69" t="s">
        <v>116</v>
      </c>
      <c r="F114" s="74">
        <v>1</v>
      </c>
      <c r="G114" s="71">
        <v>9500</v>
      </c>
      <c r="H114" s="89" t="s">
        <v>150</v>
      </c>
      <c r="J114" s="1" t="s">
        <v>156</v>
      </c>
    </row>
    <row r="115" spans="1:11" ht="26.25" x14ac:dyDescent="0.25">
      <c r="A115" s="1" t="s">
        <v>141</v>
      </c>
      <c r="B115" s="1" t="s">
        <v>119</v>
      </c>
      <c r="C115" s="5">
        <v>44652</v>
      </c>
      <c r="D115" s="1">
        <v>22</v>
      </c>
      <c r="E115" s="69" t="s">
        <v>117</v>
      </c>
      <c r="F115" s="74">
        <v>0</v>
      </c>
      <c r="G115" s="71">
        <v>0</v>
      </c>
      <c r="H115" s="89" t="s">
        <v>150</v>
      </c>
      <c r="J115" s="1" t="s">
        <v>156</v>
      </c>
    </row>
    <row r="116" spans="1:11" ht="15" x14ac:dyDescent="0.25">
      <c r="A116" s="53" t="s">
        <v>279</v>
      </c>
      <c r="B116" s="1" t="s">
        <v>119</v>
      </c>
      <c r="C116" s="5">
        <v>44682</v>
      </c>
      <c r="D116" s="138">
        <v>1</v>
      </c>
      <c r="E116" s="69" t="s">
        <v>280</v>
      </c>
      <c r="F116" s="74"/>
      <c r="H116" s="89"/>
    </row>
    <row r="117" spans="1:11" ht="15" x14ac:dyDescent="0.25">
      <c r="A117" s="53" t="s">
        <v>279</v>
      </c>
      <c r="B117" s="1" t="s">
        <v>119</v>
      </c>
      <c r="C117" s="5">
        <v>44682</v>
      </c>
      <c r="D117" s="138">
        <v>2</v>
      </c>
      <c r="E117" s="69" t="s">
        <v>281</v>
      </c>
      <c r="F117" s="74"/>
      <c r="H117" s="89"/>
    </row>
    <row r="118" spans="1:11" ht="15" x14ac:dyDescent="0.25">
      <c r="A118" s="53" t="s">
        <v>279</v>
      </c>
      <c r="B118" s="1" t="s">
        <v>119</v>
      </c>
      <c r="C118" s="5">
        <v>44682</v>
      </c>
      <c r="D118" s="138">
        <v>3</v>
      </c>
      <c r="E118" s="69" t="s">
        <v>282</v>
      </c>
      <c r="F118" s="74"/>
      <c r="H118" s="89"/>
    </row>
    <row r="119" spans="1:11" ht="15" x14ac:dyDescent="0.25">
      <c r="A119" s="53" t="s">
        <v>279</v>
      </c>
      <c r="B119" s="1" t="s">
        <v>119</v>
      </c>
      <c r="C119" s="5">
        <v>44682</v>
      </c>
      <c r="D119" s="138">
        <v>4</v>
      </c>
      <c r="E119" s="69" t="s">
        <v>283</v>
      </c>
      <c r="F119" s="74"/>
      <c r="H119" s="89"/>
    </row>
    <row r="120" spans="1:11" ht="26.25" x14ac:dyDescent="0.25">
      <c r="A120" s="1" t="s">
        <v>141</v>
      </c>
      <c r="B120" s="1" t="s">
        <v>119</v>
      </c>
      <c r="C120" s="5">
        <v>44682</v>
      </c>
      <c r="D120" s="1">
        <v>6</v>
      </c>
      <c r="E120" s="69" t="s">
        <v>114</v>
      </c>
      <c r="F120" s="74">
        <v>9</v>
      </c>
      <c r="G120" s="71">
        <v>24120</v>
      </c>
      <c r="H120" s="89" t="s">
        <v>150</v>
      </c>
      <c r="I120" s="1">
        <v>2</v>
      </c>
      <c r="J120" s="1" t="s">
        <v>156</v>
      </c>
      <c r="K120" s="1" t="s">
        <v>152</v>
      </c>
    </row>
    <row r="121" spans="1:11" ht="26.25" x14ac:dyDescent="0.25">
      <c r="A121" s="1" t="s">
        <v>141</v>
      </c>
      <c r="B121" s="1" t="s">
        <v>119</v>
      </c>
      <c r="C121" s="5">
        <v>44682</v>
      </c>
      <c r="D121" s="1">
        <v>9</v>
      </c>
      <c r="E121" s="69" t="s">
        <v>40</v>
      </c>
      <c r="F121" s="74">
        <v>29</v>
      </c>
      <c r="G121" s="71">
        <v>69020</v>
      </c>
      <c r="H121" s="89" t="s">
        <v>150</v>
      </c>
      <c r="I121" s="1">
        <v>2</v>
      </c>
      <c r="J121" s="1" t="s">
        <v>156</v>
      </c>
      <c r="K121" s="1" t="s">
        <v>152</v>
      </c>
    </row>
    <row r="122" spans="1:11" ht="26.25" x14ac:dyDescent="0.25">
      <c r="A122" s="1" t="s">
        <v>141</v>
      </c>
      <c r="B122" s="1" t="s">
        <v>119</v>
      </c>
      <c r="C122" s="5">
        <v>44682</v>
      </c>
      <c r="D122" s="1">
        <v>10</v>
      </c>
      <c r="E122" s="69" t="s">
        <v>41</v>
      </c>
      <c r="F122" s="74">
        <v>88</v>
      </c>
      <c r="G122" s="71">
        <v>235840</v>
      </c>
      <c r="H122" s="89" t="s">
        <v>150</v>
      </c>
      <c r="I122" s="1">
        <v>2</v>
      </c>
      <c r="J122" s="1" t="s">
        <v>156</v>
      </c>
      <c r="K122" s="1" t="s">
        <v>152</v>
      </c>
    </row>
    <row r="123" spans="1:11" ht="26.25" x14ac:dyDescent="0.25">
      <c r="A123" s="1" t="s">
        <v>141</v>
      </c>
      <c r="B123" s="1" t="s">
        <v>119</v>
      </c>
      <c r="C123" s="5">
        <v>44682</v>
      </c>
      <c r="D123" s="1">
        <v>11</v>
      </c>
      <c r="E123" s="69" t="s">
        <v>42</v>
      </c>
      <c r="F123" s="74">
        <v>54</v>
      </c>
      <c r="G123" s="71">
        <v>156600</v>
      </c>
      <c r="H123" s="89" t="s">
        <v>150</v>
      </c>
      <c r="I123" s="1">
        <v>2</v>
      </c>
      <c r="J123" s="1" t="s">
        <v>156</v>
      </c>
      <c r="K123" s="1" t="s">
        <v>152</v>
      </c>
    </row>
    <row r="124" spans="1:11" ht="26.25" x14ac:dyDescent="0.25">
      <c r="A124" s="1" t="s">
        <v>141</v>
      </c>
      <c r="B124" s="1" t="s">
        <v>119</v>
      </c>
      <c r="C124" s="5">
        <v>44682</v>
      </c>
      <c r="D124" s="1">
        <v>12</v>
      </c>
      <c r="E124" s="69" t="s">
        <v>43</v>
      </c>
      <c r="F124" s="74">
        <v>19</v>
      </c>
      <c r="G124" s="71">
        <v>59660</v>
      </c>
      <c r="H124" s="89" t="s">
        <v>150</v>
      </c>
      <c r="I124" s="1">
        <v>2</v>
      </c>
      <c r="J124" s="1" t="s">
        <v>156</v>
      </c>
      <c r="K124" s="1" t="s">
        <v>152</v>
      </c>
    </row>
    <row r="125" spans="1:11" ht="26.25" x14ac:dyDescent="0.25">
      <c r="A125" s="1" t="s">
        <v>141</v>
      </c>
      <c r="B125" s="1" t="s">
        <v>119</v>
      </c>
      <c r="C125" s="5">
        <v>44682</v>
      </c>
      <c r="D125" s="1">
        <v>13</v>
      </c>
      <c r="E125" s="69" t="s">
        <v>44</v>
      </c>
      <c r="F125" s="74">
        <v>6</v>
      </c>
      <c r="G125" s="71">
        <v>21060</v>
      </c>
      <c r="H125" s="89" t="s">
        <v>150</v>
      </c>
      <c r="I125" s="1">
        <v>2</v>
      </c>
      <c r="J125" s="1" t="s">
        <v>156</v>
      </c>
      <c r="K125" s="1" t="s">
        <v>152</v>
      </c>
    </row>
    <row r="126" spans="1:11" ht="26.25" x14ac:dyDescent="0.25">
      <c r="A126" s="1" t="s">
        <v>141</v>
      </c>
      <c r="B126" s="1" t="s">
        <v>119</v>
      </c>
      <c r="C126" s="5">
        <v>44682</v>
      </c>
      <c r="D126" s="1">
        <v>14</v>
      </c>
      <c r="E126" s="69" t="s">
        <v>45</v>
      </c>
      <c r="F126" s="74">
        <v>10</v>
      </c>
      <c r="G126" s="71">
        <v>38650</v>
      </c>
      <c r="H126" s="89" t="s">
        <v>150</v>
      </c>
      <c r="I126" s="1">
        <v>2</v>
      </c>
      <c r="J126" s="1" t="s">
        <v>156</v>
      </c>
      <c r="K126" s="1" t="s">
        <v>152</v>
      </c>
    </row>
    <row r="127" spans="1:11" ht="26.25" x14ac:dyDescent="0.25">
      <c r="A127" s="1" t="s">
        <v>141</v>
      </c>
      <c r="B127" s="1" t="s">
        <v>119</v>
      </c>
      <c r="C127" s="5">
        <v>44682</v>
      </c>
      <c r="D127" s="1">
        <v>15</v>
      </c>
      <c r="E127" s="69" t="s">
        <v>46</v>
      </c>
      <c r="F127" s="74">
        <v>7</v>
      </c>
      <c r="G127" s="71">
        <v>29890</v>
      </c>
      <c r="H127" s="89" t="s">
        <v>150</v>
      </c>
      <c r="I127" s="1">
        <v>2</v>
      </c>
      <c r="J127" s="1" t="s">
        <v>156</v>
      </c>
      <c r="K127" s="1" t="s">
        <v>152</v>
      </c>
    </row>
    <row r="128" spans="1:11" ht="26.25" x14ac:dyDescent="0.25">
      <c r="A128" s="1" t="s">
        <v>141</v>
      </c>
      <c r="B128" s="1" t="s">
        <v>119</v>
      </c>
      <c r="C128" s="5">
        <v>44682</v>
      </c>
      <c r="D128" s="1">
        <v>16</v>
      </c>
      <c r="E128" s="69" t="s">
        <v>47</v>
      </c>
      <c r="F128" s="74">
        <v>1</v>
      </c>
      <c r="G128" s="71">
        <v>4780</v>
      </c>
      <c r="H128" s="89" t="s">
        <v>150</v>
      </c>
      <c r="I128" s="1">
        <v>2</v>
      </c>
      <c r="J128" s="1" t="s">
        <v>156</v>
      </c>
      <c r="K128" s="1" t="s">
        <v>152</v>
      </c>
    </row>
    <row r="129" spans="1:11" ht="26.25" x14ac:dyDescent="0.25">
      <c r="A129" s="1" t="s">
        <v>141</v>
      </c>
      <c r="B129" s="1" t="s">
        <v>119</v>
      </c>
      <c r="C129" s="5">
        <v>44682</v>
      </c>
      <c r="D129" s="1">
        <v>17</v>
      </c>
      <c r="E129" s="69" t="s">
        <v>48</v>
      </c>
      <c r="F129" s="74">
        <v>3</v>
      </c>
      <c r="G129" s="71">
        <v>16260</v>
      </c>
      <c r="H129" s="89" t="s">
        <v>150</v>
      </c>
      <c r="I129" s="1">
        <v>2</v>
      </c>
      <c r="J129" s="1" t="s">
        <v>156</v>
      </c>
      <c r="K129" s="1" t="s">
        <v>152</v>
      </c>
    </row>
    <row r="130" spans="1:11" ht="26.25" x14ac:dyDescent="0.25">
      <c r="A130" s="1" t="s">
        <v>141</v>
      </c>
      <c r="B130" s="1" t="s">
        <v>119</v>
      </c>
      <c r="C130" s="5">
        <v>44682</v>
      </c>
      <c r="D130" s="1">
        <v>18</v>
      </c>
      <c r="E130" s="69" t="s">
        <v>49</v>
      </c>
      <c r="F130" s="74">
        <v>5</v>
      </c>
      <c r="G130" s="71">
        <v>30750</v>
      </c>
      <c r="H130" s="89" t="s">
        <v>150</v>
      </c>
      <c r="I130" s="1">
        <v>2</v>
      </c>
      <c r="J130" s="1" t="s">
        <v>156</v>
      </c>
      <c r="K130" s="1" t="s">
        <v>152</v>
      </c>
    </row>
    <row r="131" spans="1:11" ht="26.25" x14ac:dyDescent="0.25">
      <c r="A131" s="1" t="s">
        <v>141</v>
      </c>
      <c r="B131" s="1" t="s">
        <v>119</v>
      </c>
      <c r="C131" s="5">
        <v>44682</v>
      </c>
      <c r="D131" s="1">
        <v>19</v>
      </c>
      <c r="E131" s="69" t="s">
        <v>50</v>
      </c>
      <c r="F131" s="74">
        <v>6</v>
      </c>
      <c r="G131" s="71">
        <v>41880</v>
      </c>
      <c r="H131" s="89" t="s">
        <v>150</v>
      </c>
      <c r="I131" s="1">
        <v>2</v>
      </c>
      <c r="J131" s="1" t="s">
        <v>156</v>
      </c>
      <c r="K131" s="1" t="s">
        <v>152</v>
      </c>
    </row>
    <row r="132" spans="1:11" ht="26.25" x14ac:dyDescent="0.25">
      <c r="A132" s="1" t="s">
        <v>141</v>
      </c>
      <c r="B132" s="1" t="s">
        <v>119</v>
      </c>
      <c r="C132" s="5">
        <v>44682</v>
      </c>
      <c r="D132" s="1">
        <v>20</v>
      </c>
      <c r="E132" s="69" t="s">
        <v>115</v>
      </c>
      <c r="F132" s="74">
        <v>4</v>
      </c>
      <c r="G132" s="71">
        <v>34000</v>
      </c>
      <c r="H132" s="89" t="s">
        <v>150</v>
      </c>
      <c r="I132" s="1">
        <v>2</v>
      </c>
      <c r="J132" s="1" t="s">
        <v>156</v>
      </c>
      <c r="K132" s="1" t="s">
        <v>152</v>
      </c>
    </row>
    <row r="133" spans="1:11" ht="26.25" x14ac:dyDescent="0.25">
      <c r="A133" s="1" t="s">
        <v>141</v>
      </c>
      <c r="B133" s="1" t="s">
        <v>119</v>
      </c>
      <c r="C133" s="5">
        <v>44682</v>
      </c>
      <c r="D133" s="1">
        <v>21</v>
      </c>
      <c r="E133" s="69" t="s">
        <v>116</v>
      </c>
      <c r="F133" s="74">
        <v>1</v>
      </c>
      <c r="G133" s="71">
        <v>9500</v>
      </c>
      <c r="H133" s="89" t="s">
        <v>150</v>
      </c>
      <c r="I133" s="1">
        <v>2</v>
      </c>
      <c r="J133" s="1" t="s">
        <v>156</v>
      </c>
      <c r="K133" s="1" t="s">
        <v>152</v>
      </c>
    </row>
    <row r="134" spans="1:11" ht="26.25" x14ac:dyDescent="0.25">
      <c r="A134" s="1" t="s">
        <v>141</v>
      </c>
      <c r="B134" s="1" t="s">
        <v>119</v>
      </c>
      <c r="C134" s="5">
        <v>44682</v>
      </c>
      <c r="D134" s="1">
        <v>22</v>
      </c>
      <c r="E134" s="69" t="s">
        <v>117</v>
      </c>
      <c r="F134" s="74">
        <v>0</v>
      </c>
      <c r="G134" s="71">
        <v>0</v>
      </c>
      <c r="H134" s="89" t="s">
        <v>150</v>
      </c>
      <c r="I134" s="1">
        <v>2</v>
      </c>
      <c r="J134" s="1" t="s">
        <v>156</v>
      </c>
      <c r="K134" s="1" t="s">
        <v>152</v>
      </c>
    </row>
    <row r="135" spans="1:11" ht="15" x14ac:dyDescent="0.25">
      <c r="A135" s="53" t="s">
        <v>279</v>
      </c>
      <c r="B135" s="1" t="s">
        <v>119</v>
      </c>
      <c r="C135" s="5">
        <v>44713</v>
      </c>
      <c r="D135" s="138">
        <v>1</v>
      </c>
      <c r="E135" s="69" t="s">
        <v>280</v>
      </c>
      <c r="F135" s="74"/>
      <c r="H135" s="89"/>
    </row>
    <row r="136" spans="1:11" ht="15" x14ac:dyDescent="0.25">
      <c r="A136" s="53" t="s">
        <v>279</v>
      </c>
      <c r="B136" s="1" t="s">
        <v>119</v>
      </c>
      <c r="C136" s="5">
        <v>44713</v>
      </c>
      <c r="D136" s="138">
        <v>2</v>
      </c>
      <c r="E136" s="69" t="s">
        <v>281</v>
      </c>
      <c r="F136" s="74"/>
      <c r="H136" s="89"/>
    </row>
    <row r="137" spans="1:11" ht="15" x14ac:dyDescent="0.25">
      <c r="A137" s="53" t="s">
        <v>279</v>
      </c>
      <c r="B137" s="1" t="s">
        <v>119</v>
      </c>
      <c r="C137" s="5">
        <v>44713</v>
      </c>
      <c r="D137" s="138">
        <v>3</v>
      </c>
      <c r="E137" s="69" t="s">
        <v>282</v>
      </c>
      <c r="F137" s="74"/>
      <c r="H137" s="89"/>
    </row>
    <row r="138" spans="1:11" ht="15" x14ac:dyDescent="0.25">
      <c r="A138" s="53" t="s">
        <v>279</v>
      </c>
      <c r="B138" s="1" t="s">
        <v>119</v>
      </c>
      <c r="C138" s="5">
        <v>44713</v>
      </c>
      <c r="D138" s="138">
        <v>4</v>
      </c>
      <c r="E138" s="69" t="s">
        <v>283</v>
      </c>
      <c r="F138" s="74"/>
      <c r="H138" s="89"/>
    </row>
    <row r="139" spans="1:11" ht="26.25" x14ac:dyDescent="0.25">
      <c r="A139" s="1" t="s">
        <v>141</v>
      </c>
      <c r="B139" s="1" t="s">
        <v>119</v>
      </c>
      <c r="C139" s="5">
        <v>44713</v>
      </c>
      <c r="D139" s="1">
        <v>6</v>
      </c>
      <c r="E139" s="69" t="s">
        <v>114</v>
      </c>
      <c r="F139" s="74">
        <v>9</v>
      </c>
      <c r="G139" s="71">
        <v>24120</v>
      </c>
      <c r="H139" s="89" t="s">
        <v>150</v>
      </c>
      <c r="J139" s="1" t="s">
        <v>156</v>
      </c>
    </row>
    <row r="140" spans="1:11" ht="26.25" x14ac:dyDescent="0.25">
      <c r="A140" s="1" t="s">
        <v>141</v>
      </c>
      <c r="B140" s="1" t="s">
        <v>119</v>
      </c>
      <c r="C140" s="5">
        <v>44713</v>
      </c>
      <c r="D140" s="1">
        <v>9</v>
      </c>
      <c r="E140" s="69" t="s">
        <v>40</v>
      </c>
      <c r="F140" s="74">
        <v>29</v>
      </c>
      <c r="G140" s="71">
        <v>69020</v>
      </c>
      <c r="H140" s="89" t="s">
        <v>150</v>
      </c>
      <c r="J140" s="1" t="s">
        <v>156</v>
      </c>
    </row>
    <row r="141" spans="1:11" ht="26.25" x14ac:dyDescent="0.25">
      <c r="A141" s="1" t="s">
        <v>141</v>
      </c>
      <c r="B141" s="1" t="s">
        <v>119</v>
      </c>
      <c r="C141" s="5">
        <v>44713</v>
      </c>
      <c r="D141" s="1">
        <v>10</v>
      </c>
      <c r="E141" s="69" t="s">
        <v>41</v>
      </c>
      <c r="F141" s="74">
        <v>88</v>
      </c>
      <c r="G141" s="71">
        <v>235840</v>
      </c>
      <c r="H141" s="89" t="s">
        <v>150</v>
      </c>
      <c r="J141" s="1" t="s">
        <v>156</v>
      </c>
    </row>
    <row r="142" spans="1:11" ht="26.25" x14ac:dyDescent="0.25">
      <c r="A142" s="1" t="s">
        <v>141</v>
      </c>
      <c r="B142" s="1" t="s">
        <v>119</v>
      </c>
      <c r="C142" s="5">
        <v>44713</v>
      </c>
      <c r="D142" s="1">
        <v>11</v>
      </c>
      <c r="E142" s="69" t="s">
        <v>42</v>
      </c>
      <c r="F142" s="74">
        <v>55</v>
      </c>
      <c r="G142" s="71">
        <v>159500</v>
      </c>
      <c r="H142" s="89" t="s">
        <v>150</v>
      </c>
      <c r="J142" s="1" t="s">
        <v>156</v>
      </c>
    </row>
    <row r="143" spans="1:11" ht="26.25" x14ac:dyDescent="0.25">
      <c r="A143" s="1" t="s">
        <v>141</v>
      </c>
      <c r="B143" s="1" t="s">
        <v>119</v>
      </c>
      <c r="C143" s="5">
        <v>44713</v>
      </c>
      <c r="D143" s="1">
        <v>12</v>
      </c>
      <c r="E143" s="69" t="s">
        <v>43</v>
      </c>
      <c r="F143" s="74">
        <v>19</v>
      </c>
      <c r="G143" s="71">
        <v>59660</v>
      </c>
      <c r="H143" s="89" t="s">
        <v>150</v>
      </c>
      <c r="J143" s="1" t="s">
        <v>156</v>
      </c>
    </row>
    <row r="144" spans="1:11" ht="26.25" x14ac:dyDescent="0.25">
      <c r="A144" s="1" t="s">
        <v>141</v>
      </c>
      <c r="B144" s="1" t="s">
        <v>119</v>
      </c>
      <c r="C144" s="5">
        <v>44713</v>
      </c>
      <c r="D144" s="1">
        <v>13</v>
      </c>
      <c r="E144" s="69" t="s">
        <v>44</v>
      </c>
      <c r="F144" s="74">
        <v>6</v>
      </c>
      <c r="G144" s="71">
        <v>21060</v>
      </c>
      <c r="H144" s="89" t="s">
        <v>150</v>
      </c>
      <c r="J144" s="1" t="s">
        <v>156</v>
      </c>
    </row>
    <row r="145" spans="1:10" ht="26.25" x14ac:dyDescent="0.25">
      <c r="A145" s="1" t="s">
        <v>141</v>
      </c>
      <c r="B145" s="1" t="s">
        <v>119</v>
      </c>
      <c r="C145" s="5">
        <v>44713</v>
      </c>
      <c r="D145" s="1">
        <v>14</v>
      </c>
      <c r="E145" s="69" t="s">
        <v>45</v>
      </c>
      <c r="F145" s="74">
        <v>10</v>
      </c>
      <c r="G145" s="71">
        <v>38650</v>
      </c>
      <c r="H145" s="89" t="s">
        <v>150</v>
      </c>
      <c r="J145" s="1" t="s">
        <v>156</v>
      </c>
    </row>
    <row r="146" spans="1:10" ht="26.25" x14ac:dyDescent="0.25">
      <c r="A146" s="1" t="s">
        <v>141</v>
      </c>
      <c r="B146" s="1" t="s">
        <v>119</v>
      </c>
      <c r="C146" s="5">
        <v>44713</v>
      </c>
      <c r="D146" s="1">
        <v>15</v>
      </c>
      <c r="E146" s="69" t="s">
        <v>46</v>
      </c>
      <c r="F146" s="74">
        <v>7</v>
      </c>
      <c r="G146" s="71">
        <v>29890</v>
      </c>
      <c r="H146" s="89" t="s">
        <v>150</v>
      </c>
      <c r="J146" s="1" t="s">
        <v>156</v>
      </c>
    </row>
    <row r="147" spans="1:10" ht="26.25" x14ac:dyDescent="0.25">
      <c r="A147" s="1" t="s">
        <v>141</v>
      </c>
      <c r="B147" s="1" t="s">
        <v>119</v>
      </c>
      <c r="C147" s="5">
        <v>44713</v>
      </c>
      <c r="D147" s="1">
        <v>16</v>
      </c>
      <c r="E147" s="69" t="s">
        <v>47</v>
      </c>
      <c r="F147" s="74">
        <v>1</v>
      </c>
      <c r="G147" s="71">
        <v>4780</v>
      </c>
      <c r="H147" s="89" t="s">
        <v>150</v>
      </c>
      <c r="J147" s="1" t="s">
        <v>156</v>
      </c>
    </row>
    <row r="148" spans="1:10" ht="26.25" x14ac:dyDescent="0.25">
      <c r="A148" s="1" t="s">
        <v>141</v>
      </c>
      <c r="B148" s="1" t="s">
        <v>119</v>
      </c>
      <c r="C148" s="5">
        <v>44713</v>
      </c>
      <c r="D148" s="1">
        <v>17</v>
      </c>
      <c r="E148" s="69" t="s">
        <v>48</v>
      </c>
      <c r="F148" s="74">
        <v>3</v>
      </c>
      <c r="G148" s="71">
        <v>16260</v>
      </c>
      <c r="H148" s="89" t="s">
        <v>150</v>
      </c>
      <c r="J148" s="1" t="s">
        <v>156</v>
      </c>
    </row>
    <row r="149" spans="1:10" ht="26.25" x14ac:dyDescent="0.25">
      <c r="A149" s="1" t="s">
        <v>141</v>
      </c>
      <c r="B149" s="1" t="s">
        <v>119</v>
      </c>
      <c r="C149" s="5">
        <v>44713</v>
      </c>
      <c r="D149" s="1">
        <v>18</v>
      </c>
      <c r="E149" s="69" t="s">
        <v>49</v>
      </c>
      <c r="F149" s="74">
        <v>5</v>
      </c>
      <c r="G149" s="71">
        <v>30750</v>
      </c>
      <c r="H149" s="89" t="s">
        <v>150</v>
      </c>
      <c r="J149" s="1" t="s">
        <v>156</v>
      </c>
    </row>
    <row r="150" spans="1:10" ht="26.25" x14ac:dyDescent="0.25">
      <c r="A150" s="1" t="s">
        <v>141</v>
      </c>
      <c r="B150" s="1" t="s">
        <v>119</v>
      </c>
      <c r="C150" s="5">
        <v>44713</v>
      </c>
      <c r="D150" s="1">
        <v>19</v>
      </c>
      <c r="E150" s="69" t="s">
        <v>50</v>
      </c>
      <c r="F150" s="74">
        <v>6</v>
      </c>
      <c r="G150" s="71">
        <v>41880</v>
      </c>
      <c r="H150" s="89" t="s">
        <v>150</v>
      </c>
      <c r="J150" s="1" t="s">
        <v>156</v>
      </c>
    </row>
    <row r="151" spans="1:10" ht="26.25" x14ac:dyDescent="0.25">
      <c r="A151" s="1" t="s">
        <v>141</v>
      </c>
      <c r="B151" s="1" t="s">
        <v>119</v>
      </c>
      <c r="C151" s="5">
        <v>44713</v>
      </c>
      <c r="D151" s="1">
        <v>20</v>
      </c>
      <c r="E151" s="69" t="s">
        <v>115</v>
      </c>
      <c r="F151" s="74">
        <v>4</v>
      </c>
      <c r="G151" s="71">
        <v>34000</v>
      </c>
      <c r="H151" s="89" t="s">
        <v>150</v>
      </c>
      <c r="J151" s="1" t="s">
        <v>156</v>
      </c>
    </row>
    <row r="152" spans="1:10" ht="26.25" x14ac:dyDescent="0.25">
      <c r="A152" s="1" t="s">
        <v>141</v>
      </c>
      <c r="B152" s="1" t="s">
        <v>119</v>
      </c>
      <c r="C152" s="5">
        <v>44713</v>
      </c>
      <c r="D152" s="1">
        <v>21</v>
      </c>
      <c r="E152" s="69" t="s">
        <v>116</v>
      </c>
      <c r="F152" s="74">
        <v>1</v>
      </c>
      <c r="G152" s="71">
        <v>9500</v>
      </c>
      <c r="H152" s="89" t="s">
        <v>150</v>
      </c>
      <c r="J152" s="1" t="s">
        <v>156</v>
      </c>
    </row>
    <row r="153" spans="1:10" ht="26.25" x14ac:dyDescent="0.25">
      <c r="A153" s="1" t="s">
        <v>141</v>
      </c>
      <c r="B153" s="1" t="s">
        <v>119</v>
      </c>
      <c r="C153" s="5">
        <v>44713</v>
      </c>
      <c r="D153" s="1">
        <v>22</v>
      </c>
      <c r="E153" s="69" t="s">
        <v>117</v>
      </c>
      <c r="F153" s="74">
        <v>0</v>
      </c>
      <c r="G153" s="71">
        <v>0</v>
      </c>
      <c r="H153" s="89" t="s">
        <v>150</v>
      </c>
      <c r="J153" s="1" t="s">
        <v>156</v>
      </c>
    </row>
    <row r="154" spans="1:10" ht="15" x14ac:dyDescent="0.25">
      <c r="A154" s="53" t="s">
        <v>279</v>
      </c>
      <c r="B154" s="1" t="s">
        <v>119</v>
      </c>
      <c r="C154" s="5">
        <v>44743</v>
      </c>
      <c r="D154" s="138">
        <v>1</v>
      </c>
      <c r="E154" s="69" t="s">
        <v>280</v>
      </c>
      <c r="F154" s="74"/>
      <c r="H154" s="89"/>
    </row>
    <row r="155" spans="1:10" ht="15" x14ac:dyDescent="0.25">
      <c r="A155" s="53" t="s">
        <v>279</v>
      </c>
      <c r="B155" s="1" t="s">
        <v>119</v>
      </c>
      <c r="C155" s="5">
        <v>44743</v>
      </c>
      <c r="D155" s="138">
        <v>2</v>
      </c>
      <c r="E155" s="69" t="s">
        <v>281</v>
      </c>
      <c r="F155" s="74"/>
      <c r="H155" s="89"/>
    </row>
    <row r="156" spans="1:10" ht="15" x14ac:dyDescent="0.25">
      <c r="A156" s="53" t="s">
        <v>279</v>
      </c>
      <c r="B156" s="1" t="s">
        <v>119</v>
      </c>
      <c r="C156" s="5">
        <v>44743</v>
      </c>
      <c r="D156" s="138">
        <v>3</v>
      </c>
      <c r="E156" s="69" t="s">
        <v>282</v>
      </c>
      <c r="F156" s="74"/>
      <c r="H156" s="89"/>
    </row>
    <row r="157" spans="1:10" ht="15" x14ac:dyDescent="0.25">
      <c r="A157" s="53" t="s">
        <v>279</v>
      </c>
      <c r="B157" s="1" t="s">
        <v>119</v>
      </c>
      <c r="C157" s="5">
        <v>44743</v>
      </c>
      <c r="D157" s="138">
        <v>4</v>
      </c>
      <c r="E157" s="69" t="s">
        <v>283</v>
      </c>
      <c r="F157" s="74"/>
      <c r="H157" s="89"/>
    </row>
    <row r="158" spans="1:10" ht="26.25" x14ac:dyDescent="0.25">
      <c r="A158" s="1" t="s">
        <v>141</v>
      </c>
      <c r="B158" s="1" t="s">
        <v>119</v>
      </c>
      <c r="C158" s="5">
        <v>44743</v>
      </c>
      <c r="D158" s="1">
        <v>6</v>
      </c>
      <c r="E158" s="69" t="s">
        <v>114</v>
      </c>
      <c r="F158" s="74">
        <v>9</v>
      </c>
      <c r="G158" s="71">
        <v>24120</v>
      </c>
      <c r="H158" s="89" t="s">
        <v>150</v>
      </c>
      <c r="J158" s="1" t="s">
        <v>156</v>
      </c>
    </row>
    <row r="159" spans="1:10" ht="26.25" x14ac:dyDescent="0.25">
      <c r="A159" s="1" t="s">
        <v>141</v>
      </c>
      <c r="B159" s="1" t="s">
        <v>119</v>
      </c>
      <c r="C159" s="5">
        <v>44743</v>
      </c>
      <c r="D159" s="1">
        <v>9</v>
      </c>
      <c r="E159" s="69" t="s">
        <v>40</v>
      </c>
      <c r="F159" s="74">
        <v>22</v>
      </c>
      <c r="G159" s="71">
        <v>52360</v>
      </c>
      <c r="H159" s="89" t="s">
        <v>150</v>
      </c>
      <c r="J159" s="1" t="s">
        <v>156</v>
      </c>
    </row>
    <row r="160" spans="1:10" ht="26.25" x14ac:dyDescent="0.25">
      <c r="A160" s="1" t="s">
        <v>141</v>
      </c>
      <c r="B160" s="1" t="s">
        <v>119</v>
      </c>
      <c r="C160" s="5">
        <v>44743</v>
      </c>
      <c r="D160" s="1">
        <v>10</v>
      </c>
      <c r="E160" s="69" t="s">
        <v>41</v>
      </c>
      <c r="F160" s="74">
        <v>88</v>
      </c>
      <c r="G160" s="71">
        <v>235840</v>
      </c>
      <c r="H160" s="89" t="s">
        <v>150</v>
      </c>
      <c r="J160" s="1" t="s">
        <v>156</v>
      </c>
    </row>
    <row r="161" spans="1:10" ht="26.25" x14ac:dyDescent="0.25">
      <c r="A161" s="1" t="s">
        <v>141</v>
      </c>
      <c r="B161" s="1" t="s">
        <v>119</v>
      </c>
      <c r="C161" s="5">
        <v>44743</v>
      </c>
      <c r="D161" s="1">
        <v>11</v>
      </c>
      <c r="E161" s="69" t="s">
        <v>42</v>
      </c>
      <c r="F161" s="74">
        <v>64</v>
      </c>
      <c r="G161" s="71">
        <v>185600</v>
      </c>
      <c r="H161" s="89" t="s">
        <v>150</v>
      </c>
      <c r="J161" s="1" t="s">
        <v>156</v>
      </c>
    </row>
    <row r="162" spans="1:10" ht="26.25" x14ac:dyDescent="0.25">
      <c r="A162" s="1" t="s">
        <v>141</v>
      </c>
      <c r="B162" s="1" t="s">
        <v>119</v>
      </c>
      <c r="C162" s="5">
        <v>44743</v>
      </c>
      <c r="D162" s="1">
        <v>12</v>
      </c>
      <c r="E162" s="69" t="s">
        <v>43</v>
      </c>
      <c r="F162" s="74">
        <v>19</v>
      </c>
      <c r="G162" s="71">
        <v>59660</v>
      </c>
      <c r="H162" s="89" t="s">
        <v>150</v>
      </c>
      <c r="J162" s="1" t="s">
        <v>156</v>
      </c>
    </row>
    <row r="163" spans="1:10" ht="26.25" x14ac:dyDescent="0.25">
      <c r="A163" s="1" t="s">
        <v>141</v>
      </c>
      <c r="B163" s="1" t="s">
        <v>119</v>
      </c>
      <c r="C163" s="5">
        <v>44743</v>
      </c>
      <c r="D163" s="1">
        <v>13</v>
      </c>
      <c r="E163" s="69" t="s">
        <v>44</v>
      </c>
      <c r="F163" s="74">
        <v>6</v>
      </c>
      <c r="G163" s="71">
        <v>21060</v>
      </c>
      <c r="H163" s="89" t="s">
        <v>150</v>
      </c>
      <c r="J163" s="1" t="s">
        <v>156</v>
      </c>
    </row>
    <row r="164" spans="1:10" ht="26.25" x14ac:dyDescent="0.25">
      <c r="A164" s="1" t="s">
        <v>141</v>
      </c>
      <c r="B164" s="1" t="s">
        <v>119</v>
      </c>
      <c r="C164" s="5">
        <v>44743</v>
      </c>
      <c r="D164" s="1">
        <v>14</v>
      </c>
      <c r="E164" s="69" t="s">
        <v>45</v>
      </c>
      <c r="F164" s="74">
        <v>10</v>
      </c>
      <c r="G164" s="71">
        <v>38650</v>
      </c>
      <c r="H164" s="89" t="s">
        <v>150</v>
      </c>
      <c r="J164" s="1" t="s">
        <v>156</v>
      </c>
    </row>
    <row r="165" spans="1:10" ht="26.25" x14ac:dyDescent="0.25">
      <c r="A165" s="1" t="s">
        <v>141</v>
      </c>
      <c r="B165" s="1" t="s">
        <v>119</v>
      </c>
      <c r="C165" s="5">
        <v>44743</v>
      </c>
      <c r="D165" s="1">
        <v>15</v>
      </c>
      <c r="E165" s="69" t="s">
        <v>46</v>
      </c>
      <c r="F165" s="74">
        <v>8</v>
      </c>
      <c r="G165" s="71">
        <v>34160</v>
      </c>
      <c r="H165" s="89" t="s">
        <v>150</v>
      </c>
      <c r="J165" s="1" t="s">
        <v>156</v>
      </c>
    </row>
    <row r="166" spans="1:10" ht="26.25" x14ac:dyDescent="0.25">
      <c r="A166" s="1" t="s">
        <v>141</v>
      </c>
      <c r="B166" s="1" t="s">
        <v>119</v>
      </c>
      <c r="C166" s="5">
        <v>44743</v>
      </c>
      <c r="D166" s="1">
        <v>16</v>
      </c>
      <c r="E166" s="69" t="s">
        <v>47</v>
      </c>
      <c r="F166" s="74">
        <v>1</v>
      </c>
      <c r="G166" s="71">
        <v>4780</v>
      </c>
      <c r="H166" s="89" t="s">
        <v>150</v>
      </c>
      <c r="J166" s="1" t="s">
        <v>156</v>
      </c>
    </row>
    <row r="167" spans="1:10" ht="26.25" x14ac:dyDescent="0.25">
      <c r="A167" s="1" t="s">
        <v>141</v>
      </c>
      <c r="B167" s="1" t="s">
        <v>119</v>
      </c>
      <c r="C167" s="5">
        <v>44743</v>
      </c>
      <c r="D167" s="1">
        <v>17</v>
      </c>
      <c r="E167" s="69" t="s">
        <v>48</v>
      </c>
      <c r="F167" s="74">
        <v>3</v>
      </c>
      <c r="G167" s="71">
        <v>16260</v>
      </c>
      <c r="H167" s="89" t="s">
        <v>150</v>
      </c>
      <c r="J167" s="1" t="s">
        <v>156</v>
      </c>
    </row>
    <row r="168" spans="1:10" ht="26.25" x14ac:dyDescent="0.25">
      <c r="A168" s="1" t="s">
        <v>141</v>
      </c>
      <c r="B168" s="1" t="s">
        <v>119</v>
      </c>
      <c r="C168" s="5">
        <v>44743</v>
      </c>
      <c r="D168" s="1">
        <v>18</v>
      </c>
      <c r="E168" s="69" t="s">
        <v>49</v>
      </c>
      <c r="F168" s="74">
        <v>4</v>
      </c>
      <c r="G168" s="71">
        <v>24600</v>
      </c>
      <c r="H168" s="89" t="s">
        <v>150</v>
      </c>
      <c r="J168" s="1" t="s">
        <v>156</v>
      </c>
    </row>
    <row r="169" spans="1:10" ht="26.25" x14ac:dyDescent="0.25">
      <c r="A169" s="1" t="s">
        <v>141</v>
      </c>
      <c r="B169" s="1" t="s">
        <v>119</v>
      </c>
      <c r="C169" s="5">
        <v>44743</v>
      </c>
      <c r="D169" s="1">
        <v>19</v>
      </c>
      <c r="E169" s="69" t="s">
        <v>50</v>
      </c>
      <c r="F169" s="74">
        <v>6</v>
      </c>
      <c r="G169" s="71">
        <v>41880</v>
      </c>
      <c r="H169" s="89" t="s">
        <v>150</v>
      </c>
      <c r="J169" s="1" t="s">
        <v>156</v>
      </c>
    </row>
    <row r="170" spans="1:10" ht="26.25" x14ac:dyDescent="0.25">
      <c r="A170" s="1" t="s">
        <v>141</v>
      </c>
      <c r="B170" s="1" t="s">
        <v>119</v>
      </c>
      <c r="C170" s="5">
        <v>44743</v>
      </c>
      <c r="D170" s="1">
        <v>20</v>
      </c>
      <c r="E170" s="69" t="s">
        <v>115</v>
      </c>
      <c r="F170" s="74">
        <v>4</v>
      </c>
      <c r="G170" s="71">
        <v>34000</v>
      </c>
      <c r="H170" s="89" t="s">
        <v>150</v>
      </c>
      <c r="J170" s="1" t="s">
        <v>156</v>
      </c>
    </row>
    <row r="171" spans="1:10" ht="26.25" x14ac:dyDescent="0.25">
      <c r="A171" s="1" t="s">
        <v>141</v>
      </c>
      <c r="B171" s="1" t="s">
        <v>119</v>
      </c>
      <c r="C171" s="5">
        <v>44743</v>
      </c>
      <c r="D171" s="1">
        <v>21</v>
      </c>
      <c r="E171" s="69" t="s">
        <v>116</v>
      </c>
      <c r="F171" s="74">
        <v>1</v>
      </c>
      <c r="G171" s="71">
        <v>9500</v>
      </c>
      <c r="H171" s="89" t="s">
        <v>150</v>
      </c>
      <c r="J171" s="1" t="s">
        <v>156</v>
      </c>
    </row>
    <row r="172" spans="1:10" ht="26.25" x14ac:dyDescent="0.25">
      <c r="A172" s="1" t="s">
        <v>141</v>
      </c>
      <c r="B172" s="1" t="s">
        <v>119</v>
      </c>
      <c r="C172" s="5">
        <v>44743</v>
      </c>
      <c r="D172" s="1">
        <v>22</v>
      </c>
      <c r="E172" s="69" t="s">
        <v>117</v>
      </c>
      <c r="F172" s="74">
        <v>0</v>
      </c>
      <c r="G172" s="71">
        <v>0</v>
      </c>
      <c r="H172" s="89" t="s">
        <v>150</v>
      </c>
      <c r="J172" s="1" t="s">
        <v>156</v>
      </c>
    </row>
    <row r="173" spans="1:10" ht="15" x14ac:dyDescent="0.25">
      <c r="A173" s="53" t="s">
        <v>279</v>
      </c>
      <c r="B173" s="1" t="s">
        <v>119</v>
      </c>
      <c r="C173" s="5">
        <v>44774</v>
      </c>
      <c r="D173" s="138">
        <v>1</v>
      </c>
      <c r="E173" s="69" t="s">
        <v>280</v>
      </c>
      <c r="F173" s="74"/>
      <c r="H173" s="89"/>
    </row>
    <row r="174" spans="1:10" ht="15" x14ac:dyDescent="0.25">
      <c r="A174" s="53" t="s">
        <v>279</v>
      </c>
      <c r="B174" s="1" t="s">
        <v>119</v>
      </c>
      <c r="C174" s="5">
        <v>44774</v>
      </c>
      <c r="D174" s="138">
        <v>2</v>
      </c>
      <c r="E174" s="69" t="s">
        <v>281</v>
      </c>
      <c r="F174" s="74"/>
      <c r="H174" s="89"/>
    </row>
    <row r="175" spans="1:10" ht="15" x14ac:dyDescent="0.25">
      <c r="A175" s="53" t="s">
        <v>279</v>
      </c>
      <c r="B175" s="1" t="s">
        <v>119</v>
      </c>
      <c r="C175" s="5">
        <v>44774</v>
      </c>
      <c r="D175" s="138">
        <v>3</v>
      </c>
      <c r="E175" s="69" t="s">
        <v>282</v>
      </c>
      <c r="F175" s="74"/>
      <c r="H175" s="89"/>
    </row>
    <row r="176" spans="1:10" ht="15" x14ac:dyDescent="0.25">
      <c r="A176" s="53" t="s">
        <v>279</v>
      </c>
      <c r="B176" s="1" t="s">
        <v>119</v>
      </c>
      <c r="C176" s="5">
        <v>44774</v>
      </c>
      <c r="D176" s="138">
        <v>4</v>
      </c>
      <c r="E176" s="69" t="s">
        <v>283</v>
      </c>
      <c r="F176" s="74"/>
      <c r="H176" s="89"/>
    </row>
    <row r="177" spans="1:10" ht="26.25" x14ac:dyDescent="0.25">
      <c r="A177" s="1" t="s">
        <v>141</v>
      </c>
      <c r="B177" s="1" t="s">
        <v>119</v>
      </c>
      <c r="C177" s="5">
        <v>44774</v>
      </c>
      <c r="D177" s="1">
        <v>6</v>
      </c>
      <c r="E177" s="69" t="s">
        <v>114</v>
      </c>
      <c r="F177" s="74">
        <v>9</v>
      </c>
      <c r="G177" s="71">
        <v>24120</v>
      </c>
      <c r="H177" s="89" t="s">
        <v>150</v>
      </c>
      <c r="J177" s="1" t="s">
        <v>156</v>
      </c>
    </row>
    <row r="178" spans="1:10" ht="26.25" x14ac:dyDescent="0.25">
      <c r="A178" s="1" t="s">
        <v>141</v>
      </c>
      <c r="B178" s="1" t="s">
        <v>119</v>
      </c>
      <c r="C178" s="5">
        <v>44774</v>
      </c>
      <c r="D178" s="1">
        <v>9</v>
      </c>
      <c r="E178" s="69" t="s">
        <v>40</v>
      </c>
      <c r="F178" s="74">
        <v>21</v>
      </c>
      <c r="G178" s="71">
        <v>49980</v>
      </c>
      <c r="H178" s="89" t="s">
        <v>150</v>
      </c>
      <c r="J178" s="1" t="s">
        <v>156</v>
      </c>
    </row>
    <row r="179" spans="1:10" ht="26.25" x14ac:dyDescent="0.25">
      <c r="A179" s="1" t="s">
        <v>141</v>
      </c>
      <c r="B179" s="1" t="s">
        <v>119</v>
      </c>
      <c r="C179" s="5">
        <v>44774</v>
      </c>
      <c r="D179" s="1">
        <v>10</v>
      </c>
      <c r="E179" s="69" t="s">
        <v>41</v>
      </c>
      <c r="F179" s="74">
        <v>87</v>
      </c>
      <c r="G179" s="71">
        <v>233160</v>
      </c>
      <c r="H179" s="89" t="s">
        <v>150</v>
      </c>
      <c r="J179" s="1" t="s">
        <v>156</v>
      </c>
    </row>
    <row r="180" spans="1:10" ht="26.25" x14ac:dyDescent="0.25">
      <c r="A180" s="1" t="s">
        <v>141</v>
      </c>
      <c r="B180" s="1" t="s">
        <v>119</v>
      </c>
      <c r="C180" s="5">
        <v>44774</v>
      </c>
      <c r="D180" s="1">
        <v>11</v>
      </c>
      <c r="E180" s="69" t="s">
        <v>42</v>
      </c>
      <c r="F180" s="74">
        <v>66</v>
      </c>
      <c r="G180" s="71">
        <v>191400</v>
      </c>
      <c r="H180" s="89" t="s">
        <v>150</v>
      </c>
      <c r="J180" s="1" t="s">
        <v>156</v>
      </c>
    </row>
    <row r="181" spans="1:10" ht="26.25" x14ac:dyDescent="0.25">
      <c r="A181" s="1" t="s">
        <v>141</v>
      </c>
      <c r="B181" s="1" t="s">
        <v>119</v>
      </c>
      <c r="C181" s="5">
        <v>44774</v>
      </c>
      <c r="D181" s="1">
        <v>12</v>
      </c>
      <c r="E181" s="69" t="s">
        <v>43</v>
      </c>
      <c r="F181" s="74">
        <v>19</v>
      </c>
      <c r="G181" s="71">
        <v>59660</v>
      </c>
      <c r="H181" s="89" t="s">
        <v>150</v>
      </c>
      <c r="J181" s="1" t="s">
        <v>156</v>
      </c>
    </row>
    <row r="182" spans="1:10" ht="26.25" x14ac:dyDescent="0.25">
      <c r="A182" s="1" t="s">
        <v>141</v>
      </c>
      <c r="B182" s="1" t="s">
        <v>119</v>
      </c>
      <c r="C182" s="5">
        <v>44774</v>
      </c>
      <c r="D182" s="1">
        <v>13</v>
      </c>
      <c r="E182" s="69" t="s">
        <v>44</v>
      </c>
      <c r="F182" s="74">
        <v>6</v>
      </c>
      <c r="G182" s="71">
        <v>21060</v>
      </c>
      <c r="H182" s="89" t="s">
        <v>150</v>
      </c>
      <c r="J182" s="1" t="s">
        <v>156</v>
      </c>
    </row>
    <row r="183" spans="1:10" ht="26.25" x14ac:dyDescent="0.25">
      <c r="A183" s="1" t="s">
        <v>141</v>
      </c>
      <c r="B183" s="1" t="s">
        <v>119</v>
      </c>
      <c r="C183" s="5">
        <v>44774</v>
      </c>
      <c r="D183" s="1">
        <v>14</v>
      </c>
      <c r="E183" s="69" t="s">
        <v>45</v>
      </c>
      <c r="F183" s="74">
        <v>10</v>
      </c>
      <c r="G183" s="71">
        <v>38650</v>
      </c>
      <c r="H183" s="89" t="s">
        <v>150</v>
      </c>
      <c r="J183" s="1" t="s">
        <v>156</v>
      </c>
    </row>
    <row r="184" spans="1:10" ht="26.25" x14ac:dyDescent="0.25">
      <c r="A184" s="1" t="s">
        <v>141</v>
      </c>
      <c r="B184" s="1" t="s">
        <v>119</v>
      </c>
      <c r="C184" s="5">
        <v>44774</v>
      </c>
      <c r="D184" s="1">
        <v>15</v>
      </c>
      <c r="E184" s="69" t="s">
        <v>46</v>
      </c>
      <c r="F184" s="74">
        <v>8</v>
      </c>
      <c r="G184" s="71">
        <v>34160</v>
      </c>
      <c r="H184" s="89" t="s">
        <v>150</v>
      </c>
      <c r="J184" s="1" t="s">
        <v>156</v>
      </c>
    </row>
    <row r="185" spans="1:10" ht="26.25" x14ac:dyDescent="0.25">
      <c r="A185" s="1" t="s">
        <v>141</v>
      </c>
      <c r="B185" s="1" t="s">
        <v>119</v>
      </c>
      <c r="C185" s="5">
        <v>44774</v>
      </c>
      <c r="D185" s="1">
        <v>16</v>
      </c>
      <c r="E185" s="69" t="s">
        <v>47</v>
      </c>
      <c r="F185" s="74">
        <v>1</v>
      </c>
      <c r="G185" s="71">
        <v>4780</v>
      </c>
      <c r="H185" s="89" t="s">
        <v>150</v>
      </c>
      <c r="J185" s="1" t="s">
        <v>156</v>
      </c>
    </row>
    <row r="186" spans="1:10" ht="26.25" x14ac:dyDescent="0.25">
      <c r="A186" s="1" t="s">
        <v>141</v>
      </c>
      <c r="B186" s="1" t="s">
        <v>119</v>
      </c>
      <c r="C186" s="5">
        <v>44774</v>
      </c>
      <c r="D186" s="1">
        <v>17</v>
      </c>
      <c r="E186" s="69" t="s">
        <v>48</v>
      </c>
      <c r="F186" s="74">
        <v>3</v>
      </c>
      <c r="G186" s="71">
        <v>16260</v>
      </c>
      <c r="H186" s="89" t="s">
        <v>150</v>
      </c>
      <c r="J186" s="1" t="s">
        <v>156</v>
      </c>
    </row>
    <row r="187" spans="1:10" ht="26.25" x14ac:dyDescent="0.25">
      <c r="A187" s="1" t="s">
        <v>141</v>
      </c>
      <c r="B187" s="1" t="s">
        <v>119</v>
      </c>
      <c r="C187" s="5">
        <v>44774</v>
      </c>
      <c r="D187" s="1">
        <v>18</v>
      </c>
      <c r="E187" s="69" t="s">
        <v>49</v>
      </c>
      <c r="F187" s="74">
        <v>4</v>
      </c>
      <c r="G187" s="71">
        <v>24600</v>
      </c>
      <c r="H187" s="89" t="s">
        <v>150</v>
      </c>
      <c r="J187" s="1" t="s">
        <v>156</v>
      </c>
    </row>
    <row r="188" spans="1:10" ht="26.25" x14ac:dyDescent="0.25">
      <c r="A188" s="1" t="s">
        <v>141</v>
      </c>
      <c r="B188" s="1" t="s">
        <v>119</v>
      </c>
      <c r="C188" s="5">
        <v>44774</v>
      </c>
      <c r="D188" s="1">
        <v>19</v>
      </c>
      <c r="E188" s="69" t="s">
        <v>50</v>
      </c>
      <c r="F188" s="74">
        <v>6</v>
      </c>
      <c r="G188" s="71">
        <v>41880</v>
      </c>
      <c r="H188" s="89" t="s">
        <v>150</v>
      </c>
      <c r="J188" s="1" t="s">
        <v>156</v>
      </c>
    </row>
    <row r="189" spans="1:10" ht="26.25" x14ac:dyDescent="0.25">
      <c r="A189" s="1" t="s">
        <v>141</v>
      </c>
      <c r="B189" s="1" t="s">
        <v>119</v>
      </c>
      <c r="C189" s="5">
        <v>44774</v>
      </c>
      <c r="D189" s="1">
        <v>20</v>
      </c>
      <c r="E189" s="69" t="s">
        <v>115</v>
      </c>
      <c r="F189" s="74">
        <v>4</v>
      </c>
      <c r="G189" s="71">
        <v>34000</v>
      </c>
      <c r="H189" s="89" t="s">
        <v>150</v>
      </c>
      <c r="J189" s="1" t="s">
        <v>156</v>
      </c>
    </row>
    <row r="190" spans="1:10" ht="26.25" x14ac:dyDescent="0.25">
      <c r="A190" s="1" t="s">
        <v>141</v>
      </c>
      <c r="B190" s="1" t="s">
        <v>119</v>
      </c>
      <c r="C190" s="5">
        <v>44774</v>
      </c>
      <c r="D190" s="1">
        <v>21</v>
      </c>
      <c r="E190" s="69" t="s">
        <v>116</v>
      </c>
      <c r="F190" s="74">
        <v>1</v>
      </c>
      <c r="G190" s="71">
        <v>9500</v>
      </c>
      <c r="H190" s="89" t="s">
        <v>150</v>
      </c>
      <c r="J190" s="1" t="s">
        <v>156</v>
      </c>
    </row>
    <row r="191" spans="1:10" ht="26.25" x14ac:dyDescent="0.25">
      <c r="A191" s="1" t="s">
        <v>141</v>
      </c>
      <c r="B191" s="1" t="s">
        <v>119</v>
      </c>
      <c r="C191" s="5">
        <v>44774</v>
      </c>
      <c r="D191" s="1">
        <v>22</v>
      </c>
      <c r="E191" s="69" t="s">
        <v>117</v>
      </c>
      <c r="F191" s="74">
        <v>0</v>
      </c>
      <c r="G191" s="71">
        <v>0</v>
      </c>
      <c r="H191" s="89" t="s">
        <v>150</v>
      </c>
      <c r="J191" s="1" t="s">
        <v>156</v>
      </c>
    </row>
    <row r="192" spans="1:10" ht="15" x14ac:dyDescent="0.25">
      <c r="A192" s="53" t="s">
        <v>279</v>
      </c>
      <c r="B192" s="1" t="s">
        <v>119</v>
      </c>
      <c r="C192" s="5">
        <v>44805</v>
      </c>
      <c r="D192" s="138">
        <v>1</v>
      </c>
      <c r="E192" s="69" t="s">
        <v>280</v>
      </c>
      <c r="F192" s="74"/>
      <c r="H192" s="89"/>
    </row>
    <row r="193" spans="1:10" ht="15" x14ac:dyDescent="0.25">
      <c r="A193" s="53" t="s">
        <v>279</v>
      </c>
      <c r="B193" s="1" t="s">
        <v>119</v>
      </c>
      <c r="C193" s="5">
        <v>44805</v>
      </c>
      <c r="D193" s="138">
        <v>2</v>
      </c>
      <c r="E193" s="69" t="s">
        <v>281</v>
      </c>
      <c r="F193" s="74"/>
      <c r="H193" s="89"/>
    </row>
    <row r="194" spans="1:10" ht="15" x14ac:dyDescent="0.25">
      <c r="A194" s="53" t="s">
        <v>279</v>
      </c>
      <c r="B194" s="1" t="s">
        <v>119</v>
      </c>
      <c r="C194" s="5">
        <v>44805</v>
      </c>
      <c r="D194" s="138">
        <v>3</v>
      </c>
      <c r="E194" s="69" t="s">
        <v>282</v>
      </c>
      <c r="F194" s="74"/>
      <c r="H194" s="89"/>
    </row>
    <row r="195" spans="1:10" ht="15" x14ac:dyDescent="0.25">
      <c r="A195" s="53" t="s">
        <v>279</v>
      </c>
      <c r="B195" s="1" t="s">
        <v>119</v>
      </c>
      <c r="C195" s="5">
        <v>44805</v>
      </c>
      <c r="D195" s="138">
        <v>4</v>
      </c>
      <c r="E195" s="69" t="s">
        <v>283</v>
      </c>
      <c r="F195" s="74"/>
      <c r="H195" s="89"/>
    </row>
    <row r="196" spans="1:10" ht="26.25" x14ac:dyDescent="0.25">
      <c r="A196" s="1" t="s">
        <v>141</v>
      </c>
      <c r="B196" s="1" t="s">
        <v>119</v>
      </c>
      <c r="C196" s="5">
        <v>44805</v>
      </c>
      <c r="D196" s="1">
        <v>6</v>
      </c>
      <c r="E196" s="69" t="s">
        <v>114</v>
      </c>
      <c r="F196" s="74">
        <v>9</v>
      </c>
      <c r="G196" s="71">
        <v>24120</v>
      </c>
      <c r="H196" s="89" t="s">
        <v>150</v>
      </c>
      <c r="J196" s="1" t="s">
        <v>156</v>
      </c>
    </row>
    <row r="197" spans="1:10" ht="26.25" x14ac:dyDescent="0.25">
      <c r="A197" s="1" t="s">
        <v>141</v>
      </c>
      <c r="B197" s="1" t="s">
        <v>119</v>
      </c>
      <c r="C197" s="5">
        <v>44805</v>
      </c>
      <c r="D197" s="1">
        <v>9</v>
      </c>
      <c r="E197" s="69" t="s">
        <v>40</v>
      </c>
      <c r="F197" s="74">
        <v>20</v>
      </c>
      <c r="G197" s="71">
        <v>47600</v>
      </c>
      <c r="H197" s="89" t="s">
        <v>150</v>
      </c>
      <c r="J197" s="1" t="s">
        <v>156</v>
      </c>
    </row>
    <row r="198" spans="1:10" ht="26.25" x14ac:dyDescent="0.25">
      <c r="A198" s="1" t="s">
        <v>141</v>
      </c>
      <c r="B198" s="1" t="s">
        <v>119</v>
      </c>
      <c r="C198" s="5">
        <v>44805</v>
      </c>
      <c r="D198" s="1">
        <v>10</v>
      </c>
      <c r="E198" s="69" t="s">
        <v>41</v>
      </c>
      <c r="F198" s="74">
        <v>89</v>
      </c>
      <c r="G198" s="71">
        <v>238520</v>
      </c>
      <c r="H198" s="89" t="s">
        <v>150</v>
      </c>
      <c r="J198" s="1" t="s">
        <v>156</v>
      </c>
    </row>
    <row r="199" spans="1:10" ht="26.25" x14ac:dyDescent="0.25">
      <c r="A199" s="1" t="s">
        <v>141</v>
      </c>
      <c r="B199" s="1" t="s">
        <v>119</v>
      </c>
      <c r="C199" s="5">
        <v>44805</v>
      </c>
      <c r="D199" s="1">
        <v>11</v>
      </c>
      <c r="E199" s="69" t="s">
        <v>42</v>
      </c>
      <c r="F199" s="74">
        <v>65</v>
      </c>
      <c r="G199" s="71">
        <v>188500</v>
      </c>
      <c r="H199" s="89" t="s">
        <v>150</v>
      </c>
      <c r="J199" s="1" t="s">
        <v>156</v>
      </c>
    </row>
    <row r="200" spans="1:10" ht="26.25" x14ac:dyDescent="0.25">
      <c r="A200" s="1" t="s">
        <v>141</v>
      </c>
      <c r="B200" s="1" t="s">
        <v>119</v>
      </c>
      <c r="C200" s="5">
        <v>44805</v>
      </c>
      <c r="D200" s="1">
        <v>12</v>
      </c>
      <c r="E200" s="69" t="s">
        <v>43</v>
      </c>
      <c r="F200" s="74">
        <v>19</v>
      </c>
      <c r="G200" s="71">
        <v>59660</v>
      </c>
      <c r="H200" s="89" t="s">
        <v>150</v>
      </c>
      <c r="J200" s="1" t="s">
        <v>156</v>
      </c>
    </row>
    <row r="201" spans="1:10" ht="26.25" x14ac:dyDescent="0.25">
      <c r="A201" s="1" t="s">
        <v>141</v>
      </c>
      <c r="B201" s="1" t="s">
        <v>119</v>
      </c>
      <c r="C201" s="5">
        <v>44805</v>
      </c>
      <c r="D201" s="1">
        <v>13</v>
      </c>
      <c r="E201" s="69" t="s">
        <v>44</v>
      </c>
      <c r="F201" s="74">
        <v>7</v>
      </c>
      <c r="G201" s="71">
        <v>24570</v>
      </c>
      <c r="H201" s="89" t="s">
        <v>150</v>
      </c>
      <c r="J201" s="1" t="s">
        <v>156</v>
      </c>
    </row>
    <row r="202" spans="1:10" ht="26.25" x14ac:dyDescent="0.25">
      <c r="A202" s="1" t="s">
        <v>141</v>
      </c>
      <c r="B202" s="1" t="s">
        <v>119</v>
      </c>
      <c r="C202" s="5">
        <v>44805</v>
      </c>
      <c r="D202" s="1">
        <v>14</v>
      </c>
      <c r="E202" s="69" t="s">
        <v>45</v>
      </c>
      <c r="F202" s="74">
        <v>10</v>
      </c>
      <c r="G202" s="71">
        <v>38650</v>
      </c>
      <c r="H202" s="89" t="s">
        <v>150</v>
      </c>
      <c r="J202" s="1" t="s">
        <v>156</v>
      </c>
    </row>
    <row r="203" spans="1:10" ht="26.25" x14ac:dyDescent="0.25">
      <c r="A203" s="1" t="s">
        <v>141</v>
      </c>
      <c r="B203" s="1" t="s">
        <v>119</v>
      </c>
      <c r="C203" s="5">
        <v>44805</v>
      </c>
      <c r="D203" s="1">
        <v>15</v>
      </c>
      <c r="E203" s="69" t="s">
        <v>46</v>
      </c>
      <c r="F203" s="74">
        <v>8</v>
      </c>
      <c r="G203" s="71">
        <v>34160</v>
      </c>
      <c r="H203" s="89" t="s">
        <v>150</v>
      </c>
      <c r="J203" s="1" t="s">
        <v>156</v>
      </c>
    </row>
    <row r="204" spans="1:10" ht="26.25" x14ac:dyDescent="0.25">
      <c r="A204" s="1" t="s">
        <v>141</v>
      </c>
      <c r="B204" s="1" t="s">
        <v>119</v>
      </c>
      <c r="C204" s="5">
        <v>44805</v>
      </c>
      <c r="D204" s="1">
        <v>16</v>
      </c>
      <c r="E204" s="69" t="s">
        <v>47</v>
      </c>
      <c r="F204" s="74">
        <v>1</v>
      </c>
      <c r="G204" s="71">
        <v>4780</v>
      </c>
      <c r="H204" s="89" t="s">
        <v>150</v>
      </c>
      <c r="J204" s="1" t="s">
        <v>156</v>
      </c>
    </row>
    <row r="205" spans="1:10" ht="26.25" x14ac:dyDescent="0.25">
      <c r="A205" s="1" t="s">
        <v>141</v>
      </c>
      <c r="B205" s="1" t="s">
        <v>119</v>
      </c>
      <c r="C205" s="5">
        <v>44805</v>
      </c>
      <c r="D205" s="1">
        <v>17</v>
      </c>
      <c r="E205" s="69" t="s">
        <v>48</v>
      </c>
      <c r="F205" s="74">
        <v>3</v>
      </c>
      <c r="G205" s="71">
        <v>16260</v>
      </c>
      <c r="H205" s="89" t="s">
        <v>150</v>
      </c>
      <c r="J205" s="1" t="s">
        <v>156</v>
      </c>
    </row>
    <row r="206" spans="1:10" ht="26.25" x14ac:dyDescent="0.25">
      <c r="A206" s="1" t="s">
        <v>141</v>
      </c>
      <c r="B206" s="1" t="s">
        <v>119</v>
      </c>
      <c r="C206" s="5">
        <v>44805</v>
      </c>
      <c r="D206" s="1">
        <v>18</v>
      </c>
      <c r="E206" s="69" t="s">
        <v>49</v>
      </c>
      <c r="F206" s="74">
        <v>4</v>
      </c>
      <c r="G206" s="71">
        <v>24600</v>
      </c>
      <c r="H206" s="89" t="s">
        <v>150</v>
      </c>
      <c r="J206" s="1" t="s">
        <v>156</v>
      </c>
    </row>
    <row r="207" spans="1:10" ht="26.25" x14ac:dyDescent="0.25">
      <c r="A207" s="1" t="s">
        <v>141</v>
      </c>
      <c r="B207" s="1" t="s">
        <v>119</v>
      </c>
      <c r="C207" s="5">
        <v>44805</v>
      </c>
      <c r="D207" s="1">
        <v>19</v>
      </c>
      <c r="E207" s="69" t="s">
        <v>50</v>
      </c>
      <c r="F207" s="74">
        <v>6</v>
      </c>
      <c r="G207" s="71">
        <v>41880</v>
      </c>
      <c r="H207" s="89" t="s">
        <v>150</v>
      </c>
      <c r="J207" s="1" t="s">
        <v>156</v>
      </c>
    </row>
    <row r="208" spans="1:10" ht="26.25" x14ac:dyDescent="0.25">
      <c r="A208" s="1" t="s">
        <v>141</v>
      </c>
      <c r="B208" s="1" t="s">
        <v>119</v>
      </c>
      <c r="C208" s="5">
        <v>44805</v>
      </c>
      <c r="D208" s="1">
        <v>20</v>
      </c>
      <c r="E208" s="69" t="s">
        <v>115</v>
      </c>
      <c r="F208" s="74">
        <v>4</v>
      </c>
      <c r="G208" s="71">
        <v>34000</v>
      </c>
      <c r="H208" s="89" t="s">
        <v>150</v>
      </c>
      <c r="J208" s="1" t="s">
        <v>156</v>
      </c>
    </row>
    <row r="209" spans="1:10" ht="26.25" x14ac:dyDescent="0.25">
      <c r="A209" s="1" t="s">
        <v>141</v>
      </c>
      <c r="B209" s="1" t="s">
        <v>119</v>
      </c>
      <c r="C209" s="5">
        <v>44805</v>
      </c>
      <c r="D209" s="1">
        <v>21</v>
      </c>
      <c r="E209" s="69" t="s">
        <v>116</v>
      </c>
      <c r="F209" s="74">
        <v>1</v>
      </c>
      <c r="G209" s="71">
        <v>9500</v>
      </c>
      <c r="H209" s="89" t="s">
        <v>150</v>
      </c>
      <c r="J209" s="1" t="s">
        <v>156</v>
      </c>
    </row>
    <row r="210" spans="1:10" ht="26.25" x14ac:dyDescent="0.25">
      <c r="A210" s="1" t="s">
        <v>141</v>
      </c>
      <c r="B210" s="1" t="s">
        <v>119</v>
      </c>
      <c r="C210" s="5">
        <v>44805</v>
      </c>
      <c r="D210" s="1">
        <v>22</v>
      </c>
      <c r="E210" s="69" t="s">
        <v>117</v>
      </c>
      <c r="F210" s="74">
        <v>0</v>
      </c>
      <c r="G210" s="71">
        <v>0</v>
      </c>
      <c r="H210" s="89" t="s">
        <v>150</v>
      </c>
      <c r="J210" s="1" t="s">
        <v>156</v>
      </c>
    </row>
    <row r="211" spans="1:10" ht="15" x14ac:dyDescent="0.25">
      <c r="A211" s="53" t="s">
        <v>279</v>
      </c>
      <c r="B211" s="1" t="s">
        <v>119</v>
      </c>
      <c r="C211" s="5">
        <v>44835</v>
      </c>
      <c r="D211" s="138">
        <v>1</v>
      </c>
      <c r="E211" s="69" t="s">
        <v>280</v>
      </c>
      <c r="F211" s="74"/>
      <c r="H211" s="89"/>
    </row>
    <row r="212" spans="1:10" ht="15" x14ac:dyDescent="0.25">
      <c r="A212" s="53" t="s">
        <v>279</v>
      </c>
      <c r="B212" s="1" t="s">
        <v>119</v>
      </c>
      <c r="C212" s="5">
        <v>44835</v>
      </c>
      <c r="D212" s="138">
        <v>2</v>
      </c>
      <c r="E212" s="69" t="s">
        <v>281</v>
      </c>
      <c r="F212" s="74"/>
      <c r="H212" s="89"/>
    </row>
    <row r="213" spans="1:10" ht="15" x14ac:dyDescent="0.25">
      <c r="A213" s="53" t="s">
        <v>279</v>
      </c>
      <c r="B213" s="1" t="s">
        <v>119</v>
      </c>
      <c r="C213" s="5">
        <v>44835</v>
      </c>
      <c r="D213" s="138">
        <v>3</v>
      </c>
      <c r="E213" s="69" t="s">
        <v>282</v>
      </c>
      <c r="F213" s="74"/>
      <c r="H213" s="89"/>
    </row>
    <row r="214" spans="1:10" ht="15" x14ac:dyDescent="0.25">
      <c r="A214" s="53" t="s">
        <v>279</v>
      </c>
      <c r="B214" s="1" t="s">
        <v>119</v>
      </c>
      <c r="C214" s="5">
        <v>44835</v>
      </c>
      <c r="D214" s="138">
        <v>4</v>
      </c>
      <c r="E214" s="69" t="s">
        <v>283</v>
      </c>
      <c r="F214" s="74"/>
      <c r="H214" s="89"/>
    </row>
    <row r="215" spans="1:10" ht="26.25" x14ac:dyDescent="0.25">
      <c r="A215" s="1" t="s">
        <v>141</v>
      </c>
      <c r="B215" s="1" t="s">
        <v>119</v>
      </c>
      <c r="C215" s="5">
        <v>44835</v>
      </c>
      <c r="D215" s="1">
        <v>6</v>
      </c>
      <c r="E215" s="69" t="s">
        <v>114</v>
      </c>
      <c r="F215" s="74">
        <v>9</v>
      </c>
      <c r="G215" s="71">
        <v>24120</v>
      </c>
      <c r="H215" s="89" t="s">
        <v>150</v>
      </c>
      <c r="J215" s="1" t="s">
        <v>156</v>
      </c>
    </row>
    <row r="216" spans="1:10" ht="26.25" x14ac:dyDescent="0.25">
      <c r="A216" s="1" t="s">
        <v>141</v>
      </c>
      <c r="B216" s="1" t="s">
        <v>119</v>
      </c>
      <c r="C216" s="5">
        <v>44835</v>
      </c>
      <c r="D216" s="1">
        <v>9</v>
      </c>
      <c r="E216" s="69" t="s">
        <v>40</v>
      </c>
      <c r="F216" s="74">
        <v>14</v>
      </c>
      <c r="G216" s="71">
        <v>33320</v>
      </c>
      <c r="H216" s="89" t="s">
        <v>150</v>
      </c>
      <c r="J216" s="1" t="s">
        <v>156</v>
      </c>
    </row>
    <row r="217" spans="1:10" ht="26.25" x14ac:dyDescent="0.25">
      <c r="A217" s="1" t="s">
        <v>141</v>
      </c>
      <c r="B217" s="1" t="s">
        <v>119</v>
      </c>
      <c r="C217" s="5">
        <v>44835</v>
      </c>
      <c r="D217" s="1">
        <v>10</v>
      </c>
      <c r="E217" s="69" t="s">
        <v>41</v>
      </c>
      <c r="F217" s="74">
        <v>92</v>
      </c>
      <c r="G217" s="71">
        <v>246560</v>
      </c>
      <c r="H217" s="89" t="s">
        <v>150</v>
      </c>
      <c r="J217" s="1" t="s">
        <v>156</v>
      </c>
    </row>
    <row r="218" spans="1:10" ht="26.25" x14ac:dyDescent="0.25">
      <c r="A218" s="1" t="s">
        <v>141</v>
      </c>
      <c r="B218" s="1" t="s">
        <v>119</v>
      </c>
      <c r="C218" s="5">
        <v>44835</v>
      </c>
      <c r="D218" s="1">
        <v>11</v>
      </c>
      <c r="E218" s="69" t="s">
        <v>42</v>
      </c>
      <c r="F218" s="74">
        <v>62</v>
      </c>
      <c r="G218" s="71">
        <v>179800</v>
      </c>
      <c r="H218" s="89" t="s">
        <v>150</v>
      </c>
      <c r="J218" s="1" t="s">
        <v>156</v>
      </c>
    </row>
    <row r="219" spans="1:10" ht="26.25" x14ac:dyDescent="0.25">
      <c r="A219" s="1" t="s">
        <v>141</v>
      </c>
      <c r="B219" s="1" t="s">
        <v>119</v>
      </c>
      <c r="C219" s="5">
        <v>44835</v>
      </c>
      <c r="D219" s="1">
        <v>12</v>
      </c>
      <c r="E219" s="69" t="s">
        <v>43</v>
      </c>
      <c r="F219" s="74">
        <v>25</v>
      </c>
      <c r="G219" s="71">
        <v>78500</v>
      </c>
      <c r="H219" s="89" t="s">
        <v>150</v>
      </c>
      <c r="J219" s="1" t="s">
        <v>156</v>
      </c>
    </row>
    <row r="220" spans="1:10" ht="26.25" x14ac:dyDescent="0.25">
      <c r="A220" s="1" t="s">
        <v>141</v>
      </c>
      <c r="B220" s="1" t="s">
        <v>119</v>
      </c>
      <c r="C220" s="5">
        <v>44835</v>
      </c>
      <c r="D220" s="1">
        <v>13</v>
      </c>
      <c r="E220" s="69" t="s">
        <v>44</v>
      </c>
      <c r="F220" s="74">
        <v>7</v>
      </c>
      <c r="G220" s="71">
        <v>24570</v>
      </c>
      <c r="H220" s="89" t="s">
        <v>150</v>
      </c>
      <c r="J220" s="1" t="s">
        <v>156</v>
      </c>
    </row>
    <row r="221" spans="1:10" ht="26.25" x14ac:dyDescent="0.25">
      <c r="A221" s="1" t="s">
        <v>141</v>
      </c>
      <c r="B221" s="1" t="s">
        <v>119</v>
      </c>
      <c r="C221" s="5">
        <v>44835</v>
      </c>
      <c r="D221" s="1">
        <v>14</v>
      </c>
      <c r="E221" s="69" t="s">
        <v>45</v>
      </c>
      <c r="F221" s="74">
        <v>11</v>
      </c>
      <c r="G221" s="71">
        <v>42515</v>
      </c>
      <c r="H221" s="89" t="s">
        <v>150</v>
      </c>
      <c r="J221" s="1" t="s">
        <v>156</v>
      </c>
    </row>
    <row r="222" spans="1:10" ht="26.25" x14ac:dyDescent="0.25">
      <c r="A222" s="1" t="s">
        <v>141</v>
      </c>
      <c r="B222" s="1" t="s">
        <v>119</v>
      </c>
      <c r="C222" s="5">
        <v>44835</v>
      </c>
      <c r="D222" s="1">
        <v>15</v>
      </c>
      <c r="E222" s="69" t="s">
        <v>46</v>
      </c>
      <c r="F222" s="74">
        <v>6</v>
      </c>
      <c r="G222" s="71">
        <v>25620</v>
      </c>
      <c r="H222" s="89" t="s">
        <v>150</v>
      </c>
      <c r="J222" s="1" t="s">
        <v>156</v>
      </c>
    </row>
    <row r="223" spans="1:10" ht="26.25" x14ac:dyDescent="0.25">
      <c r="A223" s="1" t="s">
        <v>141</v>
      </c>
      <c r="B223" s="1" t="s">
        <v>119</v>
      </c>
      <c r="C223" s="5">
        <v>44835</v>
      </c>
      <c r="D223" s="1">
        <v>16</v>
      </c>
      <c r="E223" s="69" t="s">
        <v>47</v>
      </c>
      <c r="F223" s="74">
        <v>3</v>
      </c>
      <c r="G223" s="71">
        <v>14340</v>
      </c>
      <c r="H223" s="89" t="s">
        <v>150</v>
      </c>
      <c r="J223" s="1" t="s">
        <v>156</v>
      </c>
    </row>
    <row r="224" spans="1:10" ht="26.25" x14ac:dyDescent="0.25">
      <c r="A224" s="1" t="s">
        <v>141</v>
      </c>
      <c r="B224" s="1" t="s">
        <v>119</v>
      </c>
      <c r="C224" s="5">
        <v>44835</v>
      </c>
      <c r="D224" s="1">
        <v>17</v>
      </c>
      <c r="E224" s="69" t="s">
        <v>48</v>
      </c>
      <c r="F224" s="74">
        <v>2</v>
      </c>
      <c r="G224" s="71">
        <v>10840</v>
      </c>
      <c r="H224" s="89" t="s">
        <v>150</v>
      </c>
      <c r="J224" s="1" t="s">
        <v>156</v>
      </c>
    </row>
    <row r="225" spans="1:10" ht="26.25" x14ac:dyDescent="0.25">
      <c r="A225" s="1" t="s">
        <v>141</v>
      </c>
      <c r="B225" s="1" t="s">
        <v>119</v>
      </c>
      <c r="C225" s="5">
        <v>44835</v>
      </c>
      <c r="D225" s="1">
        <v>18</v>
      </c>
      <c r="E225" s="69" t="s">
        <v>49</v>
      </c>
      <c r="F225" s="74">
        <v>5</v>
      </c>
      <c r="G225" s="71">
        <v>30750</v>
      </c>
      <c r="H225" s="89" t="s">
        <v>150</v>
      </c>
      <c r="J225" s="1" t="s">
        <v>156</v>
      </c>
    </row>
    <row r="226" spans="1:10" ht="26.25" x14ac:dyDescent="0.25">
      <c r="A226" s="1" t="s">
        <v>141</v>
      </c>
      <c r="B226" s="1" t="s">
        <v>119</v>
      </c>
      <c r="C226" s="5">
        <v>44835</v>
      </c>
      <c r="D226" s="1">
        <v>19</v>
      </c>
      <c r="E226" s="69" t="s">
        <v>50</v>
      </c>
      <c r="F226" s="74">
        <v>6</v>
      </c>
      <c r="G226" s="71">
        <v>41880</v>
      </c>
      <c r="H226" s="89" t="s">
        <v>150</v>
      </c>
      <c r="J226" s="1" t="s">
        <v>156</v>
      </c>
    </row>
    <row r="227" spans="1:10" ht="26.25" x14ac:dyDescent="0.25">
      <c r="A227" s="1" t="s">
        <v>141</v>
      </c>
      <c r="B227" s="1" t="s">
        <v>119</v>
      </c>
      <c r="C227" s="5">
        <v>44835</v>
      </c>
      <c r="D227" s="1">
        <v>20</v>
      </c>
      <c r="E227" s="69" t="s">
        <v>115</v>
      </c>
      <c r="F227" s="74">
        <v>4</v>
      </c>
      <c r="G227" s="71">
        <v>34000</v>
      </c>
      <c r="H227" s="89" t="s">
        <v>150</v>
      </c>
      <c r="J227" s="1" t="s">
        <v>156</v>
      </c>
    </row>
    <row r="228" spans="1:10" ht="26.25" x14ac:dyDescent="0.25">
      <c r="A228" s="1" t="s">
        <v>141</v>
      </c>
      <c r="B228" s="1" t="s">
        <v>119</v>
      </c>
      <c r="C228" s="5">
        <v>44835</v>
      </c>
      <c r="D228" s="1">
        <v>21</v>
      </c>
      <c r="E228" s="69" t="s">
        <v>116</v>
      </c>
      <c r="F228" s="74">
        <v>1</v>
      </c>
      <c r="G228" s="71">
        <v>9500</v>
      </c>
      <c r="H228" s="89" t="s">
        <v>150</v>
      </c>
      <c r="J228" s="1" t="s">
        <v>156</v>
      </c>
    </row>
    <row r="229" spans="1:10" ht="26.25" x14ac:dyDescent="0.25">
      <c r="A229" s="1" t="s">
        <v>141</v>
      </c>
      <c r="B229" s="1" t="s">
        <v>119</v>
      </c>
      <c r="C229" s="5">
        <v>44835</v>
      </c>
      <c r="D229" s="1">
        <v>22</v>
      </c>
      <c r="E229" s="69" t="s">
        <v>117</v>
      </c>
      <c r="F229" s="74">
        <v>0</v>
      </c>
      <c r="G229" s="71">
        <v>0</v>
      </c>
      <c r="H229" s="89" t="s">
        <v>150</v>
      </c>
      <c r="J229" s="1" t="s">
        <v>156</v>
      </c>
    </row>
    <row r="230" spans="1:10" ht="15" x14ac:dyDescent="0.25">
      <c r="A230" s="53" t="s">
        <v>279</v>
      </c>
      <c r="B230" s="1" t="s">
        <v>119</v>
      </c>
      <c r="C230" s="5">
        <v>44866</v>
      </c>
      <c r="D230" s="138">
        <v>1</v>
      </c>
      <c r="E230" s="69" t="s">
        <v>280</v>
      </c>
      <c r="F230" s="74"/>
      <c r="H230" s="89"/>
    </row>
    <row r="231" spans="1:10" ht="15" x14ac:dyDescent="0.25">
      <c r="A231" s="53" t="s">
        <v>279</v>
      </c>
      <c r="B231" s="1" t="s">
        <v>119</v>
      </c>
      <c r="C231" s="5">
        <v>44866</v>
      </c>
      <c r="D231" s="138">
        <v>2</v>
      </c>
      <c r="E231" s="69" t="s">
        <v>281</v>
      </c>
      <c r="F231" s="74"/>
      <c r="H231" s="89"/>
    </row>
    <row r="232" spans="1:10" ht="15" x14ac:dyDescent="0.25">
      <c r="A232" s="53" t="s">
        <v>279</v>
      </c>
      <c r="B232" s="1" t="s">
        <v>119</v>
      </c>
      <c r="C232" s="5">
        <v>44866</v>
      </c>
      <c r="D232" s="138">
        <v>3</v>
      </c>
      <c r="E232" s="69" t="s">
        <v>282</v>
      </c>
      <c r="F232" s="74"/>
      <c r="H232" s="89"/>
    </row>
    <row r="233" spans="1:10" ht="15" x14ac:dyDescent="0.25">
      <c r="A233" s="53" t="s">
        <v>279</v>
      </c>
      <c r="B233" s="1" t="s">
        <v>119</v>
      </c>
      <c r="C233" s="5">
        <v>44866</v>
      </c>
      <c r="D233" s="138">
        <v>4</v>
      </c>
      <c r="E233" s="69" t="s">
        <v>283</v>
      </c>
      <c r="F233" s="74"/>
      <c r="H233" s="89"/>
    </row>
    <row r="234" spans="1:10" ht="26.25" x14ac:dyDescent="0.25">
      <c r="A234" s="1" t="s">
        <v>141</v>
      </c>
      <c r="B234" s="1" t="s">
        <v>119</v>
      </c>
      <c r="C234" s="5">
        <v>44866</v>
      </c>
      <c r="D234" s="1">
        <v>6</v>
      </c>
      <c r="E234" s="69" t="s">
        <v>114</v>
      </c>
      <c r="F234" s="74">
        <v>9</v>
      </c>
      <c r="G234" s="71">
        <v>24120</v>
      </c>
      <c r="H234" s="89" t="s">
        <v>150</v>
      </c>
      <c r="J234" s="1" t="s">
        <v>156</v>
      </c>
    </row>
    <row r="235" spans="1:10" ht="26.25" x14ac:dyDescent="0.25">
      <c r="A235" s="1" t="s">
        <v>141</v>
      </c>
      <c r="B235" s="1" t="s">
        <v>119</v>
      </c>
      <c r="C235" s="5">
        <v>44866</v>
      </c>
      <c r="D235" s="1">
        <v>9</v>
      </c>
      <c r="E235" s="69" t="s">
        <v>40</v>
      </c>
      <c r="F235" s="74">
        <v>14</v>
      </c>
      <c r="G235" s="71">
        <v>33320</v>
      </c>
      <c r="H235" s="89" t="s">
        <v>150</v>
      </c>
      <c r="J235" s="1" t="s">
        <v>156</v>
      </c>
    </row>
    <row r="236" spans="1:10" ht="26.25" x14ac:dyDescent="0.25">
      <c r="A236" s="1" t="s">
        <v>141</v>
      </c>
      <c r="B236" s="1" t="s">
        <v>119</v>
      </c>
      <c r="C236" s="5">
        <v>44866</v>
      </c>
      <c r="D236" s="1">
        <v>10</v>
      </c>
      <c r="E236" s="69" t="s">
        <v>41</v>
      </c>
      <c r="F236" s="74">
        <v>97</v>
      </c>
      <c r="G236" s="71">
        <v>259960</v>
      </c>
      <c r="H236" s="89" t="s">
        <v>150</v>
      </c>
      <c r="J236" s="1" t="s">
        <v>156</v>
      </c>
    </row>
    <row r="237" spans="1:10" ht="26.25" x14ac:dyDescent="0.25">
      <c r="A237" s="1" t="s">
        <v>141</v>
      </c>
      <c r="B237" s="1" t="s">
        <v>119</v>
      </c>
      <c r="C237" s="5">
        <v>44866</v>
      </c>
      <c r="D237" s="1">
        <v>11</v>
      </c>
      <c r="E237" s="69" t="s">
        <v>42</v>
      </c>
      <c r="F237" s="74">
        <v>61</v>
      </c>
      <c r="G237" s="71">
        <v>176900</v>
      </c>
      <c r="H237" s="89" t="s">
        <v>150</v>
      </c>
      <c r="J237" s="1" t="s">
        <v>156</v>
      </c>
    </row>
    <row r="238" spans="1:10" ht="26.25" x14ac:dyDescent="0.25">
      <c r="A238" s="1" t="s">
        <v>141</v>
      </c>
      <c r="B238" s="1" t="s">
        <v>119</v>
      </c>
      <c r="C238" s="5">
        <v>44866</v>
      </c>
      <c r="D238" s="1">
        <v>12</v>
      </c>
      <c r="E238" s="69" t="s">
        <v>43</v>
      </c>
      <c r="F238" s="74">
        <v>26</v>
      </c>
      <c r="G238" s="71">
        <v>81640</v>
      </c>
      <c r="H238" s="89" t="s">
        <v>150</v>
      </c>
      <c r="J238" s="1" t="s">
        <v>156</v>
      </c>
    </row>
    <row r="239" spans="1:10" ht="26.25" x14ac:dyDescent="0.25">
      <c r="A239" s="1" t="s">
        <v>141</v>
      </c>
      <c r="B239" s="1" t="s">
        <v>119</v>
      </c>
      <c r="C239" s="5">
        <v>44866</v>
      </c>
      <c r="D239" s="1">
        <v>13</v>
      </c>
      <c r="E239" s="69" t="s">
        <v>44</v>
      </c>
      <c r="F239" s="74">
        <v>8</v>
      </c>
      <c r="G239" s="71">
        <v>28080</v>
      </c>
      <c r="H239" s="89" t="s">
        <v>150</v>
      </c>
      <c r="J239" s="1" t="s">
        <v>156</v>
      </c>
    </row>
    <row r="240" spans="1:10" ht="26.25" x14ac:dyDescent="0.25">
      <c r="A240" s="1" t="s">
        <v>141</v>
      </c>
      <c r="B240" s="1" t="s">
        <v>119</v>
      </c>
      <c r="C240" s="5">
        <v>44866</v>
      </c>
      <c r="D240" s="1">
        <v>14</v>
      </c>
      <c r="E240" s="69" t="s">
        <v>45</v>
      </c>
      <c r="F240" s="74">
        <v>11</v>
      </c>
      <c r="G240" s="71">
        <v>42515</v>
      </c>
      <c r="H240" s="89" t="s">
        <v>150</v>
      </c>
      <c r="J240" s="1" t="s">
        <v>156</v>
      </c>
    </row>
    <row r="241" spans="1:10" ht="26.25" x14ac:dyDescent="0.25">
      <c r="A241" s="1" t="s">
        <v>141</v>
      </c>
      <c r="B241" s="1" t="s">
        <v>119</v>
      </c>
      <c r="C241" s="5">
        <v>44866</v>
      </c>
      <c r="D241" s="1">
        <v>15</v>
      </c>
      <c r="E241" s="69" t="s">
        <v>46</v>
      </c>
      <c r="F241" s="74">
        <v>6</v>
      </c>
      <c r="G241" s="71">
        <v>25620</v>
      </c>
      <c r="H241" s="89" t="s">
        <v>150</v>
      </c>
      <c r="J241" s="1" t="s">
        <v>156</v>
      </c>
    </row>
    <row r="242" spans="1:10" ht="26.25" x14ac:dyDescent="0.25">
      <c r="A242" s="1" t="s">
        <v>141</v>
      </c>
      <c r="B242" s="1" t="s">
        <v>119</v>
      </c>
      <c r="C242" s="5">
        <v>44866</v>
      </c>
      <c r="D242" s="1">
        <v>16</v>
      </c>
      <c r="E242" s="69" t="s">
        <v>47</v>
      </c>
      <c r="F242" s="74">
        <v>3</v>
      </c>
      <c r="G242" s="71">
        <v>14340</v>
      </c>
      <c r="H242" s="89" t="s">
        <v>150</v>
      </c>
      <c r="J242" s="1" t="s">
        <v>156</v>
      </c>
    </row>
    <row r="243" spans="1:10" ht="26.25" x14ac:dyDescent="0.25">
      <c r="A243" s="1" t="s">
        <v>141</v>
      </c>
      <c r="B243" s="1" t="s">
        <v>119</v>
      </c>
      <c r="C243" s="5">
        <v>44866</v>
      </c>
      <c r="D243" s="1">
        <v>17</v>
      </c>
      <c r="E243" s="69" t="s">
        <v>48</v>
      </c>
      <c r="F243" s="74">
        <v>2</v>
      </c>
      <c r="G243" s="71">
        <v>10840</v>
      </c>
      <c r="H243" s="89" t="s">
        <v>150</v>
      </c>
      <c r="J243" s="1" t="s">
        <v>156</v>
      </c>
    </row>
    <row r="244" spans="1:10" ht="26.25" x14ac:dyDescent="0.25">
      <c r="A244" s="1" t="s">
        <v>141</v>
      </c>
      <c r="B244" s="1" t="s">
        <v>119</v>
      </c>
      <c r="C244" s="5">
        <v>44866</v>
      </c>
      <c r="D244" s="1">
        <v>18</v>
      </c>
      <c r="E244" s="69" t="s">
        <v>49</v>
      </c>
      <c r="F244" s="74">
        <v>5</v>
      </c>
      <c r="G244" s="71">
        <v>30750</v>
      </c>
      <c r="H244" s="89" t="s">
        <v>150</v>
      </c>
      <c r="J244" s="1" t="s">
        <v>156</v>
      </c>
    </row>
    <row r="245" spans="1:10" ht="26.25" x14ac:dyDescent="0.25">
      <c r="A245" s="1" t="s">
        <v>141</v>
      </c>
      <c r="B245" s="1" t="s">
        <v>119</v>
      </c>
      <c r="C245" s="5">
        <v>44866</v>
      </c>
      <c r="D245" s="1">
        <v>19</v>
      </c>
      <c r="E245" s="69" t="s">
        <v>50</v>
      </c>
      <c r="F245" s="74">
        <v>5</v>
      </c>
      <c r="G245" s="71">
        <v>34900</v>
      </c>
      <c r="H245" s="89" t="s">
        <v>150</v>
      </c>
      <c r="J245" s="1" t="s">
        <v>156</v>
      </c>
    </row>
    <row r="246" spans="1:10" ht="26.25" x14ac:dyDescent="0.25">
      <c r="A246" s="1" t="s">
        <v>141</v>
      </c>
      <c r="B246" s="1" t="s">
        <v>119</v>
      </c>
      <c r="C246" s="5">
        <v>44866</v>
      </c>
      <c r="D246" s="1">
        <v>20</v>
      </c>
      <c r="E246" s="69" t="s">
        <v>115</v>
      </c>
      <c r="F246" s="74">
        <v>4</v>
      </c>
      <c r="G246" s="71">
        <v>34000</v>
      </c>
      <c r="H246" s="89" t="s">
        <v>150</v>
      </c>
      <c r="J246" s="1" t="s">
        <v>156</v>
      </c>
    </row>
    <row r="247" spans="1:10" ht="26.25" x14ac:dyDescent="0.25">
      <c r="A247" s="1" t="s">
        <v>141</v>
      </c>
      <c r="B247" s="1" t="s">
        <v>119</v>
      </c>
      <c r="C247" s="5">
        <v>44866</v>
      </c>
      <c r="D247" s="1">
        <v>21</v>
      </c>
      <c r="E247" s="69" t="s">
        <v>116</v>
      </c>
      <c r="F247" s="74">
        <v>1</v>
      </c>
      <c r="G247" s="71">
        <v>9500</v>
      </c>
      <c r="H247" s="89" t="s">
        <v>150</v>
      </c>
      <c r="J247" s="1" t="s">
        <v>156</v>
      </c>
    </row>
    <row r="248" spans="1:10" ht="26.25" x14ac:dyDescent="0.25">
      <c r="A248" s="1" t="s">
        <v>141</v>
      </c>
      <c r="B248" s="1" t="s">
        <v>119</v>
      </c>
      <c r="C248" s="5">
        <v>44866</v>
      </c>
      <c r="D248" s="1">
        <v>22</v>
      </c>
      <c r="E248" s="69" t="s">
        <v>117</v>
      </c>
      <c r="F248" s="74">
        <v>0</v>
      </c>
      <c r="G248" s="71">
        <v>0</v>
      </c>
      <c r="H248" s="89" t="s">
        <v>150</v>
      </c>
      <c r="J248" s="1" t="s">
        <v>156</v>
      </c>
    </row>
    <row r="249" spans="1:10" ht="15" x14ac:dyDescent="0.25">
      <c r="A249" s="53" t="s">
        <v>279</v>
      </c>
      <c r="B249" s="1" t="s">
        <v>119</v>
      </c>
      <c r="C249" s="5">
        <v>44896</v>
      </c>
      <c r="D249" s="138">
        <v>1</v>
      </c>
      <c r="E249" s="69" t="s">
        <v>280</v>
      </c>
      <c r="F249" s="74">
        <v>28</v>
      </c>
      <c r="G249" s="71">
        <v>25200</v>
      </c>
      <c r="H249" s="89"/>
    </row>
    <row r="250" spans="1:10" ht="15" x14ac:dyDescent="0.25">
      <c r="A250" s="53" t="s">
        <v>279</v>
      </c>
      <c r="B250" s="1" t="s">
        <v>119</v>
      </c>
      <c r="C250" s="5">
        <v>44896</v>
      </c>
      <c r="D250" s="138">
        <v>2</v>
      </c>
      <c r="E250" s="69" t="s">
        <v>281</v>
      </c>
      <c r="F250" s="74">
        <v>0</v>
      </c>
      <c r="G250" s="71">
        <v>0</v>
      </c>
      <c r="H250" s="89"/>
    </row>
    <row r="251" spans="1:10" ht="15" x14ac:dyDescent="0.25">
      <c r="A251" s="53" t="s">
        <v>279</v>
      </c>
      <c r="B251" s="1" t="s">
        <v>119</v>
      </c>
      <c r="C251" s="5">
        <v>44896</v>
      </c>
      <c r="D251" s="138">
        <v>3</v>
      </c>
      <c r="E251" s="69" t="s">
        <v>282</v>
      </c>
      <c r="F251" s="74">
        <v>2</v>
      </c>
      <c r="G251" s="71">
        <v>3362.72</v>
      </c>
      <c r="H251" s="89"/>
    </row>
    <row r="252" spans="1:10" ht="15" x14ac:dyDescent="0.25">
      <c r="A252" s="53" t="s">
        <v>279</v>
      </c>
      <c r="B252" s="1" t="s">
        <v>119</v>
      </c>
      <c r="C252" s="5">
        <v>44896</v>
      </c>
      <c r="D252" s="138">
        <v>4</v>
      </c>
      <c r="E252" s="69" t="s">
        <v>283</v>
      </c>
      <c r="F252" s="74">
        <v>1</v>
      </c>
      <c r="G252" s="71">
        <v>1100</v>
      </c>
      <c r="H252" s="89"/>
    </row>
    <row r="253" spans="1:10" ht="26.25" x14ac:dyDescent="0.25">
      <c r="A253" s="1" t="s">
        <v>141</v>
      </c>
      <c r="B253" s="1" t="s">
        <v>119</v>
      </c>
      <c r="C253" s="5">
        <v>44896</v>
      </c>
      <c r="D253" s="1">
        <v>6</v>
      </c>
      <c r="E253" s="69" t="s">
        <v>114</v>
      </c>
      <c r="F253" s="74">
        <v>8</v>
      </c>
      <c r="G253" s="71">
        <v>21440</v>
      </c>
      <c r="H253" s="89" t="s">
        <v>150</v>
      </c>
      <c r="J253" s="1" t="s">
        <v>156</v>
      </c>
    </row>
    <row r="254" spans="1:10" ht="26.25" x14ac:dyDescent="0.25">
      <c r="A254" s="1" t="s">
        <v>141</v>
      </c>
      <c r="B254" s="1" t="s">
        <v>119</v>
      </c>
      <c r="C254" s="5">
        <v>44896</v>
      </c>
      <c r="D254" s="1">
        <v>9</v>
      </c>
      <c r="E254" s="69" t="s">
        <v>40</v>
      </c>
      <c r="F254" s="74">
        <v>14</v>
      </c>
      <c r="G254" s="71">
        <v>33320</v>
      </c>
      <c r="H254" s="89" t="s">
        <v>150</v>
      </c>
      <c r="J254" s="1" t="s">
        <v>156</v>
      </c>
    </row>
    <row r="255" spans="1:10" ht="26.25" x14ac:dyDescent="0.25">
      <c r="A255" s="1" t="s">
        <v>141</v>
      </c>
      <c r="B255" s="1" t="s">
        <v>119</v>
      </c>
      <c r="C255" s="5">
        <v>44896</v>
      </c>
      <c r="D255" s="1">
        <v>10</v>
      </c>
      <c r="E255" s="69" t="s">
        <v>41</v>
      </c>
      <c r="F255" s="74">
        <v>101</v>
      </c>
      <c r="G255" s="71">
        <v>270680</v>
      </c>
      <c r="H255" s="89" t="s">
        <v>150</v>
      </c>
      <c r="J255" s="1" t="s">
        <v>156</v>
      </c>
    </row>
    <row r="256" spans="1:10" ht="26.25" x14ac:dyDescent="0.25">
      <c r="A256" s="1" t="s">
        <v>141</v>
      </c>
      <c r="B256" s="1" t="s">
        <v>119</v>
      </c>
      <c r="C256" s="5">
        <v>44896</v>
      </c>
      <c r="D256" s="1">
        <v>11</v>
      </c>
      <c r="E256" s="69" t="s">
        <v>42</v>
      </c>
      <c r="F256" s="74">
        <v>62</v>
      </c>
      <c r="G256" s="71">
        <v>179800</v>
      </c>
      <c r="H256" s="89" t="s">
        <v>150</v>
      </c>
      <c r="J256" s="1" t="s">
        <v>156</v>
      </c>
    </row>
    <row r="257" spans="1:10" ht="26.25" x14ac:dyDescent="0.25">
      <c r="A257" s="1" t="s">
        <v>141</v>
      </c>
      <c r="B257" s="1" t="s">
        <v>119</v>
      </c>
      <c r="C257" s="5">
        <v>44896</v>
      </c>
      <c r="D257" s="1">
        <v>12</v>
      </c>
      <c r="E257" s="69" t="s">
        <v>43</v>
      </c>
      <c r="F257" s="74">
        <v>25</v>
      </c>
      <c r="G257" s="71">
        <v>78500</v>
      </c>
      <c r="H257" s="89" t="s">
        <v>150</v>
      </c>
      <c r="J257" s="1" t="s">
        <v>156</v>
      </c>
    </row>
    <row r="258" spans="1:10" ht="26.25" x14ac:dyDescent="0.25">
      <c r="A258" s="1" t="s">
        <v>141</v>
      </c>
      <c r="B258" s="1" t="s">
        <v>119</v>
      </c>
      <c r="C258" s="5">
        <v>44896</v>
      </c>
      <c r="D258" s="1">
        <v>13</v>
      </c>
      <c r="E258" s="69" t="s">
        <v>44</v>
      </c>
      <c r="F258" s="74">
        <v>8</v>
      </c>
      <c r="G258" s="71">
        <v>28080</v>
      </c>
      <c r="H258" s="89" t="s">
        <v>150</v>
      </c>
      <c r="J258" s="1" t="s">
        <v>156</v>
      </c>
    </row>
    <row r="259" spans="1:10" ht="26.25" x14ac:dyDescent="0.25">
      <c r="A259" s="1" t="s">
        <v>141</v>
      </c>
      <c r="B259" s="1" t="s">
        <v>119</v>
      </c>
      <c r="C259" s="5">
        <v>44896</v>
      </c>
      <c r="D259" s="1">
        <v>14</v>
      </c>
      <c r="E259" s="69" t="s">
        <v>45</v>
      </c>
      <c r="F259" s="74">
        <v>10</v>
      </c>
      <c r="G259" s="71">
        <v>38650</v>
      </c>
      <c r="H259" s="89" t="s">
        <v>150</v>
      </c>
      <c r="J259" s="1" t="s">
        <v>156</v>
      </c>
    </row>
    <row r="260" spans="1:10" ht="26.25" x14ac:dyDescent="0.25">
      <c r="A260" s="1" t="s">
        <v>141</v>
      </c>
      <c r="B260" s="1" t="s">
        <v>119</v>
      </c>
      <c r="C260" s="5">
        <v>44896</v>
      </c>
      <c r="D260" s="1">
        <v>15</v>
      </c>
      <c r="E260" s="69" t="s">
        <v>46</v>
      </c>
      <c r="F260" s="74">
        <v>6</v>
      </c>
      <c r="G260" s="71">
        <v>25620</v>
      </c>
      <c r="H260" s="89" t="s">
        <v>150</v>
      </c>
      <c r="J260" s="1" t="s">
        <v>156</v>
      </c>
    </row>
    <row r="261" spans="1:10" ht="26.25" x14ac:dyDescent="0.25">
      <c r="A261" s="1" t="s">
        <v>141</v>
      </c>
      <c r="B261" s="1" t="s">
        <v>119</v>
      </c>
      <c r="C261" s="5">
        <v>44896</v>
      </c>
      <c r="D261" s="1">
        <v>16</v>
      </c>
      <c r="E261" s="69" t="s">
        <v>47</v>
      </c>
      <c r="F261" s="74">
        <v>3</v>
      </c>
      <c r="G261" s="71">
        <v>14340</v>
      </c>
      <c r="H261" s="89" t="s">
        <v>150</v>
      </c>
      <c r="J261" s="1" t="s">
        <v>156</v>
      </c>
    </row>
    <row r="262" spans="1:10" ht="26.25" x14ac:dyDescent="0.25">
      <c r="A262" s="1" t="s">
        <v>141</v>
      </c>
      <c r="B262" s="1" t="s">
        <v>119</v>
      </c>
      <c r="C262" s="5">
        <v>44896</v>
      </c>
      <c r="D262" s="1">
        <v>17</v>
      </c>
      <c r="E262" s="69" t="s">
        <v>48</v>
      </c>
      <c r="F262" s="74">
        <v>2</v>
      </c>
      <c r="G262" s="71">
        <v>10840</v>
      </c>
      <c r="H262" s="89" t="s">
        <v>150</v>
      </c>
      <c r="J262" s="1" t="s">
        <v>156</v>
      </c>
    </row>
    <row r="263" spans="1:10" ht="26.25" x14ac:dyDescent="0.25">
      <c r="A263" s="1" t="s">
        <v>141</v>
      </c>
      <c r="B263" s="1" t="s">
        <v>119</v>
      </c>
      <c r="C263" s="5">
        <v>44896</v>
      </c>
      <c r="D263" s="1">
        <v>18</v>
      </c>
      <c r="E263" s="69" t="s">
        <v>49</v>
      </c>
      <c r="F263" s="74">
        <v>5</v>
      </c>
      <c r="G263" s="71">
        <v>30750</v>
      </c>
      <c r="H263" s="89" t="s">
        <v>150</v>
      </c>
      <c r="J263" s="1" t="s">
        <v>156</v>
      </c>
    </row>
    <row r="264" spans="1:10" ht="26.25" x14ac:dyDescent="0.25">
      <c r="A264" s="1" t="s">
        <v>141</v>
      </c>
      <c r="B264" s="1" t="s">
        <v>119</v>
      </c>
      <c r="C264" s="5">
        <v>44896</v>
      </c>
      <c r="D264" s="1">
        <v>19</v>
      </c>
      <c r="E264" s="69" t="s">
        <v>50</v>
      </c>
      <c r="F264" s="74">
        <v>5</v>
      </c>
      <c r="G264" s="71">
        <v>34900</v>
      </c>
      <c r="H264" s="89" t="s">
        <v>150</v>
      </c>
      <c r="J264" s="1" t="s">
        <v>156</v>
      </c>
    </row>
    <row r="265" spans="1:10" ht="26.25" x14ac:dyDescent="0.25">
      <c r="A265" s="1" t="s">
        <v>141</v>
      </c>
      <c r="B265" s="1" t="s">
        <v>119</v>
      </c>
      <c r="C265" s="5">
        <v>44896</v>
      </c>
      <c r="D265" s="1">
        <v>20</v>
      </c>
      <c r="E265" s="69" t="s">
        <v>115</v>
      </c>
      <c r="F265" s="74">
        <v>4</v>
      </c>
      <c r="G265" s="71">
        <v>34000</v>
      </c>
      <c r="H265" s="89" t="s">
        <v>150</v>
      </c>
      <c r="J265" s="1" t="s">
        <v>156</v>
      </c>
    </row>
    <row r="266" spans="1:10" ht="26.25" x14ac:dyDescent="0.25">
      <c r="A266" s="1" t="s">
        <v>141</v>
      </c>
      <c r="B266" s="1" t="s">
        <v>119</v>
      </c>
      <c r="C266" s="5">
        <v>44896</v>
      </c>
      <c r="D266" s="1">
        <v>21</v>
      </c>
      <c r="E266" s="69" t="s">
        <v>116</v>
      </c>
      <c r="F266" s="74">
        <v>1</v>
      </c>
      <c r="G266" s="71">
        <v>9500</v>
      </c>
      <c r="H266" s="89" t="s">
        <v>150</v>
      </c>
      <c r="J266" s="1" t="s">
        <v>156</v>
      </c>
    </row>
    <row r="267" spans="1:10" ht="26.25" x14ac:dyDescent="0.25">
      <c r="A267" s="1" t="s">
        <v>141</v>
      </c>
      <c r="B267" s="1" t="s">
        <v>119</v>
      </c>
      <c r="C267" s="5">
        <v>44896</v>
      </c>
      <c r="D267" s="1">
        <v>22</v>
      </c>
      <c r="E267" s="69" t="s">
        <v>117</v>
      </c>
      <c r="F267" s="74">
        <v>0</v>
      </c>
      <c r="G267" s="71">
        <v>0</v>
      </c>
      <c r="H267" s="89" t="s">
        <v>150</v>
      </c>
      <c r="J267" s="1" t="s">
        <v>156</v>
      </c>
    </row>
    <row r="268" spans="1:10" ht="15" x14ac:dyDescent="0.25">
      <c r="A268" s="53" t="s">
        <v>279</v>
      </c>
      <c r="B268" s="1" t="s">
        <v>119</v>
      </c>
      <c r="C268" s="5">
        <v>44927</v>
      </c>
      <c r="D268" s="138">
        <v>1</v>
      </c>
      <c r="E268" s="69" t="s">
        <v>280</v>
      </c>
      <c r="F268" s="74">
        <v>26</v>
      </c>
      <c r="G268" s="71">
        <v>23400</v>
      </c>
      <c r="H268" s="89"/>
    </row>
    <row r="269" spans="1:10" ht="15" x14ac:dyDescent="0.25">
      <c r="A269" s="53" t="s">
        <v>279</v>
      </c>
      <c r="B269" s="1" t="s">
        <v>119</v>
      </c>
      <c r="C269" s="5">
        <v>44927</v>
      </c>
      <c r="D269" s="138">
        <v>2</v>
      </c>
      <c r="E269" s="69" t="s">
        <v>281</v>
      </c>
      <c r="F269" s="74">
        <v>0</v>
      </c>
      <c r="G269" s="71">
        <v>0</v>
      </c>
      <c r="H269" s="89"/>
    </row>
    <row r="270" spans="1:10" ht="15" x14ac:dyDescent="0.25">
      <c r="A270" s="53" t="s">
        <v>279</v>
      </c>
      <c r="B270" s="1" t="s">
        <v>119</v>
      </c>
      <c r="C270" s="5">
        <v>44927</v>
      </c>
      <c r="D270" s="138">
        <v>3</v>
      </c>
      <c r="E270" s="69" t="s">
        <v>282</v>
      </c>
      <c r="F270" s="74">
        <v>2</v>
      </c>
      <c r="G270" s="71">
        <v>3362.72</v>
      </c>
      <c r="H270" s="89"/>
    </row>
    <row r="271" spans="1:10" ht="15" x14ac:dyDescent="0.25">
      <c r="A271" s="53" t="s">
        <v>279</v>
      </c>
      <c r="B271" s="1" t="s">
        <v>119</v>
      </c>
      <c r="C271" s="5">
        <v>44927</v>
      </c>
      <c r="D271" s="138">
        <v>4</v>
      </c>
      <c r="E271" s="69" t="s">
        <v>283</v>
      </c>
      <c r="F271" s="74">
        <v>0</v>
      </c>
      <c r="G271" s="71">
        <v>0</v>
      </c>
      <c r="H271" s="89"/>
    </row>
    <row r="272" spans="1:10" ht="15" x14ac:dyDescent="0.25">
      <c r="A272" s="1" t="s">
        <v>141</v>
      </c>
      <c r="B272" s="1" t="s">
        <v>119</v>
      </c>
      <c r="C272" s="5">
        <v>44927</v>
      </c>
      <c r="D272" s="1">
        <v>6</v>
      </c>
      <c r="E272" s="69" t="s">
        <v>114</v>
      </c>
      <c r="F272" s="74">
        <v>9</v>
      </c>
      <c r="G272" s="71">
        <v>21420</v>
      </c>
      <c r="H272" s="89"/>
    </row>
    <row r="273" spans="1:8" ht="15" x14ac:dyDescent="0.25">
      <c r="A273" s="1" t="s">
        <v>141</v>
      </c>
      <c r="B273" s="1" t="s">
        <v>119</v>
      </c>
      <c r="C273" s="5">
        <v>44927</v>
      </c>
      <c r="D273" s="1">
        <v>9</v>
      </c>
      <c r="E273" s="69" t="s">
        <v>40</v>
      </c>
      <c r="F273" s="74">
        <v>15</v>
      </c>
      <c r="G273" s="71">
        <v>35700</v>
      </c>
      <c r="H273" s="89"/>
    </row>
    <row r="274" spans="1:8" ht="15" x14ac:dyDescent="0.25">
      <c r="A274" s="1" t="s">
        <v>141</v>
      </c>
      <c r="B274" s="1" t="s">
        <v>119</v>
      </c>
      <c r="C274" s="5">
        <v>44927</v>
      </c>
      <c r="D274" s="1">
        <v>10</v>
      </c>
      <c r="E274" s="69" t="s">
        <v>41</v>
      </c>
      <c r="F274" s="74">
        <v>100</v>
      </c>
      <c r="G274" s="71">
        <v>268000</v>
      </c>
      <c r="H274" s="89"/>
    </row>
    <row r="275" spans="1:8" ht="15" x14ac:dyDescent="0.25">
      <c r="A275" s="1" t="s">
        <v>141</v>
      </c>
      <c r="B275" s="1" t="s">
        <v>119</v>
      </c>
      <c r="C275" s="5">
        <v>44927</v>
      </c>
      <c r="D275" s="1">
        <v>11</v>
      </c>
      <c r="E275" s="69" t="s">
        <v>42</v>
      </c>
      <c r="F275" s="74">
        <v>63</v>
      </c>
      <c r="G275" s="71">
        <v>182700</v>
      </c>
      <c r="H275" s="89"/>
    </row>
    <row r="276" spans="1:8" ht="15" x14ac:dyDescent="0.25">
      <c r="A276" s="1" t="s">
        <v>141</v>
      </c>
      <c r="B276" s="1" t="s">
        <v>119</v>
      </c>
      <c r="C276" s="5">
        <v>44927</v>
      </c>
      <c r="D276" s="1">
        <v>12</v>
      </c>
      <c r="E276" s="69" t="s">
        <v>43</v>
      </c>
      <c r="F276" s="74">
        <v>25</v>
      </c>
      <c r="G276" s="71">
        <v>78500</v>
      </c>
      <c r="H276" s="89"/>
    </row>
    <row r="277" spans="1:8" ht="15" x14ac:dyDescent="0.25">
      <c r="A277" s="1" t="s">
        <v>141</v>
      </c>
      <c r="B277" s="1" t="s">
        <v>119</v>
      </c>
      <c r="C277" s="5">
        <v>44927</v>
      </c>
      <c r="D277" s="1">
        <v>13</v>
      </c>
      <c r="E277" s="69" t="s">
        <v>44</v>
      </c>
      <c r="F277" s="74">
        <v>8</v>
      </c>
      <c r="G277" s="71">
        <v>28080</v>
      </c>
      <c r="H277" s="89"/>
    </row>
    <row r="278" spans="1:8" ht="15" x14ac:dyDescent="0.25">
      <c r="A278" s="1" t="s">
        <v>141</v>
      </c>
      <c r="B278" s="1" t="s">
        <v>119</v>
      </c>
      <c r="C278" s="5">
        <v>44927</v>
      </c>
      <c r="D278" s="1">
        <v>14</v>
      </c>
      <c r="E278" s="69" t="s">
        <v>45</v>
      </c>
      <c r="F278" s="74">
        <v>10</v>
      </c>
      <c r="G278" s="71">
        <v>38650</v>
      </c>
      <c r="H278" s="89"/>
    </row>
    <row r="279" spans="1:8" ht="15" x14ac:dyDescent="0.25">
      <c r="A279" s="1" t="s">
        <v>141</v>
      </c>
      <c r="B279" s="1" t="s">
        <v>119</v>
      </c>
      <c r="C279" s="5">
        <v>44927</v>
      </c>
      <c r="D279" s="1">
        <v>15</v>
      </c>
      <c r="E279" s="69" t="s">
        <v>46</v>
      </c>
      <c r="F279" s="74">
        <v>6</v>
      </c>
      <c r="G279" s="71">
        <v>25620</v>
      </c>
      <c r="H279" s="89"/>
    </row>
    <row r="280" spans="1:8" ht="15" x14ac:dyDescent="0.25">
      <c r="A280" s="1" t="s">
        <v>141</v>
      </c>
      <c r="B280" s="1" t="s">
        <v>119</v>
      </c>
      <c r="C280" s="5">
        <v>44927</v>
      </c>
      <c r="D280" s="1">
        <v>16</v>
      </c>
      <c r="E280" s="69" t="s">
        <v>47</v>
      </c>
      <c r="F280" s="74">
        <v>3</v>
      </c>
      <c r="G280" s="71">
        <v>14340</v>
      </c>
      <c r="H280" s="89"/>
    </row>
    <row r="281" spans="1:8" ht="15" x14ac:dyDescent="0.25">
      <c r="A281" s="1" t="s">
        <v>141</v>
      </c>
      <c r="B281" s="1" t="s">
        <v>119</v>
      </c>
      <c r="C281" s="5">
        <v>44927</v>
      </c>
      <c r="D281" s="1">
        <v>17</v>
      </c>
      <c r="E281" s="69" t="s">
        <v>48</v>
      </c>
      <c r="F281" s="74">
        <v>2</v>
      </c>
      <c r="G281" s="71">
        <v>10840</v>
      </c>
      <c r="H281" s="89"/>
    </row>
    <row r="282" spans="1:8" ht="15" x14ac:dyDescent="0.25">
      <c r="A282" s="1" t="s">
        <v>141</v>
      </c>
      <c r="B282" s="1" t="s">
        <v>119</v>
      </c>
      <c r="C282" s="5">
        <v>44927</v>
      </c>
      <c r="D282" s="1">
        <v>18</v>
      </c>
      <c r="E282" s="69" t="s">
        <v>49</v>
      </c>
      <c r="F282" s="74">
        <v>5</v>
      </c>
      <c r="G282" s="71">
        <v>30750</v>
      </c>
      <c r="H282" s="89"/>
    </row>
    <row r="283" spans="1:8" ht="15" x14ac:dyDescent="0.25">
      <c r="A283" s="1" t="s">
        <v>141</v>
      </c>
      <c r="B283" s="1" t="s">
        <v>119</v>
      </c>
      <c r="C283" s="5">
        <v>44927</v>
      </c>
      <c r="D283" s="1">
        <v>19</v>
      </c>
      <c r="E283" s="69" t="s">
        <v>50</v>
      </c>
      <c r="F283" s="74">
        <v>5</v>
      </c>
      <c r="G283" s="71">
        <v>34900</v>
      </c>
      <c r="H283" s="89"/>
    </row>
    <row r="284" spans="1:8" ht="15" x14ac:dyDescent="0.25">
      <c r="A284" s="1" t="s">
        <v>141</v>
      </c>
      <c r="B284" s="1" t="s">
        <v>119</v>
      </c>
      <c r="C284" s="5">
        <v>44927</v>
      </c>
      <c r="D284" s="1">
        <v>20</v>
      </c>
      <c r="E284" s="69" t="s">
        <v>115</v>
      </c>
      <c r="F284" s="74">
        <v>4</v>
      </c>
      <c r="G284" s="71">
        <v>34000</v>
      </c>
      <c r="H284" s="89"/>
    </row>
    <row r="285" spans="1:8" ht="15" x14ac:dyDescent="0.25">
      <c r="A285" s="1" t="s">
        <v>141</v>
      </c>
      <c r="B285" s="1" t="s">
        <v>119</v>
      </c>
      <c r="C285" s="5">
        <v>44927</v>
      </c>
      <c r="D285" s="1">
        <v>21</v>
      </c>
      <c r="E285" s="69" t="s">
        <v>116</v>
      </c>
      <c r="F285" s="74">
        <v>1</v>
      </c>
      <c r="G285" s="71">
        <v>9500</v>
      </c>
      <c r="H285" s="89"/>
    </row>
    <row r="286" spans="1:8" ht="15" x14ac:dyDescent="0.25">
      <c r="A286" s="1" t="s">
        <v>141</v>
      </c>
      <c r="B286" s="1" t="s">
        <v>119</v>
      </c>
      <c r="C286" s="5">
        <v>44927</v>
      </c>
      <c r="D286" s="1">
        <v>22</v>
      </c>
      <c r="E286" s="69" t="s">
        <v>117</v>
      </c>
      <c r="F286" s="74">
        <v>0</v>
      </c>
      <c r="G286" s="71">
        <v>0</v>
      </c>
      <c r="H286" s="89"/>
    </row>
    <row r="287" spans="1:8" ht="15" x14ac:dyDescent="0.25">
      <c r="A287" s="53" t="s">
        <v>279</v>
      </c>
      <c r="B287" s="1" t="s">
        <v>119</v>
      </c>
      <c r="C287" s="5">
        <v>44958</v>
      </c>
      <c r="D287" s="138">
        <v>1</v>
      </c>
      <c r="E287" s="69" t="s">
        <v>280</v>
      </c>
      <c r="F287" s="74">
        <v>28</v>
      </c>
      <c r="G287" s="71">
        <v>25200</v>
      </c>
      <c r="H287" s="89"/>
    </row>
    <row r="288" spans="1:8" ht="15" x14ac:dyDescent="0.25">
      <c r="A288" s="53" t="s">
        <v>279</v>
      </c>
      <c r="B288" s="1" t="s">
        <v>119</v>
      </c>
      <c r="C288" s="5">
        <v>44958</v>
      </c>
      <c r="D288" s="138">
        <v>2</v>
      </c>
      <c r="E288" s="69" t="s">
        <v>281</v>
      </c>
      <c r="F288" s="74">
        <v>0</v>
      </c>
      <c r="G288" s="71">
        <v>0</v>
      </c>
      <c r="H288" s="89"/>
    </row>
    <row r="289" spans="1:8" ht="15" x14ac:dyDescent="0.25">
      <c r="A289" s="53" t="s">
        <v>279</v>
      </c>
      <c r="B289" s="1" t="s">
        <v>119</v>
      </c>
      <c r="C289" s="5">
        <v>44958</v>
      </c>
      <c r="D289" s="138">
        <v>3</v>
      </c>
      <c r="E289" s="69" t="s">
        <v>282</v>
      </c>
      <c r="F289" s="74">
        <v>2</v>
      </c>
      <c r="G289" s="71">
        <v>3362.72</v>
      </c>
      <c r="H289" s="89"/>
    </row>
    <row r="290" spans="1:8" ht="15" x14ac:dyDescent="0.25">
      <c r="A290" s="53" t="s">
        <v>279</v>
      </c>
      <c r="B290" s="1" t="s">
        <v>119</v>
      </c>
      <c r="C290" s="5">
        <v>44958</v>
      </c>
      <c r="D290" s="138">
        <v>4</v>
      </c>
      <c r="E290" s="69" t="s">
        <v>283</v>
      </c>
      <c r="F290" s="74">
        <v>1</v>
      </c>
      <c r="G290" s="71">
        <v>1100</v>
      </c>
      <c r="H290" s="89"/>
    </row>
    <row r="291" spans="1:8" ht="15" x14ac:dyDescent="0.25">
      <c r="A291" s="1" t="s">
        <v>141</v>
      </c>
      <c r="B291" s="1" t="s">
        <v>119</v>
      </c>
      <c r="C291" s="5">
        <v>44958</v>
      </c>
      <c r="D291" s="1">
        <v>6</v>
      </c>
      <c r="E291" s="69" t="s">
        <v>114</v>
      </c>
      <c r="F291" s="74">
        <v>9</v>
      </c>
      <c r="G291" s="71">
        <v>21420</v>
      </c>
      <c r="H291" s="89"/>
    </row>
    <row r="292" spans="1:8" ht="15" x14ac:dyDescent="0.25">
      <c r="A292" s="1" t="s">
        <v>141</v>
      </c>
      <c r="B292" s="1" t="s">
        <v>119</v>
      </c>
      <c r="C292" s="5">
        <v>44958</v>
      </c>
      <c r="D292" s="1">
        <v>9</v>
      </c>
      <c r="E292" s="69" t="s">
        <v>40</v>
      </c>
      <c r="F292" s="74">
        <v>14</v>
      </c>
      <c r="G292" s="71">
        <v>33320</v>
      </c>
      <c r="H292" s="89"/>
    </row>
    <row r="293" spans="1:8" ht="15" x14ac:dyDescent="0.25">
      <c r="A293" s="1" t="s">
        <v>141</v>
      </c>
      <c r="B293" s="1" t="s">
        <v>119</v>
      </c>
      <c r="C293" s="5">
        <v>44958</v>
      </c>
      <c r="D293" s="1">
        <v>10</v>
      </c>
      <c r="E293" s="69" t="s">
        <v>41</v>
      </c>
      <c r="F293" s="74">
        <v>106</v>
      </c>
      <c r="G293" s="71">
        <v>284080</v>
      </c>
      <c r="H293" s="89"/>
    </row>
    <row r="294" spans="1:8" ht="15" x14ac:dyDescent="0.25">
      <c r="A294" s="1" t="s">
        <v>141</v>
      </c>
      <c r="B294" s="1" t="s">
        <v>119</v>
      </c>
      <c r="C294" s="5">
        <v>44958</v>
      </c>
      <c r="D294" s="1">
        <v>11</v>
      </c>
      <c r="E294" s="69" t="s">
        <v>42</v>
      </c>
      <c r="F294" s="74">
        <v>60</v>
      </c>
      <c r="G294" s="71">
        <v>174000</v>
      </c>
      <c r="H294" s="89"/>
    </row>
    <row r="295" spans="1:8" ht="15" x14ac:dyDescent="0.25">
      <c r="A295" s="1" t="s">
        <v>141</v>
      </c>
      <c r="B295" s="1" t="s">
        <v>119</v>
      </c>
      <c r="C295" s="5">
        <v>44958</v>
      </c>
      <c r="D295" s="1">
        <v>12</v>
      </c>
      <c r="E295" s="69" t="s">
        <v>43</v>
      </c>
      <c r="F295" s="74">
        <v>25</v>
      </c>
      <c r="G295" s="71">
        <v>78500</v>
      </c>
      <c r="H295" s="89"/>
    </row>
    <row r="296" spans="1:8" ht="15" x14ac:dyDescent="0.25">
      <c r="A296" s="1" t="s">
        <v>141</v>
      </c>
      <c r="B296" s="1" t="s">
        <v>119</v>
      </c>
      <c r="C296" s="5">
        <v>44958</v>
      </c>
      <c r="D296" s="1">
        <v>13</v>
      </c>
      <c r="E296" s="69" t="s">
        <v>44</v>
      </c>
      <c r="F296" s="74">
        <v>13</v>
      </c>
      <c r="G296" s="71">
        <v>45630</v>
      </c>
      <c r="H296" s="89"/>
    </row>
    <row r="297" spans="1:8" ht="15" x14ac:dyDescent="0.25">
      <c r="A297" s="1" t="s">
        <v>141</v>
      </c>
      <c r="B297" s="1" t="s">
        <v>119</v>
      </c>
      <c r="C297" s="5">
        <v>44958</v>
      </c>
      <c r="D297" s="1">
        <v>14</v>
      </c>
      <c r="E297" s="69" t="s">
        <v>45</v>
      </c>
      <c r="F297" s="74">
        <v>8</v>
      </c>
      <c r="G297" s="71">
        <v>30920</v>
      </c>
      <c r="H297" s="89"/>
    </row>
    <row r="298" spans="1:8" ht="15" x14ac:dyDescent="0.25">
      <c r="A298" s="1" t="s">
        <v>141</v>
      </c>
      <c r="B298" s="1" t="s">
        <v>119</v>
      </c>
      <c r="C298" s="5">
        <v>44958</v>
      </c>
      <c r="D298" s="1">
        <v>15</v>
      </c>
      <c r="E298" s="69" t="s">
        <v>46</v>
      </c>
      <c r="F298" s="74">
        <v>5</v>
      </c>
      <c r="G298" s="71">
        <v>21350</v>
      </c>
      <c r="H298" s="89"/>
    </row>
    <row r="299" spans="1:8" ht="15" x14ac:dyDescent="0.25">
      <c r="A299" s="1" t="s">
        <v>141</v>
      </c>
      <c r="B299" s="1" t="s">
        <v>119</v>
      </c>
      <c r="C299" s="5">
        <v>44958</v>
      </c>
      <c r="D299" s="1">
        <v>16</v>
      </c>
      <c r="E299" s="69" t="s">
        <v>47</v>
      </c>
      <c r="F299" s="74">
        <v>5</v>
      </c>
      <c r="G299" s="71">
        <v>23900</v>
      </c>
      <c r="H299" s="89"/>
    </row>
    <row r="300" spans="1:8" ht="15" x14ac:dyDescent="0.25">
      <c r="A300" s="1" t="s">
        <v>141</v>
      </c>
      <c r="B300" s="1" t="s">
        <v>119</v>
      </c>
      <c r="C300" s="5">
        <v>44958</v>
      </c>
      <c r="D300" s="1">
        <v>17</v>
      </c>
      <c r="E300" s="69" t="s">
        <v>48</v>
      </c>
      <c r="F300" s="74">
        <v>2</v>
      </c>
      <c r="G300" s="71">
        <v>10840</v>
      </c>
      <c r="H300" s="89"/>
    </row>
    <row r="301" spans="1:8" ht="15" x14ac:dyDescent="0.25">
      <c r="A301" s="1" t="s">
        <v>141</v>
      </c>
      <c r="B301" s="1" t="s">
        <v>119</v>
      </c>
      <c r="C301" s="5">
        <v>44958</v>
      </c>
      <c r="D301" s="1">
        <v>18</v>
      </c>
      <c r="E301" s="69" t="s">
        <v>49</v>
      </c>
      <c r="F301" s="74">
        <v>4</v>
      </c>
      <c r="G301" s="71">
        <v>24600</v>
      </c>
      <c r="H301" s="89"/>
    </row>
    <row r="302" spans="1:8" ht="15" x14ac:dyDescent="0.25">
      <c r="A302" s="1" t="s">
        <v>141</v>
      </c>
      <c r="B302" s="1" t="s">
        <v>119</v>
      </c>
      <c r="C302" s="5">
        <v>44958</v>
      </c>
      <c r="D302" s="1">
        <v>19</v>
      </c>
      <c r="E302" s="69" t="s">
        <v>50</v>
      </c>
      <c r="F302" s="74">
        <v>6</v>
      </c>
      <c r="G302" s="71">
        <v>41880</v>
      </c>
      <c r="H302" s="89"/>
    </row>
    <row r="303" spans="1:8" ht="15" x14ac:dyDescent="0.25">
      <c r="A303" s="1" t="s">
        <v>141</v>
      </c>
      <c r="B303" s="1" t="s">
        <v>119</v>
      </c>
      <c r="C303" s="5">
        <v>44958</v>
      </c>
      <c r="D303" s="1">
        <v>20</v>
      </c>
      <c r="E303" s="69" t="s">
        <v>115</v>
      </c>
      <c r="F303" s="74">
        <v>5</v>
      </c>
      <c r="G303" s="71">
        <v>42500</v>
      </c>
      <c r="H303" s="89"/>
    </row>
    <row r="304" spans="1:8" ht="15" x14ac:dyDescent="0.25">
      <c r="A304" s="1" t="s">
        <v>141</v>
      </c>
      <c r="B304" s="1" t="s">
        <v>119</v>
      </c>
      <c r="C304" s="5">
        <v>44958</v>
      </c>
      <c r="D304" s="1">
        <v>21</v>
      </c>
      <c r="E304" s="69" t="s">
        <v>116</v>
      </c>
      <c r="F304" s="74">
        <v>1</v>
      </c>
      <c r="G304" s="71">
        <v>9500</v>
      </c>
      <c r="H304" s="89"/>
    </row>
    <row r="305" spans="1:8" ht="15" x14ac:dyDescent="0.25">
      <c r="A305" s="1" t="s">
        <v>141</v>
      </c>
      <c r="B305" s="1" t="s">
        <v>119</v>
      </c>
      <c r="C305" s="5">
        <v>44958</v>
      </c>
      <c r="D305" s="1">
        <v>22</v>
      </c>
      <c r="E305" s="69" t="s">
        <v>117</v>
      </c>
      <c r="F305" s="74">
        <v>0</v>
      </c>
      <c r="G305" s="71">
        <v>0</v>
      </c>
      <c r="H305" s="89"/>
    </row>
    <row r="306" spans="1:8" ht="15" x14ac:dyDescent="0.25">
      <c r="A306" s="53" t="s">
        <v>279</v>
      </c>
      <c r="B306" s="1" t="s">
        <v>119</v>
      </c>
      <c r="C306" s="5">
        <v>44986</v>
      </c>
      <c r="D306" s="138">
        <v>1</v>
      </c>
      <c r="E306" s="69" t="s">
        <v>280</v>
      </c>
      <c r="F306" s="74">
        <v>12</v>
      </c>
      <c r="G306" s="71">
        <v>10800</v>
      </c>
      <c r="H306" s="89"/>
    </row>
    <row r="307" spans="1:8" ht="15" x14ac:dyDescent="0.25">
      <c r="A307" s="53" t="s">
        <v>279</v>
      </c>
      <c r="B307" s="1" t="s">
        <v>119</v>
      </c>
      <c r="C307" s="5">
        <v>44986</v>
      </c>
      <c r="D307" s="138">
        <v>2</v>
      </c>
      <c r="E307" s="69" t="s">
        <v>281</v>
      </c>
      <c r="F307" s="74">
        <v>22</v>
      </c>
      <c r="G307" s="71">
        <v>23100</v>
      </c>
      <c r="H307" s="89"/>
    </row>
    <row r="308" spans="1:8" ht="15" x14ac:dyDescent="0.25">
      <c r="A308" s="53" t="s">
        <v>279</v>
      </c>
      <c r="B308" s="1" t="s">
        <v>119</v>
      </c>
      <c r="C308" s="5">
        <v>44986</v>
      </c>
      <c r="D308" s="138">
        <v>3</v>
      </c>
      <c r="E308" s="69" t="s">
        <v>282</v>
      </c>
      <c r="F308" s="74">
        <v>2</v>
      </c>
      <c r="G308" s="71">
        <v>3564.5</v>
      </c>
      <c r="H308" s="89"/>
    </row>
    <row r="309" spans="1:8" ht="15" x14ac:dyDescent="0.25">
      <c r="A309" s="53" t="s">
        <v>279</v>
      </c>
      <c r="B309" s="1" t="s">
        <v>119</v>
      </c>
      <c r="C309" s="5">
        <v>44986</v>
      </c>
      <c r="D309" s="138">
        <v>4</v>
      </c>
      <c r="E309" s="69" t="s">
        <v>283</v>
      </c>
      <c r="F309" s="74">
        <v>1</v>
      </c>
      <c r="G309" s="71">
        <v>1100</v>
      </c>
      <c r="H309" s="89"/>
    </row>
    <row r="310" spans="1:8" ht="15" x14ac:dyDescent="0.25">
      <c r="A310" s="1" t="s">
        <v>141</v>
      </c>
      <c r="B310" s="1" t="s">
        <v>119</v>
      </c>
      <c r="C310" s="5">
        <v>44986</v>
      </c>
      <c r="D310" s="1">
        <v>6</v>
      </c>
      <c r="E310" s="69" t="s">
        <v>114</v>
      </c>
      <c r="F310" s="74">
        <v>9</v>
      </c>
      <c r="G310" s="71">
        <v>21420</v>
      </c>
      <c r="H310" s="89"/>
    </row>
    <row r="311" spans="1:8" ht="15" x14ac:dyDescent="0.25">
      <c r="A311" s="1" t="s">
        <v>141</v>
      </c>
      <c r="B311" s="1" t="s">
        <v>119</v>
      </c>
      <c r="C311" s="5">
        <v>44986</v>
      </c>
      <c r="D311" s="1">
        <v>9</v>
      </c>
      <c r="E311" s="69" t="s">
        <v>40</v>
      </c>
      <c r="F311" s="74">
        <v>10</v>
      </c>
      <c r="G311" s="71">
        <v>23800</v>
      </c>
      <c r="H311" s="89"/>
    </row>
    <row r="312" spans="1:8" ht="15" x14ac:dyDescent="0.25">
      <c r="A312" s="1" t="s">
        <v>141</v>
      </c>
      <c r="B312" s="1" t="s">
        <v>119</v>
      </c>
      <c r="C312" s="5">
        <v>44986</v>
      </c>
      <c r="D312" s="1">
        <v>10</v>
      </c>
      <c r="E312" s="69" t="s">
        <v>41</v>
      </c>
      <c r="F312" s="74">
        <v>115</v>
      </c>
      <c r="G312" s="71">
        <v>308200</v>
      </c>
      <c r="H312" s="89"/>
    </row>
    <row r="313" spans="1:8" ht="15" x14ac:dyDescent="0.25">
      <c r="A313" s="1" t="s">
        <v>141</v>
      </c>
      <c r="B313" s="1" t="s">
        <v>119</v>
      </c>
      <c r="C313" s="5">
        <v>44986</v>
      </c>
      <c r="D313" s="1">
        <v>11</v>
      </c>
      <c r="E313" s="69" t="s">
        <v>42</v>
      </c>
      <c r="F313" s="74">
        <v>57</v>
      </c>
      <c r="G313" s="71">
        <v>165300</v>
      </c>
      <c r="H313" s="89"/>
    </row>
    <row r="314" spans="1:8" ht="15" x14ac:dyDescent="0.25">
      <c r="A314" s="1" t="s">
        <v>141</v>
      </c>
      <c r="B314" s="1" t="s">
        <v>119</v>
      </c>
      <c r="C314" s="5">
        <v>44986</v>
      </c>
      <c r="D314" s="1">
        <v>12</v>
      </c>
      <c r="E314" s="69" t="s">
        <v>43</v>
      </c>
      <c r="F314" s="74">
        <v>25</v>
      </c>
      <c r="G314" s="71">
        <v>78500</v>
      </c>
      <c r="H314" s="89"/>
    </row>
    <row r="315" spans="1:8" ht="15" x14ac:dyDescent="0.25">
      <c r="A315" s="1" t="s">
        <v>141</v>
      </c>
      <c r="B315" s="1" t="s">
        <v>119</v>
      </c>
      <c r="C315" s="5">
        <v>44986</v>
      </c>
      <c r="D315" s="1">
        <v>13</v>
      </c>
      <c r="E315" s="69" t="s">
        <v>44</v>
      </c>
      <c r="F315" s="74">
        <v>13</v>
      </c>
      <c r="G315" s="71">
        <v>45630</v>
      </c>
      <c r="H315" s="89"/>
    </row>
    <row r="316" spans="1:8" ht="15" x14ac:dyDescent="0.25">
      <c r="A316" s="1" t="s">
        <v>141</v>
      </c>
      <c r="B316" s="1" t="s">
        <v>119</v>
      </c>
      <c r="C316" s="5">
        <v>44986</v>
      </c>
      <c r="D316" s="1">
        <v>14</v>
      </c>
      <c r="E316" s="69" t="s">
        <v>45</v>
      </c>
      <c r="F316" s="74">
        <v>9</v>
      </c>
      <c r="G316" s="71">
        <v>34785</v>
      </c>
      <c r="H316" s="89"/>
    </row>
    <row r="317" spans="1:8" ht="15" x14ac:dyDescent="0.25">
      <c r="A317" s="1" t="s">
        <v>141</v>
      </c>
      <c r="B317" s="1" t="s">
        <v>119</v>
      </c>
      <c r="C317" s="5">
        <v>44986</v>
      </c>
      <c r="D317" s="1">
        <v>15</v>
      </c>
      <c r="E317" s="69" t="s">
        <v>46</v>
      </c>
      <c r="F317" s="74">
        <v>5</v>
      </c>
      <c r="G317" s="71">
        <v>21350</v>
      </c>
      <c r="H317" s="89"/>
    </row>
    <row r="318" spans="1:8" ht="15" x14ac:dyDescent="0.25">
      <c r="A318" s="1" t="s">
        <v>141</v>
      </c>
      <c r="B318" s="1" t="s">
        <v>119</v>
      </c>
      <c r="C318" s="5">
        <v>44986</v>
      </c>
      <c r="D318" s="1">
        <v>16</v>
      </c>
      <c r="E318" s="69" t="s">
        <v>47</v>
      </c>
      <c r="F318" s="74">
        <v>4</v>
      </c>
      <c r="G318" s="71">
        <v>19120</v>
      </c>
      <c r="H318" s="89"/>
    </row>
    <row r="319" spans="1:8" ht="15" x14ac:dyDescent="0.25">
      <c r="A319" s="1" t="s">
        <v>141</v>
      </c>
      <c r="B319" s="1" t="s">
        <v>119</v>
      </c>
      <c r="C319" s="5">
        <v>44986</v>
      </c>
      <c r="D319" s="1">
        <v>17</v>
      </c>
      <c r="E319" s="69" t="s">
        <v>48</v>
      </c>
      <c r="F319" s="74">
        <v>3</v>
      </c>
      <c r="G319" s="71">
        <v>16260</v>
      </c>
      <c r="H319" s="89"/>
    </row>
    <row r="320" spans="1:8" ht="15" x14ac:dyDescent="0.25">
      <c r="A320" s="1" t="s">
        <v>141</v>
      </c>
      <c r="B320" s="1" t="s">
        <v>119</v>
      </c>
      <c r="C320" s="5">
        <v>44986</v>
      </c>
      <c r="D320" s="1">
        <v>18</v>
      </c>
      <c r="E320" s="69" t="s">
        <v>49</v>
      </c>
      <c r="F320" s="74">
        <v>4</v>
      </c>
      <c r="G320" s="71">
        <v>24600</v>
      </c>
      <c r="H320" s="89"/>
    </row>
    <row r="321" spans="1:8" ht="15" x14ac:dyDescent="0.25">
      <c r="A321" s="1" t="s">
        <v>141</v>
      </c>
      <c r="B321" s="1" t="s">
        <v>119</v>
      </c>
      <c r="C321" s="5">
        <v>44986</v>
      </c>
      <c r="D321" s="1">
        <v>19</v>
      </c>
      <c r="E321" s="69" t="s">
        <v>50</v>
      </c>
      <c r="F321" s="74">
        <v>4</v>
      </c>
      <c r="G321" s="71">
        <v>27920</v>
      </c>
      <c r="H321" s="89"/>
    </row>
    <row r="322" spans="1:8" ht="15" x14ac:dyDescent="0.25">
      <c r="A322" s="1" t="s">
        <v>141</v>
      </c>
      <c r="B322" s="1" t="s">
        <v>119</v>
      </c>
      <c r="C322" s="5">
        <v>44986</v>
      </c>
      <c r="D322" s="1">
        <v>20</v>
      </c>
      <c r="E322" s="69" t="s">
        <v>115</v>
      </c>
      <c r="F322" s="74">
        <v>6</v>
      </c>
      <c r="G322" s="71">
        <v>51000</v>
      </c>
      <c r="H322" s="89"/>
    </row>
    <row r="323" spans="1:8" ht="15" x14ac:dyDescent="0.25">
      <c r="A323" s="1" t="s">
        <v>141</v>
      </c>
      <c r="B323" s="1" t="s">
        <v>119</v>
      </c>
      <c r="C323" s="5">
        <v>44986</v>
      </c>
      <c r="D323" s="1">
        <v>21</v>
      </c>
      <c r="E323" s="69" t="s">
        <v>116</v>
      </c>
      <c r="F323" s="74">
        <v>1</v>
      </c>
      <c r="G323" s="71">
        <v>9500</v>
      </c>
      <c r="H323" s="89"/>
    </row>
    <row r="324" spans="1:8" ht="15" x14ac:dyDescent="0.25">
      <c r="A324" s="1" t="s">
        <v>141</v>
      </c>
      <c r="B324" s="1" t="s">
        <v>119</v>
      </c>
      <c r="C324" s="5">
        <v>44986</v>
      </c>
      <c r="D324" s="1">
        <v>22</v>
      </c>
      <c r="E324" s="69" t="s">
        <v>117</v>
      </c>
      <c r="F324" s="74">
        <v>0</v>
      </c>
      <c r="G324" s="71">
        <v>0</v>
      </c>
      <c r="H324" s="89"/>
    </row>
    <row r="325" spans="1:8" ht="15" x14ac:dyDescent="0.25">
      <c r="A325" s="53" t="s">
        <v>279</v>
      </c>
      <c r="B325" s="1" t="s">
        <v>119</v>
      </c>
      <c r="C325" s="5">
        <v>45017</v>
      </c>
      <c r="D325" s="138">
        <v>1</v>
      </c>
      <c r="E325" s="69" t="s">
        <v>280</v>
      </c>
      <c r="F325" s="74">
        <v>12</v>
      </c>
      <c r="G325" s="71">
        <v>10800</v>
      </c>
      <c r="H325" s="89"/>
    </row>
    <row r="326" spans="1:8" ht="15" x14ac:dyDescent="0.25">
      <c r="A326" s="53" t="s">
        <v>279</v>
      </c>
      <c r="B326" s="1" t="s">
        <v>119</v>
      </c>
      <c r="C326" s="5">
        <v>45017</v>
      </c>
      <c r="D326" s="138">
        <v>2</v>
      </c>
      <c r="E326" s="69" t="s">
        <v>281</v>
      </c>
      <c r="F326" s="74">
        <v>22</v>
      </c>
      <c r="G326" s="71">
        <v>23100</v>
      </c>
      <c r="H326" s="89"/>
    </row>
    <row r="327" spans="1:8" ht="15" x14ac:dyDescent="0.25">
      <c r="A327" s="53" t="s">
        <v>279</v>
      </c>
      <c r="B327" s="1" t="s">
        <v>119</v>
      </c>
      <c r="C327" s="5">
        <v>45017</v>
      </c>
      <c r="D327" s="138">
        <v>3</v>
      </c>
      <c r="E327" s="69" t="s">
        <v>282</v>
      </c>
      <c r="F327" s="74">
        <v>2</v>
      </c>
      <c r="G327" s="71">
        <v>3564.5</v>
      </c>
      <c r="H327" s="89"/>
    </row>
    <row r="328" spans="1:8" ht="15" x14ac:dyDescent="0.25">
      <c r="A328" s="53" t="s">
        <v>279</v>
      </c>
      <c r="B328" s="1" t="s">
        <v>119</v>
      </c>
      <c r="C328" s="5">
        <v>45017</v>
      </c>
      <c r="D328" s="138">
        <v>4</v>
      </c>
      <c r="E328" s="69" t="s">
        <v>283</v>
      </c>
      <c r="F328" s="74">
        <v>1</v>
      </c>
      <c r="G328" s="71">
        <v>1100</v>
      </c>
      <c r="H328" s="89"/>
    </row>
    <row r="329" spans="1:8" ht="15" x14ac:dyDescent="0.25">
      <c r="A329" s="1" t="s">
        <v>141</v>
      </c>
      <c r="B329" s="1" t="s">
        <v>119</v>
      </c>
      <c r="C329" s="5">
        <v>45017</v>
      </c>
      <c r="D329" s="1">
        <v>6</v>
      </c>
      <c r="E329" s="69" t="s">
        <v>114</v>
      </c>
      <c r="F329" s="74">
        <v>9</v>
      </c>
      <c r="G329" s="71">
        <v>24120</v>
      </c>
      <c r="H329" s="89"/>
    </row>
    <row r="330" spans="1:8" ht="15" x14ac:dyDescent="0.25">
      <c r="A330" s="1" t="s">
        <v>141</v>
      </c>
      <c r="B330" s="1" t="s">
        <v>119</v>
      </c>
      <c r="C330" s="5">
        <v>45017</v>
      </c>
      <c r="D330" s="1">
        <v>9</v>
      </c>
      <c r="E330" s="69" t="s">
        <v>40</v>
      </c>
      <c r="F330" s="74">
        <v>9</v>
      </c>
      <c r="G330" s="71">
        <v>21420</v>
      </c>
      <c r="H330" s="89"/>
    </row>
    <row r="331" spans="1:8" ht="15" x14ac:dyDescent="0.25">
      <c r="A331" s="1" t="s">
        <v>141</v>
      </c>
      <c r="B331" s="1" t="s">
        <v>119</v>
      </c>
      <c r="C331" s="5">
        <v>45017</v>
      </c>
      <c r="D331" s="1">
        <v>10</v>
      </c>
      <c r="E331" s="69" t="s">
        <v>41</v>
      </c>
      <c r="F331" s="74">
        <v>112</v>
      </c>
      <c r="G331" s="71">
        <v>300160</v>
      </c>
      <c r="H331" s="89"/>
    </row>
    <row r="332" spans="1:8" ht="15" x14ac:dyDescent="0.25">
      <c r="A332" s="1" t="s">
        <v>141</v>
      </c>
      <c r="B332" s="1" t="s">
        <v>119</v>
      </c>
      <c r="C332" s="5">
        <v>45017</v>
      </c>
      <c r="D332" s="1">
        <v>11</v>
      </c>
      <c r="E332" s="69" t="s">
        <v>42</v>
      </c>
      <c r="F332" s="74">
        <v>65</v>
      </c>
      <c r="G332" s="71">
        <v>188500</v>
      </c>
      <c r="H332" s="89"/>
    </row>
    <row r="333" spans="1:8" ht="15" x14ac:dyDescent="0.25">
      <c r="A333" s="1" t="s">
        <v>141</v>
      </c>
      <c r="B333" s="1" t="s">
        <v>119</v>
      </c>
      <c r="C333" s="5">
        <v>45017</v>
      </c>
      <c r="D333" s="1">
        <v>12</v>
      </c>
      <c r="E333" s="69" t="s">
        <v>43</v>
      </c>
      <c r="F333" s="74">
        <v>26</v>
      </c>
      <c r="G333" s="71">
        <v>81640</v>
      </c>
      <c r="H333" s="89"/>
    </row>
    <row r="334" spans="1:8" ht="15" x14ac:dyDescent="0.25">
      <c r="A334" s="1" t="s">
        <v>141</v>
      </c>
      <c r="B334" s="1" t="s">
        <v>119</v>
      </c>
      <c r="C334" s="5">
        <v>45017</v>
      </c>
      <c r="D334" s="1">
        <v>13</v>
      </c>
      <c r="E334" s="69" t="s">
        <v>44</v>
      </c>
      <c r="F334" s="74">
        <v>14</v>
      </c>
      <c r="G334" s="71">
        <v>49140</v>
      </c>
      <c r="H334" s="89"/>
    </row>
    <row r="335" spans="1:8" ht="15" x14ac:dyDescent="0.25">
      <c r="A335" s="1" t="s">
        <v>141</v>
      </c>
      <c r="B335" s="1" t="s">
        <v>119</v>
      </c>
      <c r="C335" s="5">
        <v>45017</v>
      </c>
      <c r="D335" s="1">
        <v>14</v>
      </c>
      <c r="E335" s="69" t="s">
        <v>45</v>
      </c>
      <c r="F335" s="74">
        <v>9</v>
      </c>
      <c r="G335" s="71">
        <v>34785</v>
      </c>
      <c r="H335" s="89"/>
    </row>
    <row r="336" spans="1:8" ht="15" x14ac:dyDescent="0.25">
      <c r="A336" s="1" t="s">
        <v>141</v>
      </c>
      <c r="B336" s="1" t="s">
        <v>119</v>
      </c>
      <c r="C336" s="5">
        <v>45017</v>
      </c>
      <c r="D336" s="1">
        <v>15</v>
      </c>
      <c r="E336" s="69" t="s">
        <v>46</v>
      </c>
      <c r="F336" s="74">
        <v>5</v>
      </c>
      <c r="G336" s="71">
        <v>21350</v>
      </c>
      <c r="H336" s="89"/>
    </row>
    <row r="337" spans="1:8" ht="15" x14ac:dyDescent="0.25">
      <c r="A337" s="1" t="s">
        <v>141</v>
      </c>
      <c r="B337" s="1" t="s">
        <v>119</v>
      </c>
      <c r="C337" s="5">
        <v>45017</v>
      </c>
      <c r="D337" s="1">
        <v>16</v>
      </c>
      <c r="E337" s="69" t="s">
        <v>47</v>
      </c>
      <c r="F337" s="74">
        <v>4</v>
      </c>
      <c r="G337" s="71">
        <v>19120</v>
      </c>
      <c r="H337" s="89"/>
    </row>
    <row r="338" spans="1:8" ht="15" x14ac:dyDescent="0.25">
      <c r="A338" s="1" t="s">
        <v>141</v>
      </c>
      <c r="B338" s="1" t="s">
        <v>119</v>
      </c>
      <c r="C338" s="5">
        <v>45017</v>
      </c>
      <c r="D338" s="1">
        <v>17</v>
      </c>
      <c r="E338" s="69" t="s">
        <v>48</v>
      </c>
      <c r="F338" s="74">
        <v>2</v>
      </c>
      <c r="G338" s="71">
        <v>10840</v>
      </c>
      <c r="H338" s="89"/>
    </row>
    <row r="339" spans="1:8" ht="15" x14ac:dyDescent="0.25">
      <c r="A339" s="1" t="s">
        <v>141</v>
      </c>
      <c r="B339" s="1" t="s">
        <v>119</v>
      </c>
      <c r="C339" s="5">
        <v>45017</v>
      </c>
      <c r="D339" s="1">
        <v>18</v>
      </c>
      <c r="E339" s="69" t="s">
        <v>49</v>
      </c>
      <c r="F339" s="74">
        <v>4</v>
      </c>
      <c r="G339" s="71">
        <v>24600</v>
      </c>
      <c r="H339" s="89"/>
    </row>
    <row r="340" spans="1:8" ht="15" x14ac:dyDescent="0.25">
      <c r="A340" s="1" t="s">
        <v>141</v>
      </c>
      <c r="B340" s="1" t="s">
        <v>119</v>
      </c>
      <c r="C340" s="5">
        <v>45017</v>
      </c>
      <c r="D340" s="1">
        <v>19</v>
      </c>
      <c r="E340" s="69" t="s">
        <v>50</v>
      </c>
      <c r="F340" s="74">
        <v>4</v>
      </c>
      <c r="G340" s="71">
        <v>27920</v>
      </c>
      <c r="H340" s="89"/>
    </row>
    <row r="341" spans="1:8" ht="15" x14ac:dyDescent="0.25">
      <c r="A341" s="1" t="s">
        <v>141</v>
      </c>
      <c r="B341" s="1" t="s">
        <v>119</v>
      </c>
      <c r="C341" s="5">
        <v>45017</v>
      </c>
      <c r="D341" s="1">
        <v>20</v>
      </c>
      <c r="E341" s="69" t="s">
        <v>115</v>
      </c>
      <c r="F341" s="74">
        <v>6</v>
      </c>
      <c r="G341" s="71">
        <v>51000</v>
      </c>
      <c r="H341" s="89"/>
    </row>
    <row r="342" spans="1:8" ht="15" x14ac:dyDescent="0.25">
      <c r="A342" s="1" t="s">
        <v>141</v>
      </c>
      <c r="B342" s="1" t="s">
        <v>119</v>
      </c>
      <c r="C342" s="5">
        <v>45017</v>
      </c>
      <c r="D342" s="1">
        <v>21</v>
      </c>
      <c r="E342" s="69" t="s">
        <v>116</v>
      </c>
      <c r="F342" s="74">
        <v>1</v>
      </c>
      <c r="G342" s="71">
        <v>9500</v>
      </c>
      <c r="H342" s="89"/>
    </row>
    <row r="343" spans="1:8" ht="15" x14ac:dyDescent="0.25">
      <c r="A343" s="1" t="s">
        <v>141</v>
      </c>
      <c r="B343" s="1" t="s">
        <v>119</v>
      </c>
      <c r="C343" s="5">
        <v>45017</v>
      </c>
      <c r="D343" s="1">
        <v>22</v>
      </c>
      <c r="E343" s="69" t="s">
        <v>117</v>
      </c>
      <c r="F343" s="74">
        <v>0</v>
      </c>
      <c r="G343" s="71">
        <v>0</v>
      </c>
      <c r="H343" s="89"/>
    </row>
    <row r="344" spans="1:8" ht="15" x14ac:dyDescent="0.25">
      <c r="A344" s="53" t="s">
        <v>279</v>
      </c>
      <c r="B344" s="1" t="s">
        <v>119</v>
      </c>
      <c r="C344" s="5">
        <v>45047</v>
      </c>
      <c r="D344" s="138">
        <v>1</v>
      </c>
      <c r="E344" s="69" t="s">
        <v>280</v>
      </c>
      <c r="F344" s="74">
        <v>13</v>
      </c>
      <c r="G344" s="71">
        <v>11700</v>
      </c>
      <c r="H344" s="89"/>
    </row>
    <row r="345" spans="1:8" ht="15" x14ac:dyDescent="0.25">
      <c r="A345" s="53" t="s">
        <v>279</v>
      </c>
      <c r="B345" s="1" t="s">
        <v>119</v>
      </c>
      <c r="C345" s="5">
        <v>45047</v>
      </c>
      <c r="D345" s="138">
        <v>2</v>
      </c>
      <c r="E345" s="69" t="s">
        <v>281</v>
      </c>
      <c r="F345" s="74">
        <v>25</v>
      </c>
      <c r="G345" s="71">
        <v>26250</v>
      </c>
      <c r="H345" s="89"/>
    </row>
    <row r="346" spans="1:8" ht="15" x14ac:dyDescent="0.25">
      <c r="A346" s="53" t="s">
        <v>279</v>
      </c>
      <c r="B346" s="1" t="s">
        <v>119</v>
      </c>
      <c r="C346" s="5">
        <v>45047</v>
      </c>
      <c r="D346" s="138">
        <v>3</v>
      </c>
      <c r="E346" s="69" t="s">
        <v>282</v>
      </c>
      <c r="F346" s="74">
        <v>2</v>
      </c>
      <c r="G346" s="71">
        <v>3564.5</v>
      </c>
      <c r="H346" s="89"/>
    </row>
    <row r="347" spans="1:8" ht="15" x14ac:dyDescent="0.25">
      <c r="A347" s="53" t="s">
        <v>279</v>
      </c>
      <c r="B347" s="1" t="s">
        <v>119</v>
      </c>
      <c r="C347" s="5">
        <v>45047</v>
      </c>
      <c r="D347" s="138">
        <v>4</v>
      </c>
      <c r="E347" s="69" t="s">
        <v>283</v>
      </c>
      <c r="F347" s="74">
        <v>1</v>
      </c>
      <c r="G347" s="71">
        <v>1100</v>
      </c>
      <c r="H347" s="89"/>
    </row>
    <row r="348" spans="1:8" ht="15" x14ac:dyDescent="0.25">
      <c r="A348" s="1" t="s">
        <v>141</v>
      </c>
      <c r="B348" s="1" t="s">
        <v>119</v>
      </c>
      <c r="C348" s="5">
        <v>45047</v>
      </c>
      <c r="D348" s="1">
        <v>6</v>
      </c>
      <c r="E348" s="69" t="s">
        <v>114</v>
      </c>
      <c r="F348" s="74">
        <v>9</v>
      </c>
      <c r="G348" s="71">
        <v>24120</v>
      </c>
      <c r="H348" s="89"/>
    </row>
    <row r="349" spans="1:8" ht="15" x14ac:dyDescent="0.25">
      <c r="A349" s="1" t="s">
        <v>141</v>
      </c>
      <c r="B349" s="1" t="s">
        <v>119</v>
      </c>
      <c r="C349" s="5">
        <v>45047</v>
      </c>
      <c r="D349" s="1">
        <v>9</v>
      </c>
      <c r="E349" s="69" t="s">
        <v>40</v>
      </c>
      <c r="F349" s="74">
        <v>9</v>
      </c>
      <c r="G349" s="71">
        <v>21420</v>
      </c>
      <c r="H349" s="89"/>
    </row>
    <row r="350" spans="1:8" ht="15" x14ac:dyDescent="0.25">
      <c r="A350" s="1" t="s">
        <v>141</v>
      </c>
      <c r="B350" s="1" t="s">
        <v>119</v>
      </c>
      <c r="C350" s="5">
        <v>45047</v>
      </c>
      <c r="D350" s="1">
        <v>10</v>
      </c>
      <c r="E350" s="69" t="s">
        <v>41</v>
      </c>
      <c r="F350" s="74">
        <v>117</v>
      </c>
      <c r="G350" s="71">
        <v>313560</v>
      </c>
      <c r="H350" s="89"/>
    </row>
    <row r="351" spans="1:8" ht="15" x14ac:dyDescent="0.25">
      <c r="A351" s="1" t="s">
        <v>141</v>
      </c>
      <c r="B351" s="1" t="s">
        <v>119</v>
      </c>
      <c r="C351" s="5">
        <v>45047</v>
      </c>
      <c r="D351" s="1">
        <v>11</v>
      </c>
      <c r="E351" s="69" t="s">
        <v>42</v>
      </c>
      <c r="F351" s="74">
        <v>61</v>
      </c>
      <c r="G351" s="71">
        <v>176900</v>
      </c>
      <c r="H351" s="89"/>
    </row>
    <row r="352" spans="1:8" ht="15" x14ac:dyDescent="0.25">
      <c r="A352" s="1" t="s">
        <v>141</v>
      </c>
      <c r="B352" s="1" t="s">
        <v>119</v>
      </c>
      <c r="C352" s="5">
        <v>45047</v>
      </c>
      <c r="D352" s="1">
        <v>12</v>
      </c>
      <c r="E352" s="69" t="s">
        <v>43</v>
      </c>
      <c r="F352" s="74">
        <v>29</v>
      </c>
      <c r="G352" s="71">
        <v>91060</v>
      </c>
      <c r="H352" s="89"/>
    </row>
    <row r="353" spans="1:8" ht="15" x14ac:dyDescent="0.25">
      <c r="A353" s="1" t="s">
        <v>141</v>
      </c>
      <c r="B353" s="1" t="s">
        <v>119</v>
      </c>
      <c r="C353" s="5">
        <v>45047</v>
      </c>
      <c r="D353" s="1">
        <v>13</v>
      </c>
      <c r="E353" s="69" t="s">
        <v>44</v>
      </c>
      <c r="F353" s="74">
        <v>15</v>
      </c>
      <c r="G353" s="71">
        <v>52650</v>
      </c>
      <c r="H353" s="89"/>
    </row>
    <row r="354" spans="1:8" ht="15" x14ac:dyDescent="0.25">
      <c r="A354" s="1" t="s">
        <v>141</v>
      </c>
      <c r="B354" s="1" t="s">
        <v>119</v>
      </c>
      <c r="C354" s="5">
        <v>45047</v>
      </c>
      <c r="D354" s="1">
        <v>14</v>
      </c>
      <c r="E354" s="69" t="s">
        <v>45</v>
      </c>
      <c r="F354" s="74">
        <v>9</v>
      </c>
      <c r="G354" s="71">
        <v>34785</v>
      </c>
      <c r="H354" s="89"/>
    </row>
    <row r="355" spans="1:8" ht="15" x14ac:dyDescent="0.25">
      <c r="A355" s="1" t="s">
        <v>141</v>
      </c>
      <c r="B355" s="1" t="s">
        <v>119</v>
      </c>
      <c r="C355" s="5">
        <v>45047</v>
      </c>
      <c r="D355" s="1">
        <v>15</v>
      </c>
      <c r="E355" s="69" t="s">
        <v>46</v>
      </c>
      <c r="F355" s="74">
        <v>5</v>
      </c>
      <c r="G355" s="71">
        <v>21350</v>
      </c>
      <c r="H355" s="89"/>
    </row>
    <row r="356" spans="1:8" ht="15" x14ac:dyDescent="0.25">
      <c r="A356" s="1" t="s">
        <v>141</v>
      </c>
      <c r="B356" s="1" t="s">
        <v>119</v>
      </c>
      <c r="C356" s="5">
        <v>45047</v>
      </c>
      <c r="D356" s="1">
        <v>16</v>
      </c>
      <c r="E356" s="69" t="s">
        <v>47</v>
      </c>
      <c r="F356" s="74">
        <v>4</v>
      </c>
      <c r="G356" s="71">
        <v>19120</v>
      </c>
      <c r="H356" s="89"/>
    </row>
    <row r="357" spans="1:8" ht="15" x14ac:dyDescent="0.25">
      <c r="A357" s="1" t="s">
        <v>141</v>
      </c>
      <c r="B357" s="1" t="s">
        <v>119</v>
      </c>
      <c r="C357" s="5">
        <v>45047</v>
      </c>
      <c r="D357" s="1">
        <v>17</v>
      </c>
      <c r="E357" s="69" t="s">
        <v>48</v>
      </c>
      <c r="F357" s="74">
        <v>2</v>
      </c>
      <c r="G357" s="71">
        <v>10840</v>
      </c>
      <c r="H357" s="89"/>
    </row>
    <row r="358" spans="1:8" ht="15" x14ac:dyDescent="0.25">
      <c r="A358" s="1" t="s">
        <v>141</v>
      </c>
      <c r="B358" s="1" t="s">
        <v>119</v>
      </c>
      <c r="C358" s="5">
        <v>45047</v>
      </c>
      <c r="D358" s="1">
        <v>18</v>
      </c>
      <c r="E358" s="69" t="s">
        <v>49</v>
      </c>
      <c r="F358" s="74">
        <v>4</v>
      </c>
      <c r="G358" s="71">
        <v>24600</v>
      </c>
      <c r="H358" s="89"/>
    </row>
    <row r="359" spans="1:8" ht="15" x14ac:dyDescent="0.25">
      <c r="A359" s="1" t="s">
        <v>141</v>
      </c>
      <c r="B359" s="1" t="s">
        <v>119</v>
      </c>
      <c r="C359" s="5">
        <v>45047</v>
      </c>
      <c r="D359" s="1">
        <v>19</v>
      </c>
      <c r="E359" s="69" t="s">
        <v>50</v>
      </c>
      <c r="F359" s="74">
        <v>4</v>
      </c>
      <c r="G359" s="71">
        <v>27920</v>
      </c>
      <c r="H359" s="89"/>
    </row>
    <row r="360" spans="1:8" ht="15" x14ac:dyDescent="0.25">
      <c r="A360" s="1" t="s">
        <v>141</v>
      </c>
      <c r="B360" s="1" t="s">
        <v>119</v>
      </c>
      <c r="C360" s="5">
        <v>45047</v>
      </c>
      <c r="D360" s="1">
        <v>20</v>
      </c>
      <c r="E360" s="69" t="s">
        <v>115</v>
      </c>
      <c r="F360" s="74">
        <v>6</v>
      </c>
      <c r="G360" s="71">
        <v>51000</v>
      </c>
      <c r="H360" s="89"/>
    </row>
    <row r="361" spans="1:8" ht="15" x14ac:dyDescent="0.25">
      <c r="A361" s="1" t="s">
        <v>141</v>
      </c>
      <c r="B361" s="1" t="s">
        <v>119</v>
      </c>
      <c r="C361" s="5">
        <v>45047</v>
      </c>
      <c r="D361" s="1">
        <v>21</v>
      </c>
      <c r="E361" s="69" t="s">
        <v>116</v>
      </c>
      <c r="F361" s="74">
        <v>1</v>
      </c>
      <c r="G361" s="71">
        <v>9500</v>
      </c>
      <c r="H361" s="89"/>
    </row>
    <row r="362" spans="1:8" ht="15" x14ac:dyDescent="0.25">
      <c r="A362" s="1" t="s">
        <v>141</v>
      </c>
      <c r="B362" s="1" t="s">
        <v>119</v>
      </c>
      <c r="C362" s="5">
        <v>45047</v>
      </c>
      <c r="D362" s="1">
        <v>22</v>
      </c>
      <c r="E362" s="69" t="s">
        <v>117</v>
      </c>
      <c r="F362" s="74">
        <v>0</v>
      </c>
      <c r="G362" s="71">
        <v>0</v>
      </c>
      <c r="H362" s="89"/>
    </row>
    <row r="363" spans="1:8" ht="15" x14ac:dyDescent="0.25">
      <c r="A363" s="53" t="s">
        <v>279</v>
      </c>
      <c r="B363" s="1" t="s">
        <v>119</v>
      </c>
      <c r="C363" s="5">
        <v>45078</v>
      </c>
      <c r="D363" s="138">
        <v>1</v>
      </c>
      <c r="E363" s="69" t="s">
        <v>280</v>
      </c>
      <c r="F363" s="74">
        <v>10</v>
      </c>
      <c r="G363" s="71">
        <v>9000</v>
      </c>
      <c r="H363" s="89"/>
    </row>
    <row r="364" spans="1:8" ht="15" x14ac:dyDescent="0.25">
      <c r="A364" s="53" t="s">
        <v>279</v>
      </c>
      <c r="B364" s="1" t="s">
        <v>119</v>
      </c>
      <c r="C364" s="5">
        <v>45078</v>
      </c>
      <c r="D364" s="138">
        <v>2</v>
      </c>
      <c r="E364" s="69" t="s">
        <v>281</v>
      </c>
      <c r="F364" s="74">
        <v>24</v>
      </c>
      <c r="G364" s="71">
        <v>25200</v>
      </c>
      <c r="H364" s="89"/>
    </row>
    <row r="365" spans="1:8" ht="15" x14ac:dyDescent="0.25">
      <c r="A365" s="53" t="s">
        <v>279</v>
      </c>
      <c r="B365" s="1" t="s">
        <v>119</v>
      </c>
      <c r="C365" s="5">
        <v>45078</v>
      </c>
      <c r="D365" s="138">
        <v>3</v>
      </c>
      <c r="E365" s="69" t="s">
        <v>282</v>
      </c>
      <c r="F365" s="74">
        <v>2</v>
      </c>
      <c r="G365" s="71">
        <v>3564.5</v>
      </c>
      <c r="H365" s="89"/>
    </row>
    <row r="366" spans="1:8" ht="15" x14ac:dyDescent="0.25">
      <c r="A366" s="53" t="s">
        <v>279</v>
      </c>
      <c r="B366" s="1" t="s">
        <v>119</v>
      </c>
      <c r="C366" s="5">
        <v>45078</v>
      </c>
      <c r="D366" s="138">
        <v>4</v>
      </c>
      <c r="E366" s="69" t="s">
        <v>283</v>
      </c>
      <c r="F366" s="74">
        <v>1</v>
      </c>
      <c r="G366" s="71">
        <v>1100</v>
      </c>
      <c r="H366" s="89"/>
    </row>
    <row r="367" spans="1:8" ht="15" x14ac:dyDescent="0.25">
      <c r="A367" s="1" t="s">
        <v>141</v>
      </c>
      <c r="B367" s="1" t="s">
        <v>119</v>
      </c>
      <c r="C367" s="5">
        <v>45078</v>
      </c>
      <c r="D367" s="1">
        <v>6</v>
      </c>
      <c r="E367" s="69" t="s">
        <v>114</v>
      </c>
      <c r="F367" s="74">
        <v>9</v>
      </c>
      <c r="G367" s="71">
        <v>24120</v>
      </c>
      <c r="H367" s="89"/>
    </row>
    <row r="368" spans="1:8" ht="15" x14ac:dyDescent="0.25">
      <c r="A368" s="1" t="s">
        <v>141</v>
      </c>
      <c r="B368" s="1" t="s">
        <v>119</v>
      </c>
      <c r="C368" s="5">
        <v>45078</v>
      </c>
      <c r="D368" s="1">
        <v>9</v>
      </c>
      <c r="E368" s="69" t="s">
        <v>40</v>
      </c>
      <c r="F368" s="74">
        <v>8</v>
      </c>
      <c r="G368" s="71">
        <v>19040</v>
      </c>
      <c r="H368" s="89"/>
    </row>
    <row r="369" spans="1:8" ht="15" x14ac:dyDescent="0.25">
      <c r="A369" s="1" t="s">
        <v>141</v>
      </c>
      <c r="B369" s="1" t="s">
        <v>119</v>
      </c>
      <c r="C369" s="5">
        <v>45078</v>
      </c>
      <c r="D369" s="1">
        <v>10</v>
      </c>
      <c r="E369" s="69" t="s">
        <v>41</v>
      </c>
      <c r="F369" s="74">
        <v>119</v>
      </c>
      <c r="G369" s="71">
        <v>318920</v>
      </c>
      <c r="H369" s="89"/>
    </row>
    <row r="370" spans="1:8" ht="15" x14ac:dyDescent="0.25">
      <c r="A370" s="1" t="s">
        <v>141</v>
      </c>
      <c r="B370" s="1" t="s">
        <v>119</v>
      </c>
      <c r="C370" s="5">
        <v>45078</v>
      </c>
      <c r="D370" s="1">
        <v>11</v>
      </c>
      <c r="E370" s="69" t="s">
        <v>42</v>
      </c>
      <c r="F370" s="74">
        <v>61</v>
      </c>
      <c r="G370" s="71">
        <v>176900</v>
      </c>
      <c r="H370" s="89"/>
    </row>
    <row r="371" spans="1:8" ht="15" x14ac:dyDescent="0.25">
      <c r="A371" s="1" t="s">
        <v>141</v>
      </c>
      <c r="B371" s="1" t="s">
        <v>119</v>
      </c>
      <c r="C371" s="5">
        <v>45078</v>
      </c>
      <c r="D371" s="1">
        <v>12</v>
      </c>
      <c r="E371" s="69" t="s">
        <v>43</v>
      </c>
      <c r="F371" s="74">
        <v>29</v>
      </c>
      <c r="G371" s="71">
        <v>91060</v>
      </c>
      <c r="H371" s="89"/>
    </row>
    <row r="372" spans="1:8" ht="15" x14ac:dyDescent="0.25">
      <c r="A372" s="1" t="s">
        <v>141</v>
      </c>
      <c r="B372" s="1" t="s">
        <v>119</v>
      </c>
      <c r="C372" s="5">
        <v>45078</v>
      </c>
      <c r="D372" s="1">
        <v>13</v>
      </c>
      <c r="E372" s="69" t="s">
        <v>44</v>
      </c>
      <c r="F372" s="74">
        <v>14</v>
      </c>
      <c r="G372" s="71">
        <v>49140</v>
      </c>
      <c r="H372" s="89"/>
    </row>
    <row r="373" spans="1:8" ht="15" x14ac:dyDescent="0.25">
      <c r="A373" s="1" t="s">
        <v>141</v>
      </c>
      <c r="B373" s="1" t="s">
        <v>119</v>
      </c>
      <c r="C373" s="5">
        <v>45078</v>
      </c>
      <c r="D373" s="1">
        <v>14</v>
      </c>
      <c r="E373" s="69" t="s">
        <v>45</v>
      </c>
      <c r="F373" s="74">
        <v>9</v>
      </c>
      <c r="G373" s="71">
        <v>34785</v>
      </c>
      <c r="H373" s="89"/>
    </row>
    <row r="374" spans="1:8" ht="15" x14ac:dyDescent="0.25">
      <c r="A374" s="1" t="s">
        <v>141</v>
      </c>
      <c r="B374" s="1" t="s">
        <v>119</v>
      </c>
      <c r="C374" s="5">
        <v>45078</v>
      </c>
      <c r="D374" s="1">
        <v>15</v>
      </c>
      <c r="E374" s="69" t="s">
        <v>46</v>
      </c>
      <c r="F374" s="74">
        <v>5</v>
      </c>
      <c r="G374" s="71">
        <v>21350</v>
      </c>
      <c r="H374" s="89"/>
    </row>
    <row r="375" spans="1:8" ht="15" x14ac:dyDescent="0.25">
      <c r="A375" s="1" t="s">
        <v>141</v>
      </c>
      <c r="B375" s="1" t="s">
        <v>119</v>
      </c>
      <c r="C375" s="5">
        <v>45078</v>
      </c>
      <c r="D375" s="1">
        <v>16</v>
      </c>
      <c r="E375" s="69" t="s">
        <v>47</v>
      </c>
      <c r="F375" s="74">
        <v>4</v>
      </c>
      <c r="G375" s="71">
        <v>19120</v>
      </c>
      <c r="H375" s="89"/>
    </row>
    <row r="376" spans="1:8" ht="15" x14ac:dyDescent="0.25">
      <c r="A376" s="1" t="s">
        <v>141</v>
      </c>
      <c r="B376" s="1" t="s">
        <v>119</v>
      </c>
      <c r="C376" s="5">
        <v>45078</v>
      </c>
      <c r="D376" s="1">
        <v>17</v>
      </c>
      <c r="E376" s="69" t="s">
        <v>48</v>
      </c>
      <c r="F376" s="74">
        <v>2</v>
      </c>
      <c r="G376" s="71">
        <v>10840</v>
      </c>
      <c r="H376" s="89"/>
    </row>
    <row r="377" spans="1:8" ht="15" x14ac:dyDescent="0.25">
      <c r="A377" s="1" t="s">
        <v>141</v>
      </c>
      <c r="B377" s="1" t="s">
        <v>119</v>
      </c>
      <c r="C377" s="5">
        <v>45078</v>
      </c>
      <c r="D377" s="1">
        <v>18</v>
      </c>
      <c r="E377" s="69" t="s">
        <v>49</v>
      </c>
      <c r="F377" s="74">
        <v>4</v>
      </c>
      <c r="G377" s="71">
        <v>24600</v>
      </c>
      <c r="H377" s="89"/>
    </row>
    <row r="378" spans="1:8" ht="15" x14ac:dyDescent="0.25">
      <c r="A378" s="1" t="s">
        <v>141</v>
      </c>
      <c r="B378" s="1" t="s">
        <v>119</v>
      </c>
      <c r="C378" s="5">
        <v>45078</v>
      </c>
      <c r="D378" s="1">
        <v>19</v>
      </c>
      <c r="E378" s="69" t="s">
        <v>50</v>
      </c>
      <c r="F378" s="74">
        <v>4</v>
      </c>
      <c r="G378" s="71">
        <v>27920</v>
      </c>
      <c r="H378" s="89"/>
    </row>
    <row r="379" spans="1:8" ht="15" x14ac:dyDescent="0.25">
      <c r="A379" s="1" t="s">
        <v>141</v>
      </c>
      <c r="B379" s="1" t="s">
        <v>119</v>
      </c>
      <c r="C379" s="5">
        <v>45078</v>
      </c>
      <c r="D379" s="1">
        <v>20</v>
      </c>
      <c r="E379" s="69" t="s">
        <v>115</v>
      </c>
      <c r="F379" s="74">
        <v>6</v>
      </c>
      <c r="G379" s="71">
        <v>51000</v>
      </c>
      <c r="H379" s="89"/>
    </row>
    <row r="380" spans="1:8" ht="15" x14ac:dyDescent="0.25">
      <c r="A380" s="1" t="s">
        <v>141</v>
      </c>
      <c r="B380" s="1" t="s">
        <v>119</v>
      </c>
      <c r="C380" s="5">
        <v>45078</v>
      </c>
      <c r="D380" s="1">
        <v>21</v>
      </c>
      <c r="E380" s="69" t="s">
        <v>116</v>
      </c>
      <c r="F380" s="74">
        <v>1</v>
      </c>
      <c r="G380" s="71">
        <v>9500</v>
      </c>
      <c r="H380" s="89"/>
    </row>
    <row r="381" spans="1:8" ht="15" x14ac:dyDescent="0.25">
      <c r="A381" s="1" t="s">
        <v>141</v>
      </c>
      <c r="B381" s="1" t="s">
        <v>119</v>
      </c>
      <c r="C381" s="5">
        <v>45078</v>
      </c>
      <c r="D381" s="1">
        <v>22</v>
      </c>
      <c r="E381" s="69" t="s">
        <v>117</v>
      </c>
      <c r="F381" s="74">
        <v>1</v>
      </c>
      <c r="G381" s="71">
        <v>10500</v>
      </c>
      <c r="H381" s="89"/>
    </row>
    <row r="382" spans="1:8" ht="15" x14ac:dyDescent="0.25">
      <c r="A382" s="53" t="s">
        <v>279</v>
      </c>
      <c r="B382" s="1" t="s">
        <v>119</v>
      </c>
      <c r="C382" s="5">
        <v>45108</v>
      </c>
      <c r="D382" s="138">
        <v>1</v>
      </c>
      <c r="E382" s="69" t="s">
        <v>280</v>
      </c>
      <c r="F382" s="74">
        <v>10</v>
      </c>
      <c r="G382" s="71">
        <v>9000</v>
      </c>
      <c r="H382" s="89"/>
    </row>
    <row r="383" spans="1:8" ht="15" x14ac:dyDescent="0.25">
      <c r="A383" s="53" t="s">
        <v>279</v>
      </c>
      <c r="B383" s="1" t="s">
        <v>119</v>
      </c>
      <c r="C383" s="5">
        <v>45108</v>
      </c>
      <c r="D383" s="138">
        <v>2</v>
      </c>
      <c r="E383" s="69" t="s">
        <v>281</v>
      </c>
      <c r="F383" s="74">
        <v>27</v>
      </c>
      <c r="G383" s="71">
        <v>28350</v>
      </c>
      <c r="H383" s="89"/>
    </row>
    <row r="384" spans="1:8" ht="15" x14ac:dyDescent="0.25">
      <c r="A384" s="53" t="s">
        <v>279</v>
      </c>
      <c r="B384" s="1" t="s">
        <v>119</v>
      </c>
      <c r="C384" s="5">
        <v>45108</v>
      </c>
      <c r="D384" s="138">
        <v>3</v>
      </c>
      <c r="E384" s="69" t="s">
        <v>282</v>
      </c>
      <c r="F384" s="74">
        <v>2</v>
      </c>
      <c r="G384" s="71">
        <v>3564.5</v>
      </c>
      <c r="H384" s="89"/>
    </row>
    <row r="385" spans="1:8" ht="15" x14ac:dyDescent="0.25">
      <c r="A385" s="53" t="s">
        <v>279</v>
      </c>
      <c r="B385" s="1" t="s">
        <v>119</v>
      </c>
      <c r="C385" s="5">
        <v>45108</v>
      </c>
      <c r="D385" s="138">
        <v>4</v>
      </c>
      <c r="E385" s="69" t="s">
        <v>283</v>
      </c>
      <c r="F385" s="74">
        <v>1</v>
      </c>
      <c r="G385" s="71">
        <v>1100</v>
      </c>
      <c r="H385" s="89"/>
    </row>
    <row r="386" spans="1:8" ht="15" x14ac:dyDescent="0.25">
      <c r="A386" s="1" t="s">
        <v>141</v>
      </c>
      <c r="B386" s="1" t="s">
        <v>119</v>
      </c>
      <c r="C386" s="5">
        <v>45108</v>
      </c>
      <c r="D386" s="1">
        <v>6</v>
      </c>
      <c r="E386" s="69" t="s">
        <v>114</v>
      </c>
      <c r="F386" s="74">
        <v>9</v>
      </c>
      <c r="G386" s="71">
        <v>24120</v>
      </c>
      <c r="H386" s="89"/>
    </row>
    <row r="387" spans="1:8" ht="15" x14ac:dyDescent="0.25">
      <c r="A387" s="1" t="s">
        <v>141</v>
      </c>
      <c r="B387" s="1" t="s">
        <v>119</v>
      </c>
      <c r="C387" s="5">
        <v>45108</v>
      </c>
      <c r="D387" s="1">
        <v>9</v>
      </c>
      <c r="E387" s="69" t="s">
        <v>40</v>
      </c>
      <c r="F387" s="74">
        <v>8</v>
      </c>
      <c r="G387" s="71">
        <v>19040</v>
      </c>
      <c r="H387" s="89"/>
    </row>
    <row r="388" spans="1:8" ht="15" x14ac:dyDescent="0.25">
      <c r="A388" s="1" t="s">
        <v>141</v>
      </c>
      <c r="B388" s="1" t="s">
        <v>119</v>
      </c>
      <c r="C388" s="5">
        <v>45108</v>
      </c>
      <c r="D388" s="1">
        <v>10</v>
      </c>
      <c r="E388" s="69" t="s">
        <v>41</v>
      </c>
      <c r="F388" s="74">
        <v>124</v>
      </c>
      <c r="G388" s="71">
        <v>332320</v>
      </c>
      <c r="H388" s="89"/>
    </row>
    <row r="389" spans="1:8" ht="15" x14ac:dyDescent="0.25">
      <c r="A389" s="1" t="s">
        <v>141</v>
      </c>
      <c r="B389" s="1" t="s">
        <v>119</v>
      </c>
      <c r="C389" s="5">
        <v>45108</v>
      </c>
      <c r="D389" s="1">
        <v>11</v>
      </c>
      <c r="E389" s="69" t="s">
        <v>42</v>
      </c>
      <c r="F389" s="74">
        <v>61</v>
      </c>
      <c r="G389" s="71">
        <v>176900</v>
      </c>
      <c r="H389" s="89"/>
    </row>
    <row r="390" spans="1:8" ht="15" x14ac:dyDescent="0.25">
      <c r="A390" s="1" t="s">
        <v>141</v>
      </c>
      <c r="B390" s="1" t="s">
        <v>119</v>
      </c>
      <c r="C390" s="5">
        <v>45108</v>
      </c>
      <c r="D390" s="1">
        <v>12</v>
      </c>
      <c r="E390" s="69" t="s">
        <v>43</v>
      </c>
      <c r="F390" s="74">
        <v>29</v>
      </c>
      <c r="G390" s="71">
        <v>91060</v>
      </c>
      <c r="H390" s="89"/>
    </row>
    <row r="391" spans="1:8" ht="15" x14ac:dyDescent="0.25">
      <c r="A391" s="1" t="s">
        <v>141</v>
      </c>
      <c r="B391" s="1" t="s">
        <v>119</v>
      </c>
      <c r="C391" s="5">
        <v>45108</v>
      </c>
      <c r="D391" s="1">
        <v>13</v>
      </c>
      <c r="E391" s="69" t="s">
        <v>44</v>
      </c>
      <c r="F391" s="74">
        <v>14</v>
      </c>
      <c r="G391" s="71">
        <v>49140</v>
      </c>
      <c r="H391" s="89"/>
    </row>
    <row r="392" spans="1:8" ht="15" x14ac:dyDescent="0.25">
      <c r="A392" s="1" t="s">
        <v>141</v>
      </c>
      <c r="B392" s="1" t="s">
        <v>119</v>
      </c>
      <c r="C392" s="5">
        <v>45108</v>
      </c>
      <c r="D392" s="1">
        <v>14</v>
      </c>
      <c r="E392" s="69" t="s">
        <v>45</v>
      </c>
      <c r="F392" s="74">
        <v>9</v>
      </c>
      <c r="G392" s="71">
        <v>34785</v>
      </c>
      <c r="H392" s="89"/>
    </row>
    <row r="393" spans="1:8" ht="15" x14ac:dyDescent="0.25">
      <c r="A393" s="1" t="s">
        <v>141</v>
      </c>
      <c r="B393" s="1" t="s">
        <v>119</v>
      </c>
      <c r="C393" s="5">
        <v>45108</v>
      </c>
      <c r="D393" s="1">
        <v>15</v>
      </c>
      <c r="E393" s="69" t="s">
        <v>46</v>
      </c>
      <c r="F393" s="74">
        <v>5</v>
      </c>
      <c r="G393" s="71">
        <v>21350</v>
      </c>
      <c r="H393" s="89"/>
    </row>
    <row r="394" spans="1:8" ht="15" x14ac:dyDescent="0.25">
      <c r="A394" s="1" t="s">
        <v>141</v>
      </c>
      <c r="B394" s="1" t="s">
        <v>119</v>
      </c>
      <c r="C394" s="5">
        <v>45108</v>
      </c>
      <c r="D394" s="1">
        <v>16</v>
      </c>
      <c r="E394" s="69" t="s">
        <v>47</v>
      </c>
      <c r="F394" s="74">
        <v>4</v>
      </c>
      <c r="G394" s="71">
        <v>19120</v>
      </c>
      <c r="H394" s="89"/>
    </row>
    <row r="395" spans="1:8" ht="15" x14ac:dyDescent="0.25">
      <c r="A395" s="1" t="s">
        <v>141</v>
      </c>
      <c r="B395" s="1" t="s">
        <v>119</v>
      </c>
      <c r="C395" s="5">
        <v>45108</v>
      </c>
      <c r="D395" s="1">
        <v>17</v>
      </c>
      <c r="E395" s="69" t="s">
        <v>48</v>
      </c>
      <c r="F395" s="74">
        <v>3</v>
      </c>
      <c r="G395" s="71">
        <v>16260</v>
      </c>
      <c r="H395" s="89"/>
    </row>
    <row r="396" spans="1:8" ht="15" x14ac:dyDescent="0.25">
      <c r="A396" s="1" t="s">
        <v>141</v>
      </c>
      <c r="B396" s="1" t="s">
        <v>119</v>
      </c>
      <c r="C396" s="5">
        <v>45108</v>
      </c>
      <c r="D396" s="1">
        <v>18</v>
      </c>
      <c r="E396" s="69" t="s">
        <v>49</v>
      </c>
      <c r="F396" s="74">
        <v>4</v>
      </c>
      <c r="G396" s="71">
        <v>24600</v>
      </c>
      <c r="H396" s="89"/>
    </row>
    <row r="397" spans="1:8" ht="15" x14ac:dyDescent="0.25">
      <c r="A397" s="1" t="s">
        <v>141</v>
      </c>
      <c r="B397" s="1" t="s">
        <v>119</v>
      </c>
      <c r="C397" s="5">
        <v>45108</v>
      </c>
      <c r="D397" s="1">
        <v>19</v>
      </c>
      <c r="E397" s="69" t="s">
        <v>50</v>
      </c>
      <c r="F397" s="74">
        <v>4</v>
      </c>
      <c r="G397" s="71">
        <v>27920</v>
      </c>
      <c r="H397" s="89"/>
    </row>
    <row r="398" spans="1:8" ht="15" x14ac:dyDescent="0.25">
      <c r="A398" s="1" t="s">
        <v>141</v>
      </c>
      <c r="B398" s="1" t="s">
        <v>119</v>
      </c>
      <c r="C398" s="5">
        <v>45108</v>
      </c>
      <c r="D398" s="1">
        <v>20</v>
      </c>
      <c r="E398" s="69" t="s">
        <v>115</v>
      </c>
      <c r="F398" s="74">
        <v>6</v>
      </c>
      <c r="G398" s="71">
        <v>51000</v>
      </c>
      <c r="H398" s="89"/>
    </row>
    <row r="399" spans="1:8" ht="15" x14ac:dyDescent="0.25">
      <c r="A399" s="1" t="s">
        <v>141</v>
      </c>
      <c r="B399" s="1" t="s">
        <v>119</v>
      </c>
      <c r="C399" s="5">
        <v>45108</v>
      </c>
      <c r="D399" s="1">
        <v>21</v>
      </c>
      <c r="E399" s="69" t="s">
        <v>116</v>
      </c>
      <c r="F399" s="74">
        <v>1</v>
      </c>
      <c r="G399" s="71">
        <v>9500</v>
      </c>
      <c r="H399" s="89"/>
    </row>
    <row r="400" spans="1:8" ht="15" x14ac:dyDescent="0.25">
      <c r="A400" s="1" t="s">
        <v>141</v>
      </c>
      <c r="B400" s="1" t="s">
        <v>119</v>
      </c>
      <c r="C400" s="5">
        <v>45108</v>
      </c>
      <c r="D400" s="1">
        <v>22</v>
      </c>
      <c r="E400" s="69" t="s">
        <v>117</v>
      </c>
      <c r="F400" s="74">
        <v>1</v>
      </c>
      <c r="G400" s="71">
        <v>10500</v>
      </c>
      <c r="H400" s="89"/>
    </row>
    <row r="401" spans="1:8" ht="15" x14ac:dyDescent="0.25">
      <c r="A401" s="53" t="s">
        <v>279</v>
      </c>
      <c r="B401" s="1" t="s">
        <v>119</v>
      </c>
      <c r="C401" s="5">
        <v>45139</v>
      </c>
      <c r="D401" s="138">
        <v>1</v>
      </c>
      <c r="E401" s="69" t="s">
        <v>280</v>
      </c>
      <c r="F401" s="74">
        <v>8</v>
      </c>
      <c r="G401" s="71">
        <v>7200</v>
      </c>
      <c r="H401" s="89"/>
    </row>
    <row r="402" spans="1:8" ht="15" x14ac:dyDescent="0.25">
      <c r="A402" s="53" t="s">
        <v>279</v>
      </c>
      <c r="B402" s="1" t="s">
        <v>119</v>
      </c>
      <c r="C402" s="5">
        <v>45139</v>
      </c>
      <c r="D402" s="138">
        <v>2</v>
      </c>
      <c r="E402" s="69" t="s">
        <v>281</v>
      </c>
      <c r="F402" s="74">
        <v>33</v>
      </c>
      <c r="G402" s="71">
        <v>34650</v>
      </c>
      <c r="H402" s="89"/>
    </row>
    <row r="403" spans="1:8" ht="15" x14ac:dyDescent="0.25">
      <c r="A403" s="53" t="s">
        <v>279</v>
      </c>
      <c r="B403" s="1" t="s">
        <v>119</v>
      </c>
      <c r="C403" s="5">
        <v>45139</v>
      </c>
      <c r="D403" s="138">
        <v>3</v>
      </c>
      <c r="E403" s="69" t="s">
        <v>282</v>
      </c>
      <c r="F403" s="74">
        <v>2</v>
      </c>
      <c r="G403" s="71">
        <v>3564.5</v>
      </c>
      <c r="H403" s="89"/>
    </row>
    <row r="404" spans="1:8" ht="15" x14ac:dyDescent="0.25">
      <c r="A404" s="53" t="s">
        <v>279</v>
      </c>
      <c r="B404" s="1" t="s">
        <v>119</v>
      </c>
      <c r="C404" s="5">
        <v>45139</v>
      </c>
      <c r="D404" s="138">
        <v>4</v>
      </c>
      <c r="E404" s="69" t="s">
        <v>283</v>
      </c>
      <c r="F404" s="74">
        <v>1</v>
      </c>
      <c r="G404" s="71">
        <v>1100</v>
      </c>
      <c r="H404" s="89"/>
    </row>
    <row r="405" spans="1:8" ht="15" x14ac:dyDescent="0.25">
      <c r="A405" s="1" t="s">
        <v>141</v>
      </c>
      <c r="B405" s="1" t="s">
        <v>119</v>
      </c>
      <c r="C405" s="5">
        <v>45139</v>
      </c>
      <c r="D405" s="1">
        <v>6</v>
      </c>
      <c r="E405" s="69" t="s">
        <v>114</v>
      </c>
      <c r="F405" s="74">
        <v>9</v>
      </c>
      <c r="G405" s="71">
        <v>24120</v>
      </c>
      <c r="H405" s="89"/>
    </row>
    <row r="406" spans="1:8" ht="15" x14ac:dyDescent="0.25">
      <c r="A406" s="1" t="s">
        <v>141</v>
      </c>
      <c r="B406" s="1" t="s">
        <v>119</v>
      </c>
      <c r="C406" s="5">
        <v>45139</v>
      </c>
      <c r="D406" s="1">
        <v>9</v>
      </c>
      <c r="E406" s="69" t="s">
        <v>40</v>
      </c>
      <c r="F406" s="74">
        <v>7</v>
      </c>
      <c r="G406" s="71">
        <v>16660</v>
      </c>
      <c r="H406" s="89"/>
    </row>
    <row r="407" spans="1:8" ht="15" x14ac:dyDescent="0.25">
      <c r="A407" s="1" t="s">
        <v>141</v>
      </c>
      <c r="B407" s="1" t="s">
        <v>119</v>
      </c>
      <c r="C407" s="5">
        <v>45139</v>
      </c>
      <c r="D407" s="1">
        <v>10</v>
      </c>
      <c r="E407" s="69" t="s">
        <v>41</v>
      </c>
      <c r="F407" s="74">
        <v>126</v>
      </c>
      <c r="G407" s="71">
        <v>337680</v>
      </c>
      <c r="H407" s="89"/>
    </row>
    <row r="408" spans="1:8" ht="15" x14ac:dyDescent="0.25">
      <c r="A408" s="1" t="s">
        <v>141</v>
      </c>
      <c r="B408" s="1" t="s">
        <v>119</v>
      </c>
      <c r="C408" s="5">
        <v>45139</v>
      </c>
      <c r="D408" s="1">
        <v>11</v>
      </c>
      <c r="E408" s="69" t="s">
        <v>42</v>
      </c>
      <c r="F408" s="74">
        <v>52</v>
      </c>
      <c r="G408" s="71">
        <v>150800</v>
      </c>
      <c r="H408" s="89"/>
    </row>
    <row r="409" spans="1:8" ht="15" x14ac:dyDescent="0.25">
      <c r="A409" s="1" t="s">
        <v>141</v>
      </c>
      <c r="B409" s="1" t="s">
        <v>119</v>
      </c>
      <c r="C409" s="5">
        <v>45139</v>
      </c>
      <c r="D409" s="1">
        <v>12</v>
      </c>
      <c r="E409" s="69" t="s">
        <v>43</v>
      </c>
      <c r="F409" s="74">
        <v>36</v>
      </c>
      <c r="G409" s="71">
        <v>113040</v>
      </c>
      <c r="H409" s="89"/>
    </row>
    <row r="410" spans="1:8" ht="15" x14ac:dyDescent="0.25">
      <c r="A410" s="1" t="s">
        <v>141</v>
      </c>
      <c r="B410" s="1" t="s">
        <v>119</v>
      </c>
      <c r="C410" s="5">
        <v>45139</v>
      </c>
      <c r="D410" s="1">
        <v>13</v>
      </c>
      <c r="E410" s="69" t="s">
        <v>44</v>
      </c>
      <c r="F410" s="74">
        <v>13</v>
      </c>
      <c r="G410" s="71">
        <v>45630</v>
      </c>
      <c r="H410" s="89"/>
    </row>
    <row r="411" spans="1:8" ht="15" x14ac:dyDescent="0.25">
      <c r="A411" s="1" t="s">
        <v>141</v>
      </c>
      <c r="B411" s="1" t="s">
        <v>119</v>
      </c>
      <c r="C411" s="5">
        <v>45139</v>
      </c>
      <c r="D411" s="1">
        <v>14</v>
      </c>
      <c r="E411" s="69" t="s">
        <v>45</v>
      </c>
      <c r="F411" s="74">
        <v>9</v>
      </c>
      <c r="G411" s="71">
        <v>34785</v>
      </c>
      <c r="H411" s="89"/>
    </row>
    <row r="412" spans="1:8" ht="15" x14ac:dyDescent="0.25">
      <c r="A412" s="1" t="s">
        <v>141</v>
      </c>
      <c r="B412" s="1" t="s">
        <v>119</v>
      </c>
      <c r="C412" s="5">
        <v>45139</v>
      </c>
      <c r="D412" s="1">
        <v>15</v>
      </c>
      <c r="E412" s="69" t="s">
        <v>46</v>
      </c>
      <c r="F412" s="74">
        <v>8</v>
      </c>
      <c r="G412" s="71">
        <v>34160</v>
      </c>
      <c r="H412" s="89"/>
    </row>
    <row r="413" spans="1:8" ht="15" x14ac:dyDescent="0.25">
      <c r="A413" s="1" t="s">
        <v>141</v>
      </c>
      <c r="B413" s="1" t="s">
        <v>119</v>
      </c>
      <c r="C413" s="5">
        <v>45139</v>
      </c>
      <c r="D413" s="1">
        <v>16</v>
      </c>
      <c r="E413" s="69" t="s">
        <v>47</v>
      </c>
      <c r="F413" s="74">
        <v>4</v>
      </c>
      <c r="G413" s="71">
        <v>19120</v>
      </c>
      <c r="H413" s="89"/>
    </row>
    <row r="414" spans="1:8" ht="15" x14ac:dyDescent="0.25">
      <c r="A414" s="1" t="s">
        <v>141</v>
      </c>
      <c r="B414" s="1" t="s">
        <v>119</v>
      </c>
      <c r="C414" s="5">
        <v>45139</v>
      </c>
      <c r="D414" s="1">
        <v>17</v>
      </c>
      <c r="E414" s="69" t="s">
        <v>48</v>
      </c>
      <c r="F414" s="74">
        <v>2</v>
      </c>
      <c r="G414" s="71">
        <v>10840</v>
      </c>
      <c r="H414" s="89"/>
    </row>
    <row r="415" spans="1:8" ht="15" x14ac:dyDescent="0.25">
      <c r="A415" s="1" t="s">
        <v>141</v>
      </c>
      <c r="B415" s="1" t="s">
        <v>119</v>
      </c>
      <c r="C415" s="5">
        <v>45139</v>
      </c>
      <c r="D415" s="1">
        <v>18</v>
      </c>
      <c r="E415" s="69" t="s">
        <v>49</v>
      </c>
      <c r="F415" s="74">
        <v>5</v>
      </c>
      <c r="G415" s="71">
        <v>30750</v>
      </c>
      <c r="H415" s="89"/>
    </row>
    <row r="416" spans="1:8" ht="15" x14ac:dyDescent="0.25">
      <c r="A416" s="1" t="s">
        <v>141</v>
      </c>
      <c r="B416" s="1" t="s">
        <v>119</v>
      </c>
      <c r="C416" s="5">
        <v>45139</v>
      </c>
      <c r="D416" s="1">
        <v>19</v>
      </c>
      <c r="E416" s="69" t="s">
        <v>50</v>
      </c>
      <c r="F416" s="74">
        <v>4</v>
      </c>
      <c r="G416" s="71">
        <v>27920</v>
      </c>
      <c r="H416" s="89"/>
    </row>
    <row r="417" spans="1:8" ht="15" x14ac:dyDescent="0.25">
      <c r="A417" s="1" t="s">
        <v>141</v>
      </c>
      <c r="B417" s="1" t="s">
        <v>119</v>
      </c>
      <c r="C417" s="5">
        <v>45139</v>
      </c>
      <c r="D417" s="1">
        <v>20</v>
      </c>
      <c r="E417" s="69" t="s">
        <v>115</v>
      </c>
      <c r="F417" s="74">
        <v>6</v>
      </c>
      <c r="G417" s="71">
        <v>51000</v>
      </c>
      <c r="H417" s="89"/>
    </row>
    <row r="418" spans="1:8" ht="15" x14ac:dyDescent="0.25">
      <c r="A418" s="1" t="s">
        <v>141</v>
      </c>
      <c r="B418" s="1" t="s">
        <v>119</v>
      </c>
      <c r="C418" s="5">
        <v>45139</v>
      </c>
      <c r="D418" s="1">
        <v>21</v>
      </c>
      <c r="E418" s="69" t="s">
        <v>116</v>
      </c>
      <c r="F418" s="74">
        <v>1</v>
      </c>
      <c r="G418" s="71">
        <v>9500</v>
      </c>
      <c r="H418" s="89"/>
    </row>
    <row r="419" spans="1:8" ht="15" x14ac:dyDescent="0.25">
      <c r="A419" s="1" t="s">
        <v>141</v>
      </c>
      <c r="B419" s="1" t="s">
        <v>119</v>
      </c>
      <c r="C419" s="5">
        <v>45139</v>
      </c>
      <c r="D419" s="1">
        <v>22</v>
      </c>
      <c r="E419" s="69" t="s">
        <v>117</v>
      </c>
      <c r="F419" s="74">
        <v>1</v>
      </c>
      <c r="G419" s="71">
        <v>10500</v>
      </c>
      <c r="H419" s="89"/>
    </row>
    <row r="420" spans="1:8" ht="15" x14ac:dyDescent="0.25">
      <c r="A420" s="53" t="s">
        <v>279</v>
      </c>
      <c r="B420" s="1" t="s">
        <v>119</v>
      </c>
      <c r="C420" s="5">
        <v>45170</v>
      </c>
      <c r="D420" s="138">
        <v>1</v>
      </c>
      <c r="E420" s="69" t="s">
        <v>280</v>
      </c>
      <c r="F420" s="74">
        <v>8</v>
      </c>
      <c r="G420" s="71">
        <v>7200</v>
      </c>
      <c r="H420" s="89"/>
    </row>
    <row r="421" spans="1:8" ht="15" x14ac:dyDescent="0.25">
      <c r="A421" s="53" t="s">
        <v>279</v>
      </c>
      <c r="B421" s="1" t="s">
        <v>119</v>
      </c>
      <c r="C421" s="5">
        <v>45170</v>
      </c>
      <c r="D421" s="138">
        <v>2</v>
      </c>
      <c r="E421" s="69" t="s">
        <v>281</v>
      </c>
      <c r="F421" s="74">
        <v>35</v>
      </c>
      <c r="G421" s="71">
        <v>36750</v>
      </c>
      <c r="H421" s="89"/>
    </row>
    <row r="422" spans="1:8" ht="15" x14ac:dyDescent="0.25">
      <c r="A422" s="53" t="s">
        <v>279</v>
      </c>
      <c r="B422" s="1" t="s">
        <v>119</v>
      </c>
      <c r="C422" s="5">
        <v>45170</v>
      </c>
      <c r="D422" s="138">
        <v>3</v>
      </c>
      <c r="E422" s="69" t="s">
        <v>282</v>
      </c>
      <c r="F422" s="74">
        <v>1</v>
      </c>
      <c r="G422" s="71">
        <v>1782.25</v>
      </c>
      <c r="H422" s="89"/>
    </row>
    <row r="423" spans="1:8" ht="15" x14ac:dyDescent="0.25">
      <c r="A423" s="53" t="s">
        <v>279</v>
      </c>
      <c r="B423" s="1" t="s">
        <v>119</v>
      </c>
      <c r="C423" s="5">
        <v>45170</v>
      </c>
      <c r="D423" s="138">
        <v>4</v>
      </c>
      <c r="E423" s="69" t="s">
        <v>283</v>
      </c>
      <c r="F423" s="74">
        <v>0</v>
      </c>
      <c r="G423" s="71">
        <v>0</v>
      </c>
      <c r="H423" s="89"/>
    </row>
    <row r="424" spans="1:8" ht="15" x14ac:dyDescent="0.25">
      <c r="A424" s="1" t="s">
        <v>141</v>
      </c>
      <c r="B424" s="1" t="s">
        <v>119</v>
      </c>
      <c r="C424" s="5">
        <v>45170</v>
      </c>
      <c r="D424" s="1">
        <v>6</v>
      </c>
      <c r="E424" s="69" t="s">
        <v>114</v>
      </c>
      <c r="F424" s="74">
        <v>9</v>
      </c>
      <c r="G424" s="71">
        <v>24120</v>
      </c>
      <c r="H424" s="89"/>
    </row>
    <row r="425" spans="1:8" ht="15" x14ac:dyDescent="0.25">
      <c r="A425" s="1" t="s">
        <v>141</v>
      </c>
      <c r="B425" s="1" t="s">
        <v>119</v>
      </c>
      <c r="C425" s="5">
        <v>45170</v>
      </c>
      <c r="D425" s="1">
        <v>9</v>
      </c>
      <c r="E425" s="69" t="s">
        <v>40</v>
      </c>
      <c r="F425" s="74">
        <v>6</v>
      </c>
      <c r="G425" s="71">
        <v>14280</v>
      </c>
      <c r="H425" s="89"/>
    </row>
    <row r="426" spans="1:8" ht="15" x14ac:dyDescent="0.25">
      <c r="A426" s="1" t="s">
        <v>141</v>
      </c>
      <c r="B426" s="1" t="s">
        <v>119</v>
      </c>
      <c r="C426" s="5">
        <v>45170</v>
      </c>
      <c r="D426" s="1">
        <v>10</v>
      </c>
      <c r="E426" s="69" t="s">
        <v>41</v>
      </c>
      <c r="F426" s="74">
        <v>128</v>
      </c>
      <c r="G426" s="71">
        <v>343040</v>
      </c>
      <c r="H426" s="89"/>
    </row>
    <row r="427" spans="1:8" ht="15" x14ac:dyDescent="0.25">
      <c r="A427" s="1" t="s">
        <v>141</v>
      </c>
      <c r="B427" s="1" t="s">
        <v>119</v>
      </c>
      <c r="C427" s="5">
        <v>45170</v>
      </c>
      <c r="D427" s="1">
        <v>11</v>
      </c>
      <c r="E427" s="69" t="s">
        <v>42</v>
      </c>
      <c r="F427" s="74">
        <v>55</v>
      </c>
      <c r="G427" s="71">
        <v>159500</v>
      </c>
      <c r="H427" s="89"/>
    </row>
    <row r="428" spans="1:8" ht="15" x14ac:dyDescent="0.25">
      <c r="A428" s="1" t="s">
        <v>141</v>
      </c>
      <c r="B428" s="1" t="s">
        <v>119</v>
      </c>
      <c r="C428" s="5">
        <v>45170</v>
      </c>
      <c r="D428" s="1">
        <v>12</v>
      </c>
      <c r="E428" s="69" t="s">
        <v>43</v>
      </c>
      <c r="F428" s="74">
        <v>37</v>
      </c>
      <c r="G428" s="71">
        <v>116180</v>
      </c>
      <c r="H428" s="89"/>
    </row>
    <row r="429" spans="1:8" ht="15" x14ac:dyDescent="0.25">
      <c r="A429" s="1" t="s">
        <v>141</v>
      </c>
      <c r="B429" s="1" t="s">
        <v>119</v>
      </c>
      <c r="C429" s="5">
        <v>45170</v>
      </c>
      <c r="D429" s="1">
        <v>13</v>
      </c>
      <c r="E429" s="69" t="s">
        <v>44</v>
      </c>
      <c r="F429" s="74">
        <v>13</v>
      </c>
      <c r="G429" s="71">
        <v>45630</v>
      </c>
      <c r="H429" s="89"/>
    </row>
    <row r="430" spans="1:8" ht="15" x14ac:dyDescent="0.25">
      <c r="A430" s="1" t="s">
        <v>141</v>
      </c>
      <c r="B430" s="1" t="s">
        <v>119</v>
      </c>
      <c r="C430" s="5">
        <v>45170</v>
      </c>
      <c r="D430" s="1">
        <v>14</v>
      </c>
      <c r="E430" s="69" t="s">
        <v>45</v>
      </c>
      <c r="F430" s="74">
        <v>8</v>
      </c>
      <c r="G430" s="71">
        <v>30920</v>
      </c>
      <c r="H430" s="89"/>
    </row>
    <row r="431" spans="1:8" ht="15" x14ac:dyDescent="0.25">
      <c r="A431" s="1" t="s">
        <v>141</v>
      </c>
      <c r="B431" s="1" t="s">
        <v>119</v>
      </c>
      <c r="C431" s="5">
        <v>45170</v>
      </c>
      <c r="D431" s="1">
        <v>15</v>
      </c>
      <c r="E431" s="69" t="s">
        <v>46</v>
      </c>
      <c r="F431" s="74">
        <v>7</v>
      </c>
      <c r="G431" s="71">
        <v>29890</v>
      </c>
      <c r="H431" s="89"/>
    </row>
    <row r="432" spans="1:8" ht="15" x14ac:dyDescent="0.25">
      <c r="A432" s="1" t="s">
        <v>141</v>
      </c>
      <c r="B432" s="1" t="s">
        <v>119</v>
      </c>
      <c r="C432" s="5">
        <v>45170</v>
      </c>
      <c r="D432" s="1">
        <v>16</v>
      </c>
      <c r="E432" s="69" t="s">
        <v>47</v>
      </c>
      <c r="F432" s="74">
        <v>5</v>
      </c>
      <c r="G432" s="71">
        <v>23900</v>
      </c>
      <c r="H432" s="89"/>
    </row>
    <row r="433" spans="1:8" ht="15" x14ac:dyDescent="0.25">
      <c r="A433" s="1" t="s">
        <v>141</v>
      </c>
      <c r="B433" s="1" t="s">
        <v>119</v>
      </c>
      <c r="C433" s="5">
        <v>45170</v>
      </c>
      <c r="D433" s="1">
        <v>17</v>
      </c>
      <c r="E433" s="69" t="s">
        <v>48</v>
      </c>
      <c r="F433" s="74">
        <v>3</v>
      </c>
      <c r="G433" s="71">
        <v>16260</v>
      </c>
      <c r="H433" s="89"/>
    </row>
    <row r="434" spans="1:8" ht="15" x14ac:dyDescent="0.25">
      <c r="A434" s="1" t="s">
        <v>141</v>
      </c>
      <c r="B434" s="1" t="s">
        <v>119</v>
      </c>
      <c r="C434" s="5">
        <v>45170</v>
      </c>
      <c r="D434" s="1">
        <v>18</v>
      </c>
      <c r="E434" s="69" t="s">
        <v>49</v>
      </c>
      <c r="F434" s="74">
        <v>5</v>
      </c>
      <c r="G434" s="71">
        <v>30750</v>
      </c>
      <c r="H434" s="89"/>
    </row>
    <row r="435" spans="1:8" ht="15" x14ac:dyDescent="0.25">
      <c r="A435" s="1" t="s">
        <v>141</v>
      </c>
      <c r="B435" s="1" t="s">
        <v>119</v>
      </c>
      <c r="C435" s="5">
        <v>45170</v>
      </c>
      <c r="D435" s="1">
        <v>19</v>
      </c>
      <c r="E435" s="69" t="s">
        <v>50</v>
      </c>
      <c r="F435" s="74">
        <v>4</v>
      </c>
      <c r="G435" s="71">
        <v>27920</v>
      </c>
      <c r="H435" s="89"/>
    </row>
    <row r="436" spans="1:8" ht="15" x14ac:dyDescent="0.25">
      <c r="A436" s="1" t="s">
        <v>141</v>
      </c>
      <c r="B436" s="1" t="s">
        <v>119</v>
      </c>
      <c r="C436" s="5">
        <v>45170</v>
      </c>
      <c r="D436" s="1">
        <v>20</v>
      </c>
      <c r="E436" s="69" t="s">
        <v>115</v>
      </c>
      <c r="F436" s="74">
        <v>6</v>
      </c>
      <c r="G436" s="71">
        <v>51000</v>
      </c>
      <c r="H436" s="89"/>
    </row>
    <row r="437" spans="1:8" ht="15" x14ac:dyDescent="0.25">
      <c r="A437" s="1" t="s">
        <v>141</v>
      </c>
      <c r="B437" s="1" t="s">
        <v>119</v>
      </c>
      <c r="C437" s="5">
        <v>45170</v>
      </c>
      <c r="D437" s="1">
        <v>21</v>
      </c>
      <c r="E437" s="69" t="s">
        <v>116</v>
      </c>
      <c r="F437" s="74">
        <v>1</v>
      </c>
      <c r="G437" s="71">
        <v>9500</v>
      </c>
      <c r="H437" s="89"/>
    </row>
    <row r="438" spans="1:8" ht="15" x14ac:dyDescent="0.25">
      <c r="A438" s="1" t="s">
        <v>141</v>
      </c>
      <c r="B438" s="1" t="s">
        <v>119</v>
      </c>
      <c r="C438" s="5">
        <v>45170</v>
      </c>
      <c r="D438" s="1">
        <v>22</v>
      </c>
      <c r="E438" s="69" t="s">
        <v>117</v>
      </c>
      <c r="F438" s="74">
        <v>1</v>
      </c>
      <c r="G438" s="71">
        <v>10500</v>
      </c>
      <c r="H438" s="89"/>
    </row>
    <row r="439" spans="1:8" ht="15" x14ac:dyDescent="0.25">
      <c r="A439" s="53" t="s">
        <v>279</v>
      </c>
      <c r="B439" s="1" t="s">
        <v>119</v>
      </c>
      <c r="C439" s="5">
        <v>45200</v>
      </c>
      <c r="D439" s="138">
        <v>1</v>
      </c>
      <c r="E439" s="69" t="s">
        <v>280</v>
      </c>
      <c r="F439" s="74">
        <v>10</v>
      </c>
      <c r="G439" s="71">
        <v>9000</v>
      </c>
      <c r="H439" s="89"/>
    </row>
    <row r="440" spans="1:8" ht="15" x14ac:dyDescent="0.25">
      <c r="A440" s="53" t="s">
        <v>279</v>
      </c>
      <c r="B440" s="1" t="s">
        <v>119</v>
      </c>
      <c r="C440" s="5">
        <v>45200</v>
      </c>
      <c r="D440" s="138">
        <v>2</v>
      </c>
      <c r="E440" s="69" t="s">
        <v>281</v>
      </c>
      <c r="F440" s="74">
        <v>34</v>
      </c>
      <c r="G440" s="71">
        <v>35700</v>
      </c>
      <c r="H440" s="89"/>
    </row>
    <row r="441" spans="1:8" ht="15" x14ac:dyDescent="0.25">
      <c r="A441" s="53" t="s">
        <v>279</v>
      </c>
      <c r="B441" s="1" t="s">
        <v>119</v>
      </c>
      <c r="C441" s="5">
        <v>45200</v>
      </c>
      <c r="D441" s="138">
        <v>3</v>
      </c>
      <c r="E441" s="69" t="s">
        <v>282</v>
      </c>
      <c r="F441" s="74">
        <v>1</v>
      </c>
      <c r="G441" s="71">
        <v>1782.25</v>
      </c>
      <c r="H441" s="89"/>
    </row>
    <row r="442" spans="1:8" ht="15" x14ac:dyDescent="0.25">
      <c r="A442" s="53" t="s">
        <v>279</v>
      </c>
      <c r="B442" s="1" t="s">
        <v>119</v>
      </c>
      <c r="C442" s="5">
        <v>45200</v>
      </c>
      <c r="D442" s="138">
        <v>4</v>
      </c>
      <c r="E442" s="69" t="s">
        <v>283</v>
      </c>
      <c r="F442" s="74">
        <v>0</v>
      </c>
      <c r="G442" s="71">
        <v>0</v>
      </c>
      <c r="H442" s="89"/>
    </row>
    <row r="443" spans="1:8" ht="15" x14ac:dyDescent="0.25">
      <c r="A443" s="1" t="s">
        <v>141</v>
      </c>
      <c r="B443" s="1" t="s">
        <v>119</v>
      </c>
      <c r="C443" s="5">
        <v>45200</v>
      </c>
      <c r="D443" s="1">
        <v>6</v>
      </c>
      <c r="E443" s="69" t="s">
        <v>114</v>
      </c>
      <c r="F443" s="74">
        <v>9</v>
      </c>
      <c r="G443" s="71">
        <v>24120</v>
      </c>
      <c r="H443" s="89"/>
    </row>
    <row r="444" spans="1:8" ht="15" x14ac:dyDescent="0.25">
      <c r="A444" s="1" t="s">
        <v>141</v>
      </c>
      <c r="B444" s="1" t="s">
        <v>119</v>
      </c>
      <c r="C444" s="5">
        <v>45200</v>
      </c>
      <c r="D444" s="1">
        <v>9</v>
      </c>
      <c r="E444" s="69" t="s">
        <v>40</v>
      </c>
      <c r="F444" s="74">
        <v>5</v>
      </c>
      <c r="G444" s="71">
        <v>11900</v>
      </c>
      <c r="H444" s="89"/>
    </row>
    <row r="445" spans="1:8" ht="15" x14ac:dyDescent="0.25">
      <c r="A445" s="1" t="s">
        <v>141</v>
      </c>
      <c r="B445" s="1" t="s">
        <v>119</v>
      </c>
      <c r="C445" s="5">
        <v>45200</v>
      </c>
      <c r="D445" s="1">
        <v>10</v>
      </c>
      <c r="E445" s="69" t="s">
        <v>41</v>
      </c>
      <c r="F445" s="74">
        <v>127</v>
      </c>
      <c r="G445" s="71">
        <v>340360</v>
      </c>
      <c r="H445" s="89"/>
    </row>
    <row r="446" spans="1:8" ht="15" x14ac:dyDescent="0.25">
      <c r="A446" s="1" t="s">
        <v>141</v>
      </c>
      <c r="B446" s="1" t="s">
        <v>119</v>
      </c>
      <c r="C446" s="5">
        <v>45200</v>
      </c>
      <c r="D446" s="1">
        <v>11</v>
      </c>
      <c r="E446" s="69" t="s">
        <v>42</v>
      </c>
      <c r="F446" s="74">
        <v>56</v>
      </c>
      <c r="G446" s="71">
        <v>162400</v>
      </c>
      <c r="H446" s="89"/>
    </row>
    <row r="447" spans="1:8" ht="15" x14ac:dyDescent="0.25">
      <c r="A447" s="1" t="s">
        <v>141</v>
      </c>
      <c r="B447" s="1" t="s">
        <v>119</v>
      </c>
      <c r="C447" s="5">
        <v>45200</v>
      </c>
      <c r="D447" s="1">
        <v>12</v>
      </c>
      <c r="E447" s="69" t="s">
        <v>43</v>
      </c>
      <c r="F447" s="74">
        <v>39</v>
      </c>
      <c r="G447" s="71">
        <v>122460</v>
      </c>
      <c r="H447" s="89"/>
    </row>
    <row r="448" spans="1:8" ht="15" x14ac:dyDescent="0.25">
      <c r="A448" s="1" t="s">
        <v>141</v>
      </c>
      <c r="B448" s="1" t="s">
        <v>119</v>
      </c>
      <c r="C448" s="5">
        <v>45200</v>
      </c>
      <c r="D448" s="1">
        <v>13</v>
      </c>
      <c r="E448" s="69" t="s">
        <v>44</v>
      </c>
      <c r="F448" s="74">
        <v>13</v>
      </c>
      <c r="G448" s="71">
        <v>45630</v>
      </c>
      <c r="H448" s="89"/>
    </row>
    <row r="449" spans="1:10" ht="15" x14ac:dyDescent="0.25">
      <c r="A449" s="1" t="s">
        <v>141</v>
      </c>
      <c r="B449" s="1" t="s">
        <v>119</v>
      </c>
      <c r="C449" s="5">
        <v>45200</v>
      </c>
      <c r="D449" s="1">
        <v>14</v>
      </c>
      <c r="E449" s="69" t="s">
        <v>45</v>
      </c>
      <c r="F449" s="74">
        <v>9</v>
      </c>
      <c r="G449" s="71">
        <v>34785</v>
      </c>
      <c r="H449" s="89"/>
    </row>
    <row r="450" spans="1:10" ht="15" x14ac:dyDescent="0.25">
      <c r="A450" s="1" t="s">
        <v>141</v>
      </c>
      <c r="B450" s="1" t="s">
        <v>119</v>
      </c>
      <c r="C450" s="5">
        <v>45200</v>
      </c>
      <c r="D450" s="1">
        <v>15</v>
      </c>
      <c r="E450" s="69" t="s">
        <v>46</v>
      </c>
      <c r="F450" s="74">
        <v>7</v>
      </c>
      <c r="G450" s="71">
        <v>29890</v>
      </c>
      <c r="H450" s="89"/>
    </row>
    <row r="451" spans="1:10" ht="15" x14ac:dyDescent="0.25">
      <c r="A451" s="1" t="s">
        <v>141</v>
      </c>
      <c r="B451" s="1" t="s">
        <v>119</v>
      </c>
      <c r="C451" s="5">
        <v>45200</v>
      </c>
      <c r="D451" s="1">
        <v>16</v>
      </c>
      <c r="E451" s="69" t="s">
        <v>47</v>
      </c>
      <c r="F451" s="74">
        <v>5</v>
      </c>
      <c r="G451" s="71">
        <v>23900</v>
      </c>
      <c r="H451" s="89"/>
    </row>
    <row r="452" spans="1:10" ht="15" x14ac:dyDescent="0.25">
      <c r="A452" s="1" t="s">
        <v>141</v>
      </c>
      <c r="B452" s="1" t="s">
        <v>119</v>
      </c>
      <c r="C452" s="5">
        <v>45200</v>
      </c>
      <c r="D452" s="1">
        <v>17</v>
      </c>
      <c r="E452" s="69" t="s">
        <v>48</v>
      </c>
      <c r="F452" s="74">
        <v>3</v>
      </c>
      <c r="G452" s="71">
        <v>16260</v>
      </c>
      <c r="H452" s="89"/>
    </row>
    <row r="453" spans="1:10" ht="15" x14ac:dyDescent="0.25">
      <c r="A453" s="1" t="s">
        <v>141</v>
      </c>
      <c r="B453" s="1" t="s">
        <v>119</v>
      </c>
      <c r="C453" s="5">
        <v>45200</v>
      </c>
      <c r="D453" s="1">
        <v>18</v>
      </c>
      <c r="E453" s="69" t="s">
        <v>49</v>
      </c>
      <c r="F453" s="74">
        <v>5</v>
      </c>
      <c r="G453" s="71">
        <v>30750</v>
      </c>
      <c r="H453" s="89"/>
    </row>
    <row r="454" spans="1:10" ht="15" x14ac:dyDescent="0.25">
      <c r="A454" s="1" t="s">
        <v>141</v>
      </c>
      <c r="B454" s="1" t="s">
        <v>119</v>
      </c>
      <c r="C454" s="5">
        <v>45200</v>
      </c>
      <c r="D454" s="1">
        <v>19</v>
      </c>
      <c r="E454" s="69" t="s">
        <v>50</v>
      </c>
      <c r="F454" s="74">
        <v>4</v>
      </c>
      <c r="G454" s="71">
        <v>27920</v>
      </c>
      <c r="H454" s="89"/>
    </row>
    <row r="455" spans="1:10" ht="15" x14ac:dyDescent="0.25">
      <c r="A455" s="1" t="s">
        <v>141</v>
      </c>
      <c r="B455" s="1" t="s">
        <v>119</v>
      </c>
      <c r="C455" s="5">
        <v>45200</v>
      </c>
      <c r="D455" s="1">
        <v>20</v>
      </c>
      <c r="E455" s="69" t="s">
        <v>115</v>
      </c>
      <c r="F455" s="74">
        <v>6</v>
      </c>
      <c r="G455" s="71">
        <v>51000</v>
      </c>
      <c r="H455" s="89"/>
    </row>
    <row r="456" spans="1:10" ht="15" x14ac:dyDescent="0.25">
      <c r="A456" s="1" t="s">
        <v>141</v>
      </c>
      <c r="B456" s="1" t="s">
        <v>119</v>
      </c>
      <c r="C456" s="5">
        <v>45200</v>
      </c>
      <c r="D456" s="1">
        <v>21</v>
      </c>
      <c r="E456" s="69" t="s">
        <v>116</v>
      </c>
      <c r="F456" s="74">
        <v>1</v>
      </c>
      <c r="G456" s="71">
        <v>9500</v>
      </c>
      <c r="H456" s="89"/>
    </row>
    <row r="457" spans="1:10" ht="15" x14ac:dyDescent="0.25">
      <c r="A457" s="1" t="s">
        <v>141</v>
      </c>
      <c r="B457" s="1" t="s">
        <v>119</v>
      </c>
      <c r="C457" s="5">
        <v>45200</v>
      </c>
      <c r="D457" s="1">
        <v>22</v>
      </c>
      <c r="E457" s="69" t="s">
        <v>117</v>
      </c>
      <c r="F457" s="74">
        <v>1</v>
      </c>
      <c r="G457" s="71">
        <v>10500</v>
      </c>
      <c r="H457" s="89"/>
    </row>
    <row r="458" spans="1:10" ht="15" x14ac:dyDescent="0.25">
      <c r="A458" s="125" t="s">
        <v>279</v>
      </c>
      <c r="B458" s="125" t="s">
        <v>121</v>
      </c>
      <c r="C458" s="126">
        <v>44531</v>
      </c>
      <c r="D458" s="124">
        <v>5</v>
      </c>
      <c r="E458" s="127" t="s">
        <v>279</v>
      </c>
      <c r="F458" s="74">
        <v>2</v>
      </c>
      <c r="G458" s="128">
        <v>1800</v>
      </c>
      <c r="H458" s="129"/>
      <c r="I458" s="124"/>
      <c r="J458" s="124"/>
    </row>
    <row r="459" spans="1:10" ht="26.25" x14ac:dyDescent="0.25">
      <c r="A459" s="124" t="s">
        <v>141</v>
      </c>
      <c r="B459" s="125" t="s">
        <v>121</v>
      </c>
      <c r="C459" s="126">
        <v>44531</v>
      </c>
      <c r="D459" s="124">
        <v>7</v>
      </c>
      <c r="E459" s="127" t="s">
        <v>51</v>
      </c>
      <c r="F459" s="74">
        <v>0</v>
      </c>
      <c r="G459" s="128">
        <v>0</v>
      </c>
      <c r="H459" s="129" t="s">
        <v>150</v>
      </c>
      <c r="I459" s="124"/>
      <c r="J459" s="124" t="s">
        <v>156</v>
      </c>
    </row>
    <row r="460" spans="1:10" ht="26.25" x14ac:dyDescent="0.25">
      <c r="A460" s="124" t="s">
        <v>141</v>
      </c>
      <c r="B460" s="125" t="s">
        <v>121</v>
      </c>
      <c r="C460" s="126">
        <v>44531</v>
      </c>
      <c r="D460" s="124">
        <v>8</v>
      </c>
      <c r="E460" s="127" t="s">
        <v>52</v>
      </c>
      <c r="F460" s="74">
        <v>2</v>
      </c>
      <c r="G460" s="128">
        <v>8000</v>
      </c>
      <c r="H460" s="129" t="s">
        <v>150</v>
      </c>
      <c r="I460" s="124"/>
      <c r="J460" s="124" t="s">
        <v>156</v>
      </c>
    </row>
    <row r="461" spans="1:10" ht="26.25" x14ac:dyDescent="0.25">
      <c r="A461" s="124" t="s">
        <v>141</v>
      </c>
      <c r="B461" s="125" t="s">
        <v>121</v>
      </c>
      <c r="C461" s="126">
        <v>44531</v>
      </c>
      <c r="D461" s="124">
        <v>9</v>
      </c>
      <c r="E461" s="127" t="s">
        <v>40</v>
      </c>
      <c r="F461" s="74">
        <v>2</v>
      </c>
      <c r="G461" s="128">
        <v>8560</v>
      </c>
      <c r="H461" s="129" t="s">
        <v>150</v>
      </c>
      <c r="I461" s="124"/>
      <c r="J461" s="124" t="s">
        <v>156</v>
      </c>
    </row>
    <row r="462" spans="1:10" ht="26.25" x14ac:dyDescent="0.25">
      <c r="A462" s="124" t="s">
        <v>141</v>
      </c>
      <c r="B462" s="125" t="s">
        <v>121</v>
      </c>
      <c r="C462" s="126">
        <v>44531</v>
      </c>
      <c r="D462" s="124">
        <v>10</v>
      </c>
      <c r="E462" s="127" t="s">
        <v>41</v>
      </c>
      <c r="F462" s="74">
        <v>0</v>
      </c>
      <c r="G462" s="128">
        <v>0</v>
      </c>
      <c r="H462" s="129" t="s">
        <v>150</v>
      </c>
      <c r="I462" s="124"/>
      <c r="J462" s="124" t="s">
        <v>156</v>
      </c>
    </row>
    <row r="463" spans="1:10" ht="26.25" x14ac:dyDescent="0.25">
      <c r="A463" s="124" t="s">
        <v>141</v>
      </c>
      <c r="B463" s="125" t="s">
        <v>121</v>
      </c>
      <c r="C463" s="126">
        <v>44531</v>
      </c>
      <c r="D463" s="124">
        <v>11</v>
      </c>
      <c r="E463" s="127" t="s">
        <v>42</v>
      </c>
      <c r="F463" s="74">
        <v>1</v>
      </c>
      <c r="G463" s="128">
        <v>5040</v>
      </c>
      <c r="H463" s="129" t="s">
        <v>150</v>
      </c>
      <c r="I463" s="124"/>
      <c r="J463" s="124" t="s">
        <v>156</v>
      </c>
    </row>
    <row r="464" spans="1:10" ht="26.25" x14ac:dyDescent="0.25">
      <c r="A464" s="124" t="s">
        <v>141</v>
      </c>
      <c r="B464" s="125" t="s">
        <v>121</v>
      </c>
      <c r="C464" s="126">
        <v>44531</v>
      </c>
      <c r="D464" s="124">
        <v>12</v>
      </c>
      <c r="E464" s="127" t="s">
        <v>43</v>
      </c>
      <c r="F464" s="74">
        <v>1</v>
      </c>
      <c r="G464" s="128">
        <v>5400</v>
      </c>
      <c r="H464" s="129" t="s">
        <v>150</v>
      </c>
      <c r="I464" s="124"/>
      <c r="J464" s="124" t="s">
        <v>156</v>
      </c>
    </row>
    <row r="465" spans="1:10" ht="26.25" x14ac:dyDescent="0.25">
      <c r="A465" s="124" t="s">
        <v>141</v>
      </c>
      <c r="B465" s="125" t="s">
        <v>121</v>
      </c>
      <c r="C465" s="126">
        <v>44531</v>
      </c>
      <c r="D465" s="124">
        <v>13</v>
      </c>
      <c r="E465" s="127" t="s">
        <v>44</v>
      </c>
      <c r="F465" s="74">
        <v>0</v>
      </c>
      <c r="G465" s="128">
        <v>0</v>
      </c>
      <c r="H465" s="129" t="s">
        <v>150</v>
      </c>
      <c r="I465" s="124"/>
      <c r="J465" s="124" t="s">
        <v>156</v>
      </c>
    </row>
    <row r="466" spans="1:10" ht="26.25" x14ac:dyDescent="0.25">
      <c r="A466" s="124" t="s">
        <v>141</v>
      </c>
      <c r="B466" s="125" t="s">
        <v>121</v>
      </c>
      <c r="C466" s="126">
        <v>44531</v>
      </c>
      <c r="D466" s="124">
        <v>14</v>
      </c>
      <c r="E466" s="127" t="s">
        <v>45</v>
      </c>
      <c r="F466" s="74">
        <v>1</v>
      </c>
      <c r="G466" s="128">
        <v>6360</v>
      </c>
      <c r="H466" s="129" t="s">
        <v>150</v>
      </c>
      <c r="I466" s="124"/>
      <c r="J466" s="124" t="s">
        <v>156</v>
      </c>
    </row>
    <row r="467" spans="1:10" ht="26.25" x14ac:dyDescent="0.25">
      <c r="A467" s="124" t="s">
        <v>141</v>
      </c>
      <c r="B467" s="125" t="s">
        <v>121</v>
      </c>
      <c r="C467" s="126">
        <v>44531</v>
      </c>
      <c r="D467" s="124">
        <v>15</v>
      </c>
      <c r="E467" s="127" t="s">
        <v>46</v>
      </c>
      <c r="F467" s="74">
        <v>1</v>
      </c>
      <c r="G467" s="128">
        <v>6810</v>
      </c>
      <c r="H467" s="129" t="s">
        <v>150</v>
      </c>
      <c r="I467" s="124"/>
      <c r="J467" s="124" t="s">
        <v>156</v>
      </c>
    </row>
    <row r="468" spans="1:10" ht="26.25" x14ac:dyDescent="0.25">
      <c r="A468" s="124" t="s">
        <v>141</v>
      </c>
      <c r="B468" s="125" t="s">
        <v>121</v>
      </c>
      <c r="C468" s="126">
        <v>44531</v>
      </c>
      <c r="D468" s="124">
        <v>16</v>
      </c>
      <c r="E468" s="127" t="s">
        <v>47</v>
      </c>
      <c r="F468" s="74">
        <v>0</v>
      </c>
      <c r="G468" s="128">
        <v>0</v>
      </c>
      <c r="H468" s="129" t="s">
        <v>150</v>
      </c>
      <c r="I468" s="124"/>
      <c r="J468" s="124" t="s">
        <v>156</v>
      </c>
    </row>
    <row r="469" spans="1:10" ht="26.25" x14ac:dyDescent="0.25">
      <c r="A469" s="124" t="s">
        <v>141</v>
      </c>
      <c r="B469" s="125" t="s">
        <v>121</v>
      </c>
      <c r="C469" s="126">
        <v>44531</v>
      </c>
      <c r="D469" s="124">
        <v>20</v>
      </c>
      <c r="E469" s="127" t="s">
        <v>115</v>
      </c>
      <c r="F469" s="74">
        <v>0</v>
      </c>
      <c r="G469" s="128">
        <v>0</v>
      </c>
      <c r="H469" s="129" t="s">
        <v>150</v>
      </c>
      <c r="I469" s="124"/>
      <c r="J469" s="124" t="s">
        <v>156</v>
      </c>
    </row>
    <row r="470" spans="1:10" ht="26.25" x14ac:dyDescent="0.25">
      <c r="A470" s="124" t="s">
        <v>141</v>
      </c>
      <c r="B470" s="125" t="s">
        <v>121</v>
      </c>
      <c r="C470" s="126">
        <v>44531</v>
      </c>
      <c r="D470" s="124">
        <v>21</v>
      </c>
      <c r="E470" s="127" t="s">
        <v>116</v>
      </c>
      <c r="F470" s="74">
        <v>2</v>
      </c>
      <c r="G470" s="128">
        <v>19000</v>
      </c>
      <c r="H470" s="129" t="s">
        <v>150</v>
      </c>
      <c r="I470" s="124"/>
      <c r="J470" s="124" t="s">
        <v>156</v>
      </c>
    </row>
    <row r="471" spans="1:10" ht="26.25" x14ac:dyDescent="0.25">
      <c r="A471" s="124" t="s">
        <v>141</v>
      </c>
      <c r="B471" s="125" t="s">
        <v>121</v>
      </c>
      <c r="C471" s="126">
        <v>44531</v>
      </c>
      <c r="D471" s="124">
        <v>22</v>
      </c>
      <c r="E471" s="127" t="s">
        <v>117</v>
      </c>
      <c r="F471" s="74">
        <v>1</v>
      </c>
      <c r="G471" s="128">
        <v>10500</v>
      </c>
      <c r="H471" s="129" t="s">
        <v>150</v>
      </c>
      <c r="I471" s="124"/>
      <c r="J471" s="124" t="s">
        <v>156</v>
      </c>
    </row>
    <row r="472" spans="1:10" ht="15" x14ac:dyDescent="0.25">
      <c r="A472" s="125" t="s">
        <v>279</v>
      </c>
      <c r="B472" s="125" t="s">
        <v>121</v>
      </c>
      <c r="C472" s="126">
        <v>44562</v>
      </c>
      <c r="D472" s="124">
        <v>5</v>
      </c>
      <c r="E472" s="127" t="s">
        <v>279</v>
      </c>
      <c r="F472" s="74"/>
      <c r="G472" s="128"/>
      <c r="H472" s="129"/>
      <c r="I472" s="124"/>
      <c r="J472" s="124"/>
    </row>
    <row r="473" spans="1:10" ht="26.25" x14ac:dyDescent="0.25">
      <c r="A473" s="124" t="s">
        <v>141</v>
      </c>
      <c r="B473" s="125" t="s">
        <v>121</v>
      </c>
      <c r="C473" s="126">
        <v>44562</v>
      </c>
      <c r="D473" s="124">
        <v>7</v>
      </c>
      <c r="E473" s="127" t="s">
        <v>51</v>
      </c>
      <c r="F473" s="74">
        <v>0</v>
      </c>
      <c r="G473" s="128">
        <v>0</v>
      </c>
      <c r="H473" s="129" t="s">
        <v>150</v>
      </c>
      <c r="I473" s="124"/>
      <c r="J473" s="124" t="s">
        <v>156</v>
      </c>
    </row>
    <row r="474" spans="1:10" ht="26.25" x14ac:dyDescent="0.25">
      <c r="A474" s="124" t="s">
        <v>141</v>
      </c>
      <c r="B474" s="125" t="s">
        <v>121</v>
      </c>
      <c r="C474" s="126">
        <v>44562</v>
      </c>
      <c r="D474" s="124">
        <v>8</v>
      </c>
      <c r="E474" s="127" t="s">
        <v>52</v>
      </c>
      <c r="F474" s="74">
        <v>1</v>
      </c>
      <c r="G474" s="128">
        <v>4000</v>
      </c>
      <c r="H474" s="129" t="s">
        <v>150</v>
      </c>
      <c r="I474" s="124"/>
      <c r="J474" s="124" t="s">
        <v>156</v>
      </c>
    </row>
    <row r="475" spans="1:10" ht="26.25" x14ac:dyDescent="0.25">
      <c r="A475" s="124" t="s">
        <v>141</v>
      </c>
      <c r="B475" s="125" t="s">
        <v>121</v>
      </c>
      <c r="C475" s="126">
        <v>44562</v>
      </c>
      <c r="D475" s="124">
        <v>9</v>
      </c>
      <c r="E475" s="127" t="s">
        <v>40</v>
      </c>
      <c r="F475" s="74">
        <v>1</v>
      </c>
      <c r="G475" s="128">
        <v>4280</v>
      </c>
      <c r="H475" s="129" t="s">
        <v>150</v>
      </c>
      <c r="I475" s="124"/>
      <c r="J475" s="124" t="s">
        <v>156</v>
      </c>
    </row>
    <row r="476" spans="1:10" ht="26.25" x14ac:dyDescent="0.25">
      <c r="A476" s="124" t="s">
        <v>141</v>
      </c>
      <c r="B476" s="125" t="s">
        <v>121</v>
      </c>
      <c r="C476" s="126">
        <v>44562</v>
      </c>
      <c r="D476" s="124">
        <v>10</v>
      </c>
      <c r="E476" s="127" t="s">
        <v>41</v>
      </c>
      <c r="F476" s="74">
        <v>2</v>
      </c>
      <c r="G476" s="128">
        <v>9160</v>
      </c>
      <c r="H476" s="129" t="s">
        <v>150</v>
      </c>
      <c r="I476" s="124"/>
      <c r="J476" s="124" t="s">
        <v>156</v>
      </c>
    </row>
    <row r="477" spans="1:10" ht="26.25" x14ac:dyDescent="0.25">
      <c r="A477" s="124" t="s">
        <v>141</v>
      </c>
      <c r="B477" s="125" t="s">
        <v>121</v>
      </c>
      <c r="C477" s="126">
        <v>44562</v>
      </c>
      <c r="D477" s="124">
        <v>11</v>
      </c>
      <c r="E477" s="127" t="s">
        <v>42</v>
      </c>
      <c r="F477" s="74">
        <v>1</v>
      </c>
      <c r="G477" s="128">
        <v>5040</v>
      </c>
      <c r="H477" s="129" t="s">
        <v>150</v>
      </c>
      <c r="I477" s="124"/>
      <c r="J477" s="124" t="s">
        <v>156</v>
      </c>
    </row>
    <row r="478" spans="1:10" ht="26.25" x14ac:dyDescent="0.25">
      <c r="A478" s="124" t="s">
        <v>141</v>
      </c>
      <c r="B478" s="125" t="s">
        <v>121</v>
      </c>
      <c r="C478" s="126">
        <v>44562</v>
      </c>
      <c r="D478" s="124">
        <v>12</v>
      </c>
      <c r="E478" s="127" t="s">
        <v>43</v>
      </c>
      <c r="F478" s="74">
        <v>1</v>
      </c>
      <c r="G478" s="128">
        <v>5400</v>
      </c>
      <c r="H478" s="129" t="s">
        <v>150</v>
      </c>
      <c r="I478" s="124"/>
      <c r="J478" s="124" t="s">
        <v>156</v>
      </c>
    </row>
    <row r="479" spans="1:10" ht="26.25" x14ac:dyDescent="0.25">
      <c r="A479" s="124" t="s">
        <v>141</v>
      </c>
      <c r="B479" s="125" t="s">
        <v>121</v>
      </c>
      <c r="C479" s="126">
        <v>44562</v>
      </c>
      <c r="D479" s="124">
        <v>13</v>
      </c>
      <c r="E479" s="127" t="s">
        <v>44</v>
      </c>
      <c r="F479" s="74">
        <v>0</v>
      </c>
      <c r="G479" s="128">
        <v>0</v>
      </c>
      <c r="H479" s="129" t="s">
        <v>150</v>
      </c>
      <c r="I479" s="124"/>
      <c r="J479" s="124" t="s">
        <v>156</v>
      </c>
    </row>
    <row r="480" spans="1:10" ht="26.25" x14ac:dyDescent="0.25">
      <c r="A480" s="124" t="s">
        <v>141</v>
      </c>
      <c r="B480" s="125" t="s">
        <v>121</v>
      </c>
      <c r="C480" s="126">
        <v>44562</v>
      </c>
      <c r="D480" s="124">
        <v>14</v>
      </c>
      <c r="E480" s="127" t="s">
        <v>45</v>
      </c>
      <c r="F480" s="74">
        <v>0</v>
      </c>
      <c r="G480" s="128">
        <v>0</v>
      </c>
      <c r="H480" s="129" t="s">
        <v>150</v>
      </c>
      <c r="I480" s="124"/>
      <c r="J480" s="124" t="s">
        <v>156</v>
      </c>
    </row>
    <row r="481" spans="1:10" ht="26.25" x14ac:dyDescent="0.25">
      <c r="A481" s="124" t="s">
        <v>141</v>
      </c>
      <c r="B481" s="125" t="s">
        <v>121</v>
      </c>
      <c r="C481" s="126">
        <v>44562</v>
      </c>
      <c r="D481" s="124">
        <v>15</v>
      </c>
      <c r="E481" s="127" t="s">
        <v>46</v>
      </c>
      <c r="F481" s="74">
        <v>2</v>
      </c>
      <c r="G481" s="128">
        <v>13620</v>
      </c>
      <c r="H481" s="129" t="s">
        <v>150</v>
      </c>
      <c r="I481" s="124"/>
      <c r="J481" s="124" t="s">
        <v>156</v>
      </c>
    </row>
    <row r="482" spans="1:10" ht="26.25" x14ac:dyDescent="0.25">
      <c r="A482" s="124" t="s">
        <v>141</v>
      </c>
      <c r="B482" s="125" t="s">
        <v>121</v>
      </c>
      <c r="C482" s="126">
        <v>44562</v>
      </c>
      <c r="D482" s="124">
        <v>16</v>
      </c>
      <c r="E482" s="127" t="s">
        <v>47</v>
      </c>
      <c r="F482" s="74">
        <v>0</v>
      </c>
      <c r="G482" s="128">
        <v>0</v>
      </c>
      <c r="H482" s="129" t="s">
        <v>150</v>
      </c>
      <c r="I482" s="124"/>
      <c r="J482" s="124" t="s">
        <v>156</v>
      </c>
    </row>
    <row r="483" spans="1:10" ht="26.25" x14ac:dyDescent="0.25">
      <c r="A483" s="124" t="s">
        <v>141</v>
      </c>
      <c r="B483" s="125" t="s">
        <v>121</v>
      </c>
      <c r="C483" s="126">
        <v>44562</v>
      </c>
      <c r="D483" s="124">
        <v>20</v>
      </c>
      <c r="E483" s="127" t="s">
        <v>115</v>
      </c>
      <c r="F483" s="74">
        <v>0</v>
      </c>
      <c r="G483" s="128">
        <v>0</v>
      </c>
      <c r="H483" s="129" t="s">
        <v>150</v>
      </c>
      <c r="I483" s="124"/>
      <c r="J483" s="124" t="s">
        <v>156</v>
      </c>
    </row>
    <row r="484" spans="1:10" ht="26.25" x14ac:dyDescent="0.25">
      <c r="A484" s="124" t="s">
        <v>141</v>
      </c>
      <c r="B484" s="125" t="s">
        <v>121</v>
      </c>
      <c r="C484" s="126">
        <v>44562</v>
      </c>
      <c r="D484" s="124">
        <v>21</v>
      </c>
      <c r="E484" s="127" t="s">
        <v>116</v>
      </c>
      <c r="F484" s="74">
        <v>2</v>
      </c>
      <c r="G484" s="128">
        <v>19000</v>
      </c>
      <c r="H484" s="129" t="s">
        <v>150</v>
      </c>
      <c r="I484" s="124"/>
      <c r="J484" s="124" t="s">
        <v>156</v>
      </c>
    </row>
    <row r="485" spans="1:10" ht="26.25" x14ac:dyDescent="0.25">
      <c r="A485" s="124" t="s">
        <v>141</v>
      </c>
      <c r="B485" s="125" t="s">
        <v>121</v>
      </c>
      <c r="C485" s="126">
        <v>44562</v>
      </c>
      <c r="D485" s="124">
        <v>22</v>
      </c>
      <c r="E485" s="127" t="s">
        <v>117</v>
      </c>
      <c r="F485" s="74">
        <v>1</v>
      </c>
      <c r="G485" s="128">
        <v>10500</v>
      </c>
      <c r="H485" s="129" t="s">
        <v>150</v>
      </c>
      <c r="I485" s="124"/>
      <c r="J485" s="124" t="s">
        <v>156</v>
      </c>
    </row>
    <row r="486" spans="1:10" ht="15" x14ac:dyDescent="0.25">
      <c r="A486" s="125" t="s">
        <v>279</v>
      </c>
      <c r="B486" s="125" t="s">
        <v>121</v>
      </c>
      <c r="C486" s="126">
        <v>44593</v>
      </c>
      <c r="D486" s="124">
        <v>5</v>
      </c>
      <c r="E486" s="127" t="s">
        <v>279</v>
      </c>
      <c r="F486" s="74"/>
      <c r="G486" s="128"/>
      <c r="H486" s="129"/>
      <c r="I486" s="124"/>
      <c r="J486" s="124"/>
    </row>
    <row r="487" spans="1:10" ht="26.25" x14ac:dyDescent="0.25">
      <c r="A487" s="124" t="s">
        <v>141</v>
      </c>
      <c r="B487" s="125" t="s">
        <v>121</v>
      </c>
      <c r="C487" s="126">
        <v>44593</v>
      </c>
      <c r="D487" s="124">
        <v>7</v>
      </c>
      <c r="E487" s="127" t="s">
        <v>51</v>
      </c>
      <c r="F487" s="74">
        <v>0</v>
      </c>
      <c r="G487" s="128">
        <v>0</v>
      </c>
      <c r="H487" s="129" t="s">
        <v>150</v>
      </c>
      <c r="I487" s="124"/>
      <c r="J487" s="124" t="s">
        <v>156</v>
      </c>
    </row>
    <row r="488" spans="1:10" ht="26.25" x14ac:dyDescent="0.25">
      <c r="A488" s="124" t="s">
        <v>141</v>
      </c>
      <c r="B488" s="125" t="s">
        <v>121</v>
      </c>
      <c r="C488" s="126">
        <v>44593</v>
      </c>
      <c r="D488" s="124">
        <v>8</v>
      </c>
      <c r="E488" s="127" t="s">
        <v>52</v>
      </c>
      <c r="F488" s="74">
        <v>1</v>
      </c>
      <c r="G488" s="128">
        <v>4000</v>
      </c>
      <c r="H488" s="129" t="s">
        <v>150</v>
      </c>
      <c r="I488" s="124"/>
      <c r="J488" s="124" t="s">
        <v>156</v>
      </c>
    </row>
    <row r="489" spans="1:10" ht="26.25" x14ac:dyDescent="0.25">
      <c r="A489" s="124" t="s">
        <v>141</v>
      </c>
      <c r="B489" s="125" t="s">
        <v>121</v>
      </c>
      <c r="C489" s="126">
        <v>44593</v>
      </c>
      <c r="D489" s="124">
        <v>9</v>
      </c>
      <c r="E489" s="127" t="s">
        <v>40</v>
      </c>
      <c r="F489" s="74">
        <v>1</v>
      </c>
      <c r="G489" s="128">
        <v>4280</v>
      </c>
      <c r="H489" s="129" t="s">
        <v>150</v>
      </c>
      <c r="I489" s="124"/>
      <c r="J489" s="124" t="s">
        <v>156</v>
      </c>
    </row>
    <row r="490" spans="1:10" ht="26.25" x14ac:dyDescent="0.25">
      <c r="A490" s="124" t="s">
        <v>141</v>
      </c>
      <c r="B490" s="125" t="s">
        <v>121</v>
      </c>
      <c r="C490" s="126">
        <v>44593</v>
      </c>
      <c r="D490" s="124">
        <v>10</v>
      </c>
      <c r="E490" s="127" t="s">
        <v>41</v>
      </c>
      <c r="F490" s="74">
        <v>2</v>
      </c>
      <c r="G490" s="128">
        <v>9160</v>
      </c>
      <c r="H490" s="129" t="s">
        <v>150</v>
      </c>
      <c r="I490" s="124"/>
      <c r="J490" s="124" t="s">
        <v>156</v>
      </c>
    </row>
    <row r="491" spans="1:10" ht="26.25" x14ac:dyDescent="0.25">
      <c r="A491" s="124" t="s">
        <v>141</v>
      </c>
      <c r="B491" s="125" t="s">
        <v>121</v>
      </c>
      <c r="C491" s="126">
        <v>44593</v>
      </c>
      <c r="D491" s="124">
        <v>11</v>
      </c>
      <c r="E491" s="127" t="s">
        <v>42</v>
      </c>
      <c r="F491" s="74">
        <v>1</v>
      </c>
      <c r="G491" s="128">
        <v>5040</v>
      </c>
      <c r="H491" s="129" t="s">
        <v>150</v>
      </c>
      <c r="I491" s="124"/>
      <c r="J491" s="124" t="s">
        <v>156</v>
      </c>
    </row>
    <row r="492" spans="1:10" ht="26.25" x14ac:dyDescent="0.25">
      <c r="A492" s="124" t="s">
        <v>141</v>
      </c>
      <c r="B492" s="125" t="s">
        <v>121</v>
      </c>
      <c r="C492" s="126">
        <v>44593</v>
      </c>
      <c r="D492" s="124">
        <v>12</v>
      </c>
      <c r="E492" s="127" t="s">
        <v>43</v>
      </c>
      <c r="F492" s="74">
        <v>1</v>
      </c>
      <c r="G492" s="128">
        <v>5400</v>
      </c>
      <c r="H492" s="129" t="s">
        <v>150</v>
      </c>
      <c r="I492" s="124"/>
      <c r="J492" s="124" t="s">
        <v>156</v>
      </c>
    </row>
    <row r="493" spans="1:10" ht="26.25" x14ac:dyDescent="0.25">
      <c r="A493" s="124" t="s">
        <v>141</v>
      </c>
      <c r="B493" s="125" t="s">
        <v>121</v>
      </c>
      <c r="C493" s="126">
        <v>44593</v>
      </c>
      <c r="D493" s="124">
        <v>13</v>
      </c>
      <c r="E493" s="127" t="s">
        <v>44</v>
      </c>
      <c r="F493" s="74">
        <v>0</v>
      </c>
      <c r="G493" s="128">
        <v>0</v>
      </c>
      <c r="H493" s="129" t="s">
        <v>150</v>
      </c>
      <c r="I493" s="124"/>
      <c r="J493" s="124" t="s">
        <v>156</v>
      </c>
    </row>
    <row r="494" spans="1:10" ht="26.25" x14ac:dyDescent="0.25">
      <c r="A494" s="124" t="s">
        <v>141</v>
      </c>
      <c r="B494" s="125" t="s">
        <v>121</v>
      </c>
      <c r="C494" s="126">
        <v>44593</v>
      </c>
      <c r="D494" s="124">
        <v>14</v>
      </c>
      <c r="E494" s="127" t="s">
        <v>45</v>
      </c>
      <c r="F494" s="74">
        <v>0</v>
      </c>
      <c r="G494" s="128">
        <v>0</v>
      </c>
      <c r="H494" s="129" t="s">
        <v>150</v>
      </c>
      <c r="I494" s="124"/>
      <c r="J494" s="124" t="s">
        <v>156</v>
      </c>
    </row>
    <row r="495" spans="1:10" ht="26.25" x14ac:dyDescent="0.25">
      <c r="A495" s="124" t="s">
        <v>141</v>
      </c>
      <c r="B495" s="125" t="s">
        <v>121</v>
      </c>
      <c r="C495" s="126">
        <v>44593</v>
      </c>
      <c r="D495" s="124">
        <v>15</v>
      </c>
      <c r="E495" s="127" t="s">
        <v>46</v>
      </c>
      <c r="F495" s="74">
        <v>2</v>
      </c>
      <c r="G495" s="128">
        <v>13620</v>
      </c>
      <c r="H495" s="129" t="s">
        <v>150</v>
      </c>
      <c r="I495" s="124"/>
      <c r="J495" s="124" t="s">
        <v>156</v>
      </c>
    </row>
    <row r="496" spans="1:10" ht="26.25" x14ac:dyDescent="0.25">
      <c r="A496" s="124" t="s">
        <v>141</v>
      </c>
      <c r="B496" s="125" t="s">
        <v>121</v>
      </c>
      <c r="C496" s="126">
        <v>44593</v>
      </c>
      <c r="D496" s="124">
        <v>16</v>
      </c>
      <c r="E496" s="127" t="s">
        <v>47</v>
      </c>
      <c r="F496" s="74">
        <v>0</v>
      </c>
      <c r="G496" s="128">
        <v>0</v>
      </c>
      <c r="H496" s="129" t="s">
        <v>150</v>
      </c>
      <c r="I496" s="124"/>
      <c r="J496" s="124" t="s">
        <v>156</v>
      </c>
    </row>
    <row r="497" spans="1:10" ht="26.25" x14ac:dyDescent="0.25">
      <c r="A497" s="124" t="s">
        <v>141</v>
      </c>
      <c r="B497" s="125" t="s">
        <v>121</v>
      </c>
      <c r="C497" s="126">
        <v>44593</v>
      </c>
      <c r="D497" s="124">
        <v>20</v>
      </c>
      <c r="E497" s="127" t="s">
        <v>115</v>
      </c>
      <c r="F497" s="74">
        <v>0</v>
      </c>
      <c r="G497" s="128">
        <v>0</v>
      </c>
      <c r="H497" s="129" t="s">
        <v>150</v>
      </c>
      <c r="I497" s="124"/>
      <c r="J497" s="124" t="s">
        <v>156</v>
      </c>
    </row>
    <row r="498" spans="1:10" ht="26.25" x14ac:dyDescent="0.25">
      <c r="A498" s="124" t="s">
        <v>141</v>
      </c>
      <c r="B498" s="125" t="s">
        <v>121</v>
      </c>
      <c r="C498" s="126">
        <v>44593</v>
      </c>
      <c r="D498" s="124">
        <v>21</v>
      </c>
      <c r="E498" s="127" t="s">
        <v>116</v>
      </c>
      <c r="F498" s="74">
        <v>1</v>
      </c>
      <c r="G498" s="128">
        <v>9500</v>
      </c>
      <c r="H498" s="129" t="s">
        <v>150</v>
      </c>
      <c r="I498" s="124"/>
      <c r="J498" s="124" t="s">
        <v>156</v>
      </c>
    </row>
    <row r="499" spans="1:10" ht="26.25" x14ac:dyDescent="0.25">
      <c r="A499" s="124" t="s">
        <v>141</v>
      </c>
      <c r="B499" s="125" t="s">
        <v>121</v>
      </c>
      <c r="C499" s="126">
        <v>44593</v>
      </c>
      <c r="D499" s="124">
        <v>22</v>
      </c>
      <c r="E499" s="127" t="s">
        <v>117</v>
      </c>
      <c r="F499" s="74">
        <v>1</v>
      </c>
      <c r="G499" s="128">
        <v>10500</v>
      </c>
      <c r="H499" s="129" t="s">
        <v>150</v>
      </c>
      <c r="I499" s="124"/>
      <c r="J499" s="124" t="s">
        <v>156</v>
      </c>
    </row>
    <row r="500" spans="1:10" ht="15" x14ac:dyDescent="0.25">
      <c r="A500" s="125" t="s">
        <v>279</v>
      </c>
      <c r="B500" s="125" t="s">
        <v>121</v>
      </c>
      <c r="C500" s="126">
        <v>44621</v>
      </c>
      <c r="D500" s="124">
        <v>5</v>
      </c>
      <c r="E500" s="127" t="s">
        <v>279</v>
      </c>
      <c r="F500" s="74"/>
      <c r="G500" s="128"/>
      <c r="H500" s="129"/>
      <c r="I500" s="124"/>
      <c r="J500" s="124"/>
    </row>
    <row r="501" spans="1:10" ht="26.25" x14ac:dyDescent="0.25">
      <c r="A501" s="124" t="s">
        <v>141</v>
      </c>
      <c r="B501" s="125" t="s">
        <v>121</v>
      </c>
      <c r="C501" s="126">
        <v>44621</v>
      </c>
      <c r="D501" s="124">
        <v>7</v>
      </c>
      <c r="E501" s="127" t="s">
        <v>51</v>
      </c>
      <c r="F501" s="74">
        <v>0</v>
      </c>
      <c r="G501" s="128">
        <v>0</v>
      </c>
      <c r="H501" s="129" t="s">
        <v>150</v>
      </c>
      <c r="I501" s="124"/>
      <c r="J501" s="124" t="s">
        <v>156</v>
      </c>
    </row>
    <row r="502" spans="1:10" ht="26.25" x14ac:dyDescent="0.25">
      <c r="A502" s="124" t="s">
        <v>141</v>
      </c>
      <c r="B502" s="125" t="s">
        <v>121</v>
      </c>
      <c r="C502" s="126">
        <v>44621</v>
      </c>
      <c r="D502" s="124">
        <v>8</v>
      </c>
      <c r="E502" s="127" t="s">
        <v>52</v>
      </c>
      <c r="F502" s="74">
        <v>1</v>
      </c>
      <c r="G502" s="128">
        <v>4000</v>
      </c>
      <c r="H502" s="129" t="s">
        <v>150</v>
      </c>
      <c r="I502" s="124"/>
      <c r="J502" s="124" t="s">
        <v>156</v>
      </c>
    </row>
    <row r="503" spans="1:10" ht="26.25" x14ac:dyDescent="0.25">
      <c r="A503" s="124" t="s">
        <v>141</v>
      </c>
      <c r="B503" s="125" t="s">
        <v>121</v>
      </c>
      <c r="C503" s="126">
        <v>44621</v>
      </c>
      <c r="D503" s="124">
        <v>9</v>
      </c>
      <c r="E503" s="127" t="s">
        <v>40</v>
      </c>
      <c r="F503" s="74">
        <v>1</v>
      </c>
      <c r="G503" s="128">
        <v>4280</v>
      </c>
      <c r="H503" s="129" t="s">
        <v>150</v>
      </c>
      <c r="I503" s="124"/>
      <c r="J503" s="124" t="s">
        <v>156</v>
      </c>
    </row>
    <row r="504" spans="1:10" ht="26.25" x14ac:dyDescent="0.25">
      <c r="A504" s="124" t="s">
        <v>141</v>
      </c>
      <c r="B504" s="125" t="s">
        <v>121</v>
      </c>
      <c r="C504" s="126">
        <v>44621</v>
      </c>
      <c r="D504" s="124">
        <v>10</v>
      </c>
      <c r="E504" s="127" t="s">
        <v>41</v>
      </c>
      <c r="F504" s="74">
        <v>2</v>
      </c>
      <c r="G504" s="128">
        <v>9160</v>
      </c>
      <c r="H504" s="129" t="s">
        <v>150</v>
      </c>
      <c r="I504" s="124"/>
      <c r="J504" s="124" t="s">
        <v>156</v>
      </c>
    </row>
    <row r="505" spans="1:10" ht="26.25" x14ac:dyDescent="0.25">
      <c r="A505" s="124" t="s">
        <v>141</v>
      </c>
      <c r="B505" s="125" t="s">
        <v>121</v>
      </c>
      <c r="C505" s="126">
        <v>44621</v>
      </c>
      <c r="D505" s="124">
        <v>11</v>
      </c>
      <c r="E505" s="127" t="s">
        <v>42</v>
      </c>
      <c r="F505" s="74">
        <v>1</v>
      </c>
      <c r="G505" s="128">
        <v>5040</v>
      </c>
      <c r="H505" s="129" t="s">
        <v>150</v>
      </c>
      <c r="I505" s="124"/>
      <c r="J505" s="124" t="s">
        <v>156</v>
      </c>
    </row>
    <row r="506" spans="1:10" ht="26.25" x14ac:dyDescent="0.25">
      <c r="A506" s="124" t="s">
        <v>141</v>
      </c>
      <c r="B506" s="125" t="s">
        <v>121</v>
      </c>
      <c r="C506" s="126">
        <v>44621</v>
      </c>
      <c r="D506" s="124">
        <v>12</v>
      </c>
      <c r="E506" s="127" t="s">
        <v>43</v>
      </c>
      <c r="F506" s="74">
        <v>1</v>
      </c>
      <c r="G506" s="128">
        <v>5400</v>
      </c>
      <c r="H506" s="129" t="s">
        <v>150</v>
      </c>
      <c r="I506" s="124"/>
      <c r="J506" s="124" t="s">
        <v>156</v>
      </c>
    </row>
    <row r="507" spans="1:10" ht="26.25" x14ac:dyDescent="0.25">
      <c r="A507" s="124" t="s">
        <v>141</v>
      </c>
      <c r="B507" s="125" t="s">
        <v>121</v>
      </c>
      <c r="C507" s="126">
        <v>44621</v>
      </c>
      <c r="D507" s="124">
        <v>13</v>
      </c>
      <c r="E507" s="127" t="s">
        <v>44</v>
      </c>
      <c r="F507" s="74">
        <v>0</v>
      </c>
      <c r="G507" s="128">
        <v>0</v>
      </c>
      <c r="H507" s="129" t="s">
        <v>150</v>
      </c>
      <c r="I507" s="124"/>
      <c r="J507" s="124" t="s">
        <v>156</v>
      </c>
    </row>
    <row r="508" spans="1:10" ht="26.25" x14ac:dyDescent="0.25">
      <c r="A508" s="124" t="s">
        <v>141</v>
      </c>
      <c r="B508" s="125" t="s">
        <v>121</v>
      </c>
      <c r="C508" s="126">
        <v>44621</v>
      </c>
      <c r="D508" s="124">
        <v>14</v>
      </c>
      <c r="E508" s="127" t="s">
        <v>45</v>
      </c>
      <c r="F508" s="74">
        <v>0</v>
      </c>
      <c r="G508" s="128">
        <v>0</v>
      </c>
      <c r="H508" s="129" t="s">
        <v>150</v>
      </c>
      <c r="I508" s="124"/>
      <c r="J508" s="124" t="s">
        <v>156</v>
      </c>
    </row>
    <row r="509" spans="1:10" ht="26.25" x14ac:dyDescent="0.25">
      <c r="A509" s="124" t="s">
        <v>141</v>
      </c>
      <c r="B509" s="125" t="s">
        <v>121</v>
      </c>
      <c r="C509" s="126">
        <v>44621</v>
      </c>
      <c r="D509" s="124">
        <v>15</v>
      </c>
      <c r="E509" s="127" t="s">
        <v>46</v>
      </c>
      <c r="F509" s="74">
        <v>2</v>
      </c>
      <c r="G509" s="128">
        <v>13620</v>
      </c>
      <c r="H509" s="129" t="s">
        <v>150</v>
      </c>
      <c r="I509" s="124"/>
      <c r="J509" s="124" t="s">
        <v>156</v>
      </c>
    </row>
    <row r="510" spans="1:10" ht="26.25" x14ac:dyDescent="0.25">
      <c r="A510" s="124" t="s">
        <v>141</v>
      </c>
      <c r="B510" s="125" t="s">
        <v>121</v>
      </c>
      <c r="C510" s="126">
        <v>44621</v>
      </c>
      <c r="D510" s="124">
        <v>16</v>
      </c>
      <c r="E510" s="127" t="s">
        <v>47</v>
      </c>
      <c r="F510" s="74">
        <v>0</v>
      </c>
      <c r="G510" s="128">
        <v>0</v>
      </c>
      <c r="H510" s="129" t="s">
        <v>150</v>
      </c>
      <c r="I510" s="124"/>
      <c r="J510" s="124" t="s">
        <v>156</v>
      </c>
    </row>
    <row r="511" spans="1:10" ht="26.25" x14ac:dyDescent="0.25">
      <c r="A511" s="124" t="s">
        <v>141</v>
      </c>
      <c r="B511" s="125" t="s">
        <v>121</v>
      </c>
      <c r="C511" s="126">
        <v>44621</v>
      </c>
      <c r="D511" s="124">
        <v>20</v>
      </c>
      <c r="E511" s="127" t="s">
        <v>115</v>
      </c>
      <c r="F511" s="74">
        <v>0</v>
      </c>
      <c r="G511" s="128">
        <v>0</v>
      </c>
      <c r="H511" s="129" t="s">
        <v>150</v>
      </c>
      <c r="I511" s="124"/>
      <c r="J511" s="124" t="s">
        <v>156</v>
      </c>
    </row>
    <row r="512" spans="1:10" ht="26.25" x14ac:dyDescent="0.25">
      <c r="A512" s="124" t="s">
        <v>141</v>
      </c>
      <c r="B512" s="125" t="s">
        <v>121</v>
      </c>
      <c r="C512" s="126">
        <v>44621</v>
      </c>
      <c r="D512" s="124">
        <v>21</v>
      </c>
      <c r="E512" s="127" t="s">
        <v>116</v>
      </c>
      <c r="F512" s="74">
        <v>1</v>
      </c>
      <c r="G512" s="128">
        <v>9500</v>
      </c>
      <c r="H512" s="129" t="s">
        <v>150</v>
      </c>
      <c r="I512" s="124"/>
      <c r="J512" s="124" t="s">
        <v>156</v>
      </c>
    </row>
    <row r="513" spans="1:10" ht="26.25" x14ac:dyDescent="0.25">
      <c r="A513" s="124" t="s">
        <v>141</v>
      </c>
      <c r="B513" s="125" t="s">
        <v>121</v>
      </c>
      <c r="C513" s="126">
        <v>44621</v>
      </c>
      <c r="D513" s="124">
        <v>22</v>
      </c>
      <c r="E513" s="127" t="s">
        <v>117</v>
      </c>
      <c r="F513" s="74">
        <v>1</v>
      </c>
      <c r="G513" s="128">
        <v>10500</v>
      </c>
      <c r="H513" s="129" t="s">
        <v>150</v>
      </c>
      <c r="I513" s="124"/>
      <c r="J513" s="124" t="s">
        <v>156</v>
      </c>
    </row>
    <row r="514" spans="1:10" ht="15" x14ac:dyDescent="0.25">
      <c r="A514" s="125" t="s">
        <v>279</v>
      </c>
      <c r="B514" s="125" t="s">
        <v>121</v>
      </c>
      <c r="C514" s="126">
        <v>44652</v>
      </c>
      <c r="D514" s="124">
        <v>5</v>
      </c>
      <c r="E514" s="127" t="s">
        <v>279</v>
      </c>
      <c r="F514" s="74"/>
      <c r="G514" s="128"/>
      <c r="H514" s="129"/>
      <c r="I514" s="124"/>
      <c r="J514" s="124"/>
    </row>
    <row r="515" spans="1:10" ht="26.25" x14ac:dyDescent="0.25">
      <c r="A515" s="124" t="s">
        <v>141</v>
      </c>
      <c r="B515" s="125" t="s">
        <v>121</v>
      </c>
      <c r="C515" s="126">
        <v>44652</v>
      </c>
      <c r="D515" s="124">
        <v>7</v>
      </c>
      <c r="E515" s="127" t="s">
        <v>51</v>
      </c>
      <c r="F515" s="74">
        <v>0</v>
      </c>
      <c r="G515" s="128">
        <v>0</v>
      </c>
      <c r="H515" s="129" t="s">
        <v>150</v>
      </c>
      <c r="I515" s="124"/>
      <c r="J515" s="124" t="s">
        <v>156</v>
      </c>
    </row>
    <row r="516" spans="1:10" ht="26.25" x14ac:dyDescent="0.25">
      <c r="A516" s="124" t="s">
        <v>141</v>
      </c>
      <c r="B516" s="125" t="s">
        <v>121</v>
      </c>
      <c r="C516" s="126">
        <v>44652</v>
      </c>
      <c r="D516" s="124">
        <v>8</v>
      </c>
      <c r="E516" s="127" t="s">
        <v>52</v>
      </c>
      <c r="F516" s="74">
        <v>0</v>
      </c>
      <c r="G516" s="128">
        <v>0</v>
      </c>
      <c r="H516" s="129" t="s">
        <v>150</v>
      </c>
      <c r="I516" s="124"/>
      <c r="J516" s="124" t="s">
        <v>156</v>
      </c>
    </row>
    <row r="517" spans="1:10" ht="26.25" x14ac:dyDescent="0.25">
      <c r="A517" s="124" t="s">
        <v>141</v>
      </c>
      <c r="B517" s="125" t="s">
        <v>121</v>
      </c>
      <c r="C517" s="126">
        <v>44652</v>
      </c>
      <c r="D517" s="124">
        <v>9</v>
      </c>
      <c r="E517" s="127" t="s">
        <v>40</v>
      </c>
      <c r="F517" s="74">
        <v>0</v>
      </c>
      <c r="G517" s="128">
        <v>0</v>
      </c>
      <c r="H517" s="129" t="s">
        <v>150</v>
      </c>
      <c r="I517" s="124"/>
      <c r="J517" s="124" t="s">
        <v>156</v>
      </c>
    </row>
    <row r="518" spans="1:10" ht="26.25" x14ac:dyDescent="0.25">
      <c r="A518" s="124" t="s">
        <v>141</v>
      </c>
      <c r="B518" s="125" t="s">
        <v>121</v>
      </c>
      <c r="C518" s="126">
        <v>44652</v>
      </c>
      <c r="D518" s="124">
        <v>10</v>
      </c>
      <c r="E518" s="127" t="s">
        <v>41</v>
      </c>
      <c r="F518" s="74">
        <v>2</v>
      </c>
      <c r="G518" s="128">
        <v>9160</v>
      </c>
      <c r="H518" s="129" t="s">
        <v>150</v>
      </c>
      <c r="I518" s="124"/>
      <c r="J518" s="124" t="s">
        <v>156</v>
      </c>
    </row>
    <row r="519" spans="1:10" ht="26.25" x14ac:dyDescent="0.25">
      <c r="A519" s="124" t="s">
        <v>141</v>
      </c>
      <c r="B519" s="125" t="s">
        <v>121</v>
      </c>
      <c r="C519" s="126">
        <v>44652</v>
      </c>
      <c r="D519" s="124">
        <v>11</v>
      </c>
      <c r="E519" s="127" t="s">
        <v>42</v>
      </c>
      <c r="F519" s="74">
        <v>1</v>
      </c>
      <c r="G519" s="128">
        <v>5040</v>
      </c>
      <c r="H519" s="129" t="s">
        <v>150</v>
      </c>
      <c r="I519" s="124"/>
      <c r="J519" s="124" t="s">
        <v>156</v>
      </c>
    </row>
    <row r="520" spans="1:10" ht="26.25" x14ac:dyDescent="0.25">
      <c r="A520" s="124" t="s">
        <v>141</v>
      </c>
      <c r="B520" s="125" t="s">
        <v>121</v>
      </c>
      <c r="C520" s="126">
        <v>44652</v>
      </c>
      <c r="D520" s="124">
        <v>12</v>
      </c>
      <c r="E520" s="127" t="s">
        <v>43</v>
      </c>
      <c r="F520" s="74">
        <v>2</v>
      </c>
      <c r="G520" s="128">
        <v>10800</v>
      </c>
      <c r="H520" s="129" t="s">
        <v>150</v>
      </c>
      <c r="I520" s="124"/>
      <c r="J520" s="124" t="s">
        <v>156</v>
      </c>
    </row>
    <row r="521" spans="1:10" ht="26.25" x14ac:dyDescent="0.25">
      <c r="A521" s="124" t="s">
        <v>141</v>
      </c>
      <c r="B521" s="125" t="s">
        <v>121</v>
      </c>
      <c r="C521" s="126">
        <v>44652</v>
      </c>
      <c r="D521" s="124">
        <v>13</v>
      </c>
      <c r="E521" s="127" t="s">
        <v>44</v>
      </c>
      <c r="F521" s="74">
        <v>0</v>
      </c>
      <c r="G521" s="128">
        <v>0</v>
      </c>
      <c r="H521" s="129" t="s">
        <v>150</v>
      </c>
      <c r="I521" s="124"/>
      <c r="J521" s="124" t="s">
        <v>156</v>
      </c>
    </row>
    <row r="522" spans="1:10" ht="26.25" x14ac:dyDescent="0.25">
      <c r="A522" s="124" t="s">
        <v>141</v>
      </c>
      <c r="B522" s="125" t="s">
        <v>121</v>
      </c>
      <c r="C522" s="126">
        <v>44652</v>
      </c>
      <c r="D522" s="124">
        <v>14</v>
      </c>
      <c r="E522" s="127" t="s">
        <v>45</v>
      </c>
      <c r="F522" s="74">
        <v>1</v>
      </c>
      <c r="G522" s="128">
        <v>6360</v>
      </c>
      <c r="H522" s="129" t="s">
        <v>150</v>
      </c>
      <c r="I522" s="124"/>
      <c r="J522" s="124" t="s">
        <v>156</v>
      </c>
    </row>
    <row r="523" spans="1:10" ht="26.25" x14ac:dyDescent="0.25">
      <c r="A523" s="124" t="s">
        <v>141</v>
      </c>
      <c r="B523" s="125" t="s">
        <v>121</v>
      </c>
      <c r="C523" s="126">
        <v>44652</v>
      </c>
      <c r="D523" s="124">
        <v>15</v>
      </c>
      <c r="E523" s="127" t="s">
        <v>46</v>
      </c>
      <c r="F523" s="74">
        <v>2</v>
      </c>
      <c r="G523" s="128">
        <v>13620</v>
      </c>
      <c r="H523" s="129" t="s">
        <v>150</v>
      </c>
      <c r="I523" s="124"/>
      <c r="J523" s="124" t="s">
        <v>156</v>
      </c>
    </row>
    <row r="524" spans="1:10" ht="26.25" x14ac:dyDescent="0.25">
      <c r="A524" s="124" t="s">
        <v>141</v>
      </c>
      <c r="B524" s="125" t="s">
        <v>121</v>
      </c>
      <c r="C524" s="126">
        <v>44652</v>
      </c>
      <c r="D524" s="124">
        <v>16</v>
      </c>
      <c r="E524" s="127" t="s">
        <v>47</v>
      </c>
      <c r="F524" s="74">
        <v>0</v>
      </c>
      <c r="G524" s="128">
        <v>0</v>
      </c>
      <c r="H524" s="129" t="s">
        <v>150</v>
      </c>
      <c r="I524" s="124"/>
      <c r="J524" s="124" t="s">
        <v>156</v>
      </c>
    </row>
    <row r="525" spans="1:10" ht="26.25" x14ac:dyDescent="0.25">
      <c r="A525" s="124" t="s">
        <v>141</v>
      </c>
      <c r="B525" s="125" t="s">
        <v>121</v>
      </c>
      <c r="C525" s="126">
        <v>44652</v>
      </c>
      <c r="D525" s="124">
        <v>20</v>
      </c>
      <c r="E525" s="127" t="s">
        <v>115</v>
      </c>
      <c r="F525" s="74">
        <v>0</v>
      </c>
      <c r="G525" s="128">
        <v>0</v>
      </c>
      <c r="H525" s="129" t="s">
        <v>150</v>
      </c>
      <c r="I525" s="124"/>
      <c r="J525" s="124" t="s">
        <v>156</v>
      </c>
    </row>
    <row r="526" spans="1:10" ht="26.25" x14ac:dyDescent="0.25">
      <c r="A526" s="124" t="s">
        <v>141</v>
      </c>
      <c r="B526" s="125" t="s">
        <v>121</v>
      </c>
      <c r="C526" s="126">
        <v>44652</v>
      </c>
      <c r="D526" s="124">
        <v>21</v>
      </c>
      <c r="E526" s="127" t="s">
        <v>116</v>
      </c>
      <c r="F526" s="74">
        <v>1</v>
      </c>
      <c r="G526" s="128">
        <v>9500</v>
      </c>
      <c r="H526" s="129" t="s">
        <v>150</v>
      </c>
      <c r="I526" s="124"/>
      <c r="J526" s="124" t="s">
        <v>156</v>
      </c>
    </row>
    <row r="527" spans="1:10" ht="26.25" x14ac:dyDescent="0.25">
      <c r="A527" s="124" t="s">
        <v>141</v>
      </c>
      <c r="B527" s="125" t="s">
        <v>121</v>
      </c>
      <c r="C527" s="126">
        <v>44652</v>
      </c>
      <c r="D527" s="124">
        <v>22</v>
      </c>
      <c r="E527" s="127" t="s">
        <v>117</v>
      </c>
      <c r="F527" s="74">
        <v>1</v>
      </c>
      <c r="G527" s="128">
        <v>10500</v>
      </c>
      <c r="H527" s="129" t="s">
        <v>150</v>
      </c>
      <c r="I527" s="124"/>
      <c r="J527" s="124" t="s">
        <v>156</v>
      </c>
    </row>
    <row r="528" spans="1:10" ht="15" x14ac:dyDescent="0.25">
      <c r="A528" s="125" t="s">
        <v>279</v>
      </c>
      <c r="B528" s="125" t="s">
        <v>121</v>
      </c>
      <c r="C528" s="126">
        <v>44682</v>
      </c>
      <c r="D528" s="124">
        <v>5</v>
      </c>
      <c r="E528" s="127" t="s">
        <v>279</v>
      </c>
      <c r="F528" s="74"/>
      <c r="G528" s="128"/>
      <c r="H528" s="129"/>
      <c r="I528" s="124"/>
      <c r="J528" s="124"/>
    </row>
    <row r="529" spans="1:10" ht="26.25" x14ac:dyDescent="0.25">
      <c r="A529" s="124" t="s">
        <v>141</v>
      </c>
      <c r="B529" s="125" t="s">
        <v>121</v>
      </c>
      <c r="C529" s="126">
        <v>44682</v>
      </c>
      <c r="D529" s="124">
        <v>7</v>
      </c>
      <c r="E529" s="127" t="s">
        <v>51</v>
      </c>
      <c r="F529" s="74">
        <v>0</v>
      </c>
      <c r="G529" s="128">
        <v>0</v>
      </c>
      <c r="H529" s="129" t="s">
        <v>150</v>
      </c>
      <c r="I529" s="124"/>
      <c r="J529" s="124" t="s">
        <v>156</v>
      </c>
    </row>
    <row r="530" spans="1:10" ht="26.25" x14ac:dyDescent="0.25">
      <c r="A530" s="124" t="s">
        <v>141</v>
      </c>
      <c r="B530" s="125" t="s">
        <v>121</v>
      </c>
      <c r="C530" s="126">
        <v>44682</v>
      </c>
      <c r="D530" s="124">
        <v>8</v>
      </c>
      <c r="E530" s="127" t="s">
        <v>52</v>
      </c>
      <c r="F530" s="74">
        <v>0</v>
      </c>
      <c r="G530" s="128">
        <v>0</v>
      </c>
      <c r="H530" s="129" t="s">
        <v>150</v>
      </c>
      <c r="I530" s="124"/>
      <c r="J530" s="124" t="s">
        <v>156</v>
      </c>
    </row>
    <row r="531" spans="1:10" ht="26.25" x14ac:dyDescent="0.25">
      <c r="A531" s="124" t="s">
        <v>141</v>
      </c>
      <c r="B531" s="125" t="s">
        <v>121</v>
      </c>
      <c r="C531" s="126">
        <v>44682</v>
      </c>
      <c r="D531" s="124">
        <v>9</v>
      </c>
      <c r="E531" s="127" t="s">
        <v>40</v>
      </c>
      <c r="F531" s="74">
        <v>0</v>
      </c>
      <c r="G531" s="128">
        <v>0</v>
      </c>
      <c r="H531" s="129" t="s">
        <v>150</v>
      </c>
      <c r="I531" s="124"/>
      <c r="J531" s="124" t="s">
        <v>156</v>
      </c>
    </row>
    <row r="532" spans="1:10" ht="26.25" x14ac:dyDescent="0.25">
      <c r="A532" s="124" t="s">
        <v>141</v>
      </c>
      <c r="B532" s="125" t="s">
        <v>121</v>
      </c>
      <c r="C532" s="126">
        <v>44682</v>
      </c>
      <c r="D532" s="124">
        <v>10</v>
      </c>
      <c r="E532" s="127" t="s">
        <v>41</v>
      </c>
      <c r="F532" s="74">
        <v>2</v>
      </c>
      <c r="G532" s="128">
        <v>9160</v>
      </c>
      <c r="H532" s="129" t="s">
        <v>150</v>
      </c>
      <c r="I532" s="124"/>
      <c r="J532" s="124" t="s">
        <v>156</v>
      </c>
    </row>
    <row r="533" spans="1:10" ht="26.25" x14ac:dyDescent="0.25">
      <c r="A533" s="124" t="s">
        <v>141</v>
      </c>
      <c r="B533" s="125" t="s">
        <v>121</v>
      </c>
      <c r="C533" s="126">
        <v>44682</v>
      </c>
      <c r="D533" s="124">
        <v>11</v>
      </c>
      <c r="E533" s="127" t="s">
        <v>42</v>
      </c>
      <c r="F533" s="74">
        <v>1</v>
      </c>
      <c r="G533" s="128">
        <v>5040</v>
      </c>
      <c r="H533" s="129" t="s">
        <v>150</v>
      </c>
      <c r="I533" s="124"/>
      <c r="J533" s="124" t="s">
        <v>156</v>
      </c>
    </row>
    <row r="534" spans="1:10" ht="26.25" x14ac:dyDescent="0.25">
      <c r="A534" s="124" t="s">
        <v>141</v>
      </c>
      <c r="B534" s="125" t="s">
        <v>121</v>
      </c>
      <c r="C534" s="126">
        <v>44682</v>
      </c>
      <c r="D534" s="124">
        <v>12</v>
      </c>
      <c r="E534" s="127" t="s">
        <v>43</v>
      </c>
      <c r="F534" s="74">
        <v>2</v>
      </c>
      <c r="G534" s="128">
        <v>10800</v>
      </c>
      <c r="H534" s="129" t="s">
        <v>150</v>
      </c>
      <c r="I534" s="124"/>
      <c r="J534" s="124" t="s">
        <v>156</v>
      </c>
    </row>
    <row r="535" spans="1:10" ht="26.25" x14ac:dyDescent="0.25">
      <c r="A535" s="124" t="s">
        <v>141</v>
      </c>
      <c r="B535" s="125" t="s">
        <v>121</v>
      </c>
      <c r="C535" s="126">
        <v>44682</v>
      </c>
      <c r="D535" s="124">
        <v>13</v>
      </c>
      <c r="E535" s="127" t="s">
        <v>44</v>
      </c>
      <c r="F535" s="74">
        <v>0</v>
      </c>
      <c r="G535" s="128">
        <v>0</v>
      </c>
      <c r="H535" s="129" t="s">
        <v>150</v>
      </c>
      <c r="I535" s="124"/>
      <c r="J535" s="124" t="s">
        <v>156</v>
      </c>
    </row>
    <row r="536" spans="1:10" ht="26.25" x14ac:dyDescent="0.25">
      <c r="A536" s="124" t="s">
        <v>141</v>
      </c>
      <c r="B536" s="125" t="s">
        <v>121</v>
      </c>
      <c r="C536" s="126">
        <v>44682</v>
      </c>
      <c r="D536" s="124">
        <v>14</v>
      </c>
      <c r="E536" s="127" t="s">
        <v>45</v>
      </c>
      <c r="F536" s="74">
        <v>1</v>
      </c>
      <c r="G536" s="128">
        <v>6360</v>
      </c>
      <c r="H536" s="129" t="s">
        <v>150</v>
      </c>
      <c r="I536" s="124"/>
      <c r="J536" s="124" t="s">
        <v>156</v>
      </c>
    </row>
    <row r="537" spans="1:10" ht="26.25" x14ac:dyDescent="0.25">
      <c r="A537" s="124" t="s">
        <v>141</v>
      </c>
      <c r="B537" s="125" t="s">
        <v>121</v>
      </c>
      <c r="C537" s="126">
        <v>44682</v>
      </c>
      <c r="D537" s="124">
        <v>15</v>
      </c>
      <c r="E537" s="127" t="s">
        <v>46</v>
      </c>
      <c r="F537" s="74">
        <v>2</v>
      </c>
      <c r="G537" s="128">
        <v>13620</v>
      </c>
      <c r="H537" s="129" t="s">
        <v>150</v>
      </c>
      <c r="I537" s="124"/>
      <c r="J537" s="124" t="s">
        <v>156</v>
      </c>
    </row>
    <row r="538" spans="1:10" ht="26.25" x14ac:dyDescent="0.25">
      <c r="A538" s="124" t="s">
        <v>141</v>
      </c>
      <c r="B538" s="125" t="s">
        <v>121</v>
      </c>
      <c r="C538" s="126">
        <v>44682</v>
      </c>
      <c r="D538" s="124">
        <v>16</v>
      </c>
      <c r="E538" s="127" t="s">
        <v>47</v>
      </c>
      <c r="F538" s="74">
        <v>0</v>
      </c>
      <c r="G538" s="128">
        <v>0</v>
      </c>
      <c r="H538" s="129" t="s">
        <v>150</v>
      </c>
      <c r="I538" s="124"/>
      <c r="J538" s="124" t="s">
        <v>156</v>
      </c>
    </row>
    <row r="539" spans="1:10" ht="26.25" x14ac:dyDescent="0.25">
      <c r="A539" s="124" t="s">
        <v>141</v>
      </c>
      <c r="B539" s="125" t="s">
        <v>121</v>
      </c>
      <c r="C539" s="126">
        <v>44682</v>
      </c>
      <c r="D539" s="124">
        <v>20</v>
      </c>
      <c r="E539" s="127" t="s">
        <v>115</v>
      </c>
      <c r="F539" s="74">
        <v>0</v>
      </c>
      <c r="G539" s="128">
        <v>0</v>
      </c>
      <c r="H539" s="129" t="s">
        <v>150</v>
      </c>
      <c r="I539" s="124"/>
      <c r="J539" s="124" t="s">
        <v>156</v>
      </c>
    </row>
    <row r="540" spans="1:10" ht="26.25" x14ac:dyDescent="0.25">
      <c r="A540" s="124" t="s">
        <v>141</v>
      </c>
      <c r="B540" s="125" t="s">
        <v>121</v>
      </c>
      <c r="C540" s="126">
        <v>44682</v>
      </c>
      <c r="D540" s="124">
        <v>21</v>
      </c>
      <c r="E540" s="127" t="s">
        <v>116</v>
      </c>
      <c r="F540" s="74">
        <v>1</v>
      </c>
      <c r="G540" s="128">
        <v>9500</v>
      </c>
      <c r="H540" s="129" t="s">
        <v>150</v>
      </c>
      <c r="I540" s="124"/>
      <c r="J540" s="124" t="s">
        <v>156</v>
      </c>
    </row>
    <row r="541" spans="1:10" ht="26.25" x14ac:dyDescent="0.25">
      <c r="A541" s="124" t="s">
        <v>141</v>
      </c>
      <c r="B541" s="125" t="s">
        <v>121</v>
      </c>
      <c r="C541" s="126">
        <v>44682</v>
      </c>
      <c r="D541" s="124">
        <v>22</v>
      </c>
      <c r="E541" s="127" t="s">
        <v>117</v>
      </c>
      <c r="F541" s="74">
        <v>1</v>
      </c>
      <c r="G541" s="128">
        <v>10500</v>
      </c>
      <c r="H541" s="129" t="s">
        <v>150</v>
      </c>
      <c r="I541" s="124"/>
      <c r="J541" s="124" t="s">
        <v>156</v>
      </c>
    </row>
    <row r="542" spans="1:10" ht="15" x14ac:dyDescent="0.25">
      <c r="A542" s="125" t="s">
        <v>279</v>
      </c>
      <c r="B542" s="125" t="s">
        <v>121</v>
      </c>
      <c r="C542" s="126">
        <v>44713</v>
      </c>
      <c r="D542" s="124">
        <v>5</v>
      </c>
      <c r="E542" s="127" t="s">
        <v>279</v>
      </c>
      <c r="F542" s="74"/>
      <c r="G542" s="128"/>
      <c r="H542" s="129"/>
      <c r="I542" s="124"/>
      <c r="J542" s="124"/>
    </row>
    <row r="543" spans="1:10" ht="26.25" x14ac:dyDescent="0.25">
      <c r="A543" s="124" t="s">
        <v>141</v>
      </c>
      <c r="B543" s="125" t="s">
        <v>121</v>
      </c>
      <c r="C543" s="126">
        <v>44713</v>
      </c>
      <c r="D543" s="124">
        <v>7</v>
      </c>
      <c r="E543" s="127" t="s">
        <v>51</v>
      </c>
      <c r="F543" s="74">
        <v>0</v>
      </c>
      <c r="G543" s="128">
        <v>0</v>
      </c>
      <c r="H543" s="129" t="s">
        <v>150</v>
      </c>
      <c r="I543" s="124"/>
      <c r="J543" s="124" t="s">
        <v>156</v>
      </c>
    </row>
    <row r="544" spans="1:10" ht="26.25" x14ac:dyDescent="0.25">
      <c r="A544" s="124" t="s">
        <v>141</v>
      </c>
      <c r="B544" s="125" t="s">
        <v>121</v>
      </c>
      <c r="C544" s="126">
        <v>44713</v>
      </c>
      <c r="D544" s="124">
        <v>8</v>
      </c>
      <c r="E544" s="127" t="s">
        <v>52</v>
      </c>
      <c r="F544" s="74">
        <v>0</v>
      </c>
      <c r="G544" s="128">
        <v>0</v>
      </c>
      <c r="H544" s="129" t="s">
        <v>150</v>
      </c>
      <c r="I544" s="124"/>
      <c r="J544" s="124" t="s">
        <v>156</v>
      </c>
    </row>
    <row r="545" spans="1:10" ht="26.25" x14ac:dyDescent="0.25">
      <c r="A545" s="124" t="s">
        <v>141</v>
      </c>
      <c r="B545" s="125" t="s">
        <v>121</v>
      </c>
      <c r="C545" s="126">
        <v>44713</v>
      </c>
      <c r="D545" s="124">
        <v>9</v>
      </c>
      <c r="E545" s="127" t="s">
        <v>40</v>
      </c>
      <c r="F545" s="74">
        <v>0</v>
      </c>
      <c r="G545" s="128">
        <v>0</v>
      </c>
      <c r="H545" s="129" t="s">
        <v>150</v>
      </c>
      <c r="I545" s="124"/>
      <c r="J545" s="124" t="s">
        <v>156</v>
      </c>
    </row>
    <row r="546" spans="1:10" ht="26.25" x14ac:dyDescent="0.25">
      <c r="A546" s="124" t="s">
        <v>141</v>
      </c>
      <c r="B546" s="125" t="s">
        <v>121</v>
      </c>
      <c r="C546" s="126">
        <v>44713</v>
      </c>
      <c r="D546" s="124">
        <v>10</v>
      </c>
      <c r="E546" s="127" t="s">
        <v>41</v>
      </c>
      <c r="F546" s="74">
        <v>2</v>
      </c>
      <c r="G546" s="128">
        <v>9160</v>
      </c>
      <c r="H546" s="129" t="s">
        <v>150</v>
      </c>
      <c r="I546" s="124"/>
      <c r="J546" s="124" t="s">
        <v>156</v>
      </c>
    </row>
    <row r="547" spans="1:10" ht="26.25" x14ac:dyDescent="0.25">
      <c r="A547" s="124" t="s">
        <v>141</v>
      </c>
      <c r="B547" s="125" t="s">
        <v>121</v>
      </c>
      <c r="C547" s="126">
        <v>44713</v>
      </c>
      <c r="D547" s="124">
        <v>11</v>
      </c>
      <c r="E547" s="127" t="s">
        <v>42</v>
      </c>
      <c r="F547" s="74">
        <v>1</v>
      </c>
      <c r="G547" s="128">
        <v>5040</v>
      </c>
      <c r="H547" s="129" t="s">
        <v>150</v>
      </c>
      <c r="I547" s="124"/>
      <c r="J547" s="124" t="s">
        <v>156</v>
      </c>
    </row>
    <row r="548" spans="1:10" ht="26.25" x14ac:dyDescent="0.25">
      <c r="A548" s="124" t="s">
        <v>141</v>
      </c>
      <c r="B548" s="125" t="s">
        <v>121</v>
      </c>
      <c r="C548" s="126">
        <v>44713</v>
      </c>
      <c r="D548" s="124">
        <v>12</v>
      </c>
      <c r="E548" s="127" t="s">
        <v>43</v>
      </c>
      <c r="F548" s="74">
        <v>2</v>
      </c>
      <c r="G548" s="128">
        <v>10800</v>
      </c>
      <c r="H548" s="129" t="s">
        <v>150</v>
      </c>
      <c r="I548" s="124"/>
      <c r="J548" s="124" t="s">
        <v>156</v>
      </c>
    </row>
    <row r="549" spans="1:10" ht="26.25" x14ac:dyDescent="0.25">
      <c r="A549" s="124" t="s">
        <v>141</v>
      </c>
      <c r="B549" s="125" t="s">
        <v>121</v>
      </c>
      <c r="C549" s="126">
        <v>44713</v>
      </c>
      <c r="D549" s="124">
        <v>13</v>
      </c>
      <c r="E549" s="127" t="s">
        <v>44</v>
      </c>
      <c r="F549" s="74">
        <v>0</v>
      </c>
      <c r="G549" s="128">
        <v>0</v>
      </c>
      <c r="H549" s="129" t="s">
        <v>150</v>
      </c>
      <c r="I549" s="124"/>
      <c r="J549" s="124" t="s">
        <v>156</v>
      </c>
    </row>
    <row r="550" spans="1:10" ht="26.25" x14ac:dyDescent="0.25">
      <c r="A550" s="124" t="s">
        <v>141</v>
      </c>
      <c r="B550" s="125" t="s">
        <v>121</v>
      </c>
      <c r="C550" s="126">
        <v>44713</v>
      </c>
      <c r="D550" s="124">
        <v>14</v>
      </c>
      <c r="E550" s="127" t="s">
        <v>45</v>
      </c>
      <c r="F550" s="74">
        <v>1</v>
      </c>
      <c r="G550" s="128">
        <v>6360</v>
      </c>
      <c r="H550" s="129" t="s">
        <v>150</v>
      </c>
      <c r="I550" s="124"/>
      <c r="J550" s="124" t="s">
        <v>156</v>
      </c>
    </row>
    <row r="551" spans="1:10" ht="26.25" x14ac:dyDescent="0.25">
      <c r="A551" s="124" t="s">
        <v>141</v>
      </c>
      <c r="B551" s="125" t="s">
        <v>121</v>
      </c>
      <c r="C551" s="126">
        <v>44713</v>
      </c>
      <c r="D551" s="124">
        <v>15</v>
      </c>
      <c r="E551" s="127" t="s">
        <v>46</v>
      </c>
      <c r="F551" s="74">
        <v>2</v>
      </c>
      <c r="G551" s="128">
        <v>13620</v>
      </c>
      <c r="H551" s="129" t="s">
        <v>150</v>
      </c>
      <c r="I551" s="124"/>
      <c r="J551" s="124" t="s">
        <v>156</v>
      </c>
    </row>
    <row r="552" spans="1:10" ht="26.25" x14ac:dyDescent="0.25">
      <c r="A552" s="124" t="s">
        <v>141</v>
      </c>
      <c r="B552" s="125" t="s">
        <v>121</v>
      </c>
      <c r="C552" s="126">
        <v>44713</v>
      </c>
      <c r="D552" s="124">
        <v>16</v>
      </c>
      <c r="E552" s="127" t="s">
        <v>47</v>
      </c>
      <c r="F552" s="74">
        <v>0</v>
      </c>
      <c r="G552" s="128">
        <v>0</v>
      </c>
      <c r="H552" s="129" t="s">
        <v>150</v>
      </c>
      <c r="I552" s="124"/>
      <c r="J552" s="124" t="s">
        <v>156</v>
      </c>
    </row>
    <row r="553" spans="1:10" ht="26.25" x14ac:dyDescent="0.25">
      <c r="A553" s="124" t="s">
        <v>141</v>
      </c>
      <c r="B553" s="125" t="s">
        <v>121</v>
      </c>
      <c r="C553" s="126">
        <v>44713</v>
      </c>
      <c r="D553" s="124">
        <v>20</v>
      </c>
      <c r="E553" s="127" t="s">
        <v>115</v>
      </c>
      <c r="F553" s="74">
        <v>0</v>
      </c>
      <c r="G553" s="128">
        <v>0</v>
      </c>
      <c r="H553" s="129" t="s">
        <v>150</v>
      </c>
      <c r="I553" s="124"/>
      <c r="J553" s="124" t="s">
        <v>156</v>
      </c>
    </row>
    <row r="554" spans="1:10" ht="26.25" x14ac:dyDescent="0.25">
      <c r="A554" s="124" t="s">
        <v>141</v>
      </c>
      <c r="B554" s="125" t="s">
        <v>121</v>
      </c>
      <c r="C554" s="126">
        <v>44713</v>
      </c>
      <c r="D554" s="124">
        <v>21</v>
      </c>
      <c r="E554" s="127" t="s">
        <v>116</v>
      </c>
      <c r="F554" s="74">
        <v>1</v>
      </c>
      <c r="G554" s="128">
        <v>9500</v>
      </c>
      <c r="H554" s="129" t="s">
        <v>150</v>
      </c>
      <c r="I554" s="124"/>
      <c r="J554" s="124" t="s">
        <v>156</v>
      </c>
    </row>
    <row r="555" spans="1:10" ht="26.25" x14ac:dyDescent="0.25">
      <c r="A555" s="124" t="s">
        <v>141</v>
      </c>
      <c r="B555" s="125" t="s">
        <v>121</v>
      </c>
      <c r="C555" s="126">
        <v>44713</v>
      </c>
      <c r="D555" s="124">
        <v>22</v>
      </c>
      <c r="E555" s="127" t="s">
        <v>117</v>
      </c>
      <c r="F555" s="74">
        <v>1</v>
      </c>
      <c r="G555" s="128">
        <v>10500</v>
      </c>
      <c r="H555" s="129" t="s">
        <v>150</v>
      </c>
      <c r="I555" s="124"/>
      <c r="J555" s="124" t="s">
        <v>156</v>
      </c>
    </row>
    <row r="556" spans="1:10" ht="15" x14ac:dyDescent="0.25">
      <c r="A556" s="125" t="s">
        <v>279</v>
      </c>
      <c r="B556" s="125" t="s">
        <v>121</v>
      </c>
      <c r="C556" s="126">
        <v>44743</v>
      </c>
      <c r="D556" s="124">
        <v>5</v>
      </c>
      <c r="E556" s="127" t="s">
        <v>279</v>
      </c>
      <c r="F556" s="74"/>
      <c r="G556" s="128"/>
      <c r="H556" s="129"/>
      <c r="I556" s="124"/>
      <c r="J556" s="124"/>
    </row>
    <row r="557" spans="1:10" ht="26.25" x14ac:dyDescent="0.25">
      <c r="A557" s="124" t="s">
        <v>141</v>
      </c>
      <c r="B557" s="125" t="s">
        <v>121</v>
      </c>
      <c r="C557" s="126">
        <v>44743</v>
      </c>
      <c r="D557" s="124">
        <v>7</v>
      </c>
      <c r="E557" s="127" t="s">
        <v>51</v>
      </c>
      <c r="F557" s="74">
        <v>0</v>
      </c>
      <c r="G557" s="128">
        <v>0</v>
      </c>
      <c r="H557" s="129" t="s">
        <v>150</v>
      </c>
      <c r="I557" s="124"/>
      <c r="J557" s="124" t="s">
        <v>156</v>
      </c>
    </row>
    <row r="558" spans="1:10" ht="26.25" x14ac:dyDescent="0.25">
      <c r="A558" s="124" t="s">
        <v>141</v>
      </c>
      <c r="B558" s="125" t="s">
        <v>121</v>
      </c>
      <c r="C558" s="126">
        <v>44743</v>
      </c>
      <c r="D558" s="124">
        <v>8</v>
      </c>
      <c r="E558" s="127" t="s">
        <v>52</v>
      </c>
      <c r="F558" s="74">
        <v>0</v>
      </c>
      <c r="G558" s="128">
        <v>0</v>
      </c>
      <c r="H558" s="129" t="s">
        <v>150</v>
      </c>
      <c r="I558" s="124"/>
      <c r="J558" s="124" t="s">
        <v>156</v>
      </c>
    </row>
    <row r="559" spans="1:10" ht="26.25" x14ac:dyDescent="0.25">
      <c r="A559" s="124" t="s">
        <v>141</v>
      </c>
      <c r="B559" s="125" t="s">
        <v>121</v>
      </c>
      <c r="C559" s="126">
        <v>44743</v>
      </c>
      <c r="D559" s="124">
        <v>9</v>
      </c>
      <c r="E559" s="127" t="s">
        <v>40</v>
      </c>
      <c r="F559" s="74">
        <v>0</v>
      </c>
      <c r="G559" s="128">
        <v>0</v>
      </c>
      <c r="H559" s="129" t="s">
        <v>150</v>
      </c>
      <c r="I559" s="124"/>
      <c r="J559" s="124" t="s">
        <v>156</v>
      </c>
    </row>
    <row r="560" spans="1:10" ht="26.25" x14ac:dyDescent="0.25">
      <c r="A560" s="124" t="s">
        <v>141</v>
      </c>
      <c r="B560" s="125" t="s">
        <v>121</v>
      </c>
      <c r="C560" s="126">
        <v>44743</v>
      </c>
      <c r="D560" s="124">
        <v>10</v>
      </c>
      <c r="E560" s="127" t="s">
        <v>41</v>
      </c>
      <c r="F560" s="74">
        <v>2</v>
      </c>
      <c r="G560" s="128">
        <v>9160</v>
      </c>
      <c r="H560" s="129" t="s">
        <v>150</v>
      </c>
      <c r="I560" s="124"/>
      <c r="J560" s="124" t="s">
        <v>156</v>
      </c>
    </row>
    <row r="561" spans="1:10" ht="26.25" x14ac:dyDescent="0.25">
      <c r="A561" s="124" t="s">
        <v>141</v>
      </c>
      <c r="B561" s="125" t="s">
        <v>121</v>
      </c>
      <c r="C561" s="126">
        <v>44743</v>
      </c>
      <c r="D561" s="124">
        <v>11</v>
      </c>
      <c r="E561" s="127" t="s">
        <v>42</v>
      </c>
      <c r="F561" s="74">
        <v>1</v>
      </c>
      <c r="G561" s="128">
        <v>5040</v>
      </c>
      <c r="H561" s="129" t="s">
        <v>150</v>
      </c>
      <c r="I561" s="124"/>
      <c r="J561" s="124" t="s">
        <v>156</v>
      </c>
    </row>
    <row r="562" spans="1:10" ht="26.25" x14ac:dyDescent="0.25">
      <c r="A562" s="124" t="s">
        <v>141</v>
      </c>
      <c r="B562" s="125" t="s">
        <v>121</v>
      </c>
      <c r="C562" s="126">
        <v>44743</v>
      </c>
      <c r="D562" s="124">
        <v>12</v>
      </c>
      <c r="E562" s="127" t="s">
        <v>43</v>
      </c>
      <c r="F562" s="74">
        <v>2</v>
      </c>
      <c r="G562" s="128">
        <v>10800</v>
      </c>
      <c r="H562" s="129" t="s">
        <v>150</v>
      </c>
      <c r="I562" s="124"/>
      <c r="J562" s="124" t="s">
        <v>156</v>
      </c>
    </row>
    <row r="563" spans="1:10" ht="26.25" x14ac:dyDescent="0.25">
      <c r="A563" s="124" t="s">
        <v>141</v>
      </c>
      <c r="B563" s="125" t="s">
        <v>121</v>
      </c>
      <c r="C563" s="126">
        <v>44743</v>
      </c>
      <c r="D563" s="124">
        <v>13</v>
      </c>
      <c r="E563" s="127" t="s">
        <v>44</v>
      </c>
      <c r="F563" s="74">
        <v>0</v>
      </c>
      <c r="G563" s="128">
        <v>0</v>
      </c>
      <c r="H563" s="129" t="s">
        <v>150</v>
      </c>
      <c r="I563" s="124"/>
      <c r="J563" s="124" t="s">
        <v>156</v>
      </c>
    </row>
    <row r="564" spans="1:10" ht="26.25" x14ac:dyDescent="0.25">
      <c r="A564" s="124" t="s">
        <v>141</v>
      </c>
      <c r="B564" s="125" t="s">
        <v>121</v>
      </c>
      <c r="C564" s="126">
        <v>44743</v>
      </c>
      <c r="D564" s="124">
        <v>14</v>
      </c>
      <c r="E564" s="127" t="s">
        <v>45</v>
      </c>
      <c r="F564" s="74">
        <v>1</v>
      </c>
      <c r="G564" s="128">
        <v>6360</v>
      </c>
      <c r="H564" s="129" t="s">
        <v>150</v>
      </c>
      <c r="I564" s="124"/>
      <c r="J564" s="124" t="s">
        <v>156</v>
      </c>
    </row>
    <row r="565" spans="1:10" ht="26.25" x14ac:dyDescent="0.25">
      <c r="A565" s="124" t="s">
        <v>141</v>
      </c>
      <c r="B565" s="125" t="s">
        <v>121</v>
      </c>
      <c r="C565" s="126">
        <v>44743</v>
      </c>
      <c r="D565" s="124">
        <v>15</v>
      </c>
      <c r="E565" s="127" t="s">
        <v>46</v>
      </c>
      <c r="F565" s="74">
        <v>2</v>
      </c>
      <c r="G565" s="128">
        <v>13620</v>
      </c>
      <c r="H565" s="129" t="s">
        <v>150</v>
      </c>
      <c r="I565" s="124"/>
      <c r="J565" s="124" t="s">
        <v>156</v>
      </c>
    </row>
    <row r="566" spans="1:10" ht="26.25" x14ac:dyDescent="0.25">
      <c r="A566" s="124" t="s">
        <v>141</v>
      </c>
      <c r="B566" s="125" t="s">
        <v>121</v>
      </c>
      <c r="C566" s="126">
        <v>44743</v>
      </c>
      <c r="D566" s="124">
        <v>16</v>
      </c>
      <c r="E566" s="127" t="s">
        <v>47</v>
      </c>
      <c r="F566" s="74">
        <v>0</v>
      </c>
      <c r="G566" s="128">
        <v>0</v>
      </c>
      <c r="H566" s="129" t="s">
        <v>150</v>
      </c>
      <c r="I566" s="124"/>
      <c r="J566" s="124" t="s">
        <v>156</v>
      </c>
    </row>
    <row r="567" spans="1:10" ht="26.25" x14ac:dyDescent="0.25">
      <c r="A567" s="124" t="s">
        <v>141</v>
      </c>
      <c r="B567" s="125" t="s">
        <v>121</v>
      </c>
      <c r="C567" s="126">
        <v>44743</v>
      </c>
      <c r="D567" s="124">
        <v>20</v>
      </c>
      <c r="E567" s="127" t="s">
        <v>115</v>
      </c>
      <c r="F567" s="74">
        <v>0</v>
      </c>
      <c r="G567" s="128">
        <v>0</v>
      </c>
      <c r="H567" s="129" t="s">
        <v>150</v>
      </c>
      <c r="I567" s="124"/>
      <c r="J567" s="124" t="s">
        <v>156</v>
      </c>
    </row>
    <row r="568" spans="1:10" ht="26.25" x14ac:dyDescent="0.25">
      <c r="A568" s="124" t="s">
        <v>141</v>
      </c>
      <c r="B568" s="125" t="s">
        <v>121</v>
      </c>
      <c r="C568" s="126">
        <v>44743</v>
      </c>
      <c r="D568" s="124">
        <v>21</v>
      </c>
      <c r="E568" s="127" t="s">
        <v>116</v>
      </c>
      <c r="F568" s="74">
        <v>1</v>
      </c>
      <c r="G568" s="128">
        <v>9500</v>
      </c>
      <c r="H568" s="129" t="s">
        <v>150</v>
      </c>
      <c r="I568" s="124"/>
      <c r="J568" s="124" t="s">
        <v>156</v>
      </c>
    </row>
    <row r="569" spans="1:10" ht="26.25" x14ac:dyDescent="0.25">
      <c r="A569" s="124" t="s">
        <v>141</v>
      </c>
      <c r="B569" s="125" t="s">
        <v>121</v>
      </c>
      <c r="C569" s="126">
        <v>44743</v>
      </c>
      <c r="D569" s="124">
        <v>22</v>
      </c>
      <c r="E569" s="127" t="s">
        <v>117</v>
      </c>
      <c r="F569" s="74">
        <v>1</v>
      </c>
      <c r="G569" s="128">
        <v>10500</v>
      </c>
      <c r="H569" s="129" t="s">
        <v>150</v>
      </c>
      <c r="I569" s="124"/>
      <c r="J569" s="124" t="s">
        <v>156</v>
      </c>
    </row>
    <row r="570" spans="1:10" ht="15" x14ac:dyDescent="0.25">
      <c r="A570" s="125" t="s">
        <v>279</v>
      </c>
      <c r="B570" s="125" t="s">
        <v>121</v>
      </c>
      <c r="C570" s="126">
        <v>44774</v>
      </c>
      <c r="D570" s="124">
        <v>5</v>
      </c>
      <c r="E570" s="127" t="s">
        <v>279</v>
      </c>
      <c r="F570" s="74"/>
      <c r="G570" s="128"/>
      <c r="H570" s="129"/>
      <c r="I570" s="124"/>
      <c r="J570" s="124"/>
    </row>
    <row r="571" spans="1:10" ht="26.25" x14ac:dyDescent="0.25">
      <c r="A571" s="124" t="s">
        <v>141</v>
      </c>
      <c r="B571" s="125" t="s">
        <v>121</v>
      </c>
      <c r="C571" s="126">
        <v>44774</v>
      </c>
      <c r="D571" s="124">
        <v>7</v>
      </c>
      <c r="E571" s="127" t="s">
        <v>51</v>
      </c>
      <c r="F571" s="74">
        <v>0</v>
      </c>
      <c r="G571" s="128">
        <v>0</v>
      </c>
      <c r="H571" s="129" t="s">
        <v>150</v>
      </c>
      <c r="I571" s="124"/>
      <c r="J571" s="124" t="s">
        <v>156</v>
      </c>
    </row>
    <row r="572" spans="1:10" ht="26.25" x14ac:dyDescent="0.25">
      <c r="A572" s="124" t="s">
        <v>141</v>
      </c>
      <c r="B572" s="125" t="s">
        <v>121</v>
      </c>
      <c r="C572" s="126">
        <v>44774</v>
      </c>
      <c r="D572" s="124">
        <v>8</v>
      </c>
      <c r="E572" s="127" t="s">
        <v>52</v>
      </c>
      <c r="F572" s="74">
        <v>0</v>
      </c>
      <c r="G572" s="128">
        <v>0</v>
      </c>
      <c r="H572" s="129" t="s">
        <v>150</v>
      </c>
      <c r="I572" s="124"/>
      <c r="J572" s="124" t="s">
        <v>156</v>
      </c>
    </row>
    <row r="573" spans="1:10" ht="26.25" x14ac:dyDescent="0.25">
      <c r="A573" s="124" t="s">
        <v>141</v>
      </c>
      <c r="B573" s="125" t="s">
        <v>121</v>
      </c>
      <c r="C573" s="126">
        <v>44774</v>
      </c>
      <c r="D573" s="124">
        <v>9</v>
      </c>
      <c r="E573" s="127" t="s">
        <v>40</v>
      </c>
      <c r="F573" s="74">
        <v>0</v>
      </c>
      <c r="G573" s="128">
        <v>0</v>
      </c>
      <c r="H573" s="129" t="s">
        <v>150</v>
      </c>
      <c r="I573" s="124"/>
      <c r="J573" s="124" t="s">
        <v>156</v>
      </c>
    </row>
    <row r="574" spans="1:10" ht="26.25" x14ac:dyDescent="0.25">
      <c r="A574" s="124" t="s">
        <v>141</v>
      </c>
      <c r="B574" s="125" t="s">
        <v>121</v>
      </c>
      <c r="C574" s="126">
        <v>44774</v>
      </c>
      <c r="D574" s="124">
        <v>10</v>
      </c>
      <c r="E574" s="127" t="s">
        <v>41</v>
      </c>
      <c r="F574" s="74">
        <v>2</v>
      </c>
      <c r="G574" s="128">
        <v>9160</v>
      </c>
      <c r="H574" s="129" t="s">
        <v>150</v>
      </c>
      <c r="I574" s="124"/>
      <c r="J574" s="124" t="s">
        <v>156</v>
      </c>
    </row>
    <row r="575" spans="1:10" ht="26.25" x14ac:dyDescent="0.25">
      <c r="A575" s="124" t="s">
        <v>141</v>
      </c>
      <c r="B575" s="125" t="s">
        <v>121</v>
      </c>
      <c r="C575" s="126">
        <v>44774</v>
      </c>
      <c r="D575" s="124">
        <v>11</v>
      </c>
      <c r="E575" s="127" t="s">
        <v>42</v>
      </c>
      <c r="F575" s="74">
        <v>1</v>
      </c>
      <c r="G575" s="128">
        <v>5040</v>
      </c>
      <c r="H575" s="129" t="s">
        <v>150</v>
      </c>
      <c r="I575" s="124"/>
      <c r="J575" s="124" t="s">
        <v>156</v>
      </c>
    </row>
    <row r="576" spans="1:10" ht="26.25" x14ac:dyDescent="0.25">
      <c r="A576" s="124" t="s">
        <v>141</v>
      </c>
      <c r="B576" s="125" t="s">
        <v>121</v>
      </c>
      <c r="C576" s="126">
        <v>44774</v>
      </c>
      <c r="D576" s="124">
        <v>12</v>
      </c>
      <c r="E576" s="127" t="s">
        <v>43</v>
      </c>
      <c r="F576" s="74">
        <v>2</v>
      </c>
      <c r="G576" s="128">
        <v>10800</v>
      </c>
      <c r="H576" s="129" t="s">
        <v>150</v>
      </c>
      <c r="I576" s="124"/>
      <c r="J576" s="124" t="s">
        <v>156</v>
      </c>
    </row>
    <row r="577" spans="1:10" ht="26.25" x14ac:dyDescent="0.25">
      <c r="A577" s="124" t="s">
        <v>141</v>
      </c>
      <c r="B577" s="125" t="s">
        <v>121</v>
      </c>
      <c r="C577" s="126">
        <v>44774</v>
      </c>
      <c r="D577" s="124">
        <v>13</v>
      </c>
      <c r="E577" s="127" t="s">
        <v>44</v>
      </c>
      <c r="F577" s="74">
        <v>0</v>
      </c>
      <c r="G577" s="128">
        <v>0</v>
      </c>
      <c r="H577" s="129" t="s">
        <v>150</v>
      </c>
      <c r="I577" s="124"/>
      <c r="J577" s="124" t="s">
        <v>156</v>
      </c>
    </row>
    <row r="578" spans="1:10" ht="26.25" x14ac:dyDescent="0.25">
      <c r="A578" s="124" t="s">
        <v>141</v>
      </c>
      <c r="B578" s="125" t="s">
        <v>121</v>
      </c>
      <c r="C578" s="126">
        <v>44774</v>
      </c>
      <c r="D578" s="124">
        <v>14</v>
      </c>
      <c r="E578" s="127" t="s">
        <v>45</v>
      </c>
      <c r="F578" s="74">
        <v>1</v>
      </c>
      <c r="G578" s="128">
        <v>6360</v>
      </c>
      <c r="H578" s="129" t="s">
        <v>150</v>
      </c>
      <c r="I578" s="124"/>
      <c r="J578" s="124" t="s">
        <v>156</v>
      </c>
    </row>
    <row r="579" spans="1:10" ht="26.25" x14ac:dyDescent="0.25">
      <c r="A579" s="124" t="s">
        <v>141</v>
      </c>
      <c r="B579" s="125" t="s">
        <v>121</v>
      </c>
      <c r="C579" s="126">
        <v>44774</v>
      </c>
      <c r="D579" s="124">
        <v>15</v>
      </c>
      <c r="E579" s="127" t="s">
        <v>46</v>
      </c>
      <c r="F579" s="74">
        <v>2</v>
      </c>
      <c r="G579" s="128">
        <v>13620</v>
      </c>
      <c r="H579" s="129" t="s">
        <v>150</v>
      </c>
      <c r="I579" s="124"/>
      <c r="J579" s="124" t="s">
        <v>156</v>
      </c>
    </row>
    <row r="580" spans="1:10" ht="26.25" x14ac:dyDescent="0.25">
      <c r="A580" s="124" t="s">
        <v>141</v>
      </c>
      <c r="B580" s="125" t="s">
        <v>121</v>
      </c>
      <c r="C580" s="126">
        <v>44774</v>
      </c>
      <c r="D580" s="124">
        <v>16</v>
      </c>
      <c r="E580" s="127" t="s">
        <v>47</v>
      </c>
      <c r="F580" s="74">
        <v>0</v>
      </c>
      <c r="G580" s="128">
        <v>0</v>
      </c>
      <c r="H580" s="129" t="s">
        <v>150</v>
      </c>
      <c r="I580" s="124"/>
      <c r="J580" s="124" t="s">
        <v>156</v>
      </c>
    </row>
    <row r="581" spans="1:10" ht="26.25" x14ac:dyDescent="0.25">
      <c r="A581" s="124" t="s">
        <v>141</v>
      </c>
      <c r="B581" s="125" t="s">
        <v>121</v>
      </c>
      <c r="C581" s="126">
        <v>44774</v>
      </c>
      <c r="D581" s="124">
        <v>20</v>
      </c>
      <c r="E581" s="127" t="s">
        <v>115</v>
      </c>
      <c r="F581" s="74">
        <v>0</v>
      </c>
      <c r="G581" s="128">
        <v>0</v>
      </c>
      <c r="H581" s="129" t="s">
        <v>150</v>
      </c>
      <c r="I581" s="124"/>
      <c r="J581" s="124" t="s">
        <v>156</v>
      </c>
    </row>
    <row r="582" spans="1:10" ht="26.25" x14ac:dyDescent="0.25">
      <c r="A582" s="124" t="s">
        <v>141</v>
      </c>
      <c r="B582" s="125" t="s">
        <v>121</v>
      </c>
      <c r="C582" s="126">
        <v>44774</v>
      </c>
      <c r="D582" s="124">
        <v>21</v>
      </c>
      <c r="E582" s="127" t="s">
        <v>116</v>
      </c>
      <c r="F582" s="74">
        <v>1</v>
      </c>
      <c r="G582" s="128">
        <v>9500</v>
      </c>
      <c r="H582" s="129" t="s">
        <v>150</v>
      </c>
      <c r="I582" s="124"/>
      <c r="J582" s="124" t="s">
        <v>156</v>
      </c>
    </row>
    <row r="583" spans="1:10" ht="26.25" x14ac:dyDescent="0.25">
      <c r="A583" s="124" t="s">
        <v>141</v>
      </c>
      <c r="B583" s="125" t="s">
        <v>121</v>
      </c>
      <c r="C583" s="126">
        <v>44774</v>
      </c>
      <c r="D583" s="124">
        <v>22</v>
      </c>
      <c r="E583" s="127" t="s">
        <v>117</v>
      </c>
      <c r="F583" s="74">
        <v>1</v>
      </c>
      <c r="G583" s="128">
        <v>10500</v>
      </c>
      <c r="H583" s="129" t="s">
        <v>150</v>
      </c>
      <c r="I583" s="124"/>
      <c r="J583" s="124" t="s">
        <v>156</v>
      </c>
    </row>
    <row r="584" spans="1:10" ht="15" x14ac:dyDescent="0.25">
      <c r="A584" s="125" t="s">
        <v>279</v>
      </c>
      <c r="B584" s="125" t="s">
        <v>121</v>
      </c>
      <c r="C584" s="126">
        <v>44805</v>
      </c>
      <c r="D584" s="124">
        <v>5</v>
      </c>
      <c r="E584" s="127" t="s">
        <v>279</v>
      </c>
      <c r="F584" s="74"/>
      <c r="G584" s="128"/>
      <c r="H584" s="129"/>
      <c r="I584" s="124"/>
      <c r="J584" s="124"/>
    </row>
    <row r="585" spans="1:10" ht="26.25" x14ac:dyDescent="0.25">
      <c r="A585" s="124" t="s">
        <v>141</v>
      </c>
      <c r="B585" s="125" t="s">
        <v>121</v>
      </c>
      <c r="C585" s="126">
        <v>44805</v>
      </c>
      <c r="D585" s="124">
        <v>7</v>
      </c>
      <c r="E585" s="127" t="s">
        <v>51</v>
      </c>
      <c r="F585" s="74">
        <v>0</v>
      </c>
      <c r="G585" s="128">
        <v>0</v>
      </c>
      <c r="H585" s="129" t="s">
        <v>150</v>
      </c>
      <c r="I585" s="124"/>
      <c r="J585" s="124" t="s">
        <v>156</v>
      </c>
    </row>
    <row r="586" spans="1:10" ht="26.25" x14ac:dyDescent="0.25">
      <c r="A586" s="124" t="s">
        <v>141</v>
      </c>
      <c r="B586" s="125" t="s">
        <v>121</v>
      </c>
      <c r="C586" s="126">
        <v>44805</v>
      </c>
      <c r="D586" s="124">
        <v>8</v>
      </c>
      <c r="E586" s="127" t="s">
        <v>52</v>
      </c>
      <c r="F586" s="74">
        <v>0</v>
      </c>
      <c r="G586" s="128">
        <v>0</v>
      </c>
      <c r="H586" s="129" t="s">
        <v>150</v>
      </c>
      <c r="I586" s="124"/>
      <c r="J586" s="124" t="s">
        <v>156</v>
      </c>
    </row>
    <row r="587" spans="1:10" ht="26.25" x14ac:dyDescent="0.25">
      <c r="A587" s="124" t="s">
        <v>141</v>
      </c>
      <c r="B587" s="125" t="s">
        <v>121</v>
      </c>
      <c r="C587" s="126">
        <v>44805</v>
      </c>
      <c r="D587" s="124">
        <v>9</v>
      </c>
      <c r="E587" s="127" t="s">
        <v>40</v>
      </c>
      <c r="F587" s="74">
        <v>0</v>
      </c>
      <c r="G587" s="128">
        <v>0</v>
      </c>
      <c r="H587" s="129" t="s">
        <v>150</v>
      </c>
      <c r="I587" s="124"/>
      <c r="J587" s="124" t="s">
        <v>156</v>
      </c>
    </row>
    <row r="588" spans="1:10" ht="26.25" x14ac:dyDescent="0.25">
      <c r="A588" s="124" t="s">
        <v>141</v>
      </c>
      <c r="B588" s="125" t="s">
        <v>121</v>
      </c>
      <c r="C588" s="126">
        <v>44805</v>
      </c>
      <c r="D588" s="124">
        <v>10</v>
      </c>
      <c r="E588" s="127" t="s">
        <v>41</v>
      </c>
      <c r="F588" s="74">
        <v>2</v>
      </c>
      <c r="G588" s="128">
        <v>9160</v>
      </c>
      <c r="H588" s="129" t="s">
        <v>150</v>
      </c>
      <c r="I588" s="124"/>
      <c r="J588" s="124" t="s">
        <v>156</v>
      </c>
    </row>
    <row r="589" spans="1:10" ht="26.25" x14ac:dyDescent="0.25">
      <c r="A589" s="124" t="s">
        <v>141</v>
      </c>
      <c r="B589" s="125" t="s">
        <v>121</v>
      </c>
      <c r="C589" s="126">
        <v>44805</v>
      </c>
      <c r="D589" s="124">
        <v>11</v>
      </c>
      <c r="E589" s="127" t="s">
        <v>42</v>
      </c>
      <c r="F589" s="74">
        <v>1</v>
      </c>
      <c r="G589" s="128">
        <v>5040</v>
      </c>
      <c r="H589" s="129" t="s">
        <v>150</v>
      </c>
      <c r="I589" s="124"/>
      <c r="J589" s="124" t="s">
        <v>156</v>
      </c>
    </row>
    <row r="590" spans="1:10" ht="26.25" x14ac:dyDescent="0.25">
      <c r="A590" s="124" t="s">
        <v>141</v>
      </c>
      <c r="B590" s="125" t="s">
        <v>121</v>
      </c>
      <c r="C590" s="126">
        <v>44805</v>
      </c>
      <c r="D590" s="124">
        <v>12</v>
      </c>
      <c r="E590" s="127" t="s">
        <v>43</v>
      </c>
      <c r="F590" s="74">
        <v>2</v>
      </c>
      <c r="G590" s="128">
        <v>10800</v>
      </c>
      <c r="H590" s="129" t="s">
        <v>150</v>
      </c>
      <c r="I590" s="124"/>
      <c r="J590" s="124" t="s">
        <v>156</v>
      </c>
    </row>
    <row r="591" spans="1:10" ht="26.25" x14ac:dyDescent="0.25">
      <c r="A591" s="124" t="s">
        <v>141</v>
      </c>
      <c r="B591" s="125" t="s">
        <v>121</v>
      </c>
      <c r="C591" s="126">
        <v>44805</v>
      </c>
      <c r="D591" s="124">
        <v>13</v>
      </c>
      <c r="E591" s="127" t="s">
        <v>44</v>
      </c>
      <c r="F591" s="74">
        <v>0</v>
      </c>
      <c r="G591" s="128">
        <v>0</v>
      </c>
      <c r="H591" s="129" t="s">
        <v>150</v>
      </c>
      <c r="I591" s="124"/>
      <c r="J591" s="124" t="s">
        <v>156</v>
      </c>
    </row>
    <row r="592" spans="1:10" ht="26.25" x14ac:dyDescent="0.25">
      <c r="A592" s="124" t="s">
        <v>141</v>
      </c>
      <c r="B592" s="125" t="s">
        <v>121</v>
      </c>
      <c r="C592" s="126">
        <v>44805</v>
      </c>
      <c r="D592" s="124">
        <v>14</v>
      </c>
      <c r="E592" s="127" t="s">
        <v>45</v>
      </c>
      <c r="F592" s="74">
        <v>1</v>
      </c>
      <c r="G592" s="128">
        <v>6360</v>
      </c>
      <c r="H592" s="129" t="s">
        <v>150</v>
      </c>
      <c r="I592" s="124"/>
      <c r="J592" s="124" t="s">
        <v>156</v>
      </c>
    </row>
    <row r="593" spans="1:10" ht="26.25" x14ac:dyDescent="0.25">
      <c r="A593" s="124" t="s">
        <v>141</v>
      </c>
      <c r="B593" s="125" t="s">
        <v>121</v>
      </c>
      <c r="C593" s="126">
        <v>44805</v>
      </c>
      <c r="D593" s="124">
        <v>15</v>
      </c>
      <c r="E593" s="127" t="s">
        <v>46</v>
      </c>
      <c r="F593" s="74">
        <v>2</v>
      </c>
      <c r="G593" s="128">
        <v>13620</v>
      </c>
      <c r="H593" s="129" t="s">
        <v>150</v>
      </c>
      <c r="I593" s="124"/>
      <c r="J593" s="124" t="s">
        <v>156</v>
      </c>
    </row>
    <row r="594" spans="1:10" ht="26.25" x14ac:dyDescent="0.25">
      <c r="A594" s="124" t="s">
        <v>141</v>
      </c>
      <c r="B594" s="125" t="s">
        <v>121</v>
      </c>
      <c r="C594" s="126">
        <v>44805</v>
      </c>
      <c r="D594" s="124">
        <v>16</v>
      </c>
      <c r="E594" s="127" t="s">
        <v>47</v>
      </c>
      <c r="F594" s="74">
        <v>0</v>
      </c>
      <c r="G594" s="128">
        <v>0</v>
      </c>
      <c r="H594" s="129" t="s">
        <v>150</v>
      </c>
      <c r="I594" s="124"/>
      <c r="J594" s="124" t="s">
        <v>156</v>
      </c>
    </row>
    <row r="595" spans="1:10" ht="26.25" x14ac:dyDescent="0.25">
      <c r="A595" s="124" t="s">
        <v>141</v>
      </c>
      <c r="B595" s="125" t="s">
        <v>121</v>
      </c>
      <c r="C595" s="126">
        <v>44805</v>
      </c>
      <c r="D595" s="124">
        <v>20</v>
      </c>
      <c r="E595" s="127" t="s">
        <v>115</v>
      </c>
      <c r="F595" s="74">
        <v>0</v>
      </c>
      <c r="G595" s="128">
        <v>0</v>
      </c>
      <c r="H595" s="129" t="s">
        <v>150</v>
      </c>
      <c r="I595" s="124"/>
      <c r="J595" s="124" t="s">
        <v>156</v>
      </c>
    </row>
    <row r="596" spans="1:10" ht="26.25" x14ac:dyDescent="0.25">
      <c r="A596" s="124" t="s">
        <v>141</v>
      </c>
      <c r="B596" s="125" t="s">
        <v>121</v>
      </c>
      <c r="C596" s="126">
        <v>44805</v>
      </c>
      <c r="D596" s="124">
        <v>21</v>
      </c>
      <c r="E596" s="127" t="s">
        <v>116</v>
      </c>
      <c r="F596" s="74">
        <v>1</v>
      </c>
      <c r="G596" s="128">
        <v>9500</v>
      </c>
      <c r="H596" s="129" t="s">
        <v>150</v>
      </c>
      <c r="I596" s="124"/>
      <c r="J596" s="124" t="s">
        <v>156</v>
      </c>
    </row>
    <row r="597" spans="1:10" ht="26.25" x14ac:dyDescent="0.25">
      <c r="A597" s="124" t="s">
        <v>141</v>
      </c>
      <c r="B597" s="125" t="s">
        <v>121</v>
      </c>
      <c r="C597" s="126">
        <v>44805</v>
      </c>
      <c r="D597" s="124">
        <v>22</v>
      </c>
      <c r="E597" s="127" t="s">
        <v>117</v>
      </c>
      <c r="F597" s="74">
        <v>1</v>
      </c>
      <c r="G597" s="128">
        <v>10500</v>
      </c>
      <c r="H597" s="129" t="s">
        <v>150</v>
      </c>
      <c r="I597" s="124"/>
      <c r="J597" s="124" t="s">
        <v>156</v>
      </c>
    </row>
    <row r="598" spans="1:10" ht="15" x14ac:dyDescent="0.25">
      <c r="A598" s="125" t="s">
        <v>279</v>
      </c>
      <c r="B598" s="125" t="s">
        <v>121</v>
      </c>
      <c r="C598" s="126">
        <v>44835</v>
      </c>
      <c r="D598" s="124">
        <v>5</v>
      </c>
      <c r="E598" s="127" t="s">
        <v>279</v>
      </c>
      <c r="F598" s="74"/>
      <c r="G598" s="128"/>
      <c r="H598" s="129"/>
      <c r="I598" s="124"/>
      <c r="J598" s="124"/>
    </row>
    <row r="599" spans="1:10" ht="26.25" x14ac:dyDescent="0.25">
      <c r="A599" s="124" t="s">
        <v>141</v>
      </c>
      <c r="B599" s="125" t="s">
        <v>121</v>
      </c>
      <c r="C599" s="126">
        <v>44835</v>
      </c>
      <c r="D599" s="124">
        <v>7</v>
      </c>
      <c r="E599" s="127" t="s">
        <v>51</v>
      </c>
      <c r="F599" s="74">
        <v>0</v>
      </c>
      <c r="G599" s="128">
        <v>0</v>
      </c>
      <c r="H599" s="129" t="s">
        <v>150</v>
      </c>
      <c r="I599" s="124"/>
      <c r="J599" s="124" t="s">
        <v>156</v>
      </c>
    </row>
    <row r="600" spans="1:10" ht="26.25" x14ac:dyDescent="0.25">
      <c r="A600" s="124" t="s">
        <v>141</v>
      </c>
      <c r="B600" s="125" t="s">
        <v>121</v>
      </c>
      <c r="C600" s="126">
        <v>44835</v>
      </c>
      <c r="D600" s="124">
        <v>8</v>
      </c>
      <c r="E600" s="127" t="s">
        <v>52</v>
      </c>
      <c r="F600" s="74">
        <v>0</v>
      </c>
      <c r="G600" s="128">
        <v>0</v>
      </c>
      <c r="H600" s="129" t="s">
        <v>150</v>
      </c>
      <c r="I600" s="124"/>
      <c r="J600" s="124" t="s">
        <v>156</v>
      </c>
    </row>
    <row r="601" spans="1:10" ht="26.25" x14ac:dyDescent="0.25">
      <c r="A601" s="124" t="s">
        <v>141</v>
      </c>
      <c r="B601" s="125" t="s">
        <v>121</v>
      </c>
      <c r="C601" s="126">
        <v>44835</v>
      </c>
      <c r="D601" s="124">
        <v>9</v>
      </c>
      <c r="E601" s="127" t="s">
        <v>40</v>
      </c>
      <c r="F601" s="74">
        <v>0</v>
      </c>
      <c r="G601" s="128">
        <v>0</v>
      </c>
      <c r="H601" s="129" t="s">
        <v>150</v>
      </c>
      <c r="I601" s="124"/>
      <c r="J601" s="124" t="s">
        <v>156</v>
      </c>
    </row>
    <row r="602" spans="1:10" ht="26.25" x14ac:dyDescent="0.25">
      <c r="A602" s="124" t="s">
        <v>141</v>
      </c>
      <c r="B602" s="125" t="s">
        <v>121</v>
      </c>
      <c r="C602" s="126">
        <v>44835</v>
      </c>
      <c r="D602" s="124">
        <v>10</v>
      </c>
      <c r="E602" s="127" t="s">
        <v>41</v>
      </c>
      <c r="F602" s="74">
        <v>2</v>
      </c>
      <c r="G602" s="128">
        <v>9160</v>
      </c>
      <c r="H602" s="129" t="s">
        <v>150</v>
      </c>
      <c r="I602" s="124"/>
      <c r="J602" s="124" t="s">
        <v>156</v>
      </c>
    </row>
    <row r="603" spans="1:10" ht="26.25" x14ac:dyDescent="0.25">
      <c r="A603" s="124" t="s">
        <v>141</v>
      </c>
      <c r="B603" s="125" t="s">
        <v>121</v>
      </c>
      <c r="C603" s="126">
        <v>44835</v>
      </c>
      <c r="D603" s="124">
        <v>11</v>
      </c>
      <c r="E603" s="127" t="s">
        <v>42</v>
      </c>
      <c r="F603" s="74">
        <v>1</v>
      </c>
      <c r="G603" s="128">
        <v>5040</v>
      </c>
      <c r="H603" s="129" t="s">
        <v>150</v>
      </c>
      <c r="I603" s="124"/>
      <c r="J603" s="124" t="s">
        <v>156</v>
      </c>
    </row>
    <row r="604" spans="1:10" ht="26.25" x14ac:dyDescent="0.25">
      <c r="A604" s="124" t="s">
        <v>141</v>
      </c>
      <c r="B604" s="125" t="s">
        <v>121</v>
      </c>
      <c r="C604" s="126">
        <v>44835</v>
      </c>
      <c r="D604" s="124">
        <v>12</v>
      </c>
      <c r="E604" s="127" t="s">
        <v>43</v>
      </c>
      <c r="F604" s="74">
        <v>2</v>
      </c>
      <c r="G604" s="128">
        <v>10800</v>
      </c>
      <c r="H604" s="129" t="s">
        <v>150</v>
      </c>
      <c r="I604" s="124"/>
      <c r="J604" s="124" t="s">
        <v>156</v>
      </c>
    </row>
    <row r="605" spans="1:10" ht="26.25" x14ac:dyDescent="0.25">
      <c r="A605" s="124" t="s">
        <v>141</v>
      </c>
      <c r="B605" s="125" t="s">
        <v>121</v>
      </c>
      <c r="C605" s="126">
        <v>44835</v>
      </c>
      <c r="D605" s="124">
        <v>13</v>
      </c>
      <c r="E605" s="127" t="s">
        <v>44</v>
      </c>
      <c r="F605" s="74">
        <v>0</v>
      </c>
      <c r="G605" s="128">
        <v>0</v>
      </c>
      <c r="H605" s="129" t="s">
        <v>150</v>
      </c>
      <c r="I605" s="124"/>
      <c r="J605" s="124" t="s">
        <v>156</v>
      </c>
    </row>
    <row r="606" spans="1:10" ht="26.25" x14ac:dyDescent="0.25">
      <c r="A606" s="124" t="s">
        <v>141</v>
      </c>
      <c r="B606" s="125" t="s">
        <v>121</v>
      </c>
      <c r="C606" s="126">
        <v>44835</v>
      </c>
      <c r="D606" s="124">
        <v>14</v>
      </c>
      <c r="E606" s="127" t="s">
        <v>45</v>
      </c>
      <c r="F606" s="74">
        <v>1</v>
      </c>
      <c r="G606" s="128">
        <v>6360</v>
      </c>
      <c r="H606" s="129" t="s">
        <v>150</v>
      </c>
      <c r="I606" s="124"/>
      <c r="J606" s="124" t="s">
        <v>156</v>
      </c>
    </row>
    <row r="607" spans="1:10" ht="26.25" x14ac:dyDescent="0.25">
      <c r="A607" s="124" t="s">
        <v>141</v>
      </c>
      <c r="B607" s="125" t="s">
        <v>121</v>
      </c>
      <c r="C607" s="126">
        <v>44835</v>
      </c>
      <c r="D607" s="124">
        <v>15</v>
      </c>
      <c r="E607" s="127" t="s">
        <v>46</v>
      </c>
      <c r="F607" s="74">
        <v>2</v>
      </c>
      <c r="G607" s="128">
        <v>13620</v>
      </c>
      <c r="H607" s="129" t="s">
        <v>150</v>
      </c>
      <c r="I607" s="124"/>
      <c r="J607" s="124" t="s">
        <v>156</v>
      </c>
    </row>
    <row r="608" spans="1:10" ht="26.25" x14ac:dyDescent="0.25">
      <c r="A608" s="124" t="s">
        <v>141</v>
      </c>
      <c r="B608" s="125" t="s">
        <v>121</v>
      </c>
      <c r="C608" s="126">
        <v>44835</v>
      </c>
      <c r="D608" s="124">
        <v>16</v>
      </c>
      <c r="E608" s="127" t="s">
        <v>47</v>
      </c>
      <c r="F608" s="74">
        <v>0</v>
      </c>
      <c r="G608" s="128">
        <v>0</v>
      </c>
      <c r="H608" s="129" t="s">
        <v>150</v>
      </c>
      <c r="I608" s="124"/>
      <c r="J608" s="124" t="s">
        <v>156</v>
      </c>
    </row>
    <row r="609" spans="1:10" ht="26.25" x14ac:dyDescent="0.25">
      <c r="A609" s="124" t="s">
        <v>141</v>
      </c>
      <c r="B609" s="125" t="s">
        <v>121</v>
      </c>
      <c r="C609" s="126">
        <v>44835</v>
      </c>
      <c r="D609" s="124">
        <v>20</v>
      </c>
      <c r="E609" s="127" t="s">
        <v>115</v>
      </c>
      <c r="F609" s="74">
        <v>0</v>
      </c>
      <c r="G609" s="128">
        <v>0</v>
      </c>
      <c r="H609" s="129" t="s">
        <v>150</v>
      </c>
      <c r="I609" s="124"/>
      <c r="J609" s="124" t="s">
        <v>156</v>
      </c>
    </row>
    <row r="610" spans="1:10" ht="26.25" x14ac:dyDescent="0.25">
      <c r="A610" s="124" t="s">
        <v>141</v>
      </c>
      <c r="B610" s="125" t="s">
        <v>121</v>
      </c>
      <c r="C610" s="126">
        <v>44835</v>
      </c>
      <c r="D610" s="124">
        <v>21</v>
      </c>
      <c r="E610" s="127" t="s">
        <v>116</v>
      </c>
      <c r="F610" s="74">
        <v>1</v>
      </c>
      <c r="G610" s="128">
        <v>9500</v>
      </c>
      <c r="H610" s="129" t="s">
        <v>150</v>
      </c>
      <c r="I610" s="124"/>
      <c r="J610" s="124" t="s">
        <v>156</v>
      </c>
    </row>
    <row r="611" spans="1:10" ht="26.25" x14ac:dyDescent="0.25">
      <c r="A611" s="124" t="s">
        <v>141</v>
      </c>
      <c r="B611" s="125" t="s">
        <v>121</v>
      </c>
      <c r="C611" s="126">
        <v>44835</v>
      </c>
      <c r="D611" s="124">
        <v>22</v>
      </c>
      <c r="E611" s="127" t="s">
        <v>117</v>
      </c>
      <c r="F611" s="74">
        <v>1</v>
      </c>
      <c r="G611" s="128">
        <v>10500</v>
      </c>
      <c r="H611" s="129" t="s">
        <v>150</v>
      </c>
      <c r="I611" s="124"/>
      <c r="J611" s="124" t="s">
        <v>156</v>
      </c>
    </row>
    <row r="612" spans="1:10" ht="15" x14ac:dyDescent="0.25">
      <c r="A612" s="125" t="s">
        <v>279</v>
      </c>
      <c r="B612" s="125" t="s">
        <v>121</v>
      </c>
      <c r="C612" s="126">
        <v>44866</v>
      </c>
      <c r="D612" s="124">
        <v>5</v>
      </c>
      <c r="E612" s="127" t="s">
        <v>279</v>
      </c>
      <c r="F612" s="74"/>
      <c r="G612" s="128"/>
      <c r="H612" s="129"/>
      <c r="I612" s="124"/>
      <c r="J612" s="124"/>
    </row>
    <row r="613" spans="1:10" ht="26.25" x14ac:dyDescent="0.25">
      <c r="A613" s="124" t="s">
        <v>141</v>
      </c>
      <c r="B613" s="125" t="s">
        <v>121</v>
      </c>
      <c r="C613" s="126">
        <v>44866</v>
      </c>
      <c r="D613" s="124">
        <v>7</v>
      </c>
      <c r="E613" s="127" t="s">
        <v>51</v>
      </c>
      <c r="F613" s="74">
        <v>0</v>
      </c>
      <c r="G613" s="128">
        <v>0</v>
      </c>
      <c r="H613" s="129" t="s">
        <v>150</v>
      </c>
      <c r="I613" s="124"/>
      <c r="J613" s="124" t="s">
        <v>156</v>
      </c>
    </row>
    <row r="614" spans="1:10" ht="26.25" x14ac:dyDescent="0.25">
      <c r="A614" s="124" t="s">
        <v>141</v>
      </c>
      <c r="B614" s="125" t="s">
        <v>121</v>
      </c>
      <c r="C614" s="126">
        <v>44866</v>
      </c>
      <c r="D614" s="124">
        <v>8</v>
      </c>
      <c r="E614" s="127" t="s">
        <v>52</v>
      </c>
      <c r="F614" s="74">
        <v>0</v>
      </c>
      <c r="G614" s="128">
        <v>0</v>
      </c>
      <c r="H614" s="129" t="s">
        <v>150</v>
      </c>
      <c r="I614" s="124"/>
      <c r="J614" s="124" t="s">
        <v>156</v>
      </c>
    </row>
    <row r="615" spans="1:10" ht="26.25" x14ac:dyDescent="0.25">
      <c r="A615" s="124" t="s">
        <v>141</v>
      </c>
      <c r="B615" s="125" t="s">
        <v>121</v>
      </c>
      <c r="C615" s="126">
        <v>44866</v>
      </c>
      <c r="D615" s="124">
        <v>9</v>
      </c>
      <c r="E615" s="127" t="s">
        <v>40</v>
      </c>
      <c r="F615" s="74">
        <v>0</v>
      </c>
      <c r="G615" s="128">
        <v>0</v>
      </c>
      <c r="H615" s="129" t="s">
        <v>150</v>
      </c>
      <c r="I615" s="124"/>
      <c r="J615" s="124" t="s">
        <v>156</v>
      </c>
    </row>
    <row r="616" spans="1:10" ht="26.25" x14ac:dyDescent="0.25">
      <c r="A616" s="124" t="s">
        <v>141</v>
      </c>
      <c r="B616" s="125" t="s">
        <v>121</v>
      </c>
      <c r="C616" s="126">
        <v>44866</v>
      </c>
      <c r="D616" s="124">
        <v>10</v>
      </c>
      <c r="E616" s="127" t="s">
        <v>41</v>
      </c>
      <c r="F616" s="74">
        <v>2</v>
      </c>
      <c r="G616" s="128">
        <v>9160</v>
      </c>
      <c r="H616" s="129" t="s">
        <v>150</v>
      </c>
      <c r="I616" s="124"/>
      <c r="J616" s="124" t="s">
        <v>156</v>
      </c>
    </row>
    <row r="617" spans="1:10" ht="26.25" x14ac:dyDescent="0.25">
      <c r="A617" s="124" t="s">
        <v>141</v>
      </c>
      <c r="B617" s="125" t="s">
        <v>121</v>
      </c>
      <c r="C617" s="126">
        <v>44866</v>
      </c>
      <c r="D617" s="124">
        <v>11</v>
      </c>
      <c r="E617" s="127" t="s">
        <v>42</v>
      </c>
      <c r="F617" s="74">
        <v>1</v>
      </c>
      <c r="G617" s="128">
        <v>5040</v>
      </c>
      <c r="H617" s="129" t="s">
        <v>150</v>
      </c>
      <c r="I617" s="124"/>
      <c r="J617" s="124" t="s">
        <v>156</v>
      </c>
    </row>
    <row r="618" spans="1:10" ht="26.25" x14ac:dyDescent="0.25">
      <c r="A618" s="124" t="s">
        <v>141</v>
      </c>
      <c r="B618" s="125" t="s">
        <v>121</v>
      </c>
      <c r="C618" s="126">
        <v>44866</v>
      </c>
      <c r="D618" s="124">
        <v>12</v>
      </c>
      <c r="E618" s="127" t="s">
        <v>43</v>
      </c>
      <c r="F618" s="74">
        <v>2</v>
      </c>
      <c r="G618" s="128">
        <v>10800</v>
      </c>
      <c r="H618" s="129" t="s">
        <v>150</v>
      </c>
      <c r="I618" s="124"/>
      <c r="J618" s="124" t="s">
        <v>156</v>
      </c>
    </row>
    <row r="619" spans="1:10" ht="26.25" x14ac:dyDescent="0.25">
      <c r="A619" s="124" t="s">
        <v>141</v>
      </c>
      <c r="B619" s="125" t="s">
        <v>121</v>
      </c>
      <c r="C619" s="126">
        <v>44866</v>
      </c>
      <c r="D619" s="124">
        <v>13</v>
      </c>
      <c r="E619" s="127" t="s">
        <v>44</v>
      </c>
      <c r="F619" s="74">
        <v>0</v>
      </c>
      <c r="G619" s="128">
        <v>0</v>
      </c>
      <c r="H619" s="129" t="s">
        <v>150</v>
      </c>
      <c r="I619" s="124"/>
      <c r="J619" s="124" t="s">
        <v>156</v>
      </c>
    </row>
    <row r="620" spans="1:10" ht="26.25" x14ac:dyDescent="0.25">
      <c r="A620" s="124" t="s">
        <v>141</v>
      </c>
      <c r="B620" s="125" t="s">
        <v>121</v>
      </c>
      <c r="C620" s="126">
        <v>44866</v>
      </c>
      <c r="D620" s="124">
        <v>14</v>
      </c>
      <c r="E620" s="127" t="s">
        <v>45</v>
      </c>
      <c r="F620" s="74">
        <v>1</v>
      </c>
      <c r="G620" s="128">
        <v>6360</v>
      </c>
      <c r="H620" s="129" t="s">
        <v>150</v>
      </c>
      <c r="I620" s="124"/>
      <c r="J620" s="124" t="s">
        <v>156</v>
      </c>
    </row>
    <row r="621" spans="1:10" ht="26.25" x14ac:dyDescent="0.25">
      <c r="A621" s="124" t="s">
        <v>141</v>
      </c>
      <c r="B621" s="125" t="s">
        <v>121</v>
      </c>
      <c r="C621" s="126">
        <v>44866</v>
      </c>
      <c r="D621" s="124">
        <v>15</v>
      </c>
      <c r="E621" s="127" t="s">
        <v>46</v>
      </c>
      <c r="F621" s="74">
        <v>2</v>
      </c>
      <c r="G621" s="128">
        <v>13620</v>
      </c>
      <c r="H621" s="129" t="s">
        <v>150</v>
      </c>
      <c r="I621" s="124"/>
      <c r="J621" s="124" t="s">
        <v>156</v>
      </c>
    </row>
    <row r="622" spans="1:10" ht="26.25" x14ac:dyDescent="0.25">
      <c r="A622" s="124" t="s">
        <v>141</v>
      </c>
      <c r="B622" s="125" t="s">
        <v>121</v>
      </c>
      <c r="C622" s="126">
        <v>44866</v>
      </c>
      <c r="D622" s="124">
        <v>16</v>
      </c>
      <c r="E622" s="127" t="s">
        <v>47</v>
      </c>
      <c r="F622" s="74">
        <v>0</v>
      </c>
      <c r="G622" s="128">
        <v>0</v>
      </c>
      <c r="H622" s="129" t="s">
        <v>150</v>
      </c>
      <c r="I622" s="124"/>
      <c r="J622" s="124" t="s">
        <v>156</v>
      </c>
    </row>
    <row r="623" spans="1:10" ht="26.25" x14ac:dyDescent="0.25">
      <c r="A623" s="124" t="s">
        <v>141</v>
      </c>
      <c r="B623" s="125" t="s">
        <v>121</v>
      </c>
      <c r="C623" s="126">
        <v>44866</v>
      </c>
      <c r="D623" s="124">
        <v>20</v>
      </c>
      <c r="E623" s="127" t="s">
        <v>115</v>
      </c>
      <c r="F623" s="74">
        <v>0</v>
      </c>
      <c r="G623" s="128">
        <v>0</v>
      </c>
      <c r="H623" s="129" t="s">
        <v>150</v>
      </c>
      <c r="I623" s="124"/>
      <c r="J623" s="124" t="s">
        <v>156</v>
      </c>
    </row>
    <row r="624" spans="1:10" ht="26.25" x14ac:dyDescent="0.25">
      <c r="A624" s="124" t="s">
        <v>141</v>
      </c>
      <c r="B624" s="125" t="s">
        <v>121</v>
      </c>
      <c r="C624" s="126">
        <v>44866</v>
      </c>
      <c r="D624" s="124">
        <v>21</v>
      </c>
      <c r="E624" s="127" t="s">
        <v>116</v>
      </c>
      <c r="F624" s="74">
        <v>1</v>
      </c>
      <c r="G624" s="128">
        <v>9500</v>
      </c>
      <c r="H624" s="129" t="s">
        <v>150</v>
      </c>
      <c r="I624" s="124"/>
      <c r="J624" s="124" t="s">
        <v>156</v>
      </c>
    </row>
    <row r="625" spans="1:10" ht="26.25" x14ac:dyDescent="0.25">
      <c r="A625" s="124" t="s">
        <v>141</v>
      </c>
      <c r="B625" s="125" t="s">
        <v>121</v>
      </c>
      <c r="C625" s="126">
        <v>44866</v>
      </c>
      <c r="D625" s="124">
        <v>22</v>
      </c>
      <c r="E625" s="127" t="s">
        <v>117</v>
      </c>
      <c r="F625" s="74">
        <v>1</v>
      </c>
      <c r="G625" s="128">
        <v>10500</v>
      </c>
      <c r="H625" s="129" t="s">
        <v>150</v>
      </c>
      <c r="I625" s="124"/>
      <c r="J625" s="124" t="s">
        <v>156</v>
      </c>
    </row>
    <row r="626" spans="1:10" ht="15" x14ac:dyDescent="0.25">
      <c r="A626" s="125" t="s">
        <v>279</v>
      </c>
      <c r="B626" s="125" t="s">
        <v>121</v>
      </c>
      <c r="C626" s="126">
        <v>44896</v>
      </c>
      <c r="D626" s="124">
        <v>5</v>
      </c>
      <c r="E626" s="127" t="s">
        <v>279</v>
      </c>
      <c r="F626" s="74">
        <v>1</v>
      </c>
      <c r="G626" s="128">
        <v>1000</v>
      </c>
      <c r="H626" s="129"/>
      <c r="I626" s="124"/>
      <c r="J626" s="124"/>
    </row>
    <row r="627" spans="1:10" ht="26.25" x14ac:dyDescent="0.25">
      <c r="A627" s="124" t="s">
        <v>141</v>
      </c>
      <c r="B627" s="125" t="s">
        <v>121</v>
      </c>
      <c r="C627" s="126">
        <v>44896</v>
      </c>
      <c r="D627" s="124">
        <v>7</v>
      </c>
      <c r="E627" s="127" t="s">
        <v>51</v>
      </c>
      <c r="F627" s="74">
        <v>0</v>
      </c>
      <c r="G627" s="128">
        <v>0</v>
      </c>
      <c r="H627" s="129" t="s">
        <v>150</v>
      </c>
      <c r="I627" s="124"/>
      <c r="J627" s="124" t="s">
        <v>156</v>
      </c>
    </row>
    <row r="628" spans="1:10" ht="26.25" x14ac:dyDescent="0.25">
      <c r="A628" s="124" t="s">
        <v>141</v>
      </c>
      <c r="B628" s="125" t="s">
        <v>121</v>
      </c>
      <c r="C628" s="126">
        <v>44896</v>
      </c>
      <c r="D628" s="124">
        <v>8</v>
      </c>
      <c r="E628" s="127" t="s">
        <v>52</v>
      </c>
      <c r="F628" s="74">
        <v>0</v>
      </c>
      <c r="G628" s="128">
        <v>0</v>
      </c>
      <c r="H628" s="129" t="s">
        <v>150</v>
      </c>
      <c r="I628" s="124"/>
      <c r="J628" s="124" t="s">
        <v>156</v>
      </c>
    </row>
    <row r="629" spans="1:10" ht="26.25" x14ac:dyDescent="0.25">
      <c r="A629" s="124" t="s">
        <v>141</v>
      </c>
      <c r="B629" s="125" t="s">
        <v>121</v>
      </c>
      <c r="C629" s="126">
        <v>44896</v>
      </c>
      <c r="D629" s="124">
        <v>9</v>
      </c>
      <c r="E629" s="127" t="s">
        <v>40</v>
      </c>
      <c r="F629" s="74">
        <v>0</v>
      </c>
      <c r="G629" s="128">
        <v>0</v>
      </c>
      <c r="H629" s="129" t="s">
        <v>150</v>
      </c>
      <c r="I629" s="124"/>
      <c r="J629" s="124" t="s">
        <v>156</v>
      </c>
    </row>
    <row r="630" spans="1:10" ht="26.25" x14ac:dyDescent="0.25">
      <c r="A630" s="124" t="s">
        <v>141</v>
      </c>
      <c r="B630" s="125" t="s">
        <v>121</v>
      </c>
      <c r="C630" s="126">
        <v>44896</v>
      </c>
      <c r="D630" s="124">
        <v>10</v>
      </c>
      <c r="E630" s="127" t="s">
        <v>41</v>
      </c>
      <c r="F630" s="74">
        <v>2</v>
      </c>
      <c r="G630" s="128">
        <v>9160</v>
      </c>
      <c r="H630" s="129" t="s">
        <v>150</v>
      </c>
      <c r="I630" s="124"/>
      <c r="J630" s="124" t="s">
        <v>156</v>
      </c>
    </row>
    <row r="631" spans="1:10" ht="26.25" x14ac:dyDescent="0.25">
      <c r="A631" s="124" t="s">
        <v>141</v>
      </c>
      <c r="B631" s="125" t="s">
        <v>121</v>
      </c>
      <c r="C631" s="126">
        <v>44896</v>
      </c>
      <c r="D631" s="124">
        <v>11</v>
      </c>
      <c r="E631" s="127" t="s">
        <v>42</v>
      </c>
      <c r="F631" s="74">
        <v>1</v>
      </c>
      <c r="G631" s="128">
        <v>5040</v>
      </c>
      <c r="H631" s="129" t="s">
        <v>150</v>
      </c>
      <c r="I631" s="124"/>
      <c r="J631" s="124" t="s">
        <v>156</v>
      </c>
    </row>
    <row r="632" spans="1:10" ht="26.25" x14ac:dyDescent="0.25">
      <c r="A632" s="124" t="s">
        <v>141</v>
      </c>
      <c r="B632" s="125" t="s">
        <v>121</v>
      </c>
      <c r="C632" s="126">
        <v>44896</v>
      </c>
      <c r="D632" s="124">
        <v>12</v>
      </c>
      <c r="E632" s="127" t="s">
        <v>43</v>
      </c>
      <c r="F632" s="74">
        <v>2</v>
      </c>
      <c r="G632" s="128">
        <v>10800</v>
      </c>
      <c r="H632" s="129" t="s">
        <v>150</v>
      </c>
      <c r="I632" s="124"/>
      <c r="J632" s="124" t="s">
        <v>156</v>
      </c>
    </row>
    <row r="633" spans="1:10" ht="26.25" x14ac:dyDescent="0.25">
      <c r="A633" s="124" t="s">
        <v>141</v>
      </c>
      <c r="B633" s="125" t="s">
        <v>121</v>
      </c>
      <c r="C633" s="126">
        <v>44896</v>
      </c>
      <c r="D633" s="124">
        <v>13</v>
      </c>
      <c r="E633" s="127" t="s">
        <v>44</v>
      </c>
      <c r="F633" s="74">
        <v>0</v>
      </c>
      <c r="G633" s="128">
        <v>0</v>
      </c>
      <c r="H633" s="129" t="s">
        <v>150</v>
      </c>
      <c r="I633" s="124"/>
      <c r="J633" s="124" t="s">
        <v>156</v>
      </c>
    </row>
    <row r="634" spans="1:10" ht="26.25" x14ac:dyDescent="0.25">
      <c r="A634" s="124" t="s">
        <v>141</v>
      </c>
      <c r="B634" s="125" t="s">
        <v>121</v>
      </c>
      <c r="C634" s="126">
        <v>44896</v>
      </c>
      <c r="D634" s="124">
        <v>14</v>
      </c>
      <c r="E634" s="127" t="s">
        <v>45</v>
      </c>
      <c r="F634" s="74">
        <v>1</v>
      </c>
      <c r="G634" s="128">
        <v>6360</v>
      </c>
      <c r="H634" s="129" t="s">
        <v>150</v>
      </c>
      <c r="I634" s="124"/>
      <c r="J634" s="124" t="s">
        <v>156</v>
      </c>
    </row>
    <row r="635" spans="1:10" ht="26.25" x14ac:dyDescent="0.25">
      <c r="A635" s="124" t="s">
        <v>141</v>
      </c>
      <c r="B635" s="125" t="s">
        <v>121</v>
      </c>
      <c r="C635" s="126">
        <v>44896</v>
      </c>
      <c r="D635" s="124">
        <v>15</v>
      </c>
      <c r="E635" s="127" t="s">
        <v>46</v>
      </c>
      <c r="F635" s="74">
        <v>2</v>
      </c>
      <c r="G635" s="128">
        <v>13620</v>
      </c>
      <c r="H635" s="129" t="s">
        <v>150</v>
      </c>
      <c r="I635" s="124"/>
      <c r="J635" s="124" t="s">
        <v>156</v>
      </c>
    </row>
    <row r="636" spans="1:10" ht="26.25" x14ac:dyDescent="0.25">
      <c r="A636" s="124" t="s">
        <v>141</v>
      </c>
      <c r="B636" s="125" t="s">
        <v>121</v>
      </c>
      <c r="C636" s="126">
        <v>44896</v>
      </c>
      <c r="D636" s="124">
        <v>16</v>
      </c>
      <c r="E636" s="127" t="s">
        <v>47</v>
      </c>
      <c r="F636" s="74">
        <v>0</v>
      </c>
      <c r="G636" s="128">
        <v>0</v>
      </c>
      <c r="H636" s="129" t="s">
        <v>150</v>
      </c>
      <c r="I636" s="124"/>
      <c r="J636" s="124" t="s">
        <v>156</v>
      </c>
    </row>
    <row r="637" spans="1:10" ht="26.25" x14ac:dyDescent="0.25">
      <c r="A637" s="124" t="s">
        <v>141</v>
      </c>
      <c r="B637" s="125" t="s">
        <v>121</v>
      </c>
      <c r="C637" s="126">
        <v>44896</v>
      </c>
      <c r="D637" s="124">
        <v>20</v>
      </c>
      <c r="E637" s="127" t="s">
        <v>115</v>
      </c>
      <c r="F637" s="74">
        <v>0</v>
      </c>
      <c r="G637" s="128">
        <v>0</v>
      </c>
      <c r="H637" s="129" t="s">
        <v>150</v>
      </c>
      <c r="I637" s="124"/>
      <c r="J637" s="124" t="s">
        <v>156</v>
      </c>
    </row>
    <row r="638" spans="1:10" ht="26.25" x14ac:dyDescent="0.25">
      <c r="A638" s="124" t="s">
        <v>141</v>
      </c>
      <c r="B638" s="125" t="s">
        <v>121</v>
      </c>
      <c r="C638" s="126">
        <v>44896</v>
      </c>
      <c r="D638" s="124">
        <v>21</v>
      </c>
      <c r="E638" s="127" t="s">
        <v>116</v>
      </c>
      <c r="F638" s="74">
        <v>1</v>
      </c>
      <c r="G638" s="128">
        <v>9500</v>
      </c>
      <c r="H638" s="129" t="s">
        <v>150</v>
      </c>
      <c r="I638" s="124"/>
      <c r="J638" s="124" t="s">
        <v>156</v>
      </c>
    </row>
    <row r="639" spans="1:10" ht="26.25" x14ac:dyDescent="0.25">
      <c r="A639" s="124" t="s">
        <v>141</v>
      </c>
      <c r="B639" s="125" t="s">
        <v>121</v>
      </c>
      <c r="C639" s="126">
        <v>44896</v>
      </c>
      <c r="D639" s="124">
        <v>22</v>
      </c>
      <c r="E639" s="127" t="s">
        <v>117</v>
      </c>
      <c r="F639" s="74">
        <v>1</v>
      </c>
      <c r="G639" s="128">
        <v>10500</v>
      </c>
      <c r="H639" s="129" t="s">
        <v>150</v>
      </c>
      <c r="I639" s="124"/>
      <c r="J639" s="124" t="s">
        <v>156</v>
      </c>
    </row>
    <row r="640" spans="1:10" ht="15" x14ac:dyDescent="0.25">
      <c r="A640" s="125" t="s">
        <v>279</v>
      </c>
      <c r="B640" s="125" t="s">
        <v>121</v>
      </c>
      <c r="C640" s="126">
        <v>44927</v>
      </c>
      <c r="D640" s="124">
        <v>5</v>
      </c>
      <c r="E640" s="127" t="s">
        <v>279</v>
      </c>
      <c r="F640" s="74">
        <v>1</v>
      </c>
      <c r="G640" s="128">
        <v>1000</v>
      </c>
      <c r="H640" s="129"/>
      <c r="I640" s="124"/>
      <c r="J640" s="124"/>
    </row>
    <row r="641" spans="1:10" ht="15" x14ac:dyDescent="0.25">
      <c r="A641" s="124" t="s">
        <v>141</v>
      </c>
      <c r="B641" s="125" t="s">
        <v>121</v>
      </c>
      <c r="C641" s="126">
        <v>44927</v>
      </c>
      <c r="D641" s="124">
        <v>7</v>
      </c>
      <c r="E641" s="127" t="s">
        <v>51</v>
      </c>
      <c r="F641" s="74">
        <v>0</v>
      </c>
      <c r="G641" s="128">
        <v>0</v>
      </c>
      <c r="H641" s="129"/>
      <c r="I641" s="124"/>
      <c r="J641" s="124"/>
    </row>
    <row r="642" spans="1:10" ht="15" x14ac:dyDescent="0.25">
      <c r="A642" s="124" t="s">
        <v>141</v>
      </c>
      <c r="B642" s="125" t="s">
        <v>121</v>
      </c>
      <c r="C642" s="126">
        <v>44927</v>
      </c>
      <c r="D642" s="124">
        <v>8</v>
      </c>
      <c r="E642" s="127" t="s">
        <v>52</v>
      </c>
      <c r="F642" s="74">
        <v>0</v>
      </c>
      <c r="G642" s="128">
        <v>0</v>
      </c>
      <c r="H642" s="129"/>
      <c r="I642" s="124"/>
      <c r="J642" s="124"/>
    </row>
    <row r="643" spans="1:10" ht="15" x14ac:dyDescent="0.25">
      <c r="A643" s="124" t="s">
        <v>141</v>
      </c>
      <c r="B643" s="125" t="s">
        <v>121</v>
      </c>
      <c r="C643" s="126">
        <v>44927</v>
      </c>
      <c r="D643" s="124">
        <v>9</v>
      </c>
      <c r="E643" s="127" t="s">
        <v>40</v>
      </c>
      <c r="F643" s="74">
        <v>0</v>
      </c>
      <c r="G643" s="128">
        <v>0</v>
      </c>
      <c r="H643" s="129"/>
      <c r="I643" s="124"/>
      <c r="J643" s="124"/>
    </row>
    <row r="644" spans="1:10" ht="15" x14ac:dyDescent="0.25">
      <c r="A644" s="124" t="s">
        <v>141</v>
      </c>
      <c r="B644" s="125" t="s">
        <v>121</v>
      </c>
      <c r="C644" s="126">
        <v>44927</v>
      </c>
      <c r="D644" s="124">
        <v>10</v>
      </c>
      <c r="E644" s="127" t="s">
        <v>41</v>
      </c>
      <c r="F644" s="74">
        <v>2</v>
      </c>
      <c r="G644" s="128">
        <v>9160</v>
      </c>
      <c r="H644" s="129"/>
      <c r="I644" s="124"/>
      <c r="J644" s="124"/>
    </row>
    <row r="645" spans="1:10" ht="15" x14ac:dyDescent="0.25">
      <c r="A645" s="124" t="s">
        <v>141</v>
      </c>
      <c r="B645" s="125" t="s">
        <v>121</v>
      </c>
      <c r="C645" s="126">
        <v>44927</v>
      </c>
      <c r="D645" s="124">
        <v>11</v>
      </c>
      <c r="E645" s="127" t="s">
        <v>42</v>
      </c>
      <c r="F645" s="74">
        <v>1</v>
      </c>
      <c r="G645" s="128">
        <v>5040</v>
      </c>
      <c r="H645" s="129"/>
      <c r="I645" s="124"/>
      <c r="J645" s="124"/>
    </row>
    <row r="646" spans="1:10" ht="15" x14ac:dyDescent="0.25">
      <c r="A646" s="124" t="s">
        <v>141</v>
      </c>
      <c r="B646" s="125" t="s">
        <v>121</v>
      </c>
      <c r="C646" s="126">
        <v>44927</v>
      </c>
      <c r="D646" s="124">
        <v>12</v>
      </c>
      <c r="E646" s="127" t="s">
        <v>43</v>
      </c>
      <c r="F646" s="74">
        <v>2</v>
      </c>
      <c r="G646" s="128">
        <v>10800</v>
      </c>
      <c r="H646" s="129"/>
      <c r="I646" s="124"/>
      <c r="J646" s="124"/>
    </row>
    <row r="647" spans="1:10" ht="15" x14ac:dyDescent="0.25">
      <c r="A647" s="124" t="s">
        <v>141</v>
      </c>
      <c r="B647" s="125" t="s">
        <v>121</v>
      </c>
      <c r="C647" s="126">
        <v>44927</v>
      </c>
      <c r="D647" s="124">
        <v>13</v>
      </c>
      <c r="E647" s="127" t="s">
        <v>44</v>
      </c>
      <c r="F647" s="74">
        <v>0</v>
      </c>
      <c r="G647" s="128">
        <v>0</v>
      </c>
      <c r="H647" s="129"/>
      <c r="I647" s="124"/>
      <c r="J647" s="124"/>
    </row>
    <row r="648" spans="1:10" ht="15" x14ac:dyDescent="0.25">
      <c r="A648" s="124" t="s">
        <v>141</v>
      </c>
      <c r="B648" s="125" t="s">
        <v>121</v>
      </c>
      <c r="C648" s="126">
        <v>44927</v>
      </c>
      <c r="D648" s="124">
        <v>14</v>
      </c>
      <c r="E648" s="127" t="s">
        <v>45</v>
      </c>
      <c r="F648" s="74">
        <v>1</v>
      </c>
      <c r="G648" s="128">
        <v>6360</v>
      </c>
      <c r="H648" s="129"/>
      <c r="I648" s="124"/>
      <c r="J648" s="124"/>
    </row>
    <row r="649" spans="1:10" ht="15" x14ac:dyDescent="0.25">
      <c r="A649" s="124" t="s">
        <v>141</v>
      </c>
      <c r="B649" s="125" t="s">
        <v>121</v>
      </c>
      <c r="C649" s="126">
        <v>44927</v>
      </c>
      <c r="D649" s="124">
        <v>15</v>
      </c>
      <c r="E649" s="127" t="s">
        <v>46</v>
      </c>
      <c r="F649" s="74">
        <v>2</v>
      </c>
      <c r="G649" s="128">
        <v>13620</v>
      </c>
      <c r="H649" s="129"/>
      <c r="I649" s="124"/>
      <c r="J649" s="124"/>
    </row>
    <row r="650" spans="1:10" ht="15" x14ac:dyDescent="0.25">
      <c r="A650" s="124" t="s">
        <v>141</v>
      </c>
      <c r="B650" s="125" t="s">
        <v>121</v>
      </c>
      <c r="C650" s="126">
        <v>44927</v>
      </c>
      <c r="D650" s="124">
        <v>16</v>
      </c>
      <c r="E650" s="127" t="s">
        <v>47</v>
      </c>
      <c r="F650" s="74">
        <v>0</v>
      </c>
      <c r="G650" s="128">
        <v>0</v>
      </c>
      <c r="H650" s="129"/>
      <c r="I650" s="124"/>
      <c r="J650" s="124"/>
    </row>
    <row r="651" spans="1:10" ht="15" x14ac:dyDescent="0.25">
      <c r="A651" s="124" t="s">
        <v>141</v>
      </c>
      <c r="B651" s="125" t="s">
        <v>121</v>
      </c>
      <c r="C651" s="126">
        <v>44927</v>
      </c>
      <c r="D651" s="124">
        <v>20</v>
      </c>
      <c r="E651" s="127" t="s">
        <v>115</v>
      </c>
      <c r="F651" s="74">
        <v>0</v>
      </c>
      <c r="G651" s="128">
        <v>0</v>
      </c>
      <c r="H651" s="129"/>
      <c r="I651" s="124"/>
      <c r="J651" s="124"/>
    </row>
    <row r="652" spans="1:10" ht="15" x14ac:dyDescent="0.25">
      <c r="A652" s="124" t="s">
        <v>141</v>
      </c>
      <c r="B652" s="125" t="s">
        <v>121</v>
      </c>
      <c r="C652" s="126">
        <v>44927</v>
      </c>
      <c r="D652" s="124">
        <v>21</v>
      </c>
      <c r="E652" s="127" t="s">
        <v>116</v>
      </c>
      <c r="F652" s="74">
        <v>1</v>
      </c>
      <c r="G652" s="128">
        <v>9500</v>
      </c>
      <c r="H652" s="129"/>
      <c r="I652" s="124"/>
      <c r="J652" s="124"/>
    </row>
    <row r="653" spans="1:10" ht="15" x14ac:dyDescent="0.25">
      <c r="A653" s="124" t="s">
        <v>141</v>
      </c>
      <c r="B653" s="125" t="s">
        <v>121</v>
      </c>
      <c r="C653" s="126">
        <v>44927</v>
      </c>
      <c r="D653" s="124">
        <v>22</v>
      </c>
      <c r="E653" s="127" t="s">
        <v>117</v>
      </c>
      <c r="F653" s="74">
        <v>1</v>
      </c>
      <c r="G653" s="128">
        <v>10500</v>
      </c>
      <c r="H653" s="129"/>
      <c r="I653" s="124"/>
      <c r="J653" s="124"/>
    </row>
    <row r="654" spans="1:10" ht="15" x14ac:dyDescent="0.25">
      <c r="A654" s="125" t="s">
        <v>279</v>
      </c>
      <c r="B654" s="125" t="s">
        <v>121</v>
      </c>
      <c r="C654" s="126">
        <v>44958</v>
      </c>
      <c r="D654" s="124">
        <v>5</v>
      </c>
      <c r="E654" s="127" t="s">
        <v>279</v>
      </c>
      <c r="F654" s="74">
        <v>1</v>
      </c>
      <c r="G654" s="128">
        <v>1000</v>
      </c>
      <c r="H654" s="129"/>
      <c r="I654" s="124"/>
      <c r="J654" s="124"/>
    </row>
    <row r="655" spans="1:10" ht="15" x14ac:dyDescent="0.25">
      <c r="A655" s="124" t="s">
        <v>141</v>
      </c>
      <c r="B655" s="125" t="s">
        <v>121</v>
      </c>
      <c r="C655" s="126">
        <v>44958</v>
      </c>
      <c r="D655" s="124">
        <v>7</v>
      </c>
      <c r="E655" s="127" t="s">
        <v>51</v>
      </c>
      <c r="F655" s="74">
        <v>0</v>
      </c>
      <c r="G655" s="128">
        <v>0</v>
      </c>
      <c r="H655" s="129"/>
      <c r="I655" s="124"/>
      <c r="J655" s="124"/>
    </row>
    <row r="656" spans="1:10" ht="15" x14ac:dyDescent="0.25">
      <c r="A656" s="124" t="s">
        <v>141</v>
      </c>
      <c r="B656" s="125" t="s">
        <v>121</v>
      </c>
      <c r="C656" s="126">
        <v>44958</v>
      </c>
      <c r="D656" s="124">
        <v>8</v>
      </c>
      <c r="E656" s="127" t="s">
        <v>52</v>
      </c>
      <c r="F656" s="74">
        <v>0</v>
      </c>
      <c r="G656" s="128">
        <v>0</v>
      </c>
      <c r="H656" s="129"/>
      <c r="I656" s="124"/>
      <c r="J656" s="124"/>
    </row>
    <row r="657" spans="1:10" ht="15" x14ac:dyDescent="0.25">
      <c r="A657" s="124" t="s">
        <v>141</v>
      </c>
      <c r="B657" s="125" t="s">
        <v>121</v>
      </c>
      <c r="C657" s="126">
        <v>44958</v>
      </c>
      <c r="D657" s="124">
        <v>9</v>
      </c>
      <c r="E657" s="127" t="s">
        <v>40</v>
      </c>
      <c r="F657" s="74">
        <v>0</v>
      </c>
      <c r="G657" s="128">
        <v>0</v>
      </c>
      <c r="H657" s="129"/>
      <c r="I657" s="124"/>
      <c r="J657" s="124"/>
    </row>
    <row r="658" spans="1:10" ht="15" x14ac:dyDescent="0.25">
      <c r="A658" s="124" t="s">
        <v>141</v>
      </c>
      <c r="B658" s="125" t="s">
        <v>121</v>
      </c>
      <c r="C658" s="126">
        <v>44958</v>
      </c>
      <c r="D658" s="124">
        <v>10</v>
      </c>
      <c r="E658" s="127" t="s">
        <v>41</v>
      </c>
      <c r="F658" s="74">
        <v>2</v>
      </c>
      <c r="G658" s="128">
        <v>9160</v>
      </c>
      <c r="H658" s="129"/>
      <c r="I658" s="124"/>
      <c r="J658" s="124"/>
    </row>
    <row r="659" spans="1:10" ht="15" x14ac:dyDescent="0.25">
      <c r="A659" s="124" t="s">
        <v>141</v>
      </c>
      <c r="B659" s="125" t="s">
        <v>121</v>
      </c>
      <c r="C659" s="126">
        <v>44958</v>
      </c>
      <c r="D659" s="124">
        <v>11</v>
      </c>
      <c r="E659" s="127" t="s">
        <v>42</v>
      </c>
      <c r="F659" s="74">
        <v>1</v>
      </c>
      <c r="G659" s="128">
        <v>5040</v>
      </c>
      <c r="H659" s="129"/>
      <c r="I659" s="124"/>
      <c r="J659" s="124"/>
    </row>
    <row r="660" spans="1:10" ht="15" x14ac:dyDescent="0.25">
      <c r="A660" s="124" t="s">
        <v>141</v>
      </c>
      <c r="B660" s="125" t="s">
        <v>121</v>
      </c>
      <c r="C660" s="126">
        <v>44958</v>
      </c>
      <c r="D660" s="124">
        <v>12</v>
      </c>
      <c r="E660" s="127" t="s">
        <v>43</v>
      </c>
      <c r="F660" s="74">
        <v>1</v>
      </c>
      <c r="G660" s="128">
        <v>5400</v>
      </c>
      <c r="H660" s="129"/>
      <c r="I660" s="124"/>
      <c r="J660" s="124"/>
    </row>
    <row r="661" spans="1:10" ht="15" x14ac:dyDescent="0.25">
      <c r="A661" s="124" t="s">
        <v>141</v>
      </c>
      <c r="B661" s="125" t="s">
        <v>121</v>
      </c>
      <c r="C661" s="126">
        <v>44958</v>
      </c>
      <c r="D661" s="124">
        <v>13</v>
      </c>
      <c r="E661" s="127" t="s">
        <v>44</v>
      </c>
      <c r="F661" s="74">
        <v>1</v>
      </c>
      <c r="G661" s="128">
        <v>5780</v>
      </c>
      <c r="H661" s="129"/>
      <c r="I661" s="124"/>
      <c r="J661" s="124"/>
    </row>
    <row r="662" spans="1:10" ht="15" x14ac:dyDescent="0.25">
      <c r="A662" s="124" t="s">
        <v>141</v>
      </c>
      <c r="B662" s="125" t="s">
        <v>121</v>
      </c>
      <c r="C662" s="126">
        <v>44958</v>
      </c>
      <c r="D662" s="124">
        <v>14</v>
      </c>
      <c r="E662" s="127" t="s">
        <v>45</v>
      </c>
      <c r="F662" s="74">
        <v>1</v>
      </c>
      <c r="G662" s="128">
        <v>6360</v>
      </c>
      <c r="H662" s="129"/>
      <c r="I662" s="124"/>
      <c r="J662" s="124"/>
    </row>
    <row r="663" spans="1:10" ht="15" x14ac:dyDescent="0.25">
      <c r="A663" s="124" t="s">
        <v>141</v>
      </c>
      <c r="B663" s="125" t="s">
        <v>121</v>
      </c>
      <c r="C663" s="126">
        <v>44958</v>
      </c>
      <c r="D663" s="124">
        <v>15</v>
      </c>
      <c r="E663" s="127" t="s">
        <v>46</v>
      </c>
      <c r="F663" s="74">
        <v>2</v>
      </c>
      <c r="G663" s="128">
        <v>13620</v>
      </c>
      <c r="H663" s="129"/>
      <c r="I663" s="124"/>
      <c r="J663" s="124"/>
    </row>
    <row r="664" spans="1:10" ht="15" x14ac:dyDescent="0.25">
      <c r="A664" s="124" t="s">
        <v>141</v>
      </c>
      <c r="B664" s="125" t="s">
        <v>121</v>
      </c>
      <c r="C664" s="126">
        <v>44958</v>
      </c>
      <c r="D664" s="124">
        <v>16</v>
      </c>
      <c r="E664" s="127" t="s">
        <v>47</v>
      </c>
      <c r="F664" s="74">
        <v>0</v>
      </c>
      <c r="G664" s="128">
        <v>0</v>
      </c>
      <c r="H664" s="129"/>
      <c r="I664" s="124"/>
      <c r="J664" s="124"/>
    </row>
    <row r="665" spans="1:10" ht="15" x14ac:dyDescent="0.25">
      <c r="A665" s="124" t="s">
        <v>141</v>
      </c>
      <c r="B665" s="125" t="s">
        <v>121</v>
      </c>
      <c r="C665" s="126">
        <v>44958</v>
      </c>
      <c r="D665" s="124">
        <v>20</v>
      </c>
      <c r="E665" s="127" t="s">
        <v>115</v>
      </c>
      <c r="F665" s="74">
        <v>0</v>
      </c>
      <c r="G665" s="128">
        <v>0</v>
      </c>
      <c r="H665" s="129"/>
      <c r="I665" s="124"/>
      <c r="J665" s="124"/>
    </row>
    <row r="666" spans="1:10" ht="15" x14ac:dyDescent="0.25">
      <c r="A666" s="124" t="s">
        <v>141</v>
      </c>
      <c r="B666" s="125" t="s">
        <v>121</v>
      </c>
      <c r="C666" s="126">
        <v>44958</v>
      </c>
      <c r="D666" s="124">
        <v>21</v>
      </c>
      <c r="E666" s="127" t="s">
        <v>116</v>
      </c>
      <c r="F666" s="74">
        <v>1</v>
      </c>
      <c r="G666" s="128">
        <v>9500</v>
      </c>
      <c r="H666" s="129"/>
      <c r="I666" s="124"/>
      <c r="J666" s="124"/>
    </row>
    <row r="667" spans="1:10" ht="15" x14ac:dyDescent="0.25">
      <c r="A667" s="124" t="s">
        <v>141</v>
      </c>
      <c r="B667" s="125" t="s">
        <v>121</v>
      </c>
      <c r="C667" s="126">
        <v>44958</v>
      </c>
      <c r="D667" s="124">
        <v>22</v>
      </c>
      <c r="E667" s="127" t="s">
        <v>117</v>
      </c>
      <c r="F667" s="74">
        <v>1</v>
      </c>
      <c r="G667" s="128">
        <v>10500</v>
      </c>
      <c r="H667" s="129"/>
      <c r="I667" s="124"/>
      <c r="J667" s="124"/>
    </row>
    <row r="668" spans="1:10" ht="15" x14ac:dyDescent="0.25">
      <c r="A668" s="125" t="s">
        <v>279</v>
      </c>
      <c r="B668" s="125" t="s">
        <v>121</v>
      </c>
      <c r="C668" s="126">
        <v>44986</v>
      </c>
      <c r="D668" s="124">
        <v>5</v>
      </c>
      <c r="E668" s="127" t="s">
        <v>279</v>
      </c>
      <c r="F668" s="74">
        <v>2</v>
      </c>
      <c r="G668" s="128">
        <v>2000</v>
      </c>
      <c r="H668" s="129"/>
      <c r="I668" s="124"/>
      <c r="J668" s="124"/>
    </row>
    <row r="669" spans="1:10" ht="15" x14ac:dyDescent="0.25">
      <c r="A669" s="124" t="s">
        <v>141</v>
      </c>
      <c r="B669" s="125" t="s">
        <v>121</v>
      </c>
      <c r="C669" s="126">
        <v>44986</v>
      </c>
      <c r="D669" s="124">
        <v>7</v>
      </c>
      <c r="E669" s="127" t="s">
        <v>51</v>
      </c>
      <c r="F669" s="74"/>
      <c r="G669" s="128">
        <v>0</v>
      </c>
      <c r="H669" s="129"/>
      <c r="I669" s="124"/>
      <c r="J669" s="124"/>
    </row>
    <row r="670" spans="1:10" ht="15" x14ac:dyDescent="0.25">
      <c r="A670" s="124" t="s">
        <v>141</v>
      </c>
      <c r="B670" s="125" t="s">
        <v>121</v>
      </c>
      <c r="C670" s="126">
        <v>44986</v>
      </c>
      <c r="D670" s="124">
        <v>8</v>
      </c>
      <c r="E670" s="127" t="s">
        <v>52</v>
      </c>
      <c r="F670" s="74"/>
      <c r="G670" s="128">
        <v>0</v>
      </c>
      <c r="H670" s="129"/>
      <c r="I670" s="124"/>
      <c r="J670" s="124"/>
    </row>
    <row r="671" spans="1:10" ht="15" x14ac:dyDescent="0.25">
      <c r="A671" s="124" t="s">
        <v>141</v>
      </c>
      <c r="B671" s="125" t="s">
        <v>121</v>
      </c>
      <c r="C671" s="126">
        <v>44986</v>
      </c>
      <c r="D671" s="124">
        <v>9</v>
      </c>
      <c r="E671" s="127" t="s">
        <v>40</v>
      </c>
      <c r="F671" s="74"/>
      <c r="G671" s="128">
        <v>0</v>
      </c>
      <c r="H671" s="129"/>
      <c r="I671" s="124"/>
      <c r="J671" s="124"/>
    </row>
    <row r="672" spans="1:10" ht="15" x14ac:dyDescent="0.25">
      <c r="A672" s="124" t="s">
        <v>141</v>
      </c>
      <c r="B672" s="125" t="s">
        <v>121</v>
      </c>
      <c r="C672" s="126">
        <v>44986</v>
      </c>
      <c r="D672" s="124">
        <v>10</v>
      </c>
      <c r="E672" s="127" t="s">
        <v>41</v>
      </c>
      <c r="F672" s="74">
        <v>2</v>
      </c>
      <c r="G672" s="128">
        <v>9160</v>
      </c>
      <c r="H672" s="129"/>
      <c r="I672" s="124"/>
      <c r="J672" s="124"/>
    </row>
    <row r="673" spans="1:10" ht="15" x14ac:dyDescent="0.25">
      <c r="A673" s="124" t="s">
        <v>141</v>
      </c>
      <c r="B673" s="125" t="s">
        <v>121</v>
      </c>
      <c r="C673" s="126">
        <v>44986</v>
      </c>
      <c r="D673" s="124">
        <v>11</v>
      </c>
      <c r="E673" s="127" t="s">
        <v>42</v>
      </c>
      <c r="F673" s="74">
        <v>1</v>
      </c>
      <c r="G673" s="128">
        <v>5040</v>
      </c>
      <c r="H673" s="129"/>
      <c r="I673" s="124"/>
      <c r="J673" s="124"/>
    </row>
    <row r="674" spans="1:10" ht="15" x14ac:dyDescent="0.25">
      <c r="A674" s="124" t="s">
        <v>141</v>
      </c>
      <c r="B674" s="125" t="s">
        <v>121</v>
      </c>
      <c r="C674" s="126">
        <v>44986</v>
      </c>
      <c r="D674" s="124">
        <v>12</v>
      </c>
      <c r="E674" s="127" t="s">
        <v>43</v>
      </c>
      <c r="F674" s="74">
        <v>1</v>
      </c>
      <c r="G674" s="128">
        <v>5400</v>
      </c>
      <c r="H674" s="129"/>
      <c r="I674" s="124"/>
      <c r="J674" s="124"/>
    </row>
    <row r="675" spans="1:10" ht="15" x14ac:dyDescent="0.25">
      <c r="A675" s="124" t="s">
        <v>141</v>
      </c>
      <c r="B675" s="125" t="s">
        <v>121</v>
      </c>
      <c r="C675" s="126">
        <v>44986</v>
      </c>
      <c r="D675" s="124">
        <v>13</v>
      </c>
      <c r="E675" s="127" t="s">
        <v>44</v>
      </c>
      <c r="F675" s="74">
        <v>1</v>
      </c>
      <c r="G675" s="128">
        <v>5780</v>
      </c>
      <c r="H675" s="129"/>
      <c r="I675" s="124"/>
      <c r="J675" s="124"/>
    </row>
    <row r="676" spans="1:10" ht="15" x14ac:dyDescent="0.25">
      <c r="A676" s="124" t="s">
        <v>141</v>
      </c>
      <c r="B676" s="125" t="s">
        <v>121</v>
      </c>
      <c r="C676" s="126">
        <v>44986</v>
      </c>
      <c r="D676" s="124">
        <v>14</v>
      </c>
      <c r="E676" s="127" t="s">
        <v>45</v>
      </c>
      <c r="F676" s="74">
        <v>1</v>
      </c>
      <c r="G676" s="128">
        <v>6360</v>
      </c>
      <c r="H676" s="129"/>
      <c r="I676" s="124"/>
      <c r="J676" s="124"/>
    </row>
    <row r="677" spans="1:10" ht="15" x14ac:dyDescent="0.25">
      <c r="A677" s="124" t="s">
        <v>141</v>
      </c>
      <c r="B677" s="125" t="s">
        <v>121</v>
      </c>
      <c r="C677" s="126">
        <v>44986</v>
      </c>
      <c r="D677" s="124">
        <v>15</v>
      </c>
      <c r="E677" s="127" t="s">
        <v>46</v>
      </c>
      <c r="F677" s="74">
        <v>2</v>
      </c>
      <c r="G677" s="128">
        <v>13620</v>
      </c>
      <c r="H677" s="129"/>
      <c r="I677" s="124"/>
      <c r="J677" s="124"/>
    </row>
    <row r="678" spans="1:10" ht="15" x14ac:dyDescent="0.25">
      <c r="A678" s="124" t="s">
        <v>141</v>
      </c>
      <c r="B678" s="125" t="s">
        <v>121</v>
      </c>
      <c r="C678" s="126">
        <v>44986</v>
      </c>
      <c r="D678" s="124">
        <v>16</v>
      </c>
      <c r="E678" s="127" t="s">
        <v>47</v>
      </c>
      <c r="F678" s="74"/>
      <c r="G678" s="128">
        <v>0</v>
      </c>
      <c r="H678" s="129"/>
      <c r="I678" s="124"/>
      <c r="J678" s="124"/>
    </row>
    <row r="679" spans="1:10" ht="15" x14ac:dyDescent="0.25">
      <c r="A679" s="124" t="s">
        <v>141</v>
      </c>
      <c r="B679" s="125" t="s">
        <v>121</v>
      </c>
      <c r="C679" s="126">
        <v>44986</v>
      </c>
      <c r="D679" s="124">
        <v>20</v>
      </c>
      <c r="E679" s="127" t="s">
        <v>115</v>
      </c>
      <c r="F679" s="74"/>
      <c r="G679" s="128">
        <v>0</v>
      </c>
      <c r="H679" s="129"/>
      <c r="I679" s="124"/>
      <c r="J679" s="124"/>
    </row>
    <row r="680" spans="1:10" ht="15" x14ac:dyDescent="0.25">
      <c r="A680" s="124" t="s">
        <v>141</v>
      </c>
      <c r="B680" s="125" t="s">
        <v>121</v>
      </c>
      <c r="C680" s="126">
        <v>44986</v>
      </c>
      <c r="D680" s="124">
        <v>21</v>
      </c>
      <c r="E680" s="127" t="s">
        <v>116</v>
      </c>
      <c r="F680" s="74">
        <v>1</v>
      </c>
      <c r="G680" s="128">
        <v>9500</v>
      </c>
      <c r="H680" s="129"/>
      <c r="I680" s="124"/>
      <c r="J680" s="124"/>
    </row>
    <row r="681" spans="1:10" ht="15" x14ac:dyDescent="0.25">
      <c r="A681" s="124" t="s">
        <v>141</v>
      </c>
      <c r="B681" s="125" t="s">
        <v>121</v>
      </c>
      <c r="C681" s="126">
        <v>44986</v>
      </c>
      <c r="D681" s="124">
        <v>22</v>
      </c>
      <c r="E681" s="127" t="s">
        <v>117</v>
      </c>
      <c r="F681" s="74">
        <v>1</v>
      </c>
      <c r="G681" s="128">
        <v>10500</v>
      </c>
      <c r="H681" s="129"/>
      <c r="I681" s="124"/>
      <c r="J681" s="124"/>
    </row>
    <row r="682" spans="1:10" ht="15" x14ac:dyDescent="0.25">
      <c r="A682" s="125" t="s">
        <v>279</v>
      </c>
      <c r="B682" s="125" t="s">
        <v>121</v>
      </c>
      <c r="C682" s="126">
        <v>45017</v>
      </c>
      <c r="D682" s="124">
        <v>5</v>
      </c>
      <c r="E682" s="127" t="s">
        <v>279</v>
      </c>
      <c r="F682" s="74">
        <v>2</v>
      </c>
      <c r="G682" s="128">
        <v>2000</v>
      </c>
      <c r="H682" s="129"/>
      <c r="I682" s="124"/>
      <c r="J682" s="124"/>
    </row>
    <row r="683" spans="1:10" ht="15" x14ac:dyDescent="0.25">
      <c r="A683" s="124" t="s">
        <v>141</v>
      </c>
      <c r="B683" s="125" t="s">
        <v>121</v>
      </c>
      <c r="C683" s="126">
        <v>45017</v>
      </c>
      <c r="D683" s="124">
        <v>7</v>
      </c>
      <c r="E683" s="127" t="s">
        <v>51</v>
      </c>
      <c r="F683" s="74"/>
      <c r="G683" s="128">
        <v>0</v>
      </c>
      <c r="H683" s="129"/>
      <c r="I683" s="124"/>
      <c r="J683" s="124"/>
    </row>
    <row r="684" spans="1:10" ht="15" x14ac:dyDescent="0.25">
      <c r="A684" s="124" t="s">
        <v>141</v>
      </c>
      <c r="B684" s="125" t="s">
        <v>121</v>
      </c>
      <c r="C684" s="126">
        <v>45017</v>
      </c>
      <c r="D684" s="124">
        <v>8</v>
      </c>
      <c r="E684" s="127" t="s">
        <v>52</v>
      </c>
      <c r="F684" s="74"/>
      <c r="G684" s="128">
        <v>0</v>
      </c>
      <c r="H684" s="129"/>
      <c r="I684" s="124"/>
      <c r="J684" s="124"/>
    </row>
    <row r="685" spans="1:10" ht="15" x14ac:dyDescent="0.25">
      <c r="A685" s="124" t="s">
        <v>141</v>
      </c>
      <c r="B685" s="125" t="s">
        <v>121</v>
      </c>
      <c r="C685" s="126">
        <v>45017</v>
      </c>
      <c r="D685" s="124">
        <v>9</v>
      </c>
      <c r="E685" s="127" t="s">
        <v>40</v>
      </c>
      <c r="F685" s="74"/>
      <c r="G685" s="128">
        <v>0</v>
      </c>
      <c r="H685" s="129"/>
      <c r="I685" s="124"/>
      <c r="J685" s="124"/>
    </row>
    <row r="686" spans="1:10" ht="15" x14ac:dyDescent="0.25">
      <c r="A686" s="124" t="s">
        <v>141</v>
      </c>
      <c r="B686" s="125" t="s">
        <v>121</v>
      </c>
      <c r="C686" s="126">
        <v>45017</v>
      </c>
      <c r="D686" s="124">
        <v>10</v>
      </c>
      <c r="E686" s="127" t="s">
        <v>41</v>
      </c>
      <c r="F686" s="74">
        <v>2</v>
      </c>
      <c r="G686" s="128">
        <v>9160</v>
      </c>
      <c r="H686" s="129"/>
      <c r="I686" s="124"/>
      <c r="J686" s="124"/>
    </row>
    <row r="687" spans="1:10" ht="15" x14ac:dyDescent="0.25">
      <c r="A687" s="124" t="s">
        <v>141</v>
      </c>
      <c r="B687" s="125" t="s">
        <v>121</v>
      </c>
      <c r="C687" s="126">
        <v>45017</v>
      </c>
      <c r="D687" s="124">
        <v>11</v>
      </c>
      <c r="E687" s="127" t="s">
        <v>42</v>
      </c>
      <c r="F687" s="74">
        <v>1</v>
      </c>
      <c r="G687" s="128">
        <v>5040</v>
      </c>
      <c r="H687" s="129"/>
      <c r="I687" s="124"/>
      <c r="J687" s="124"/>
    </row>
    <row r="688" spans="1:10" ht="15" x14ac:dyDescent="0.25">
      <c r="A688" s="124" t="s">
        <v>141</v>
      </c>
      <c r="B688" s="125" t="s">
        <v>121</v>
      </c>
      <c r="C688" s="126">
        <v>45017</v>
      </c>
      <c r="D688" s="124">
        <v>12</v>
      </c>
      <c r="E688" s="127" t="s">
        <v>43</v>
      </c>
      <c r="F688" s="74">
        <v>1</v>
      </c>
      <c r="G688" s="128">
        <v>5400</v>
      </c>
      <c r="H688" s="129"/>
      <c r="I688" s="124"/>
      <c r="J688" s="124"/>
    </row>
    <row r="689" spans="1:10" ht="15" x14ac:dyDescent="0.25">
      <c r="A689" s="124" t="s">
        <v>141</v>
      </c>
      <c r="B689" s="125" t="s">
        <v>121</v>
      </c>
      <c r="C689" s="126">
        <v>45017</v>
      </c>
      <c r="D689" s="124">
        <v>13</v>
      </c>
      <c r="E689" s="127" t="s">
        <v>44</v>
      </c>
      <c r="F689" s="74">
        <v>1</v>
      </c>
      <c r="G689" s="128">
        <v>5780</v>
      </c>
      <c r="H689" s="129"/>
      <c r="I689" s="124"/>
      <c r="J689" s="124"/>
    </row>
    <row r="690" spans="1:10" ht="15" x14ac:dyDescent="0.25">
      <c r="A690" s="124" t="s">
        <v>141</v>
      </c>
      <c r="B690" s="125" t="s">
        <v>121</v>
      </c>
      <c r="C690" s="126">
        <v>45017</v>
      </c>
      <c r="D690" s="124">
        <v>14</v>
      </c>
      <c r="E690" s="127" t="s">
        <v>45</v>
      </c>
      <c r="F690" s="74">
        <v>1</v>
      </c>
      <c r="G690" s="128">
        <v>6360</v>
      </c>
      <c r="H690" s="129"/>
      <c r="I690" s="124"/>
      <c r="J690" s="124"/>
    </row>
    <row r="691" spans="1:10" ht="15" x14ac:dyDescent="0.25">
      <c r="A691" s="124" t="s">
        <v>141</v>
      </c>
      <c r="B691" s="125" t="s">
        <v>121</v>
      </c>
      <c r="C691" s="126">
        <v>45017</v>
      </c>
      <c r="D691" s="124">
        <v>15</v>
      </c>
      <c r="E691" s="127" t="s">
        <v>46</v>
      </c>
      <c r="F691" s="74">
        <v>2</v>
      </c>
      <c r="G691" s="128">
        <v>13620</v>
      </c>
      <c r="H691" s="129"/>
      <c r="I691" s="124"/>
      <c r="J691" s="124"/>
    </row>
    <row r="692" spans="1:10" ht="15" x14ac:dyDescent="0.25">
      <c r="A692" s="124" t="s">
        <v>141</v>
      </c>
      <c r="B692" s="125" t="s">
        <v>121</v>
      </c>
      <c r="C692" s="126">
        <v>45017</v>
      </c>
      <c r="D692" s="124">
        <v>16</v>
      </c>
      <c r="E692" s="127" t="s">
        <v>47</v>
      </c>
      <c r="F692" s="74"/>
      <c r="G692" s="128">
        <v>0</v>
      </c>
      <c r="H692" s="129"/>
      <c r="I692" s="124"/>
      <c r="J692" s="124"/>
    </row>
    <row r="693" spans="1:10" ht="15" x14ac:dyDescent="0.25">
      <c r="A693" s="124" t="s">
        <v>141</v>
      </c>
      <c r="B693" s="125" t="s">
        <v>121</v>
      </c>
      <c r="C693" s="126">
        <v>45017</v>
      </c>
      <c r="D693" s="124">
        <v>20</v>
      </c>
      <c r="E693" s="127" t="s">
        <v>115</v>
      </c>
      <c r="F693" s="74"/>
      <c r="G693" s="128">
        <v>0</v>
      </c>
      <c r="H693" s="129"/>
      <c r="I693" s="124"/>
      <c r="J693" s="124"/>
    </row>
    <row r="694" spans="1:10" ht="15" x14ac:dyDescent="0.25">
      <c r="A694" s="124" t="s">
        <v>141</v>
      </c>
      <c r="B694" s="125" t="s">
        <v>121</v>
      </c>
      <c r="C694" s="126">
        <v>45017</v>
      </c>
      <c r="D694" s="124">
        <v>21</v>
      </c>
      <c r="E694" s="127" t="s">
        <v>116</v>
      </c>
      <c r="F694" s="74">
        <v>1</v>
      </c>
      <c r="G694" s="128">
        <v>9500</v>
      </c>
      <c r="H694" s="129"/>
      <c r="I694" s="124"/>
      <c r="J694" s="124"/>
    </row>
    <row r="695" spans="1:10" ht="15" x14ac:dyDescent="0.25">
      <c r="A695" s="124" t="s">
        <v>141</v>
      </c>
      <c r="B695" s="125" t="s">
        <v>121</v>
      </c>
      <c r="C695" s="126">
        <v>45017</v>
      </c>
      <c r="D695" s="124">
        <v>22</v>
      </c>
      <c r="E695" s="127" t="s">
        <v>117</v>
      </c>
      <c r="F695" s="74">
        <v>1</v>
      </c>
      <c r="G695" s="128">
        <v>10500</v>
      </c>
      <c r="H695" s="129"/>
      <c r="I695" s="124"/>
      <c r="J695" s="124"/>
    </row>
    <row r="696" spans="1:10" ht="15" x14ac:dyDescent="0.25">
      <c r="A696" s="125" t="s">
        <v>279</v>
      </c>
      <c r="B696" s="125" t="s">
        <v>121</v>
      </c>
      <c r="C696" s="126">
        <v>45047</v>
      </c>
      <c r="D696" s="124">
        <v>5</v>
      </c>
      <c r="E696" s="127" t="s">
        <v>279</v>
      </c>
      <c r="F696" s="74">
        <v>2</v>
      </c>
      <c r="G696" s="128">
        <v>2000</v>
      </c>
      <c r="H696" s="129"/>
      <c r="I696" s="124"/>
      <c r="J696" s="124"/>
    </row>
    <row r="697" spans="1:10" ht="15" x14ac:dyDescent="0.25">
      <c r="A697" s="124" t="s">
        <v>141</v>
      </c>
      <c r="B697" s="125" t="s">
        <v>121</v>
      </c>
      <c r="C697" s="126">
        <v>45047</v>
      </c>
      <c r="D697" s="124">
        <v>7</v>
      </c>
      <c r="E697" s="127" t="s">
        <v>51</v>
      </c>
      <c r="F697" s="74"/>
      <c r="G697" s="128">
        <v>0</v>
      </c>
      <c r="H697" s="129"/>
      <c r="I697" s="124"/>
      <c r="J697" s="124"/>
    </row>
    <row r="698" spans="1:10" ht="15" x14ac:dyDescent="0.25">
      <c r="A698" s="124" t="s">
        <v>141</v>
      </c>
      <c r="B698" s="125" t="s">
        <v>121</v>
      </c>
      <c r="C698" s="126">
        <v>45047</v>
      </c>
      <c r="D698" s="124">
        <v>8</v>
      </c>
      <c r="E698" s="127" t="s">
        <v>52</v>
      </c>
      <c r="F698" s="74"/>
      <c r="G698" s="128">
        <v>0</v>
      </c>
      <c r="H698" s="129"/>
      <c r="I698" s="124"/>
      <c r="J698" s="124"/>
    </row>
    <row r="699" spans="1:10" ht="15" x14ac:dyDescent="0.25">
      <c r="A699" s="124" t="s">
        <v>141</v>
      </c>
      <c r="B699" s="125" t="s">
        <v>121</v>
      </c>
      <c r="C699" s="126">
        <v>45047</v>
      </c>
      <c r="D699" s="124">
        <v>9</v>
      </c>
      <c r="E699" s="127" t="s">
        <v>40</v>
      </c>
      <c r="F699" s="74"/>
      <c r="G699" s="128">
        <v>0</v>
      </c>
      <c r="H699" s="129"/>
      <c r="I699" s="124"/>
      <c r="J699" s="124"/>
    </row>
    <row r="700" spans="1:10" ht="15" x14ac:dyDescent="0.25">
      <c r="A700" s="124" t="s">
        <v>141</v>
      </c>
      <c r="B700" s="125" t="s">
        <v>121</v>
      </c>
      <c r="C700" s="126">
        <v>45047</v>
      </c>
      <c r="D700" s="124">
        <v>10</v>
      </c>
      <c r="E700" s="127" t="s">
        <v>41</v>
      </c>
      <c r="F700" s="74">
        <v>2</v>
      </c>
      <c r="G700" s="128">
        <v>9160</v>
      </c>
      <c r="H700" s="129"/>
      <c r="I700" s="124"/>
      <c r="J700" s="124"/>
    </row>
    <row r="701" spans="1:10" ht="15" x14ac:dyDescent="0.25">
      <c r="A701" s="124" t="s">
        <v>141</v>
      </c>
      <c r="B701" s="125" t="s">
        <v>121</v>
      </c>
      <c r="C701" s="126">
        <v>45047</v>
      </c>
      <c r="D701" s="124">
        <v>11</v>
      </c>
      <c r="E701" s="127" t="s">
        <v>42</v>
      </c>
      <c r="F701" s="74">
        <v>1</v>
      </c>
      <c r="G701" s="128">
        <v>5040</v>
      </c>
      <c r="H701" s="129"/>
      <c r="I701" s="124"/>
      <c r="J701" s="124"/>
    </row>
    <row r="702" spans="1:10" ht="15" x14ac:dyDescent="0.25">
      <c r="A702" s="124" t="s">
        <v>141</v>
      </c>
      <c r="B702" s="125" t="s">
        <v>121</v>
      </c>
      <c r="C702" s="126">
        <v>45047</v>
      </c>
      <c r="D702" s="124">
        <v>12</v>
      </c>
      <c r="E702" s="127" t="s">
        <v>43</v>
      </c>
      <c r="F702" s="74">
        <v>1</v>
      </c>
      <c r="G702" s="128">
        <v>5400</v>
      </c>
      <c r="H702" s="129"/>
      <c r="I702" s="124"/>
      <c r="J702" s="124"/>
    </row>
    <row r="703" spans="1:10" ht="15" x14ac:dyDescent="0.25">
      <c r="A703" s="124" t="s">
        <v>141</v>
      </c>
      <c r="B703" s="125" t="s">
        <v>121</v>
      </c>
      <c r="C703" s="126">
        <v>45047</v>
      </c>
      <c r="D703" s="124">
        <v>13</v>
      </c>
      <c r="E703" s="127" t="s">
        <v>44</v>
      </c>
      <c r="F703" s="74">
        <v>1</v>
      </c>
      <c r="G703" s="128">
        <v>5780</v>
      </c>
      <c r="H703" s="129"/>
      <c r="I703" s="124"/>
      <c r="J703" s="124"/>
    </row>
    <row r="704" spans="1:10" ht="15" x14ac:dyDescent="0.25">
      <c r="A704" s="124" t="s">
        <v>141</v>
      </c>
      <c r="B704" s="125" t="s">
        <v>121</v>
      </c>
      <c r="C704" s="126">
        <v>45047</v>
      </c>
      <c r="D704" s="124">
        <v>14</v>
      </c>
      <c r="E704" s="127" t="s">
        <v>45</v>
      </c>
      <c r="F704" s="74">
        <v>1</v>
      </c>
      <c r="G704" s="128">
        <v>6360</v>
      </c>
      <c r="H704" s="129"/>
      <c r="I704" s="124"/>
      <c r="J704" s="124"/>
    </row>
    <row r="705" spans="1:10" ht="15" x14ac:dyDescent="0.25">
      <c r="A705" s="124" t="s">
        <v>141</v>
      </c>
      <c r="B705" s="125" t="s">
        <v>121</v>
      </c>
      <c r="C705" s="126">
        <v>45047</v>
      </c>
      <c r="D705" s="124">
        <v>15</v>
      </c>
      <c r="E705" s="127" t="s">
        <v>46</v>
      </c>
      <c r="F705" s="74">
        <v>2</v>
      </c>
      <c r="G705" s="128">
        <v>13620</v>
      </c>
      <c r="H705" s="129"/>
      <c r="I705" s="124"/>
      <c r="J705" s="124"/>
    </row>
    <row r="706" spans="1:10" ht="15" x14ac:dyDescent="0.25">
      <c r="A706" s="124" t="s">
        <v>141</v>
      </c>
      <c r="B706" s="125" t="s">
        <v>121</v>
      </c>
      <c r="C706" s="126">
        <v>45047</v>
      </c>
      <c r="D706" s="124">
        <v>16</v>
      </c>
      <c r="E706" s="127" t="s">
        <v>47</v>
      </c>
      <c r="F706" s="74"/>
      <c r="G706" s="128">
        <v>0</v>
      </c>
      <c r="H706" s="129"/>
      <c r="I706" s="124"/>
      <c r="J706" s="124"/>
    </row>
    <row r="707" spans="1:10" ht="15" x14ac:dyDescent="0.25">
      <c r="A707" s="124" t="s">
        <v>141</v>
      </c>
      <c r="B707" s="125" t="s">
        <v>121</v>
      </c>
      <c r="C707" s="126">
        <v>45047</v>
      </c>
      <c r="D707" s="124">
        <v>20</v>
      </c>
      <c r="E707" s="127" t="s">
        <v>115</v>
      </c>
      <c r="F707" s="74"/>
      <c r="G707" s="128">
        <v>0</v>
      </c>
      <c r="H707" s="129"/>
      <c r="I707" s="124"/>
      <c r="J707" s="124"/>
    </row>
    <row r="708" spans="1:10" ht="15" x14ac:dyDescent="0.25">
      <c r="A708" s="124" t="s">
        <v>141</v>
      </c>
      <c r="B708" s="125" t="s">
        <v>121</v>
      </c>
      <c r="C708" s="126">
        <v>45047</v>
      </c>
      <c r="D708" s="124">
        <v>21</v>
      </c>
      <c r="E708" s="127" t="s">
        <v>116</v>
      </c>
      <c r="F708" s="74">
        <v>1</v>
      </c>
      <c r="G708" s="128">
        <v>9500</v>
      </c>
      <c r="H708" s="129"/>
      <c r="I708" s="124"/>
      <c r="J708" s="124"/>
    </row>
    <row r="709" spans="1:10" ht="15" x14ac:dyDescent="0.25">
      <c r="A709" s="124" t="s">
        <v>141</v>
      </c>
      <c r="B709" s="125" t="s">
        <v>121</v>
      </c>
      <c r="C709" s="126">
        <v>45047</v>
      </c>
      <c r="D709" s="124">
        <v>22</v>
      </c>
      <c r="E709" s="127" t="s">
        <v>117</v>
      </c>
      <c r="F709" s="74"/>
      <c r="G709" s="128">
        <v>0</v>
      </c>
      <c r="H709" s="129"/>
      <c r="I709" s="124"/>
      <c r="J709" s="124"/>
    </row>
    <row r="710" spans="1:10" ht="15" x14ac:dyDescent="0.25">
      <c r="A710" s="125" t="s">
        <v>279</v>
      </c>
      <c r="B710" s="125" t="s">
        <v>121</v>
      </c>
      <c r="C710" s="126">
        <v>45078</v>
      </c>
      <c r="D710" s="124">
        <v>5</v>
      </c>
      <c r="E710" s="127" t="s">
        <v>279</v>
      </c>
      <c r="F710" s="74">
        <v>2</v>
      </c>
      <c r="G710" s="128">
        <v>2000</v>
      </c>
      <c r="H710" s="129"/>
      <c r="I710" s="124"/>
      <c r="J710" s="124"/>
    </row>
    <row r="711" spans="1:10" ht="15" x14ac:dyDescent="0.25">
      <c r="A711" s="124" t="s">
        <v>141</v>
      </c>
      <c r="B711" s="125" t="s">
        <v>121</v>
      </c>
      <c r="C711" s="126">
        <v>45078</v>
      </c>
      <c r="D711" s="124">
        <v>7</v>
      </c>
      <c r="E711" s="127" t="s">
        <v>51</v>
      </c>
      <c r="F711" s="74"/>
      <c r="G711" s="128">
        <v>0</v>
      </c>
      <c r="H711" s="129"/>
      <c r="I711" s="124"/>
      <c r="J711" s="124"/>
    </row>
    <row r="712" spans="1:10" ht="15" x14ac:dyDescent="0.25">
      <c r="A712" s="124" t="s">
        <v>141</v>
      </c>
      <c r="B712" s="125" t="s">
        <v>121</v>
      </c>
      <c r="C712" s="126">
        <v>45078</v>
      </c>
      <c r="D712" s="124">
        <v>8</v>
      </c>
      <c r="E712" s="127" t="s">
        <v>52</v>
      </c>
      <c r="F712" s="74"/>
      <c r="G712" s="128">
        <v>0</v>
      </c>
      <c r="H712" s="129"/>
      <c r="I712" s="124"/>
      <c r="J712" s="124"/>
    </row>
    <row r="713" spans="1:10" ht="15" x14ac:dyDescent="0.25">
      <c r="A713" s="124" t="s">
        <v>141</v>
      </c>
      <c r="B713" s="125" t="s">
        <v>121</v>
      </c>
      <c r="C713" s="126">
        <v>45078</v>
      </c>
      <c r="D713" s="124">
        <v>9</v>
      </c>
      <c r="E713" s="127" t="s">
        <v>40</v>
      </c>
      <c r="F713" s="74"/>
      <c r="G713" s="128">
        <v>0</v>
      </c>
      <c r="H713" s="129"/>
      <c r="I713" s="124"/>
      <c r="J713" s="124"/>
    </row>
    <row r="714" spans="1:10" ht="15" x14ac:dyDescent="0.25">
      <c r="A714" s="124" t="s">
        <v>141</v>
      </c>
      <c r="B714" s="125" t="s">
        <v>121</v>
      </c>
      <c r="C714" s="126">
        <v>45078</v>
      </c>
      <c r="D714" s="124">
        <v>10</v>
      </c>
      <c r="E714" s="127" t="s">
        <v>41</v>
      </c>
      <c r="F714" s="74">
        <v>2</v>
      </c>
      <c r="G714" s="128">
        <v>9160</v>
      </c>
      <c r="H714" s="129"/>
      <c r="I714" s="124"/>
      <c r="J714" s="124"/>
    </row>
    <row r="715" spans="1:10" ht="15" x14ac:dyDescent="0.25">
      <c r="A715" s="124" t="s">
        <v>141</v>
      </c>
      <c r="B715" s="125" t="s">
        <v>121</v>
      </c>
      <c r="C715" s="126">
        <v>45078</v>
      </c>
      <c r="D715" s="124">
        <v>11</v>
      </c>
      <c r="E715" s="127" t="s">
        <v>42</v>
      </c>
      <c r="F715" s="74">
        <v>1</v>
      </c>
      <c r="G715" s="128">
        <v>5040</v>
      </c>
      <c r="H715" s="129"/>
      <c r="I715" s="124"/>
      <c r="J715" s="124"/>
    </row>
    <row r="716" spans="1:10" ht="15" x14ac:dyDescent="0.25">
      <c r="A716" s="124" t="s">
        <v>141</v>
      </c>
      <c r="B716" s="125" t="s">
        <v>121</v>
      </c>
      <c r="C716" s="126">
        <v>45078</v>
      </c>
      <c r="D716" s="124">
        <v>12</v>
      </c>
      <c r="E716" s="127" t="s">
        <v>43</v>
      </c>
      <c r="F716" s="74">
        <v>1</v>
      </c>
      <c r="G716" s="128">
        <v>5400</v>
      </c>
      <c r="H716" s="129"/>
      <c r="I716" s="124"/>
      <c r="J716" s="124"/>
    </row>
    <row r="717" spans="1:10" ht="15" x14ac:dyDescent="0.25">
      <c r="A717" s="124" t="s">
        <v>141</v>
      </c>
      <c r="B717" s="125" t="s">
        <v>121</v>
      </c>
      <c r="C717" s="126">
        <v>45078</v>
      </c>
      <c r="D717" s="124">
        <v>13</v>
      </c>
      <c r="E717" s="127" t="s">
        <v>44</v>
      </c>
      <c r="F717" s="74">
        <v>1</v>
      </c>
      <c r="G717" s="128">
        <v>5780</v>
      </c>
      <c r="H717" s="129"/>
      <c r="I717" s="124"/>
      <c r="J717" s="124"/>
    </row>
    <row r="718" spans="1:10" ht="15" x14ac:dyDescent="0.25">
      <c r="A718" s="124" t="s">
        <v>141</v>
      </c>
      <c r="B718" s="125" t="s">
        <v>121</v>
      </c>
      <c r="C718" s="126">
        <v>45078</v>
      </c>
      <c r="D718" s="124">
        <v>14</v>
      </c>
      <c r="E718" s="127" t="s">
        <v>45</v>
      </c>
      <c r="F718" s="74">
        <v>1</v>
      </c>
      <c r="G718" s="128">
        <v>6360</v>
      </c>
      <c r="H718" s="129"/>
      <c r="I718" s="124"/>
      <c r="J718" s="124"/>
    </row>
    <row r="719" spans="1:10" ht="15" x14ac:dyDescent="0.25">
      <c r="A719" s="124" t="s">
        <v>141</v>
      </c>
      <c r="B719" s="125" t="s">
        <v>121</v>
      </c>
      <c r="C719" s="126">
        <v>45078</v>
      </c>
      <c r="D719" s="124">
        <v>15</v>
      </c>
      <c r="E719" s="127" t="s">
        <v>46</v>
      </c>
      <c r="F719" s="74">
        <v>2</v>
      </c>
      <c r="G719" s="128">
        <v>13620</v>
      </c>
      <c r="H719" s="129"/>
      <c r="I719" s="124"/>
      <c r="J719" s="124"/>
    </row>
    <row r="720" spans="1:10" ht="15" x14ac:dyDescent="0.25">
      <c r="A720" s="124" t="s">
        <v>141</v>
      </c>
      <c r="B720" s="125" t="s">
        <v>121</v>
      </c>
      <c r="C720" s="126">
        <v>45078</v>
      </c>
      <c r="D720" s="124">
        <v>16</v>
      </c>
      <c r="E720" s="127" t="s">
        <v>47</v>
      </c>
      <c r="F720" s="74"/>
      <c r="G720" s="128">
        <v>0</v>
      </c>
      <c r="H720" s="129"/>
      <c r="I720" s="124"/>
      <c r="J720" s="124"/>
    </row>
    <row r="721" spans="1:10" ht="15" x14ac:dyDescent="0.25">
      <c r="A721" s="124" t="s">
        <v>141</v>
      </c>
      <c r="B721" s="125" t="s">
        <v>121</v>
      </c>
      <c r="C721" s="126">
        <v>45078</v>
      </c>
      <c r="D721" s="124">
        <v>20</v>
      </c>
      <c r="E721" s="127" t="s">
        <v>115</v>
      </c>
      <c r="F721" s="74"/>
      <c r="G721" s="128">
        <v>0</v>
      </c>
      <c r="H721" s="129"/>
      <c r="I721" s="124"/>
      <c r="J721" s="124"/>
    </row>
    <row r="722" spans="1:10" ht="15" x14ac:dyDescent="0.25">
      <c r="A722" s="124" t="s">
        <v>141</v>
      </c>
      <c r="B722" s="125" t="s">
        <v>121</v>
      </c>
      <c r="C722" s="126">
        <v>45078</v>
      </c>
      <c r="D722" s="124">
        <v>21</v>
      </c>
      <c r="E722" s="127" t="s">
        <v>116</v>
      </c>
      <c r="F722" s="74">
        <v>1</v>
      </c>
      <c r="G722" s="128">
        <v>9500</v>
      </c>
      <c r="H722" s="129"/>
      <c r="I722" s="124"/>
      <c r="J722" s="124"/>
    </row>
    <row r="723" spans="1:10" ht="15" x14ac:dyDescent="0.25">
      <c r="A723" s="124" t="s">
        <v>141</v>
      </c>
      <c r="B723" s="125" t="s">
        <v>121</v>
      </c>
      <c r="C723" s="126">
        <v>45078</v>
      </c>
      <c r="D723" s="124">
        <v>22</v>
      </c>
      <c r="E723" s="127" t="s">
        <v>117</v>
      </c>
      <c r="F723" s="74"/>
      <c r="G723" s="128">
        <v>0</v>
      </c>
      <c r="H723" s="129"/>
      <c r="I723" s="124"/>
      <c r="J723" s="124"/>
    </row>
    <row r="724" spans="1:10" ht="15" x14ac:dyDescent="0.25">
      <c r="A724" s="125" t="s">
        <v>279</v>
      </c>
      <c r="B724" s="125" t="s">
        <v>121</v>
      </c>
      <c r="C724" s="126">
        <v>45108</v>
      </c>
      <c r="D724" s="124">
        <v>5</v>
      </c>
      <c r="E724" s="127" t="s">
        <v>279</v>
      </c>
      <c r="F724" s="74">
        <v>2</v>
      </c>
      <c r="G724" s="128">
        <v>2000</v>
      </c>
      <c r="H724" s="129"/>
      <c r="I724" s="124"/>
      <c r="J724" s="124"/>
    </row>
    <row r="725" spans="1:10" ht="15" x14ac:dyDescent="0.25">
      <c r="A725" s="124" t="s">
        <v>141</v>
      </c>
      <c r="B725" s="125" t="s">
        <v>121</v>
      </c>
      <c r="C725" s="126">
        <v>45108</v>
      </c>
      <c r="D725" s="124">
        <v>7</v>
      </c>
      <c r="E725" s="127" t="s">
        <v>51</v>
      </c>
      <c r="F725" s="74"/>
      <c r="G725" s="128">
        <v>0</v>
      </c>
      <c r="H725" s="129"/>
      <c r="I725" s="124"/>
      <c r="J725" s="124"/>
    </row>
    <row r="726" spans="1:10" ht="15" x14ac:dyDescent="0.25">
      <c r="A726" s="124" t="s">
        <v>141</v>
      </c>
      <c r="B726" s="125" t="s">
        <v>121</v>
      </c>
      <c r="C726" s="126">
        <v>45108</v>
      </c>
      <c r="D726" s="124">
        <v>8</v>
      </c>
      <c r="E726" s="127" t="s">
        <v>52</v>
      </c>
      <c r="F726" s="74"/>
      <c r="G726" s="128">
        <v>0</v>
      </c>
      <c r="H726" s="129"/>
      <c r="I726" s="124"/>
      <c r="J726" s="124"/>
    </row>
    <row r="727" spans="1:10" ht="15" x14ac:dyDescent="0.25">
      <c r="A727" s="124" t="s">
        <v>141</v>
      </c>
      <c r="B727" s="125" t="s">
        <v>121</v>
      </c>
      <c r="C727" s="126">
        <v>45108</v>
      </c>
      <c r="D727" s="124">
        <v>9</v>
      </c>
      <c r="E727" s="127" t="s">
        <v>40</v>
      </c>
      <c r="F727" s="74"/>
      <c r="G727" s="128">
        <v>0</v>
      </c>
      <c r="H727" s="129"/>
      <c r="I727" s="124"/>
      <c r="J727" s="124"/>
    </row>
    <row r="728" spans="1:10" ht="15" x14ac:dyDescent="0.25">
      <c r="A728" s="124" t="s">
        <v>141</v>
      </c>
      <c r="B728" s="125" t="s">
        <v>121</v>
      </c>
      <c r="C728" s="126">
        <v>45108</v>
      </c>
      <c r="D728" s="124">
        <v>10</v>
      </c>
      <c r="E728" s="127" t="s">
        <v>41</v>
      </c>
      <c r="F728" s="74">
        <v>2</v>
      </c>
      <c r="G728" s="128">
        <v>9160</v>
      </c>
      <c r="H728" s="129"/>
      <c r="I728" s="124"/>
      <c r="J728" s="124"/>
    </row>
    <row r="729" spans="1:10" ht="15" x14ac:dyDescent="0.25">
      <c r="A729" s="124" t="s">
        <v>141</v>
      </c>
      <c r="B729" s="125" t="s">
        <v>121</v>
      </c>
      <c r="C729" s="126">
        <v>45108</v>
      </c>
      <c r="D729" s="124">
        <v>11</v>
      </c>
      <c r="E729" s="127" t="s">
        <v>42</v>
      </c>
      <c r="F729" s="74">
        <v>1</v>
      </c>
      <c r="G729" s="128">
        <v>5040</v>
      </c>
      <c r="H729" s="129"/>
      <c r="I729" s="124"/>
      <c r="J729" s="124"/>
    </row>
    <row r="730" spans="1:10" ht="15" x14ac:dyDescent="0.25">
      <c r="A730" s="124" t="s">
        <v>141</v>
      </c>
      <c r="B730" s="125" t="s">
        <v>121</v>
      </c>
      <c r="C730" s="126">
        <v>45108</v>
      </c>
      <c r="D730" s="124">
        <v>12</v>
      </c>
      <c r="E730" s="127" t="s">
        <v>43</v>
      </c>
      <c r="F730" s="74">
        <v>1</v>
      </c>
      <c r="G730" s="128">
        <v>5400</v>
      </c>
      <c r="H730" s="129"/>
      <c r="I730" s="124"/>
      <c r="J730" s="124"/>
    </row>
    <row r="731" spans="1:10" ht="15" x14ac:dyDescent="0.25">
      <c r="A731" s="124" t="s">
        <v>141</v>
      </c>
      <c r="B731" s="125" t="s">
        <v>121</v>
      </c>
      <c r="C731" s="126">
        <v>45108</v>
      </c>
      <c r="D731" s="124">
        <v>13</v>
      </c>
      <c r="E731" s="127" t="s">
        <v>44</v>
      </c>
      <c r="F731" s="74">
        <v>1</v>
      </c>
      <c r="G731" s="128">
        <v>5780</v>
      </c>
      <c r="H731" s="129"/>
      <c r="I731" s="124"/>
      <c r="J731" s="124"/>
    </row>
    <row r="732" spans="1:10" ht="15" x14ac:dyDescent="0.25">
      <c r="A732" s="124" t="s">
        <v>141</v>
      </c>
      <c r="B732" s="125" t="s">
        <v>121</v>
      </c>
      <c r="C732" s="126">
        <v>45108</v>
      </c>
      <c r="D732" s="124">
        <v>14</v>
      </c>
      <c r="E732" s="127" t="s">
        <v>45</v>
      </c>
      <c r="F732" s="74">
        <v>1</v>
      </c>
      <c r="G732" s="128">
        <v>6360</v>
      </c>
      <c r="H732" s="129"/>
      <c r="I732" s="124"/>
      <c r="J732" s="124"/>
    </row>
    <row r="733" spans="1:10" ht="15" x14ac:dyDescent="0.25">
      <c r="A733" s="124" t="s">
        <v>141</v>
      </c>
      <c r="B733" s="125" t="s">
        <v>121</v>
      </c>
      <c r="C733" s="126">
        <v>45108</v>
      </c>
      <c r="D733" s="124">
        <v>15</v>
      </c>
      <c r="E733" s="127" t="s">
        <v>46</v>
      </c>
      <c r="F733" s="74">
        <v>2</v>
      </c>
      <c r="G733" s="128">
        <v>13620</v>
      </c>
      <c r="H733" s="129"/>
      <c r="I733" s="124"/>
      <c r="J733" s="124"/>
    </row>
    <row r="734" spans="1:10" ht="15" x14ac:dyDescent="0.25">
      <c r="A734" s="124" t="s">
        <v>141</v>
      </c>
      <c r="B734" s="125" t="s">
        <v>121</v>
      </c>
      <c r="C734" s="126">
        <v>45108</v>
      </c>
      <c r="D734" s="124">
        <v>16</v>
      </c>
      <c r="E734" s="127" t="s">
        <v>47</v>
      </c>
      <c r="F734" s="74"/>
      <c r="G734" s="128">
        <v>0</v>
      </c>
      <c r="H734" s="129"/>
      <c r="I734" s="124"/>
      <c r="J734" s="124"/>
    </row>
    <row r="735" spans="1:10" ht="15" x14ac:dyDescent="0.25">
      <c r="A735" s="124" t="s">
        <v>141</v>
      </c>
      <c r="B735" s="125" t="s">
        <v>121</v>
      </c>
      <c r="C735" s="126">
        <v>45108</v>
      </c>
      <c r="D735" s="124">
        <v>20</v>
      </c>
      <c r="E735" s="127" t="s">
        <v>115</v>
      </c>
      <c r="F735" s="74"/>
      <c r="G735" s="128">
        <v>0</v>
      </c>
      <c r="H735" s="129"/>
      <c r="I735" s="124"/>
      <c r="J735" s="124"/>
    </row>
    <row r="736" spans="1:10" ht="15" x14ac:dyDescent="0.25">
      <c r="A736" s="124" t="s">
        <v>141</v>
      </c>
      <c r="B736" s="125" t="s">
        <v>121</v>
      </c>
      <c r="C736" s="126">
        <v>45108</v>
      </c>
      <c r="D736" s="124">
        <v>21</v>
      </c>
      <c r="E736" s="127" t="s">
        <v>116</v>
      </c>
      <c r="F736" s="74">
        <v>1</v>
      </c>
      <c r="G736" s="128">
        <v>9500</v>
      </c>
      <c r="H736" s="129"/>
      <c r="I736" s="124"/>
      <c r="J736" s="124"/>
    </row>
    <row r="737" spans="1:10" ht="15" x14ac:dyDescent="0.25">
      <c r="A737" s="124" t="s">
        <v>141</v>
      </c>
      <c r="B737" s="125" t="s">
        <v>121</v>
      </c>
      <c r="C737" s="126">
        <v>45108</v>
      </c>
      <c r="D737" s="124">
        <v>22</v>
      </c>
      <c r="E737" s="127" t="s">
        <v>117</v>
      </c>
      <c r="F737" s="74"/>
      <c r="G737" s="128">
        <v>0</v>
      </c>
      <c r="H737" s="129"/>
      <c r="I737" s="124"/>
      <c r="J737" s="124"/>
    </row>
    <row r="738" spans="1:10" ht="15" x14ac:dyDescent="0.25">
      <c r="A738" s="125" t="s">
        <v>279</v>
      </c>
      <c r="B738" s="125" t="s">
        <v>121</v>
      </c>
      <c r="C738" s="126">
        <v>45139</v>
      </c>
      <c r="D738" s="124">
        <v>5</v>
      </c>
      <c r="E738" s="127" t="s">
        <v>279</v>
      </c>
      <c r="F738" s="74">
        <v>1</v>
      </c>
      <c r="G738" s="128">
        <v>1000</v>
      </c>
      <c r="H738" s="129"/>
      <c r="I738" s="124"/>
      <c r="J738" s="124"/>
    </row>
    <row r="739" spans="1:10" ht="15" x14ac:dyDescent="0.25">
      <c r="A739" s="124" t="s">
        <v>141</v>
      </c>
      <c r="B739" s="125" t="s">
        <v>121</v>
      </c>
      <c r="C739" s="126">
        <v>45139</v>
      </c>
      <c r="D739" s="124">
        <v>7</v>
      </c>
      <c r="E739" s="127" t="s">
        <v>51</v>
      </c>
      <c r="F739" s="74"/>
      <c r="G739" s="128">
        <v>0</v>
      </c>
      <c r="H739" s="129"/>
      <c r="I739" s="124"/>
      <c r="J739" s="124"/>
    </row>
    <row r="740" spans="1:10" ht="15" x14ac:dyDescent="0.25">
      <c r="A740" s="124" t="s">
        <v>141</v>
      </c>
      <c r="B740" s="125" t="s">
        <v>121</v>
      </c>
      <c r="C740" s="126">
        <v>45139</v>
      </c>
      <c r="D740" s="124">
        <v>8</v>
      </c>
      <c r="E740" s="127" t="s">
        <v>52</v>
      </c>
      <c r="F740" s="74"/>
      <c r="G740" s="128">
        <v>0</v>
      </c>
      <c r="H740" s="129"/>
      <c r="I740" s="124"/>
      <c r="J740" s="124"/>
    </row>
    <row r="741" spans="1:10" ht="15" x14ac:dyDescent="0.25">
      <c r="A741" s="124" t="s">
        <v>141</v>
      </c>
      <c r="B741" s="125" t="s">
        <v>121</v>
      </c>
      <c r="C741" s="126">
        <v>45139</v>
      </c>
      <c r="D741" s="124">
        <v>9</v>
      </c>
      <c r="E741" s="127" t="s">
        <v>40</v>
      </c>
      <c r="F741" s="74"/>
      <c r="G741" s="128">
        <v>0</v>
      </c>
      <c r="H741" s="129"/>
      <c r="I741" s="124"/>
      <c r="J741" s="124"/>
    </row>
    <row r="742" spans="1:10" ht="15" x14ac:dyDescent="0.25">
      <c r="A742" s="124" t="s">
        <v>141</v>
      </c>
      <c r="B742" s="125" t="s">
        <v>121</v>
      </c>
      <c r="C742" s="126">
        <v>45139</v>
      </c>
      <c r="D742" s="124">
        <v>10</v>
      </c>
      <c r="E742" s="127" t="s">
        <v>41</v>
      </c>
      <c r="F742" s="74">
        <v>3</v>
      </c>
      <c r="G742" s="128">
        <v>13740</v>
      </c>
      <c r="H742" s="129"/>
      <c r="I742" s="124"/>
      <c r="J742" s="124"/>
    </row>
    <row r="743" spans="1:10" ht="15" x14ac:dyDescent="0.25">
      <c r="A743" s="124" t="s">
        <v>141</v>
      </c>
      <c r="B743" s="125" t="s">
        <v>121</v>
      </c>
      <c r="C743" s="126">
        <v>45139</v>
      </c>
      <c r="D743" s="124">
        <v>11</v>
      </c>
      <c r="E743" s="127" t="s">
        <v>42</v>
      </c>
      <c r="F743" s="74">
        <v>1</v>
      </c>
      <c r="G743" s="128">
        <v>5040</v>
      </c>
      <c r="H743" s="129"/>
      <c r="I743" s="124"/>
      <c r="J743" s="124"/>
    </row>
    <row r="744" spans="1:10" ht="15" x14ac:dyDescent="0.25">
      <c r="A744" s="124" t="s">
        <v>141</v>
      </c>
      <c r="B744" s="125" t="s">
        <v>121</v>
      </c>
      <c r="C744" s="126">
        <v>45139</v>
      </c>
      <c r="D744" s="124">
        <v>12</v>
      </c>
      <c r="E744" s="127" t="s">
        <v>43</v>
      </c>
      <c r="F744" s="74">
        <v>1</v>
      </c>
      <c r="G744" s="128">
        <v>5400</v>
      </c>
      <c r="H744" s="129"/>
      <c r="I744" s="124"/>
      <c r="J744" s="124"/>
    </row>
    <row r="745" spans="1:10" ht="15" x14ac:dyDescent="0.25">
      <c r="A745" s="124" t="s">
        <v>141</v>
      </c>
      <c r="B745" s="125" t="s">
        <v>121</v>
      </c>
      <c r="C745" s="126">
        <v>45139</v>
      </c>
      <c r="D745" s="124">
        <v>13</v>
      </c>
      <c r="E745" s="127" t="s">
        <v>44</v>
      </c>
      <c r="F745" s="74"/>
      <c r="G745" s="128">
        <v>0</v>
      </c>
      <c r="H745" s="129"/>
      <c r="I745" s="124"/>
      <c r="J745" s="124"/>
    </row>
    <row r="746" spans="1:10" ht="15" x14ac:dyDescent="0.25">
      <c r="A746" s="124" t="s">
        <v>141</v>
      </c>
      <c r="B746" s="125" t="s">
        <v>121</v>
      </c>
      <c r="C746" s="126">
        <v>45139</v>
      </c>
      <c r="D746" s="124">
        <v>14</v>
      </c>
      <c r="E746" s="127" t="s">
        <v>45</v>
      </c>
      <c r="F746" s="74">
        <v>1</v>
      </c>
      <c r="G746" s="128">
        <v>6360</v>
      </c>
      <c r="H746" s="129"/>
      <c r="I746" s="124"/>
      <c r="J746" s="124"/>
    </row>
    <row r="747" spans="1:10" ht="15" x14ac:dyDescent="0.25">
      <c r="A747" s="124" t="s">
        <v>141</v>
      </c>
      <c r="B747" s="125" t="s">
        <v>121</v>
      </c>
      <c r="C747" s="126">
        <v>45139</v>
      </c>
      <c r="D747" s="124">
        <v>15</v>
      </c>
      <c r="E747" s="127" t="s">
        <v>46</v>
      </c>
      <c r="F747" s="74">
        <v>2</v>
      </c>
      <c r="G747" s="128">
        <v>13620</v>
      </c>
      <c r="H747" s="129"/>
      <c r="I747" s="124"/>
      <c r="J747" s="124"/>
    </row>
    <row r="748" spans="1:10" ht="15" x14ac:dyDescent="0.25">
      <c r="A748" s="124" t="s">
        <v>141</v>
      </c>
      <c r="B748" s="125" t="s">
        <v>121</v>
      </c>
      <c r="C748" s="126">
        <v>45139</v>
      </c>
      <c r="D748" s="124">
        <v>16</v>
      </c>
      <c r="E748" s="127" t="s">
        <v>47</v>
      </c>
      <c r="F748" s="74"/>
      <c r="G748" s="128">
        <v>0</v>
      </c>
      <c r="H748" s="129"/>
      <c r="I748" s="124"/>
      <c r="J748" s="124"/>
    </row>
    <row r="749" spans="1:10" ht="15" x14ac:dyDescent="0.25">
      <c r="A749" s="124" t="s">
        <v>141</v>
      </c>
      <c r="B749" s="125" t="s">
        <v>121</v>
      </c>
      <c r="C749" s="126">
        <v>45139</v>
      </c>
      <c r="D749" s="124">
        <v>20</v>
      </c>
      <c r="E749" s="127" t="s">
        <v>115</v>
      </c>
      <c r="F749" s="74">
        <v>1</v>
      </c>
      <c r="G749" s="128">
        <v>8500</v>
      </c>
      <c r="H749" s="129"/>
      <c r="I749" s="124"/>
      <c r="J749" s="124"/>
    </row>
    <row r="750" spans="1:10" ht="15" x14ac:dyDescent="0.25">
      <c r="A750" s="124" t="s">
        <v>141</v>
      </c>
      <c r="B750" s="125" t="s">
        <v>121</v>
      </c>
      <c r="C750" s="126">
        <v>45139</v>
      </c>
      <c r="D750" s="124">
        <v>21</v>
      </c>
      <c r="E750" s="127" t="s">
        <v>116</v>
      </c>
      <c r="F750" s="74">
        <v>1</v>
      </c>
      <c r="G750" s="128">
        <v>9500</v>
      </c>
      <c r="H750" s="129"/>
      <c r="I750" s="124"/>
      <c r="J750" s="124"/>
    </row>
    <row r="751" spans="1:10" ht="15" x14ac:dyDescent="0.25">
      <c r="A751" s="124" t="s">
        <v>141</v>
      </c>
      <c r="B751" s="125" t="s">
        <v>121</v>
      </c>
      <c r="C751" s="126">
        <v>45139</v>
      </c>
      <c r="D751" s="124">
        <v>22</v>
      </c>
      <c r="E751" s="127" t="s">
        <v>117</v>
      </c>
      <c r="F751" s="74"/>
      <c r="G751" s="128">
        <v>0</v>
      </c>
      <c r="H751" s="129"/>
      <c r="I751" s="124"/>
      <c r="J751" s="124"/>
    </row>
    <row r="752" spans="1:10" ht="15" x14ac:dyDescent="0.25">
      <c r="A752" s="125" t="s">
        <v>279</v>
      </c>
      <c r="B752" s="125" t="s">
        <v>121</v>
      </c>
      <c r="C752" s="126">
        <v>45170</v>
      </c>
      <c r="D752" s="124">
        <v>5</v>
      </c>
      <c r="E752" s="127" t="s">
        <v>279</v>
      </c>
      <c r="F752" s="74">
        <v>1</v>
      </c>
      <c r="G752" s="128">
        <v>1000</v>
      </c>
      <c r="H752" s="129"/>
      <c r="I752" s="124"/>
      <c r="J752" s="124"/>
    </row>
    <row r="753" spans="1:10" ht="15" x14ac:dyDescent="0.25">
      <c r="A753" s="124" t="s">
        <v>141</v>
      </c>
      <c r="B753" s="125" t="s">
        <v>121</v>
      </c>
      <c r="C753" s="126">
        <v>45170</v>
      </c>
      <c r="D753" s="124">
        <v>7</v>
      </c>
      <c r="E753" s="127" t="s">
        <v>51</v>
      </c>
      <c r="F753" s="74"/>
      <c r="G753" s="128">
        <v>0</v>
      </c>
      <c r="H753" s="129"/>
      <c r="I753" s="124"/>
      <c r="J753" s="124"/>
    </row>
    <row r="754" spans="1:10" ht="15" x14ac:dyDescent="0.25">
      <c r="A754" s="124" t="s">
        <v>141</v>
      </c>
      <c r="B754" s="125" t="s">
        <v>121</v>
      </c>
      <c r="C754" s="126">
        <v>45170</v>
      </c>
      <c r="D754" s="124">
        <v>8</v>
      </c>
      <c r="E754" s="127" t="s">
        <v>52</v>
      </c>
      <c r="F754" s="74"/>
      <c r="G754" s="128">
        <v>0</v>
      </c>
      <c r="H754" s="129"/>
      <c r="I754" s="124"/>
      <c r="J754" s="124"/>
    </row>
    <row r="755" spans="1:10" ht="15" x14ac:dyDescent="0.25">
      <c r="A755" s="124" t="s">
        <v>141</v>
      </c>
      <c r="B755" s="125" t="s">
        <v>121</v>
      </c>
      <c r="C755" s="126">
        <v>45170</v>
      </c>
      <c r="D755" s="124">
        <v>9</v>
      </c>
      <c r="E755" s="127" t="s">
        <v>40</v>
      </c>
      <c r="F755" s="74"/>
      <c r="G755" s="128">
        <v>0</v>
      </c>
      <c r="H755" s="129"/>
      <c r="I755" s="124"/>
      <c r="J755" s="124"/>
    </row>
    <row r="756" spans="1:10" ht="15" x14ac:dyDescent="0.25">
      <c r="A756" s="124" t="s">
        <v>141</v>
      </c>
      <c r="B756" s="125" t="s">
        <v>121</v>
      </c>
      <c r="C756" s="126">
        <v>45170</v>
      </c>
      <c r="D756" s="124">
        <v>10</v>
      </c>
      <c r="E756" s="127" t="s">
        <v>41</v>
      </c>
      <c r="F756" s="74">
        <v>3</v>
      </c>
      <c r="G756" s="128">
        <v>13740</v>
      </c>
      <c r="H756" s="129"/>
      <c r="I756" s="124"/>
      <c r="J756" s="124"/>
    </row>
    <row r="757" spans="1:10" ht="15" x14ac:dyDescent="0.25">
      <c r="A757" s="124" t="s">
        <v>141</v>
      </c>
      <c r="B757" s="125" t="s">
        <v>121</v>
      </c>
      <c r="C757" s="126">
        <v>45170</v>
      </c>
      <c r="D757" s="124">
        <v>11</v>
      </c>
      <c r="E757" s="127" t="s">
        <v>42</v>
      </c>
      <c r="F757" s="74">
        <v>1</v>
      </c>
      <c r="G757" s="128">
        <v>5040</v>
      </c>
      <c r="H757" s="129"/>
      <c r="I757" s="124"/>
      <c r="J757" s="124"/>
    </row>
    <row r="758" spans="1:10" ht="15" x14ac:dyDescent="0.25">
      <c r="A758" s="124" t="s">
        <v>141</v>
      </c>
      <c r="B758" s="125" t="s">
        <v>121</v>
      </c>
      <c r="C758" s="126">
        <v>45170</v>
      </c>
      <c r="D758" s="124">
        <v>12</v>
      </c>
      <c r="E758" s="127" t="s">
        <v>43</v>
      </c>
      <c r="F758" s="74">
        <v>1</v>
      </c>
      <c r="G758" s="128">
        <v>5400</v>
      </c>
      <c r="H758" s="129"/>
      <c r="I758" s="124"/>
      <c r="J758" s="124"/>
    </row>
    <row r="759" spans="1:10" ht="15" x14ac:dyDescent="0.25">
      <c r="A759" s="124" t="s">
        <v>141</v>
      </c>
      <c r="B759" s="125" t="s">
        <v>121</v>
      </c>
      <c r="C759" s="126">
        <v>45170</v>
      </c>
      <c r="D759" s="124">
        <v>13</v>
      </c>
      <c r="E759" s="127" t="s">
        <v>44</v>
      </c>
      <c r="F759" s="74"/>
      <c r="G759" s="128">
        <v>0</v>
      </c>
      <c r="H759" s="129"/>
      <c r="I759" s="124"/>
      <c r="J759" s="124"/>
    </row>
    <row r="760" spans="1:10" ht="15" x14ac:dyDescent="0.25">
      <c r="A760" s="124" t="s">
        <v>141</v>
      </c>
      <c r="B760" s="125" t="s">
        <v>121</v>
      </c>
      <c r="C760" s="126">
        <v>45170</v>
      </c>
      <c r="D760" s="124">
        <v>14</v>
      </c>
      <c r="E760" s="127" t="s">
        <v>45</v>
      </c>
      <c r="F760" s="74">
        <v>1</v>
      </c>
      <c r="G760" s="128">
        <v>6360</v>
      </c>
      <c r="H760" s="129"/>
      <c r="I760" s="124"/>
      <c r="J760" s="124"/>
    </row>
    <row r="761" spans="1:10" ht="15" x14ac:dyDescent="0.25">
      <c r="A761" s="124" t="s">
        <v>141</v>
      </c>
      <c r="B761" s="125" t="s">
        <v>121</v>
      </c>
      <c r="C761" s="126">
        <v>45170</v>
      </c>
      <c r="D761" s="124">
        <v>15</v>
      </c>
      <c r="E761" s="127" t="s">
        <v>46</v>
      </c>
      <c r="F761" s="74">
        <v>2</v>
      </c>
      <c r="G761" s="128">
        <v>13620</v>
      </c>
      <c r="H761" s="129"/>
      <c r="I761" s="124"/>
      <c r="J761" s="124"/>
    </row>
    <row r="762" spans="1:10" ht="15" x14ac:dyDescent="0.25">
      <c r="A762" s="124" t="s">
        <v>141</v>
      </c>
      <c r="B762" s="125" t="s">
        <v>121</v>
      </c>
      <c r="C762" s="126">
        <v>45170</v>
      </c>
      <c r="D762" s="124">
        <v>16</v>
      </c>
      <c r="E762" s="127" t="s">
        <v>47</v>
      </c>
      <c r="F762" s="74"/>
      <c r="G762" s="128">
        <v>0</v>
      </c>
      <c r="H762" s="129"/>
      <c r="I762" s="124"/>
      <c r="J762" s="124"/>
    </row>
    <row r="763" spans="1:10" ht="15" x14ac:dyDescent="0.25">
      <c r="A763" s="124" t="s">
        <v>141</v>
      </c>
      <c r="B763" s="125" t="s">
        <v>121</v>
      </c>
      <c r="C763" s="126">
        <v>45170</v>
      </c>
      <c r="D763" s="124">
        <v>20</v>
      </c>
      <c r="E763" s="127" t="s">
        <v>115</v>
      </c>
      <c r="F763" s="74">
        <v>1</v>
      </c>
      <c r="G763" s="128">
        <v>8500</v>
      </c>
      <c r="H763" s="129"/>
      <c r="I763" s="124"/>
      <c r="J763" s="124"/>
    </row>
    <row r="764" spans="1:10" ht="15" x14ac:dyDescent="0.25">
      <c r="A764" s="124" t="s">
        <v>141</v>
      </c>
      <c r="B764" s="125" t="s">
        <v>121</v>
      </c>
      <c r="C764" s="126">
        <v>45170</v>
      </c>
      <c r="D764" s="124">
        <v>21</v>
      </c>
      <c r="E764" s="127" t="s">
        <v>116</v>
      </c>
      <c r="F764" s="74">
        <v>1</v>
      </c>
      <c r="G764" s="128">
        <v>9500</v>
      </c>
      <c r="H764" s="129"/>
      <c r="I764" s="124"/>
      <c r="J764" s="124"/>
    </row>
    <row r="765" spans="1:10" ht="15" x14ac:dyDescent="0.25">
      <c r="A765" s="124" t="s">
        <v>141</v>
      </c>
      <c r="B765" s="125" t="s">
        <v>121</v>
      </c>
      <c r="C765" s="126">
        <v>45170</v>
      </c>
      <c r="D765" s="124">
        <v>22</v>
      </c>
      <c r="E765" s="127" t="s">
        <v>117</v>
      </c>
      <c r="F765" s="74"/>
      <c r="G765" s="128">
        <v>0</v>
      </c>
      <c r="H765" s="129"/>
      <c r="I765" s="124"/>
      <c r="J765" s="124"/>
    </row>
    <row r="766" spans="1:10" ht="15" x14ac:dyDescent="0.25">
      <c r="A766" s="125" t="s">
        <v>279</v>
      </c>
      <c r="B766" s="125" t="s">
        <v>121</v>
      </c>
      <c r="C766" s="126">
        <v>45200</v>
      </c>
      <c r="D766" s="124">
        <v>5</v>
      </c>
      <c r="E766" s="127" t="s">
        <v>279</v>
      </c>
      <c r="F766" s="74">
        <v>1</v>
      </c>
      <c r="G766" s="128">
        <v>1000</v>
      </c>
      <c r="H766" s="129"/>
      <c r="I766" s="124"/>
      <c r="J766" s="124"/>
    </row>
    <row r="767" spans="1:10" ht="15" x14ac:dyDescent="0.25">
      <c r="A767" s="124" t="s">
        <v>141</v>
      </c>
      <c r="B767" s="125" t="s">
        <v>121</v>
      </c>
      <c r="C767" s="126">
        <v>45200</v>
      </c>
      <c r="D767" s="124">
        <v>7</v>
      </c>
      <c r="E767" s="127" t="s">
        <v>51</v>
      </c>
      <c r="F767" s="74"/>
      <c r="G767" s="128">
        <v>0</v>
      </c>
      <c r="H767" s="129"/>
      <c r="I767" s="124"/>
      <c r="J767" s="124"/>
    </row>
    <row r="768" spans="1:10" ht="15" x14ac:dyDescent="0.25">
      <c r="A768" s="124" t="s">
        <v>141</v>
      </c>
      <c r="B768" s="125" t="s">
        <v>121</v>
      </c>
      <c r="C768" s="126">
        <v>45200</v>
      </c>
      <c r="D768" s="124">
        <v>8</v>
      </c>
      <c r="E768" s="127" t="s">
        <v>52</v>
      </c>
      <c r="F768" s="74"/>
      <c r="G768" s="128">
        <v>0</v>
      </c>
      <c r="H768" s="129"/>
      <c r="I768" s="124"/>
      <c r="J768" s="124"/>
    </row>
    <row r="769" spans="1:12" ht="15" x14ac:dyDescent="0.25">
      <c r="A769" s="124" t="s">
        <v>141</v>
      </c>
      <c r="B769" s="125" t="s">
        <v>121</v>
      </c>
      <c r="C769" s="126">
        <v>45200</v>
      </c>
      <c r="D769" s="124">
        <v>9</v>
      </c>
      <c r="E769" s="127" t="s">
        <v>40</v>
      </c>
      <c r="F769" s="74"/>
      <c r="G769" s="128">
        <v>0</v>
      </c>
      <c r="H769" s="129"/>
      <c r="I769" s="124"/>
      <c r="J769" s="124"/>
    </row>
    <row r="770" spans="1:12" ht="15" x14ac:dyDescent="0.25">
      <c r="A770" s="124" t="s">
        <v>141</v>
      </c>
      <c r="B770" s="125" t="s">
        <v>121</v>
      </c>
      <c r="C770" s="126">
        <v>45200</v>
      </c>
      <c r="D770" s="124">
        <v>10</v>
      </c>
      <c r="E770" s="127" t="s">
        <v>41</v>
      </c>
      <c r="F770" s="74">
        <v>5</v>
      </c>
      <c r="G770" s="128">
        <v>22900</v>
      </c>
      <c r="H770" s="129"/>
      <c r="I770" s="124"/>
      <c r="J770" s="124"/>
    </row>
    <row r="771" spans="1:12" ht="15" x14ac:dyDescent="0.25">
      <c r="A771" s="124" t="s">
        <v>141</v>
      </c>
      <c r="B771" s="125" t="s">
        <v>121</v>
      </c>
      <c r="C771" s="126">
        <v>45200</v>
      </c>
      <c r="D771" s="124">
        <v>11</v>
      </c>
      <c r="E771" s="127" t="s">
        <v>42</v>
      </c>
      <c r="F771" s="74">
        <v>1</v>
      </c>
      <c r="G771" s="128">
        <v>5040</v>
      </c>
      <c r="H771" s="129"/>
      <c r="I771" s="124"/>
      <c r="J771" s="124"/>
    </row>
    <row r="772" spans="1:12" ht="15" x14ac:dyDescent="0.25">
      <c r="A772" s="124" t="s">
        <v>141</v>
      </c>
      <c r="B772" s="125" t="s">
        <v>121</v>
      </c>
      <c r="C772" s="126">
        <v>45200</v>
      </c>
      <c r="D772" s="124">
        <v>12</v>
      </c>
      <c r="E772" s="127" t="s">
        <v>43</v>
      </c>
      <c r="F772" s="74">
        <v>1</v>
      </c>
      <c r="G772" s="128">
        <v>5400</v>
      </c>
      <c r="H772" s="129"/>
      <c r="I772" s="124"/>
      <c r="J772" s="124"/>
    </row>
    <row r="773" spans="1:12" ht="15" x14ac:dyDescent="0.25">
      <c r="A773" s="124" t="s">
        <v>141</v>
      </c>
      <c r="B773" s="125" t="s">
        <v>121</v>
      </c>
      <c r="C773" s="126">
        <v>45200</v>
      </c>
      <c r="D773" s="124">
        <v>13</v>
      </c>
      <c r="E773" s="127" t="s">
        <v>44</v>
      </c>
      <c r="F773" s="74"/>
      <c r="G773" s="128">
        <v>0</v>
      </c>
      <c r="H773" s="129"/>
      <c r="I773" s="124"/>
      <c r="J773" s="124"/>
    </row>
    <row r="774" spans="1:12" ht="15" x14ac:dyDescent="0.25">
      <c r="A774" s="124" t="s">
        <v>141</v>
      </c>
      <c r="B774" s="125" t="s">
        <v>121</v>
      </c>
      <c r="C774" s="126">
        <v>45200</v>
      </c>
      <c r="D774" s="124">
        <v>14</v>
      </c>
      <c r="E774" s="127" t="s">
        <v>45</v>
      </c>
      <c r="F774" s="74">
        <v>1</v>
      </c>
      <c r="G774" s="128">
        <v>6360</v>
      </c>
      <c r="H774" s="129"/>
      <c r="I774" s="124"/>
      <c r="J774" s="124"/>
    </row>
    <row r="775" spans="1:12" ht="15" x14ac:dyDescent="0.25">
      <c r="A775" s="124" t="s">
        <v>141</v>
      </c>
      <c r="B775" s="125" t="s">
        <v>121</v>
      </c>
      <c r="C775" s="126">
        <v>45200</v>
      </c>
      <c r="D775" s="124">
        <v>15</v>
      </c>
      <c r="E775" s="127" t="s">
        <v>46</v>
      </c>
      <c r="F775" s="74">
        <v>2</v>
      </c>
      <c r="G775" s="128">
        <v>13620</v>
      </c>
      <c r="H775" s="129"/>
      <c r="I775" s="124"/>
      <c r="J775" s="124"/>
    </row>
    <row r="776" spans="1:12" ht="15" x14ac:dyDescent="0.25">
      <c r="A776" s="124" t="s">
        <v>141</v>
      </c>
      <c r="B776" s="125" t="s">
        <v>121</v>
      </c>
      <c r="C776" s="126">
        <v>45200</v>
      </c>
      <c r="D776" s="124">
        <v>16</v>
      </c>
      <c r="E776" s="127" t="s">
        <v>47</v>
      </c>
      <c r="F776" s="74"/>
      <c r="G776" s="128">
        <v>0</v>
      </c>
      <c r="H776" s="129"/>
      <c r="I776" s="124"/>
      <c r="J776" s="124"/>
    </row>
    <row r="777" spans="1:12" ht="15" x14ac:dyDescent="0.25">
      <c r="A777" s="124" t="s">
        <v>141</v>
      </c>
      <c r="B777" s="125" t="s">
        <v>121</v>
      </c>
      <c r="C777" s="126">
        <v>45200</v>
      </c>
      <c r="D777" s="124">
        <v>20</v>
      </c>
      <c r="E777" s="127" t="s">
        <v>115</v>
      </c>
      <c r="F777" s="74">
        <v>1</v>
      </c>
      <c r="G777" s="128">
        <v>8500</v>
      </c>
      <c r="H777" s="129"/>
      <c r="I777" s="124"/>
      <c r="J777" s="124"/>
    </row>
    <row r="778" spans="1:12" ht="15" x14ac:dyDescent="0.25">
      <c r="A778" s="124" t="s">
        <v>141</v>
      </c>
      <c r="B778" s="125" t="s">
        <v>121</v>
      </c>
      <c r="C778" s="126">
        <v>45200</v>
      </c>
      <c r="D778" s="124">
        <v>21</v>
      </c>
      <c r="E778" s="127" t="s">
        <v>116</v>
      </c>
      <c r="F778" s="74">
        <v>1</v>
      </c>
      <c r="G778" s="128">
        <v>9500</v>
      </c>
      <c r="H778" s="129"/>
      <c r="I778" s="124"/>
      <c r="J778" s="124"/>
    </row>
    <row r="779" spans="1:12" ht="15" x14ac:dyDescent="0.25">
      <c r="A779" s="124" t="s">
        <v>141</v>
      </c>
      <c r="B779" s="125" t="s">
        <v>121</v>
      </c>
      <c r="C779" s="126">
        <v>45200</v>
      </c>
      <c r="D779" s="124">
        <v>22</v>
      </c>
      <c r="E779" s="127" t="s">
        <v>117</v>
      </c>
      <c r="F779" s="74"/>
      <c r="G779" s="128">
        <v>0</v>
      </c>
      <c r="H779" s="129"/>
      <c r="I779" s="124"/>
      <c r="J779" s="124"/>
    </row>
    <row r="780" spans="1:12" ht="15" x14ac:dyDescent="0.25">
      <c r="A780" s="82" t="s">
        <v>92</v>
      </c>
      <c r="B780" s="83" t="s">
        <v>121</v>
      </c>
      <c r="C780" s="84">
        <v>44166</v>
      </c>
      <c r="D780" s="82">
        <v>23</v>
      </c>
      <c r="E780" s="85" t="s">
        <v>142</v>
      </c>
      <c r="F780" s="82">
        <v>55</v>
      </c>
      <c r="G780" s="86">
        <v>92390.529999999984</v>
      </c>
      <c r="H780" s="129"/>
      <c r="I780" s="124"/>
      <c r="J780" s="124"/>
    </row>
    <row r="781" spans="1:12" ht="64.5" x14ac:dyDescent="0.25">
      <c r="A781" s="82" t="s">
        <v>92</v>
      </c>
      <c r="B781" s="83" t="s">
        <v>121</v>
      </c>
      <c r="C781" s="84">
        <v>44531</v>
      </c>
      <c r="D781" s="82">
        <v>23</v>
      </c>
      <c r="E781" s="85" t="s">
        <v>142</v>
      </c>
      <c r="F781" s="139">
        <v>77</v>
      </c>
      <c r="G781" s="140">
        <v>134648.52000000008</v>
      </c>
      <c r="H781" s="89" t="s">
        <v>154</v>
      </c>
      <c r="J781" s="1" t="s">
        <v>156</v>
      </c>
      <c r="L781" s="89" t="s">
        <v>159</v>
      </c>
    </row>
    <row r="782" spans="1:12" ht="64.5" x14ac:dyDescent="0.25">
      <c r="A782" s="82" t="s">
        <v>92</v>
      </c>
      <c r="B782" s="83" t="s">
        <v>121</v>
      </c>
      <c r="C782" s="84">
        <v>44562</v>
      </c>
      <c r="D782" s="82">
        <v>23</v>
      </c>
      <c r="E782" s="85" t="s">
        <v>142</v>
      </c>
      <c r="F782" s="82">
        <v>78</v>
      </c>
      <c r="G782" s="86">
        <v>136282.85999999999</v>
      </c>
      <c r="H782" s="89" t="s">
        <v>154</v>
      </c>
      <c r="J782" s="1" t="s">
        <v>156</v>
      </c>
      <c r="L782" s="89" t="s">
        <v>159</v>
      </c>
    </row>
    <row r="783" spans="1:12" ht="64.5" x14ac:dyDescent="0.25">
      <c r="A783" s="82" t="s">
        <v>92</v>
      </c>
      <c r="B783" s="83" t="s">
        <v>121</v>
      </c>
      <c r="C783" s="84">
        <v>44593</v>
      </c>
      <c r="D783" s="82">
        <v>23</v>
      </c>
      <c r="E783" s="85" t="s">
        <v>142</v>
      </c>
      <c r="F783" s="82">
        <v>77</v>
      </c>
      <c r="G783" s="86">
        <v>148078.20000000001</v>
      </c>
      <c r="H783" s="89" t="s">
        <v>154</v>
      </c>
      <c r="J783" s="1" t="s">
        <v>156</v>
      </c>
      <c r="L783" s="89" t="s">
        <v>159</v>
      </c>
    </row>
    <row r="784" spans="1:12" ht="64.5" x14ac:dyDescent="0.25">
      <c r="A784" s="82" t="s">
        <v>92</v>
      </c>
      <c r="B784" s="83" t="s">
        <v>121</v>
      </c>
      <c r="C784" s="84">
        <v>44621</v>
      </c>
      <c r="D784" s="82">
        <v>23</v>
      </c>
      <c r="E784" s="85" t="s">
        <v>142</v>
      </c>
      <c r="F784" s="82">
        <v>79</v>
      </c>
      <c r="G784" s="86">
        <v>151440.92000000001</v>
      </c>
      <c r="H784" s="89" t="s">
        <v>154</v>
      </c>
      <c r="J784" s="1" t="s">
        <v>156</v>
      </c>
      <c r="L784" s="89" t="s">
        <v>159</v>
      </c>
    </row>
    <row r="785" spans="1:12" ht="64.5" x14ac:dyDescent="0.25">
      <c r="A785" s="82" t="s">
        <v>92</v>
      </c>
      <c r="B785" s="83" t="s">
        <v>121</v>
      </c>
      <c r="C785" s="84">
        <v>44652</v>
      </c>
      <c r="D785" s="82">
        <v>23</v>
      </c>
      <c r="E785" s="85" t="s">
        <v>142</v>
      </c>
      <c r="F785" s="82">
        <v>77</v>
      </c>
      <c r="G785" s="86">
        <v>147537.43</v>
      </c>
      <c r="H785" s="89" t="s">
        <v>154</v>
      </c>
      <c r="J785" s="1" t="s">
        <v>156</v>
      </c>
      <c r="L785" s="89" t="s">
        <v>159</v>
      </c>
    </row>
    <row r="786" spans="1:12" ht="64.5" x14ac:dyDescent="0.25">
      <c r="A786" s="82" t="s">
        <v>92</v>
      </c>
      <c r="B786" s="83" t="s">
        <v>121</v>
      </c>
      <c r="C786" s="84">
        <v>44682</v>
      </c>
      <c r="D786" s="82">
        <v>23</v>
      </c>
      <c r="E786" s="85" t="s">
        <v>142</v>
      </c>
      <c r="F786" s="82">
        <v>81</v>
      </c>
      <c r="G786" s="86">
        <v>158023.32999999999</v>
      </c>
      <c r="H786" s="89" t="s">
        <v>154</v>
      </c>
      <c r="J786" s="1" t="s">
        <v>156</v>
      </c>
      <c r="L786" s="89" t="s">
        <v>159</v>
      </c>
    </row>
    <row r="787" spans="1:12" ht="64.5" x14ac:dyDescent="0.25">
      <c r="A787" s="82" t="s">
        <v>92</v>
      </c>
      <c r="B787" s="83" t="s">
        <v>121</v>
      </c>
      <c r="C787" s="84">
        <v>44713</v>
      </c>
      <c r="D787" s="82">
        <v>23</v>
      </c>
      <c r="E787" s="85" t="s">
        <v>142</v>
      </c>
      <c r="F787" s="82">
        <v>81</v>
      </c>
      <c r="G787" s="86">
        <v>158023.32999999999</v>
      </c>
      <c r="H787" s="89" t="s">
        <v>154</v>
      </c>
      <c r="J787" s="1" t="s">
        <v>156</v>
      </c>
      <c r="L787" s="89" t="s">
        <v>159</v>
      </c>
    </row>
    <row r="788" spans="1:12" ht="64.5" x14ac:dyDescent="0.25">
      <c r="A788" s="82" t="s">
        <v>92</v>
      </c>
      <c r="B788" s="83" t="s">
        <v>121</v>
      </c>
      <c r="C788" s="84">
        <v>44743</v>
      </c>
      <c r="D788" s="82">
        <v>23</v>
      </c>
      <c r="E788" s="85" t="s">
        <v>142</v>
      </c>
      <c r="F788" s="82">
        <v>84</v>
      </c>
      <c r="G788" s="86">
        <v>163608.18</v>
      </c>
      <c r="H788" s="89" t="s">
        <v>154</v>
      </c>
      <c r="J788" s="1" t="s">
        <v>156</v>
      </c>
      <c r="L788" s="89" t="s">
        <v>159</v>
      </c>
    </row>
    <row r="789" spans="1:12" ht="64.5" x14ac:dyDescent="0.25">
      <c r="A789" s="82" t="s">
        <v>92</v>
      </c>
      <c r="B789" s="83" t="s">
        <v>121</v>
      </c>
      <c r="C789" s="84">
        <v>44774</v>
      </c>
      <c r="D789" s="82">
        <v>23</v>
      </c>
      <c r="E789" s="85" t="s">
        <v>142</v>
      </c>
      <c r="F789" s="82">
        <v>85</v>
      </c>
      <c r="G789" s="86">
        <v>165289.54</v>
      </c>
      <c r="H789" s="89" t="s">
        <v>154</v>
      </c>
      <c r="J789" s="1" t="s">
        <v>156</v>
      </c>
      <c r="L789" s="89" t="s">
        <v>159</v>
      </c>
    </row>
    <row r="790" spans="1:12" ht="64.5" x14ac:dyDescent="0.25">
      <c r="A790" s="82" t="s">
        <v>92</v>
      </c>
      <c r="B790" s="83" t="s">
        <v>121</v>
      </c>
      <c r="C790" s="84">
        <v>44805</v>
      </c>
      <c r="D790" s="82">
        <v>23</v>
      </c>
      <c r="E790" s="85" t="s">
        <v>142</v>
      </c>
      <c r="F790" s="82">
        <v>88</v>
      </c>
      <c r="G790" s="86">
        <v>170847.9</v>
      </c>
      <c r="H790" s="89" t="s">
        <v>154</v>
      </c>
      <c r="J790" s="1" t="s">
        <v>156</v>
      </c>
      <c r="L790" s="89" t="s">
        <v>159</v>
      </c>
    </row>
    <row r="791" spans="1:12" ht="64.5" x14ac:dyDescent="0.25">
      <c r="A791" s="82" t="s">
        <v>92</v>
      </c>
      <c r="B791" s="83" t="s">
        <v>121</v>
      </c>
      <c r="C791" s="84">
        <v>44835</v>
      </c>
      <c r="D791" s="82">
        <v>23</v>
      </c>
      <c r="E791" s="85" t="s">
        <v>142</v>
      </c>
      <c r="F791" s="82">
        <v>88</v>
      </c>
      <c r="G791" s="86">
        <v>170847.9</v>
      </c>
      <c r="H791" s="89" t="s">
        <v>154</v>
      </c>
      <c r="J791" s="1" t="s">
        <v>156</v>
      </c>
      <c r="L791" s="89" t="s">
        <v>159</v>
      </c>
    </row>
    <row r="792" spans="1:12" ht="64.5" x14ac:dyDescent="0.25">
      <c r="A792" s="82" t="s">
        <v>92</v>
      </c>
      <c r="B792" s="83" t="s">
        <v>121</v>
      </c>
      <c r="C792" s="84">
        <v>44866</v>
      </c>
      <c r="D792" s="82">
        <v>23</v>
      </c>
      <c r="E792" s="85" t="s">
        <v>142</v>
      </c>
      <c r="F792" s="82">
        <v>89</v>
      </c>
      <c r="G792" s="86">
        <v>173570.07</v>
      </c>
      <c r="H792" s="89" t="s">
        <v>154</v>
      </c>
      <c r="J792" s="1" t="s">
        <v>156</v>
      </c>
      <c r="L792" s="89" t="s">
        <v>159</v>
      </c>
    </row>
    <row r="793" spans="1:12" ht="64.5" x14ac:dyDescent="0.25">
      <c r="A793" s="82" t="s">
        <v>92</v>
      </c>
      <c r="B793" s="83" t="s">
        <v>121</v>
      </c>
      <c r="C793" s="84">
        <v>44896</v>
      </c>
      <c r="D793" s="82">
        <v>23</v>
      </c>
      <c r="E793" s="85" t="s">
        <v>142</v>
      </c>
      <c r="F793" s="139">
        <v>92</v>
      </c>
      <c r="G793" s="140">
        <v>179295.07899999997</v>
      </c>
      <c r="H793" s="89" t="s">
        <v>154</v>
      </c>
      <c r="J793" s="1" t="s">
        <v>156</v>
      </c>
      <c r="L793" s="89" t="s">
        <v>159</v>
      </c>
    </row>
    <row r="794" spans="1:12" ht="15" x14ac:dyDescent="0.25">
      <c r="A794" s="82" t="s">
        <v>92</v>
      </c>
      <c r="B794" s="83" t="s">
        <v>121</v>
      </c>
      <c r="C794" s="84">
        <v>44927</v>
      </c>
      <c r="D794" s="82">
        <v>23</v>
      </c>
      <c r="E794" s="85" t="s">
        <v>142</v>
      </c>
      <c r="F794" s="139">
        <v>91</v>
      </c>
      <c r="G794" s="140">
        <v>177613.70899999997</v>
      </c>
    </row>
    <row r="795" spans="1:12" ht="15" x14ac:dyDescent="0.25">
      <c r="A795" s="82" t="s">
        <v>92</v>
      </c>
      <c r="B795" s="83" t="s">
        <v>121</v>
      </c>
      <c r="C795" s="84">
        <v>44958</v>
      </c>
      <c r="D795" s="82">
        <v>23</v>
      </c>
      <c r="E795" s="85" t="s">
        <v>142</v>
      </c>
      <c r="F795" s="139">
        <v>92</v>
      </c>
      <c r="G795" s="140">
        <v>179462.67116</v>
      </c>
    </row>
    <row r="796" spans="1:12" ht="15" x14ac:dyDescent="0.25">
      <c r="A796" s="82" t="s">
        <v>92</v>
      </c>
      <c r="B796" s="83" t="s">
        <v>121</v>
      </c>
      <c r="C796" s="84">
        <v>44986</v>
      </c>
      <c r="D796" s="82">
        <v>23</v>
      </c>
      <c r="E796" s="85" t="s">
        <v>142</v>
      </c>
      <c r="F796" s="139">
        <v>98</v>
      </c>
      <c r="G796" s="140">
        <v>199348.57</v>
      </c>
    </row>
    <row r="797" spans="1:12" ht="15" x14ac:dyDescent="0.25">
      <c r="A797" s="82" t="s">
        <v>92</v>
      </c>
      <c r="B797" s="83" t="s">
        <v>121</v>
      </c>
      <c r="C797" s="84">
        <v>45017</v>
      </c>
      <c r="D797" s="82">
        <v>23</v>
      </c>
      <c r="E797" s="85" t="s">
        <v>142</v>
      </c>
      <c r="F797" s="139">
        <v>99</v>
      </c>
      <c r="G797" s="140">
        <v>199350.84</v>
      </c>
    </row>
    <row r="798" spans="1:12" ht="15" x14ac:dyDescent="0.25">
      <c r="A798" s="82" t="s">
        <v>92</v>
      </c>
      <c r="B798" s="83" t="s">
        <v>121</v>
      </c>
      <c r="C798" s="84">
        <v>45047</v>
      </c>
      <c r="D798" s="82">
        <v>23</v>
      </c>
      <c r="E798" s="85" t="s">
        <v>142</v>
      </c>
      <c r="F798" s="139">
        <v>98</v>
      </c>
      <c r="G798" s="140">
        <v>199186.07</v>
      </c>
    </row>
    <row r="799" spans="1:12" ht="15" x14ac:dyDescent="0.25">
      <c r="A799" s="82" t="s">
        <v>92</v>
      </c>
      <c r="B799" s="83" t="s">
        <v>121</v>
      </c>
      <c r="C799" s="84">
        <v>45078</v>
      </c>
      <c r="D799" s="82">
        <v>23</v>
      </c>
      <c r="E799" s="85" t="s">
        <v>142</v>
      </c>
      <c r="F799" s="139">
        <v>101</v>
      </c>
      <c r="G799" s="140">
        <v>205866.38</v>
      </c>
    </row>
    <row r="800" spans="1:12" ht="15" x14ac:dyDescent="0.25">
      <c r="A800" s="82" t="s">
        <v>92</v>
      </c>
      <c r="B800" s="83" t="s">
        <v>121</v>
      </c>
      <c r="C800" s="84">
        <v>45108</v>
      </c>
      <c r="D800" s="82">
        <v>23</v>
      </c>
      <c r="E800" s="85" t="s">
        <v>142</v>
      </c>
      <c r="F800" s="139">
        <v>99</v>
      </c>
      <c r="G800" s="140">
        <v>202301.88</v>
      </c>
    </row>
    <row r="801" spans="1:7" ht="15" x14ac:dyDescent="0.25">
      <c r="A801" s="82" t="s">
        <v>92</v>
      </c>
      <c r="B801" s="83" t="s">
        <v>121</v>
      </c>
      <c r="C801" s="84">
        <v>45139</v>
      </c>
      <c r="D801" s="82">
        <v>23</v>
      </c>
      <c r="E801" s="85" t="s">
        <v>142</v>
      </c>
      <c r="F801" s="139">
        <v>101</v>
      </c>
      <c r="G801" s="140">
        <v>204176.31</v>
      </c>
    </row>
    <row r="802" spans="1:7" ht="15" x14ac:dyDescent="0.25">
      <c r="A802" s="82" t="s">
        <v>92</v>
      </c>
      <c r="B802" s="83" t="s">
        <v>121</v>
      </c>
      <c r="C802" s="84">
        <v>45170</v>
      </c>
      <c r="D802" s="82">
        <v>23</v>
      </c>
      <c r="E802" s="85" t="s">
        <v>142</v>
      </c>
      <c r="F802" s="139">
        <v>102</v>
      </c>
      <c r="G802" s="140">
        <v>205569.67</v>
      </c>
    </row>
    <row r="803" spans="1:7" ht="15" x14ac:dyDescent="0.25">
      <c r="A803" s="82" t="s">
        <v>92</v>
      </c>
      <c r="B803" s="83" t="s">
        <v>121</v>
      </c>
      <c r="C803" s="84">
        <v>45200</v>
      </c>
      <c r="D803" s="82">
        <v>23</v>
      </c>
      <c r="E803" s="85" t="s">
        <v>142</v>
      </c>
      <c r="F803" s="139">
        <v>106</v>
      </c>
      <c r="G803" s="140">
        <v>208852.63</v>
      </c>
    </row>
  </sheetData>
  <autoFilter ref="A1:L793" xr:uid="{51AFE037-3AEC-47B2-819A-97A4D8CB1505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5C9D-39A4-43E9-B638-68A84EDC75AC}">
  <sheetPr codeName="Planilha14">
    <tabColor rgb="FFFF0000"/>
  </sheetPr>
  <dimension ref="A1:H289"/>
  <sheetViews>
    <sheetView zoomScaleNormal="100" workbookViewId="0">
      <pane ySplit="1" topLeftCell="A248" activePane="bottomLeft" state="frozen"/>
      <selection activeCell="A803" sqref="A803"/>
      <selection pane="bottomLeft" activeCell="A803" sqref="A80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8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  <c r="G1" s="2" t="s">
        <v>243</v>
      </c>
      <c r="H1" s="2" t="s">
        <v>249</v>
      </c>
    </row>
    <row r="2" spans="1:8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49" si="0">D2-E2</f>
        <v>265940.66746775038</v>
      </c>
    </row>
    <row r="3" spans="1:8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8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8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8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8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8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8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8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8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8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8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8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8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8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7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7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ref="F50" si="1">D50-E50</f>
        <v>1582523</v>
      </c>
    </row>
    <row r="51" spans="1:7" x14ac:dyDescent="0.2">
      <c r="A51" t="s">
        <v>136</v>
      </c>
      <c r="B51" t="s">
        <v>130</v>
      </c>
      <c r="C51" s="77">
        <v>44562</v>
      </c>
      <c r="D51" s="27">
        <v>274799</v>
      </c>
      <c r="E51" s="27">
        <v>274935</v>
      </c>
      <c r="F51" s="66">
        <f>D51-E51</f>
        <v>-136</v>
      </c>
    </row>
    <row r="52" spans="1:7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2">D52-E52</f>
        <v>0</v>
      </c>
    </row>
    <row r="53" spans="1:7" x14ac:dyDescent="0.2">
      <c r="A53" t="s">
        <v>136</v>
      </c>
      <c r="B53" s="67" t="s">
        <v>132</v>
      </c>
      <c r="C53" s="78">
        <v>44562</v>
      </c>
      <c r="D53" s="66">
        <f>D50+D51+D52</f>
        <v>2438152</v>
      </c>
      <c r="E53" s="66">
        <f>E50+E51+E52</f>
        <v>855765</v>
      </c>
      <c r="F53" s="66">
        <f t="shared" si="2"/>
        <v>1582387</v>
      </c>
    </row>
    <row r="54" spans="1:7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2"/>
        <v>1140272</v>
      </c>
    </row>
    <row r="55" spans="1:7" x14ac:dyDescent="0.2">
      <c r="A55" t="s">
        <v>136</v>
      </c>
      <c r="B55" t="s">
        <v>130</v>
      </c>
      <c r="C55" s="77">
        <v>44593</v>
      </c>
      <c r="D55" s="27">
        <v>261805</v>
      </c>
      <c r="E55" s="27">
        <v>410001</v>
      </c>
      <c r="F55" s="66">
        <f>D55-E55</f>
        <v>-148196</v>
      </c>
      <c r="G55" s="2" t="s">
        <v>275</v>
      </c>
    </row>
    <row r="56" spans="1:7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</v>
      </c>
      <c r="F56" s="66">
        <f t="shared" ref="F56:F58" si="3">D56-E56</f>
        <v>-564</v>
      </c>
    </row>
    <row r="57" spans="1:7" x14ac:dyDescent="0.2">
      <c r="A57" t="s">
        <v>136</v>
      </c>
      <c r="B57" s="67" t="s">
        <v>132</v>
      </c>
      <c r="C57" s="78">
        <v>44593</v>
      </c>
      <c r="D57" s="66">
        <f>D54+D55+D56</f>
        <v>1893341</v>
      </c>
      <c r="E57" s="66">
        <f>E54+E55+E56</f>
        <v>901829</v>
      </c>
      <c r="F57" s="66">
        <f t="shared" si="3"/>
        <v>991512</v>
      </c>
    </row>
    <row r="58" spans="1:7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3"/>
        <v>809742</v>
      </c>
    </row>
    <row r="59" spans="1:7" x14ac:dyDescent="0.2">
      <c r="A59" t="s">
        <v>136</v>
      </c>
      <c r="B59" t="s">
        <v>130</v>
      </c>
      <c r="C59" s="77">
        <v>44621</v>
      </c>
      <c r="D59" s="27">
        <v>237059</v>
      </c>
      <c r="E59" s="27">
        <v>249971</v>
      </c>
      <c r="F59" s="66">
        <f>D59-E59</f>
        <v>-12912</v>
      </c>
    </row>
    <row r="60" spans="1:7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</v>
      </c>
      <c r="F60" s="66">
        <f t="shared" ref="F60:F62" si="4">D60-E60</f>
        <v>-49694</v>
      </c>
    </row>
    <row r="61" spans="1:7" x14ac:dyDescent="0.2">
      <c r="A61" t="s">
        <v>136</v>
      </c>
      <c r="B61" s="67" t="s">
        <v>132</v>
      </c>
      <c r="C61" s="78">
        <v>44621</v>
      </c>
      <c r="D61" s="66">
        <f>D58+D59+D60</f>
        <v>2183065</v>
      </c>
      <c r="E61" s="66">
        <f>E58+E59+E60</f>
        <v>1435929</v>
      </c>
      <c r="F61" s="66">
        <f t="shared" si="4"/>
        <v>747136</v>
      </c>
    </row>
    <row r="62" spans="1:7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4"/>
        <v>1705212</v>
      </c>
    </row>
    <row r="63" spans="1:7" x14ac:dyDescent="0.2">
      <c r="A63" t="s">
        <v>136</v>
      </c>
      <c r="B63" t="s">
        <v>130</v>
      </c>
      <c r="C63" s="77">
        <v>44652</v>
      </c>
      <c r="D63" s="27">
        <v>328950</v>
      </c>
      <c r="E63" s="27">
        <v>265419</v>
      </c>
      <c r="F63" s="66">
        <f>D63-E63</f>
        <v>63531</v>
      </c>
    </row>
    <row r="64" spans="1:7" x14ac:dyDescent="0.2">
      <c r="A64" t="s">
        <v>136</v>
      </c>
      <c r="B64" t="s">
        <v>131</v>
      </c>
      <c r="C64" s="77">
        <v>44652</v>
      </c>
      <c r="D64" s="27">
        <v>75000</v>
      </c>
      <c r="E64" s="27">
        <v>68829</v>
      </c>
      <c r="F64" s="66">
        <f t="shared" ref="F64:F66" si="5">D64-E64</f>
        <v>6171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2659135</v>
      </c>
      <c r="E65" s="66">
        <f>E62+E63+E64</f>
        <v>884221</v>
      </c>
      <c r="F65" s="66">
        <f t="shared" si="5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5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</v>
      </c>
      <c r="E67" s="27">
        <v>245720</v>
      </c>
      <c r="F67" s="66">
        <f>D67-E67</f>
        <v>39884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</v>
      </c>
      <c r="E68" s="27">
        <v>81101</v>
      </c>
      <c r="F68" s="66">
        <f t="shared" ref="F68:F70" si="6">D68-E68</f>
        <v>3968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2575264</v>
      </c>
      <c r="E69" s="66">
        <f>E66+E67+E68</f>
        <v>921220</v>
      </c>
      <c r="F69" s="66">
        <f t="shared" si="6"/>
        <v>1654044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6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7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7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7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8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8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</v>
      </c>
      <c r="E78" s="27">
        <v>576557</v>
      </c>
      <c r="F78" s="66">
        <f t="shared" si="8"/>
        <v>1470363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</v>
      </c>
      <c r="E79" s="27">
        <v>244997</v>
      </c>
      <c r="F79" s="66">
        <f>D79-E79</f>
        <v>52180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</v>
      </c>
      <c r="E80" s="27">
        <v>106436</v>
      </c>
      <c r="F80" s="66">
        <f t="shared" ref="F80:F82" si="9">D80-E80</f>
        <v>-21306</v>
      </c>
    </row>
    <row r="81" spans="1:7" x14ac:dyDescent="0.2">
      <c r="A81" t="s">
        <v>136</v>
      </c>
      <c r="B81" s="67" t="s">
        <v>132</v>
      </c>
      <c r="C81" s="78">
        <v>44774</v>
      </c>
      <c r="D81" s="66">
        <f>D78+D79+D80</f>
        <v>2429227</v>
      </c>
      <c r="E81" s="66">
        <f>E78+E79+E80</f>
        <v>927990</v>
      </c>
      <c r="F81" s="66">
        <f t="shared" si="9"/>
        <v>1501237</v>
      </c>
    </row>
    <row r="82" spans="1:7" x14ac:dyDescent="0.2">
      <c r="A82" t="s">
        <v>136</v>
      </c>
      <c r="B82" t="s">
        <v>129</v>
      </c>
      <c r="C82" s="77">
        <v>44805</v>
      </c>
      <c r="D82" s="27">
        <v>2239001</v>
      </c>
      <c r="E82" s="27">
        <v>1267098</v>
      </c>
      <c r="F82" s="66">
        <f t="shared" si="9"/>
        <v>971903</v>
      </c>
    </row>
    <row r="83" spans="1:7" x14ac:dyDescent="0.2">
      <c r="A83" t="s">
        <v>136</v>
      </c>
      <c r="B83" t="s">
        <v>130</v>
      </c>
      <c r="C83" s="77">
        <v>44805</v>
      </c>
      <c r="D83" s="27">
        <v>296509</v>
      </c>
      <c r="E83" s="27">
        <v>245212</v>
      </c>
      <c r="F83" s="66">
        <f>D83-E83</f>
        <v>51297</v>
      </c>
    </row>
    <row r="84" spans="1:7" x14ac:dyDescent="0.2">
      <c r="A84" t="s">
        <v>136</v>
      </c>
      <c r="B84" t="s">
        <v>131</v>
      </c>
      <c r="C84" s="77">
        <v>44805</v>
      </c>
      <c r="D84" s="27">
        <v>85014</v>
      </c>
      <c r="E84" s="27">
        <v>93929</v>
      </c>
      <c r="F84" s="66">
        <f t="shared" ref="F84:F86" si="10">D84-E84</f>
        <v>-8915</v>
      </c>
    </row>
    <row r="85" spans="1:7" x14ac:dyDescent="0.2">
      <c r="A85" t="s">
        <v>136</v>
      </c>
      <c r="B85" s="67" t="s">
        <v>132</v>
      </c>
      <c r="C85" s="78">
        <v>44805</v>
      </c>
      <c r="D85" s="66">
        <f>D82+D83+D84</f>
        <v>2620524</v>
      </c>
      <c r="E85" s="66">
        <f>E82+E83+E84</f>
        <v>1606239</v>
      </c>
      <c r="F85" s="66">
        <f t="shared" si="10"/>
        <v>1014285</v>
      </c>
    </row>
    <row r="86" spans="1:7" x14ac:dyDescent="0.2">
      <c r="A86" t="s">
        <v>136</v>
      </c>
      <c r="B86" t="s">
        <v>129</v>
      </c>
      <c r="C86" s="77">
        <v>44835</v>
      </c>
      <c r="D86" s="27">
        <v>2102532</v>
      </c>
      <c r="E86" s="27">
        <v>627658</v>
      </c>
      <c r="F86" s="66">
        <f t="shared" si="10"/>
        <v>1474874</v>
      </c>
    </row>
    <row r="87" spans="1:7" x14ac:dyDescent="0.2">
      <c r="A87" t="s">
        <v>136</v>
      </c>
      <c r="B87" t="s">
        <v>130</v>
      </c>
      <c r="C87" s="77">
        <v>44835</v>
      </c>
      <c r="D87" s="27">
        <v>241188</v>
      </c>
      <c r="E87" s="27">
        <v>216042</v>
      </c>
      <c r="F87" s="66">
        <f>D87-E87</f>
        <v>25146</v>
      </c>
    </row>
    <row r="88" spans="1:7" x14ac:dyDescent="0.2">
      <c r="A88" t="s">
        <v>136</v>
      </c>
      <c r="B88" t="s">
        <v>131</v>
      </c>
      <c r="C88" s="77">
        <v>44835</v>
      </c>
      <c r="D88" s="27">
        <v>76083</v>
      </c>
      <c r="E88" s="27">
        <v>98726</v>
      </c>
      <c r="F88" s="66">
        <f t="shared" ref="F88:F90" si="11">D88-E88</f>
        <v>-22643</v>
      </c>
    </row>
    <row r="89" spans="1:7" x14ac:dyDescent="0.2">
      <c r="A89" t="s">
        <v>136</v>
      </c>
      <c r="B89" s="67" t="s">
        <v>132</v>
      </c>
      <c r="C89" s="78">
        <v>44835</v>
      </c>
      <c r="D89" s="66">
        <f>D86+D87+D88</f>
        <v>2419803</v>
      </c>
      <c r="E89" s="66">
        <f>E86+E87+E88</f>
        <v>942426</v>
      </c>
      <c r="F89" s="66">
        <f t="shared" si="11"/>
        <v>1477377</v>
      </c>
    </row>
    <row r="90" spans="1:7" x14ac:dyDescent="0.2">
      <c r="A90" t="s">
        <v>136</v>
      </c>
      <c r="B90" t="s">
        <v>129</v>
      </c>
      <c r="C90" s="77">
        <v>44866</v>
      </c>
      <c r="D90" s="27">
        <v>2297880</v>
      </c>
      <c r="E90" s="27">
        <v>653994</v>
      </c>
      <c r="F90" s="66">
        <f t="shared" si="11"/>
        <v>1643886</v>
      </c>
    </row>
    <row r="91" spans="1:7" x14ac:dyDescent="0.2">
      <c r="A91" t="s">
        <v>136</v>
      </c>
      <c r="B91" t="s">
        <v>130</v>
      </c>
      <c r="C91" s="77">
        <v>44866</v>
      </c>
      <c r="D91" s="27">
        <v>277093</v>
      </c>
      <c r="E91" s="27">
        <v>205831</v>
      </c>
      <c r="F91" s="66">
        <f>D91-E91</f>
        <v>71262</v>
      </c>
    </row>
    <row r="92" spans="1:7" x14ac:dyDescent="0.2">
      <c r="A92" t="s">
        <v>136</v>
      </c>
      <c r="B92" t="s">
        <v>131</v>
      </c>
      <c r="C92" s="77">
        <v>44866</v>
      </c>
      <c r="D92" s="27">
        <v>75924</v>
      </c>
      <c r="E92" s="27">
        <v>104068</v>
      </c>
      <c r="F92" s="66">
        <f t="shared" ref="F92:F94" si="12">D92-E92</f>
        <v>-28144</v>
      </c>
    </row>
    <row r="93" spans="1:7" x14ac:dyDescent="0.2">
      <c r="A93" t="s">
        <v>136</v>
      </c>
      <c r="B93" s="67" t="s">
        <v>132</v>
      </c>
      <c r="C93" s="78">
        <v>44866</v>
      </c>
      <c r="D93" s="66">
        <f>D90+D91+D92</f>
        <v>2650897</v>
      </c>
      <c r="E93" s="66">
        <f>E90+E91+E92</f>
        <v>963893</v>
      </c>
      <c r="F93" s="66">
        <f t="shared" si="12"/>
        <v>1687004</v>
      </c>
    </row>
    <row r="94" spans="1:7" x14ac:dyDescent="0.2">
      <c r="A94" t="s">
        <v>136</v>
      </c>
      <c r="B94" t="s">
        <v>129</v>
      </c>
      <c r="C94" s="77">
        <v>44896</v>
      </c>
      <c r="D94" s="27">
        <v>2576604</v>
      </c>
      <c r="E94" s="27">
        <v>1403626</v>
      </c>
      <c r="F94" s="66">
        <f t="shared" si="12"/>
        <v>1172978</v>
      </c>
    </row>
    <row r="95" spans="1:7" x14ac:dyDescent="0.2">
      <c r="A95" t="s">
        <v>136</v>
      </c>
      <c r="B95" t="s">
        <v>130</v>
      </c>
      <c r="C95" s="77">
        <v>44896</v>
      </c>
      <c r="D95" s="27">
        <v>248785</v>
      </c>
      <c r="E95" s="27">
        <v>307482</v>
      </c>
      <c r="F95" s="66">
        <f>D95-E95</f>
        <v>-58697</v>
      </c>
      <c r="G95" s="2" t="s">
        <v>267</v>
      </c>
    </row>
    <row r="96" spans="1:7" x14ac:dyDescent="0.2">
      <c r="A96" t="s">
        <v>136</v>
      </c>
      <c r="B96" t="s">
        <v>131</v>
      </c>
      <c r="C96" s="77">
        <v>44896</v>
      </c>
      <c r="D96" s="27">
        <v>133768</v>
      </c>
      <c r="E96" s="27">
        <v>178297</v>
      </c>
      <c r="F96" s="66">
        <f t="shared" ref="F96:F145" si="13">D96-E96</f>
        <v>-44529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2959157</v>
      </c>
      <c r="E97" s="66">
        <f>E94+E95+E96</f>
        <v>1889405</v>
      </c>
      <c r="F97" s="66">
        <f t="shared" si="13"/>
        <v>1069752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4">E2-E50</f>
        <v>1096931.7625322498</v>
      </c>
      <c r="F98" s="135">
        <f t="shared" si="13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" si="15">D3-D51</f>
        <v>18273.919999999984</v>
      </c>
      <c r="E99" s="135">
        <f t="shared" si="14"/>
        <v>-3597.5499999999884</v>
      </c>
      <c r="F99" s="135">
        <f t="shared" si="13"/>
        <v>21871.469999999972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ref="D100" si="16">D4-D52</f>
        <v>0</v>
      </c>
      <c r="E100" s="135">
        <f t="shared" si="14"/>
        <v>0</v>
      </c>
      <c r="F100" s="135">
        <f t="shared" si="13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ref="D101" si="17">D5-D53</f>
        <v>-201376.64999999991</v>
      </c>
      <c r="E101" s="135">
        <f t="shared" si="14"/>
        <v>1093334.2125322497</v>
      </c>
      <c r="F101" s="135">
        <f t="shared" si="13"/>
        <v>-1294710.8625322497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ref="D102" si="18">D6-D54</f>
        <v>-352926.83000000007</v>
      </c>
      <c r="E102" s="135">
        <f t="shared" si="14"/>
        <v>1027050.5470802498</v>
      </c>
      <c r="F102" s="135">
        <f t="shared" si="13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ref="D103" si="19">D7-D55</f>
        <v>-107758.94</v>
      </c>
      <c r="E103" s="135">
        <f t="shared" si="14"/>
        <v>-119403.18</v>
      </c>
      <c r="F103" s="135">
        <f t="shared" si="13"/>
        <v>11644.239999999991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ref="D104" si="20">D8-D56</f>
        <v>0</v>
      </c>
      <c r="E104" s="135">
        <f t="shared" si="14"/>
        <v>47751.700000000004</v>
      </c>
      <c r="F104" s="135">
        <f t="shared" si="13"/>
        <v>-47751.700000000004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ref="D105" si="21">D9-D57</f>
        <v>-460685.77</v>
      </c>
      <c r="E105" s="135">
        <f t="shared" si="14"/>
        <v>955399.06708024978</v>
      </c>
      <c r="F105" s="135">
        <f t="shared" si="13"/>
        <v>-1416084.8370802498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ref="D106" si="22">D10-D58</f>
        <v>-197021.79000000004</v>
      </c>
      <c r="E106" s="135">
        <f t="shared" si="14"/>
        <v>487252.16757617705</v>
      </c>
      <c r="F106" s="135">
        <f t="shared" si="13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ref="D107" si="23">D11-D59</f>
        <v>25315.719999999972</v>
      </c>
      <c r="E107" s="135">
        <f t="shared" si="14"/>
        <v>92902.490699999966</v>
      </c>
      <c r="F107" s="135">
        <f t="shared" si="13"/>
        <v>-67586.770699999994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ref="D108" si="24">D12-D60</f>
        <v>0</v>
      </c>
      <c r="E108" s="135">
        <f t="shared" si="14"/>
        <v>-13709.9997</v>
      </c>
      <c r="F108" s="135">
        <f t="shared" si="13"/>
        <v>13709.9997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ref="D109" si="25">D13-D61</f>
        <v>-171706.07000000007</v>
      </c>
      <c r="E109" s="135">
        <f t="shared" si="14"/>
        <v>566444.65857617697</v>
      </c>
      <c r="F109" s="135">
        <f t="shared" si="13"/>
        <v>-738150.72857617703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ref="D110" si="26">D14-D62</f>
        <v>186820.47999999998</v>
      </c>
      <c r="E110" s="135">
        <f t="shared" si="14"/>
        <v>1087717.6699999997</v>
      </c>
      <c r="F110" s="135">
        <f t="shared" si="13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ref="D111" si="27">D15-D63</f>
        <v>-111924.5</v>
      </c>
      <c r="E111" s="135">
        <f t="shared" si="14"/>
        <v>27022.770000000019</v>
      </c>
      <c r="F111" s="135">
        <f t="shared" si="13"/>
        <v>-138947.27000000002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ref="D112" si="28">D16-D64</f>
        <v>-75000</v>
      </c>
      <c r="E112" s="135">
        <f t="shared" si="14"/>
        <v>11853.159999999989</v>
      </c>
      <c r="F112" s="135">
        <f t="shared" si="13"/>
        <v>-86853.159999999989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ref="D113" si="29">D17-D65</f>
        <v>-104.02000000001863</v>
      </c>
      <c r="E113" s="135">
        <f t="shared" si="14"/>
        <v>1126593.5999999996</v>
      </c>
      <c r="F113" s="135">
        <f t="shared" si="13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ref="D114" si="30">D18-D66</f>
        <v>478505.93999999994</v>
      </c>
      <c r="E114" s="135">
        <f t="shared" si="14"/>
        <v>1060223.9280219998</v>
      </c>
      <c r="F114" s="135">
        <f t="shared" si="13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ref="D115" si="31">D19-D67</f>
        <v>37878.81</v>
      </c>
      <c r="E115" s="135">
        <f t="shared" si="14"/>
        <v>37295.640000000014</v>
      </c>
      <c r="F115" s="135">
        <f t="shared" si="13"/>
        <v>583.1699999999837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ref="D116" si="32">D20-D68</f>
        <v>-85069</v>
      </c>
      <c r="E116" s="135">
        <f t="shared" si="14"/>
        <v>23359.369999999995</v>
      </c>
      <c r="F116" s="135">
        <f t="shared" si="13"/>
        <v>-108428.37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ref="D117" si="33">D21-D69</f>
        <v>431315.75</v>
      </c>
      <c r="E117" s="135">
        <f t="shared" si="14"/>
        <v>1120878.9380219998</v>
      </c>
      <c r="F117" s="135">
        <f t="shared" si="13"/>
        <v>-689563.18802199978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ref="D118" si="34">D22-D70</f>
        <v>-88330.330000000307</v>
      </c>
      <c r="E118" s="135">
        <f t="shared" si="14"/>
        <v>355124.00040000002</v>
      </c>
      <c r="F118" s="135">
        <f t="shared" si="13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ref="D119" si="35">D23-D71</f>
        <v>6500.6900000000023</v>
      </c>
      <c r="E119" s="135">
        <f t="shared" si="14"/>
        <v>16378.290000000008</v>
      </c>
      <c r="F119" s="135">
        <f t="shared" si="13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ref="D120" si="36">D24-D72</f>
        <v>5647</v>
      </c>
      <c r="E120" s="135">
        <f t="shared" si="14"/>
        <v>14842.5</v>
      </c>
      <c r="F120" s="135">
        <f t="shared" si="13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ref="D121" si="37">D25-D73</f>
        <v>-76182.64000000013</v>
      </c>
      <c r="E121" s="135">
        <f t="shared" si="14"/>
        <v>386344.79040000006</v>
      </c>
      <c r="F121" s="135">
        <f t="shared" si="13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ref="D122" si="38">D26-D74</f>
        <v>144166.43999999994</v>
      </c>
      <c r="E122" s="135">
        <f t="shared" si="14"/>
        <v>1154247.8099999996</v>
      </c>
      <c r="F122" s="135">
        <f t="shared" si="13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ref="D123" si="39">D27-D75</f>
        <v>-50060.380000000005</v>
      </c>
      <c r="E123" s="135">
        <f t="shared" si="14"/>
        <v>2495.4182999999903</v>
      </c>
      <c r="F123" s="135">
        <f t="shared" si="13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ref="D124" si="40">D28-D76</f>
        <v>39</v>
      </c>
      <c r="E124" s="135">
        <f t="shared" si="14"/>
        <v>6706.4415000000154</v>
      </c>
      <c r="F124" s="135">
        <f t="shared" si="13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ref="D125" si="41">D29-D77</f>
        <v>94145.060000000056</v>
      </c>
      <c r="E125" s="135">
        <f t="shared" si="14"/>
        <v>1163449.6697999998</v>
      </c>
      <c r="F125" s="135">
        <f t="shared" si="13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ref="D126" si="42">D30-D78</f>
        <v>-168179.58000000031</v>
      </c>
      <c r="E126" s="135">
        <f t="shared" si="14"/>
        <v>1065659.24828025</v>
      </c>
      <c r="F126" s="135">
        <f t="shared" si="13"/>
        <v>-1233838.8282802503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ref="D127" si="43">D31-D79</f>
        <v>-30074.369999999995</v>
      </c>
      <c r="E127" s="135">
        <f t="shared" si="14"/>
        <v>34604.535600000003</v>
      </c>
      <c r="F127" s="135">
        <f t="shared" si="13"/>
        <v>-64678.905599999998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ref="D128" si="44">D32-D80</f>
        <v>-26113</v>
      </c>
      <c r="E128" s="135">
        <f t="shared" si="14"/>
        <v>21611.819999999992</v>
      </c>
      <c r="F128" s="135">
        <f t="shared" si="13"/>
        <v>-47724.819999999992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ref="D129" si="45">D33-D81</f>
        <v>-224366.95000000019</v>
      </c>
      <c r="E129" s="135">
        <f t="shared" si="14"/>
        <v>1121875.6038802501</v>
      </c>
      <c r="F129" s="135">
        <f t="shared" si="13"/>
        <v>-1346242.5538802503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ref="D130" si="46">D34-D82</f>
        <v>-78891.14000000013</v>
      </c>
      <c r="E130" s="135">
        <f t="shared" si="14"/>
        <v>412363.33843424194</v>
      </c>
      <c r="F130" s="135">
        <f t="shared" si="13"/>
        <v>-491254.47843424208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ref="D131" si="47">D35-D83</f>
        <v>10484.669999999984</v>
      </c>
      <c r="E131" s="135">
        <f t="shared" si="14"/>
        <v>36986.979999999981</v>
      </c>
      <c r="F131" s="135">
        <f t="shared" si="13"/>
        <v>-26502.309999999998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ref="D132" si="48">D36-D84</f>
        <v>4778.5</v>
      </c>
      <c r="E132" s="135">
        <f t="shared" si="14"/>
        <v>21002.907500000001</v>
      </c>
      <c r="F132" s="135">
        <f t="shared" si="13"/>
        <v>-16224.407500000001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ref="D133" si="49">D37-D85</f>
        <v>-63627.970000000205</v>
      </c>
      <c r="E133" s="135">
        <f t="shared" si="14"/>
        <v>470353.2259342419</v>
      </c>
      <c r="F133" s="135">
        <f t="shared" si="13"/>
        <v>-533981.1959342421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ref="D134" si="50">D38-D86</f>
        <v>127061.10000000009</v>
      </c>
      <c r="E134" s="135">
        <f t="shared" si="14"/>
        <v>1109174.1035889003</v>
      </c>
      <c r="F134" s="135">
        <f t="shared" si="13"/>
        <v>-982113.0035889002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ref="D135" si="51">D39-D87</f>
        <v>176708.84000000003</v>
      </c>
      <c r="E135" s="135">
        <f t="shared" si="14"/>
        <v>87909.229999999981</v>
      </c>
      <c r="F135" s="135">
        <f t="shared" si="13"/>
        <v>88799.610000000044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ref="D136" si="52">D40-D88</f>
        <v>-15875.5</v>
      </c>
      <c r="E136" s="135">
        <f t="shared" si="14"/>
        <v>32549.47</v>
      </c>
      <c r="F136" s="135">
        <f t="shared" si="13"/>
        <v>-48424.97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ref="D137" si="53">D41-D89</f>
        <v>287894.43999999994</v>
      </c>
      <c r="E137" s="135">
        <f t="shared" si="14"/>
        <v>1229632.8035889002</v>
      </c>
      <c r="F137" s="135">
        <f t="shared" si="13"/>
        <v>-941738.36358890031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ref="D138" si="54">D42-D90</f>
        <v>-141446.33999999985</v>
      </c>
      <c r="E138" s="135">
        <f t="shared" si="14"/>
        <v>1109237.5694000004</v>
      </c>
      <c r="F138" s="135">
        <f t="shared" si="13"/>
        <v>-1250683.9094000002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ref="D139" si="55">D43-D91</f>
        <v>-92644.12</v>
      </c>
      <c r="E139" s="135">
        <f t="shared" si="14"/>
        <v>123634.21600000001</v>
      </c>
      <c r="F139" s="135">
        <f t="shared" si="13"/>
        <v>-216278.33600000001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ref="D140" si="56">D44-D92</f>
        <v>-924</v>
      </c>
      <c r="E140" s="135">
        <f t="shared" si="14"/>
        <v>56693.809000000008</v>
      </c>
      <c r="F140" s="135">
        <f t="shared" si="13"/>
        <v>-57617.809000000008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ref="D141" si="57">D45-D93</f>
        <v>-235014.45999999996</v>
      </c>
      <c r="E141" s="135">
        <f t="shared" si="14"/>
        <v>1289565.5944000003</v>
      </c>
      <c r="F141" s="135">
        <f t="shared" si="13"/>
        <v>-1524580.0544000003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ref="D142" si="58">D46-D94</f>
        <v>-228256.33999999985</v>
      </c>
      <c r="E142" s="135">
        <f t="shared" si="14"/>
        <v>412477.96540000197</v>
      </c>
      <c r="F142" s="135">
        <f t="shared" si="13"/>
        <v>-640734.30540000182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ref="D143" si="59">D47-D95</f>
        <v>-53943.51999999999</v>
      </c>
      <c r="E143" s="135">
        <f t="shared" si="14"/>
        <v>69294.340000000026</v>
      </c>
      <c r="F143" s="135">
        <f t="shared" si="13"/>
        <v>-123237.86000000002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ref="D144" si="60">D48-D96</f>
        <v>15827.5</v>
      </c>
      <c r="E144" s="135">
        <f t="shared" si="14"/>
        <v>-13760.879999999976</v>
      </c>
      <c r="F144" s="135">
        <f t="shared" si="13"/>
        <v>29588.379999999976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ref="D145" si="61">D49-D97</f>
        <v>-266372.35999999987</v>
      </c>
      <c r="E145" s="135">
        <f t="shared" si="14"/>
        <v>468011.42540000193</v>
      </c>
      <c r="F145" s="135">
        <f t="shared" si="13"/>
        <v>-734383.7854000018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>
        <v>2521069.4799999995</v>
      </c>
      <c r="E170" s="27">
        <v>2093011.46516667</v>
      </c>
      <c r="F170" s="66">
        <f>IF(D170-E170=0,"",D170-E170)</f>
        <v>428058.01483332948</v>
      </c>
    </row>
    <row r="171" spans="1:6" x14ac:dyDescent="0.2">
      <c r="A171" t="s">
        <v>135</v>
      </c>
      <c r="B171" t="s">
        <v>130</v>
      </c>
      <c r="C171" s="77">
        <v>45108</v>
      </c>
      <c r="D171" s="27">
        <v>123536.14</v>
      </c>
      <c r="E171" s="27">
        <v>287798.19</v>
      </c>
      <c r="F171" s="66">
        <f>IF(D171-E171=0,"",D171-E171)</f>
        <v>-164262.04999999999</v>
      </c>
    </row>
    <row r="172" spans="1:6" x14ac:dyDescent="0.2">
      <c r="A172" t="s">
        <v>135</v>
      </c>
      <c r="B172" t="s">
        <v>131</v>
      </c>
      <c r="C172" s="77">
        <v>45108</v>
      </c>
      <c r="D172" s="27">
        <v>194583.39</v>
      </c>
      <c r="E172" s="27">
        <v>222131.76149999999</v>
      </c>
      <c r="F172" s="66">
        <f>IF(D172-E172=0,"",D172-E172)</f>
        <v>-27548.371499999979</v>
      </c>
    </row>
    <row r="173" spans="1:6" x14ac:dyDescent="0.2">
      <c r="A173" t="s">
        <v>135</v>
      </c>
      <c r="B173" s="67" t="s">
        <v>132</v>
      </c>
      <c r="C173" s="78">
        <v>45108</v>
      </c>
      <c r="D173" s="66">
        <f>IF(D170+D171+D172=0,"",D170+D171+D172)</f>
        <v>2839189.01</v>
      </c>
      <c r="E173" s="66">
        <f>IF(E170+E171+E172=0,"",E170+E171+E172)</f>
        <v>2602941.4166666702</v>
      </c>
      <c r="F173" s="66">
        <f>IFERROR(D173-E173,"")</f>
        <v>236247.59333332954</v>
      </c>
    </row>
    <row r="174" spans="1:6" x14ac:dyDescent="0.2">
      <c r="A174" t="s">
        <v>135</v>
      </c>
      <c r="B174" t="s">
        <v>129</v>
      </c>
      <c r="C174" s="77">
        <v>45139</v>
      </c>
      <c r="D174" s="27">
        <v>2999246.64</v>
      </c>
      <c r="E174" s="27">
        <v>2156455.3296666699</v>
      </c>
      <c r="F174" s="66">
        <f>IF(D174-E174=0,"",D174-E174)</f>
        <v>842791.31033333018</v>
      </c>
    </row>
    <row r="175" spans="1:6" x14ac:dyDescent="0.2">
      <c r="A175" t="s">
        <v>135</v>
      </c>
      <c r="B175" t="s">
        <v>130</v>
      </c>
      <c r="C175" s="77">
        <v>45139</v>
      </c>
      <c r="D175" s="27">
        <v>582895.49</v>
      </c>
      <c r="E175" s="27">
        <v>285796.5</v>
      </c>
      <c r="F175" s="66">
        <f>IF(D175-E175=0,"",D175-E175)</f>
        <v>297098.99</v>
      </c>
    </row>
    <row r="176" spans="1:6" x14ac:dyDescent="0.2">
      <c r="A176" t="s">
        <v>135</v>
      </c>
      <c r="B176" t="s">
        <v>131</v>
      </c>
      <c r="C176" s="77">
        <v>45139</v>
      </c>
      <c r="D176" s="27">
        <v>219432.72</v>
      </c>
      <c r="E176" s="27">
        <v>204836.31839999999</v>
      </c>
      <c r="F176" s="66">
        <f>IF(D176-E176=0,"",D176-E176)</f>
        <v>14596.401600000012</v>
      </c>
    </row>
    <row r="177" spans="1:6" x14ac:dyDescent="0.2">
      <c r="A177" t="s">
        <v>135</v>
      </c>
      <c r="B177" s="67" t="s">
        <v>132</v>
      </c>
      <c r="C177" s="78">
        <v>45139</v>
      </c>
      <c r="D177" s="66">
        <f>IF(D174+D175+D176=0,"",D174+D175+D176)</f>
        <v>3801574.85</v>
      </c>
      <c r="E177" s="66">
        <f>IF(E174+E175+E176=0,"",E174+E175+E176)</f>
        <v>2647088.1480666697</v>
      </c>
      <c r="F177" s="66">
        <f>IFERROR(D177-E177,"")</f>
        <v>1154486.7019333304</v>
      </c>
    </row>
    <row r="178" spans="1:6" x14ac:dyDescent="0.2">
      <c r="A178" t="s">
        <v>135</v>
      </c>
      <c r="B178" t="s">
        <v>129</v>
      </c>
      <c r="C178" s="77">
        <v>45170</v>
      </c>
      <c r="D178" s="27">
        <v>2761623.5199999996</v>
      </c>
      <c r="E178" s="27">
        <v>2186083.3122215099</v>
      </c>
      <c r="F178" s="66">
        <f>IF(D178-E178=0,"",D178-E178)</f>
        <v>575540.20777848968</v>
      </c>
    </row>
    <row r="179" spans="1:6" x14ac:dyDescent="0.2">
      <c r="A179" t="s">
        <v>135</v>
      </c>
      <c r="B179" t="s">
        <v>130</v>
      </c>
      <c r="C179" s="77">
        <v>45170</v>
      </c>
      <c r="D179" s="27">
        <v>272319.64</v>
      </c>
      <c r="E179" s="27">
        <v>263922.53999999998</v>
      </c>
      <c r="F179" s="66">
        <f>IF(D179-E179=0,"",D179-E179)</f>
        <v>8397.1000000000349</v>
      </c>
    </row>
    <row r="180" spans="1:6" x14ac:dyDescent="0.2">
      <c r="A180" t="s">
        <v>135</v>
      </c>
      <c r="B180" t="s">
        <v>131</v>
      </c>
      <c r="C180" s="77">
        <v>45170</v>
      </c>
      <c r="D180" s="27">
        <v>312851.64</v>
      </c>
      <c r="E180" s="27">
        <v>216100.4</v>
      </c>
      <c r="F180" s="66">
        <f>IF(D180-E180=0,"",D180-E180)</f>
        <v>96751.24000000002</v>
      </c>
    </row>
    <row r="181" spans="1:6" x14ac:dyDescent="0.2">
      <c r="A181" t="s">
        <v>135</v>
      </c>
      <c r="B181" s="67" t="s">
        <v>132</v>
      </c>
      <c r="C181" s="78">
        <v>45170</v>
      </c>
      <c r="D181" s="66">
        <f>IF(D178+D179+D180=0,"",D178+D179+D180)</f>
        <v>3346794.8</v>
      </c>
      <c r="E181" s="66">
        <f>IF(E178+E179+E180=0,"",E178+E179+E180)</f>
        <v>2666106.2522215098</v>
      </c>
      <c r="F181" s="66">
        <f>IFERROR(D181-E181,"")</f>
        <v>680688.54777849</v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8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8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8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249684</v>
      </c>
      <c r="F195" s="66">
        <f>IF(D195-E195=0,"",D195-E195)</f>
        <v>-3015</v>
      </c>
    </row>
    <row r="196" spans="1:8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124515</v>
      </c>
      <c r="F196" s="66">
        <f>IF(D196-E196=0,"",D196-E196)</f>
        <v>-44515</v>
      </c>
    </row>
    <row r="197" spans="1:8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374199</v>
      </c>
      <c r="F197" s="66">
        <f>IFERROR(D197-E197,"")</f>
        <v>-47530</v>
      </c>
    </row>
    <row r="198" spans="1:8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8" x14ac:dyDescent="0.2">
      <c r="A199" t="s">
        <v>136</v>
      </c>
      <c r="B199" t="s">
        <v>130</v>
      </c>
      <c r="C199" s="77">
        <v>44958</v>
      </c>
      <c r="D199" s="27">
        <v>296845</v>
      </c>
      <c r="E199" s="27">
        <v>301808</v>
      </c>
      <c r="F199" s="66">
        <f>IF(D199-E199=0,"",D199-E199)</f>
        <v>-4963</v>
      </c>
      <c r="G199" s="2" t="s">
        <v>268</v>
      </c>
    </row>
    <row r="200" spans="1:8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198184</v>
      </c>
      <c r="F200" s="66">
        <f>IF(D200-E200=0,"",D200-E200)</f>
        <v>6816</v>
      </c>
      <c r="G200" s="2" t="s">
        <v>271</v>
      </c>
      <c r="H200" s="2" t="s">
        <v>273</v>
      </c>
    </row>
    <row r="201" spans="1:8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501845</v>
      </c>
      <c r="E201" s="66">
        <f>IF(E198+E199+E200=0,"",E198+E199+E200)</f>
        <v>499992</v>
      </c>
      <c r="F201" s="66">
        <f>IFERROR(D201-E201,"")</f>
        <v>1853</v>
      </c>
    </row>
    <row r="202" spans="1:8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8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278180</v>
      </c>
      <c r="F203" s="66">
        <f>IF(D203-E203=0,"",D203-E203)</f>
        <v>23110</v>
      </c>
      <c r="G203" s="2" t="s">
        <v>269</v>
      </c>
    </row>
    <row r="204" spans="1:8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152998</v>
      </c>
      <c r="F204" s="66">
        <f>IF(D204-E204=0,"",D204-E204)</f>
        <v>17002</v>
      </c>
      <c r="G204" s="2" t="s">
        <v>272</v>
      </c>
      <c r="H204" s="2" t="s">
        <v>273</v>
      </c>
    </row>
    <row r="205" spans="1:8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431178</v>
      </c>
      <c r="F205" s="66">
        <f>IFERROR(D205-E205,"")</f>
        <v>40112</v>
      </c>
    </row>
    <row r="206" spans="1:8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8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271049</v>
      </c>
      <c r="F207" s="66">
        <f>IF(D207-E207=0,"",D207-E207)</f>
        <v>31696</v>
      </c>
    </row>
    <row r="208" spans="1:8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154630</v>
      </c>
      <c r="F208" s="66">
        <f>IF(D208-E208=0,"",D208-E208)</f>
        <v>15370</v>
      </c>
      <c r="G208" s="2" t="s">
        <v>273</v>
      </c>
      <c r="H208" s="2" t="s">
        <v>273</v>
      </c>
    </row>
    <row r="209" spans="1:8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425679</v>
      </c>
      <c r="F209" s="66">
        <f>IFERROR(D209-E209,"")</f>
        <v>47066</v>
      </c>
    </row>
    <row r="210" spans="1:8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8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245948</v>
      </c>
      <c r="F211" s="66">
        <f>IF(D211-E211=0,"",D211-E211)</f>
        <v>-28544</v>
      </c>
      <c r="G211" s="2" t="s">
        <v>270</v>
      </c>
    </row>
    <row r="212" spans="1:8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164478</v>
      </c>
      <c r="F212" s="66">
        <f>IF(D212-E212=0,"",D212-E212)</f>
        <v>5522</v>
      </c>
      <c r="G212" s="2" t="s">
        <v>274</v>
      </c>
      <c r="H212" s="2" t="s">
        <v>273</v>
      </c>
    </row>
    <row r="213" spans="1:8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410426</v>
      </c>
      <c r="F213" s="66">
        <f>IFERROR(D213-E213,"")</f>
        <v>-23022</v>
      </c>
    </row>
    <row r="214" spans="1:8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8" x14ac:dyDescent="0.2">
      <c r="A215" t="s">
        <v>136</v>
      </c>
      <c r="B215" t="s">
        <v>130</v>
      </c>
      <c r="C215" s="77">
        <v>45078</v>
      </c>
      <c r="D215" s="27">
        <v>361242</v>
      </c>
      <c r="E215" s="27">
        <v>271305</v>
      </c>
      <c r="F215" s="66">
        <f>IF(D215-E215=0,"",D215-E215)</f>
        <v>89937</v>
      </c>
    </row>
    <row r="216" spans="1:8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203102</v>
      </c>
      <c r="F216" s="66">
        <f>IF(D216-E216=0,"",D216-E216)</f>
        <v>77810</v>
      </c>
      <c r="G216" s="2" t="s">
        <v>274</v>
      </c>
      <c r="H216" s="2" t="s">
        <v>273</v>
      </c>
    </row>
    <row r="217" spans="1:8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642154</v>
      </c>
      <c r="E217" s="66">
        <f>IF(E214+E215+E216=0,"",E214+E215+E216)</f>
        <v>474407</v>
      </c>
      <c r="F217" s="66">
        <f>IFERROR(D217-E217,"")</f>
        <v>167747</v>
      </c>
    </row>
    <row r="218" spans="1:8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8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274475</v>
      </c>
      <c r="F219" s="66">
        <f>IF(D219-E219=0,"",D219-E219)</f>
        <v>43517</v>
      </c>
    </row>
    <row r="220" spans="1:8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201249</v>
      </c>
      <c r="F220" s="66">
        <f>IF(D220-E220=0,"",D220-E220)</f>
        <v>-6666</v>
      </c>
      <c r="H220" s="2" t="s">
        <v>70</v>
      </c>
    </row>
    <row r="221" spans="1:8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475724</v>
      </c>
      <c r="F221" s="66">
        <f>IFERROR(D221-E221,"")</f>
        <v>36851</v>
      </c>
    </row>
    <row r="222" spans="1:8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8" x14ac:dyDescent="0.2">
      <c r="A223" t="s">
        <v>136</v>
      </c>
      <c r="B223" t="s">
        <v>130</v>
      </c>
      <c r="C223" s="77">
        <v>45139</v>
      </c>
      <c r="D223" s="27">
        <v>318530</v>
      </c>
      <c r="E223" s="27">
        <v>281239</v>
      </c>
      <c r="F223" s="66">
        <f>IF(D223-E223=0,"",D223-E223)</f>
        <v>37291</v>
      </c>
    </row>
    <row r="224" spans="1:8" x14ac:dyDescent="0.2">
      <c r="A224" t="s">
        <v>136</v>
      </c>
      <c r="B224" t="s">
        <v>131</v>
      </c>
      <c r="C224" s="77">
        <v>45139</v>
      </c>
      <c r="D224" s="27">
        <v>219432</v>
      </c>
      <c r="E224" s="27">
        <v>200666</v>
      </c>
      <c r="F224" s="66">
        <f>IF(D224-E224=0,"",D224-E224)</f>
        <v>18766</v>
      </c>
      <c r="H224" s="2" t="s">
        <v>70</v>
      </c>
    </row>
    <row r="225" spans="1:8" x14ac:dyDescent="0.2">
      <c r="A225" t="s">
        <v>136</v>
      </c>
      <c r="B225" s="67" t="s">
        <v>132</v>
      </c>
      <c r="C225" s="78">
        <v>45139</v>
      </c>
      <c r="D225" s="66">
        <f>IF(D222+D223+D224=0,"",D222+D223+D224)</f>
        <v>537962</v>
      </c>
      <c r="E225" s="66">
        <f>IF(E222+E223+E224=0,"",E222+E223+E224)</f>
        <v>481905</v>
      </c>
      <c r="F225" s="66">
        <f>IFERROR(D225-E225,"")</f>
        <v>56057</v>
      </c>
    </row>
    <row r="226" spans="1:8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8" x14ac:dyDescent="0.2">
      <c r="A227" t="s">
        <v>136</v>
      </c>
      <c r="B227" t="s">
        <v>130</v>
      </c>
      <c r="C227" s="77">
        <v>45170</v>
      </c>
      <c r="D227" s="27">
        <v>383886</v>
      </c>
      <c r="E227" s="27">
        <v>287180</v>
      </c>
      <c r="F227" s="66">
        <f>IF(D227-E227=0,"",D227-E227)</f>
        <v>96706</v>
      </c>
    </row>
    <row r="228" spans="1:8" x14ac:dyDescent="0.2">
      <c r="A228" t="s">
        <v>136</v>
      </c>
      <c r="B228" t="s">
        <v>131</v>
      </c>
      <c r="C228" s="77">
        <v>45170</v>
      </c>
      <c r="D228" s="27">
        <v>318851</v>
      </c>
      <c r="E228" s="27">
        <v>228907</v>
      </c>
      <c r="F228" s="66">
        <f>IF(D228-E228=0,"",D228-E228)</f>
        <v>89944</v>
      </c>
      <c r="H228" s="2" t="s">
        <v>70</v>
      </c>
    </row>
    <row r="229" spans="1:8" x14ac:dyDescent="0.2">
      <c r="A229" t="s">
        <v>136</v>
      </c>
      <c r="B229" s="67" t="s">
        <v>132</v>
      </c>
      <c r="C229" s="78">
        <v>45170</v>
      </c>
      <c r="D229" s="66">
        <f>IF(D226+D227+D228=0,"",D226+D227+D228)</f>
        <v>702737</v>
      </c>
      <c r="E229" s="66">
        <f>IF(E226+E227+E228=0,"",E226+E227+E228)</f>
        <v>516087</v>
      </c>
      <c r="F229" s="66">
        <f>IFERROR(D229-E229,"")</f>
        <v>186650</v>
      </c>
    </row>
    <row r="230" spans="1:8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8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8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8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8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8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8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8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8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8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8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62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" si="63">IF(D147-D195=0,"",D147-D195)</f>
        <v>139309.84999999998</v>
      </c>
      <c r="E243" s="135">
        <f t="shared" si="62"/>
        <v>46967.270000000019</v>
      </c>
      <c r="F243" s="135">
        <f>IFERROR(D243-E243,"")</f>
        <v>92342.579999999958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ref="D244" si="64">IF(D148-D196=0,"",D148-D196)</f>
        <v>-5000</v>
      </c>
      <c r="E244" s="135">
        <f t="shared" si="62"/>
        <v>18776.940000000002</v>
      </c>
      <c r="F244" s="135">
        <f>IFERROR(D244-E244,"")</f>
        <v>-23776.940000000002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1782697.81</v>
      </c>
      <c r="F245" s="135">
        <f>IFERROR(F242+F243+F244,"")</f>
        <v>750218.49999999977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65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" si="66">IF(D151-D199=0,"",D151-D199)</f>
        <v>-123367.45000000001</v>
      </c>
      <c r="E247" s="135">
        <f t="shared" si="65"/>
        <v>-56700.51999999999</v>
      </c>
      <c r="F247" s="135">
        <f>IFERROR(D247-E247,"")</f>
        <v>-66666.930000000022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ref="D248" si="67">IF(D152-D200=0,"",D152-D200)</f>
        <v>155000</v>
      </c>
      <c r="E248" s="135">
        <f t="shared" si="65"/>
        <v>-63161.23000000001</v>
      </c>
      <c r="F248" s="135">
        <f>IFERROR(D248-E248,"")</f>
        <v>218161.23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1788658.62</v>
      </c>
      <c r="E249" s="135">
        <f>IFERROR(E246+E247+E248,"")</f>
        <v>1701446.66</v>
      </c>
      <c r="F249" s="135">
        <f>IFERROR(F246+F247+F248,"")</f>
        <v>87211.960000000137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68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" si="69">IF(D155-D203=0,"",D155-D203)</f>
        <v>2879.179999999993</v>
      </c>
      <c r="E251" s="135">
        <f t="shared" si="68"/>
        <v>-3328.8800000000047</v>
      </c>
      <c r="F251" s="135">
        <f>IFERROR(D251-E251,"")</f>
        <v>6208.0599999999977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ref="D252" si="70">IF(D156-D204=0,"",D156-D204)</f>
        <v>-90000</v>
      </c>
      <c r="E252" s="135">
        <f t="shared" si="68"/>
        <v>13056.799999999988</v>
      </c>
      <c r="F252" s="135">
        <f>IFERROR(D252-E252,"")</f>
        <v>-103056.79999999999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1869945.3</v>
      </c>
      <c r="F253" s="135">
        <f>IFERROR(F250+F251+F252,"")</f>
        <v>-82471.509999999776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7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" si="72">IF(D159-D207=0,"",D159-D207)</f>
        <v>73273.549999999988</v>
      </c>
      <c r="E255" s="135">
        <f t="shared" si="71"/>
        <v>12501.119999999995</v>
      </c>
      <c r="F255" s="135">
        <f>IFERROR(D255-E255,"")</f>
        <v>60772.429999999993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ref="D256" si="73">IF(D160-D208=0,"",D160-D208)</f>
        <v>-15000</v>
      </c>
      <c r="E256" s="135">
        <f t="shared" si="71"/>
        <v>28406.959999999992</v>
      </c>
      <c r="F256" s="135">
        <f>IFERROR(D256-E256,"")</f>
        <v>-43406.959999999992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2022441.94</v>
      </c>
      <c r="F257" s="135">
        <f>IFERROR(F254+F255+F256,"")</f>
        <v>731178.29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7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74">IF(D163-D211=0,"",D163-D211)</f>
        <v>-25115.320000000007</v>
      </c>
      <c r="E259" s="135">
        <f t="shared" si="71"/>
        <v>37680.419999999984</v>
      </c>
      <c r="F259" s="135">
        <f>IFERROR(D259-E259,"")</f>
        <v>-62795.739999999991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71"/>
        <v>28261.97</v>
      </c>
      <c r="F260" s="135">
        <f>IFERROR(D260-E260,"")</f>
        <v>-28261.97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2157954.58</v>
      </c>
      <c r="F261" s="135">
        <f>IFERROR(F258+F259+F260,"")</f>
        <v>384272.14000000013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75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" si="76">IF(D167-D215=0,"",D167-D215)</f>
        <v>-65365.239999999991</v>
      </c>
      <c r="E263" s="135">
        <f t="shared" si="75"/>
        <v>-25232.720000000001</v>
      </c>
      <c r="F263" s="135">
        <f>IFERROR(D263-E263,"")</f>
        <v>-40132.51999999999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ref="D264" si="77">IF(D168-D216=0,"",D168-D216)</f>
        <v>0.96000000002095476</v>
      </c>
      <c r="E264" s="135">
        <f t="shared" si="75"/>
        <v>282.42999999999302</v>
      </c>
      <c r="F264" s="135">
        <f>IFERROR(D264-E264,"")</f>
        <v>-281.46999999997206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2122342.3499999996</v>
      </c>
      <c r="E265" s="135">
        <f>IFERROR(E262+E263+E264,"")</f>
        <v>2076617.1400000001</v>
      </c>
      <c r="F265" s="135">
        <f>IFERROR(F262+F263+F264,"")</f>
        <v>45725.209999999759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>
        <f>IF(D170-D218=0,"",D170-D218)</f>
        <v>2521069.4799999995</v>
      </c>
      <c r="E266" s="135">
        <f t="shared" ref="E266:E288" si="78">IF(E170-E218=0,"",E170-E218)</f>
        <v>2093011.46516667</v>
      </c>
      <c r="F266" s="135">
        <f>IFERROR(D266-E266,"")</f>
        <v>428058.01483332948</v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" si="79">IF(D171-D219=0,"",D171-D219)</f>
        <v>-194455.86</v>
      </c>
      <c r="E267" s="135">
        <f t="shared" si="78"/>
        <v>13323.190000000002</v>
      </c>
      <c r="F267" s="135">
        <f>IFERROR(D267-E267,"")</f>
        <v>-207779.05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ref="D268" si="80">IF(D172-D220=0,"",D172-D220)</f>
        <v>0.39000000001396984</v>
      </c>
      <c r="E268" s="135">
        <f t="shared" si="78"/>
        <v>20882.761499999993</v>
      </c>
      <c r="F268" s="135">
        <f>IFERROR(D268-E268,"")</f>
        <v>-20882.371499999979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>
        <f>IFERROR(D266+D267+D268,"")</f>
        <v>2326614.0099999998</v>
      </c>
      <c r="E269" s="135">
        <f>IFERROR(E266+E267+E268,"")</f>
        <v>2127217.4166666702</v>
      </c>
      <c r="F269" s="135">
        <f>IFERROR(F266+F267+F268,"")</f>
        <v>199396.59333332951</v>
      </c>
    </row>
    <row r="270" spans="1:6" x14ac:dyDescent="0.2">
      <c r="A270" t="s">
        <v>134</v>
      </c>
      <c r="B270" s="133" t="s">
        <v>129</v>
      </c>
      <c r="C270" s="134">
        <v>45139</v>
      </c>
      <c r="D270" s="135">
        <f>IF(D174-D222=0,"",D174-D222)</f>
        <v>2999246.64</v>
      </c>
      <c r="E270" s="135">
        <f t="shared" si="78"/>
        <v>2156455.3296666699</v>
      </c>
      <c r="F270" s="135">
        <f>IFERROR(D270-E270,"")</f>
        <v>842791.31033333018</v>
      </c>
    </row>
    <row r="271" spans="1:6" x14ac:dyDescent="0.2">
      <c r="A271" t="s">
        <v>134</v>
      </c>
      <c r="B271" s="133" t="s">
        <v>130</v>
      </c>
      <c r="C271" s="134">
        <v>45139</v>
      </c>
      <c r="D271" s="135">
        <f t="shared" ref="D271" si="81">IF(D175-D223=0,"",D175-D223)</f>
        <v>264365.49</v>
      </c>
      <c r="E271" s="135">
        <f t="shared" si="78"/>
        <v>4557.5</v>
      </c>
      <c r="F271" s="135">
        <f>IFERROR(D271-E271,"")</f>
        <v>259807.99</v>
      </c>
    </row>
    <row r="272" spans="1:6" x14ac:dyDescent="0.2">
      <c r="A272" t="s">
        <v>134</v>
      </c>
      <c r="B272" s="133" t="s">
        <v>131</v>
      </c>
      <c r="C272" s="134">
        <v>45139</v>
      </c>
      <c r="D272" s="135">
        <f t="shared" ref="D272" si="82">IF(D176-D224=0,"",D176-D224)</f>
        <v>0.72000000000116415</v>
      </c>
      <c r="E272" s="135">
        <f t="shared" si="78"/>
        <v>4170.3183999999892</v>
      </c>
      <c r="F272" s="135">
        <f>IFERROR(D272-E272,"")</f>
        <v>-4169.598399999988</v>
      </c>
    </row>
    <row r="273" spans="1:6" x14ac:dyDescent="0.2">
      <c r="A273" t="s">
        <v>134</v>
      </c>
      <c r="B273" s="133" t="s">
        <v>132</v>
      </c>
      <c r="C273" s="134">
        <v>45139</v>
      </c>
      <c r="D273" s="135">
        <f>IFERROR(D270+D271+D272,"")</f>
        <v>3263612.85</v>
      </c>
      <c r="E273" s="135">
        <f>IFERROR(E270+E271+E272,"")</f>
        <v>2165183.1480666697</v>
      </c>
      <c r="F273" s="135">
        <f>IFERROR(F270+F271+F272,"")</f>
        <v>1098429.7019333302</v>
      </c>
    </row>
    <row r="274" spans="1:6" x14ac:dyDescent="0.2">
      <c r="A274" t="s">
        <v>134</v>
      </c>
      <c r="B274" s="133" t="s">
        <v>129</v>
      </c>
      <c r="C274" s="134">
        <v>45170</v>
      </c>
      <c r="D274" s="135">
        <f>IF(D178-D226=0,"",D178-D226)</f>
        <v>2761623.5199999996</v>
      </c>
      <c r="E274" s="135">
        <f t="shared" si="78"/>
        <v>2186083.3122215099</v>
      </c>
      <c r="F274" s="135">
        <f>IFERROR(D274-E274,"")</f>
        <v>575540.20777848968</v>
      </c>
    </row>
    <row r="275" spans="1:6" x14ac:dyDescent="0.2">
      <c r="A275" t="s">
        <v>134</v>
      </c>
      <c r="B275" s="133" t="s">
        <v>130</v>
      </c>
      <c r="C275" s="134">
        <v>45170</v>
      </c>
      <c r="D275" s="135">
        <f t="shared" ref="D275" si="83">IF(D179-D227=0,"",D179-D227)</f>
        <v>-111566.35999999999</v>
      </c>
      <c r="E275" s="135">
        <f t="shared" si="78"/>
        <v>-23257.460000000021</v>
      </c>
      <c r="F275" s="135">
        <f>IFERROR(D275-E275,"")</f>
        <v>-88308.899999999965</v>
      </c>
    </row>
    <row r="276" spans="1:6" x14ac:dyDescent="0.2">
      <c r="A276" t="s">
        <v>134</v>
      </c>
      <c r="B276" s="133" t="s">
        <v>131</v>
      </c>
      <c r="C276" s="134">
        <v>45170</v>
      </c>
      <c r="D276" s="135">
        <f t="shared" ref="D276" si="84">IF(D180-D228=0,"",D180-D228)</f>
        <v>-5999.359999999986</v>
      </c>
      <c r="E276" s="135">
        <f t="shared" si="78"/>
        <v>-12806.600000000006</v>
      </c>
      <c r="F276" s="135">
        <f>IFERROR(D276-E276,"")</f>
        <v>6807.2400000000198</v>
      </c>
    </row>
    <row r="277" spans="1:6" x14ac:dyDescent="0.2">
      <c r="A277" t="s">
        <v>134</v>
      </c>
      <c r="B277" s="133" t="s">
        <v>132</v>
      </c>
      <c r="C277" s="134">
        <v>45170</v>
      </c>
      <c r="D277" s="135">
        <f>IFERROR(D274+D275+D276,"")</f>
        <v>2644057.7999999998</v>
      </c>
      <c r="E277" s="135">
        <f>IFERROR(E274+E275+E276,"")</f>
        <v>2150019.2522215098</v>
      </c>
      <c r="F277" s="135">
        <f>IFERROR(F274+F275+F276,"")</f>
        <v>494038.54777848977</v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78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" si="85">IF(D183-D231=0,"",D183-D231)</f>
        <v/>
      </c>
      <c r="E279" s="135" t="str">
        <f t="shared" si="78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ref="D280" si="86">IF(D184-D232=0,"",D184-D232)</f>
        <v/>
      </c>
      <c r="E280" s="135" t="str">
        <f t="shared" si="78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78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" si="87">IF(D187-D235=0,"",D187-D235)</f>
        <v/>
      </c>
      <c r="E283" s="135" t="str">
        <f t="shared" si="78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ref="D284" si="88">IF(D188-D236=0,"",D188-D236)</f>
        <v/>
      </c>
      <c r="E284" s="135" t="str">
        <f t="shared" si="78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78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" si="89">IF(D191-D239=0,"",D191-D239)</f>
        <v/>
      </c>
      <c r="E287" s="135" t="str">
        <f t="shared" si="78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ref="D288" si="90">IF(D192-D240=0,"",D192-D240)</f>
        <v/>
      </c>
      <c r="E288" s="135" t="str">
        <f t="shared" si="78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7348-D978-4B25-9299-1ABEF23199A9}">
  <sheetPr>
    <tabColor theme="9" tint="-0.249977111117893"/>
  </sheetPr>
  <dimension ref="A1:F289"/>
  <sheetViews>
    <sheetView zoomScaleNormal="100" workbookViewId="0">
      <pane ySplit="1" topLeftCell="A2" activePane="bottomLeft" state="frozen"/>
      <selection pane="bottomLeft" activeCell="G3" sqref="G3"/>
    </sheetView>
  </sheetViews>
  <sheetFormatPr defaultRowHeight="12.75" x14ac:dyDescent="0.2"/>
  <cols>
    <col min="1" max="1" width="23.42578125" bestFit="1" customWidth="1"/>
    <col min="4" max="4" width="11.140625" bestFit="1" customWidth="1"/>
    <col min="5" max="5" width="13.42578125" bestFit="1" customWidth="1"/>
    <col min="6" max="6" width="11.5703125" style="27" bestFit="1" customWidth="1"/>
  </cols>
  <sheetData>
    <row r="1" spans="1:6" x14ac:dyDescent="0.2">
      <c r="A1" t="s">
        <v>133</v>
      </c>
      <c r="B1" t="s">
        <v>118</v>
      </c>
      <c r="C1" t="s">
        <v>9</v>
      </c>
      <c r="D1" t="s">
        <v>109</v>
      </c>
      <c r="E1" t="s">
        <v>128</v>
      </c>
      <c r="F1" s="27" t="s">
        <v>127</v>
      </c>
    </row>
    <row r="2" spans="1:6" x14ac:dyDescent="0.2">
      <c r="A2" t="s">
        <v>135</v>
      </c>
      <c r="B2" t="s">
        <v>129</v>
      </c>
      <c r="C2" s="77">
        <v>44562</v>
      </c>
      <c r="D2" s="27">
        <v>1943702.4300000002</v>
      </c>
      <c r="E2" s="27">
        <v>1677761.7625322498</v>
      </c>
      <c r="F2" s="66">
        <f t="shared" ref="F2:F50" si="0">D2-E2</f>
        <v>265940.66746775038</v>
      </c>
    </row>
    <row r="3" spans="1:6" x14ac:dyDescent="0.2">
      <c r="A3" t="s">
        <v>135</v>
      </c>
      <c r="B3" t="s">
        <v>130</v>
      </c>
      <c r="C3" s="77">
        <v>44562</v>
      </c>
      <c r="D3" s="27">
        <v>293072.92</v>
      </c>
      <c r="E3" s="27">
        <v>271337.45</v>
      </c>
      <c r="F3" s="66">
        <f>D3-E3</f>
        <v>21735.469999999972</v>
      </c>
    </row>
    <row r="4" spans="1:6" x14ac:dyDescent="0.2">
      <c r="A4" t="s">
        <v>135</v>
      </c>
      <c r="B4" t="s">
        <v>131</v>
      </c>
      <c r="C4" s="77">
        <v>44562</v>
      </c>
      <c r="D4" s="27">
        <v>0</v>
      </c>
      <c r="E4" s="27">
        <v>0</v>
      </c>
      <c r="F4" s="66">
        <f t="shared" si="0"/>
        <v>0</v>
      </c>
    </row>
    <row r="5" spans="1:6" x14ac:dyDescent="0.2">
      <c r="A5" t="s">
        <v>135</v>
      </c>
      <c r="B5" s="67" t="s">
        <v>132</v>
      </c>
      <c r="C5" s="78">
        <v>44562</v>
      </c>
      <c r="D5" s="66">
        <f>D2+D3+D4</f>
        <v>2236775.35</v>
      </c>
      <c r="E5" s="66">
        <f>E2+E3+E4</f>
        <v>1949099.2125322497</v>
      </c>
      <c r="F5" s="66">
        <f t="shared" si="0"/>
        <v>287676.13746775035</v>
      </c>
    </row>
    <row r="6" spans="1:6" x14ac:dyDescent="0.2">
      <c r="A6" t="s">
        <v>135</v>
      </c>
      <c r="B6" t="s">
        <v>129</v>
      </c>
      <c r="C6" s="77">
        <v>44593</v>
      </c>
      <c r="D6" s="27">
        <v>1278609.17</v>
      </c>
      <c r="E6" s="27">
        <v>1518314.5470802498</v>
      </c>
      <c r="F6" s="66">
        <f t="shared" si="0"/>
        <v>-239705.37708024983</v>
      </c>
    </row>
    <row r="7" spans="1:6" x14ac:dyDescent="0.2">
      <c r="A7" t="s">
        <v>135</v>
      </c>
      <c r="B7" t="s">
        <v>130</v>
      </c>
      <c r="C7" s="77">
        <v>44593</v>
      </c>
      <c r="D7" s="27">
        <v>154046.06</v>
      </c>
      <c r="E7" s="27">
        <v>290597.82</v>
      </c>
      <c r="F7" s="66">
        <f>D7-E7</f>
        <v>-136551.76</v>
      </c>
    </row>
    <row r="8" spans="1:6" x14ac:dyDescent="0.2">
      <c r="A8" t="s">
        <v>135</v>
      </c>
      <c r="B8" t="s">
        <v>131</v>
      </c>
      <c r="C8" s="77">
        <v>44593</v>
      </c>
      <c r="D8" s="27">
        <v>0</v>
      </c>
      <c r="E8" s="27">
        <v>48315.700000000004</v>
      </c>
      <c r="F8" s="66">
        <f t="shared" si="0"/>
        <v>-48315.700000000004</v>
      </c>
    </row>
    <row r="9" spans="1:6" x14ac:dyDescent="0.2">
      <c r="A9" t="s">
        <v>135</v>
      </c>
      <c r="B9" s="67" t="s">
        <v>132</v>
      </c>
      <c r="C9" s="78">
        <v>44593</v>
      </c>
      <c r="D9" s="66">
        <f>D6+D7+D8</f>
        <v>1432655.23</v>
      </c>
      <c r="E9" s="66">
        <f>E6+E7+E8</f>
        <v>1857228.0670802498</v>
      </c>
      <c r="F9" s="66">
        <f t="shared" si="0"/>
        <v>-424572.8370802498</v>
      </c>
    </row>
    <row r="10" spans="1:6" x14ac:dyDescent="0.2">
      <c r="A10" t="s">
        <v>135</v>
      </c>
      <c r="B10" t="s">
        <v>129</v>
      </c>
      <c r="C10" s="77">
        <v>44621</v>
      </c>
      <c r="D10" s="27">
        <v>1748984.21</v>
      </c>
      <c r="E10" s="27">
        <v>1623516.167576177</v>
      </c>
      <c r="F10" s="66">
        <f t="shared" si="0"/>
        <v>125468.04242382292</v>
      </c>
    </row>
    <row r="11" spans="1:6" x14ac:dyDescent="0.2">
      <c r="A11" t="s">
        <v>135</v>
      </c>
      <c r="B11" t="s">
        <v>130</v>
      </c>
      <c r="C11" s="77">
        <v>44621</v>
      </c>
      <c r="D11" s="27">
        <v>262374.71999999997</v>
      </c>
      <c r="E11" s="27">
        <v>342873.49069999997</v>
      </c>
      <c r="F11" s="66">
        <f>D11-E11</f>
        <v>-80498.770699999994</v>
      </c>
    </row>
    <row r="12" spans="1:6" x14ac:dyDescent="0.2">
      <c r="A12" t="s">
        <v>135</v>
      </c>
      <c r="B12" t="s">
        <v>131</v>
      </c>
      <c r="C12" s="77">
        <v>44621</v>
      </c>
      <c r="D12" s="27">
        <v>0</v>
      </c>
      <c r="E12" s="27">
        <v>35984.0003</v>
      </c>
      <c r="F12" s="66">
        <f t="shared" si="0"/>
        <v>-35984.0003</v>
      </c>
    </row>
    <row r="13" spans="1:6" x14ac:dyDescent="0.2">
      <c r="A13" t="s">
        <v>135</v>
      </c>
      <c r="B13" s="67" t="s">
        <v>132</v>
      </c>
      <c r="C13" s="78">
        <v>44621</v>
      </c>
      <c r="D13" s="66">
        <f>D10+D11+D12</f>
        <v>2011358.93</v>
      </c>
      <c r="E13" s="66">
        <f>E10+E11+E12</f>
        <v>2002373.658576177</v>
      </c>
      <c r="F13" s="66">
        <f t="shared" si="0"/>
        <v>8985.2714238229673</v>
      </c>
    </row>
    <row r="14" spans="1:6" x14ac:dyDescent="0.2">
      <c r="A14" t="s">
        <v>135</v>
      </c>
      <c r="B14" t="s">
        <v>129</v>
      </c>
      <c r="C14" s="77">
        <v>44652</v>
      </c>
      <c r="D14" s="27">
        <v>2442005.48</v>
      </c>
      <c r="E14" s="27">
        <v>1637690.6699999997</v>
      </c>
      <c r="F14" s="66">
        <f t="shared" si="0"/>
        <v>804314.81000000029</v>
      </c>
    </row>
    <row r="15" spans="1:6" x14ac:dyDescent="0.2">
      <c r="A15" t="s">
        <v>135</v>
      </c>
      <c r="B15" t="s">
        <v>130</v>
      </c>
      <c r="C15" s="77">
        <v>44652</v>
      </c>
      <c r="D15" s="27">
        <v>217025.5</v>
      </c>
      <c r="E15" s="27">
        <v>292441.77</v>
      </c>
      <c r="F15" s="66">
        <f>D15-E15</f>
        <v>-75416.270000000019</v>
      </c>
    </row>
    <row r="16" spans="1:6" x14ac:dyDescent="0.2">
      <c r="A16" t="s">
        <v>135</v>
      </c>
      <c r="B16" t="s">
        <v>131</v>
      </c>
      <c r="C16" s="77">
        <v>44652</v>
      </c>
      <c r="D16" s="27">
        <v>0</v>
      </c>
      <c r="E16" s="27">
        <v>80682.159999999989</v>
      </c>
      <c r="F16" s="66">
        <f t="shared" si="0"/>
        <v>-80682.159999999989</v>
      </c>
    </row>
    <row r="17" spans="1:6" x14ac:dyDescent="0.2">
      <c r="A17" t="s">
        <v>135</v>
      </c>
      <c r="B17" s="67" t="s">
        <v>132</v>
      </c>
      <c r="C17" s="78">
        <v>44652</v>
      </c>
      <c r="D17" s="66">
        <f>D14+D15+D16</f>
        <v>2659030.98</v>
      </c>
      <c r="E17" s="66">
        <f>E14+E15+E16</f>
        <v>2010814.5999999996</v>
      </c>
      <c r="F17" s="66">
        <f t="shared" si="0"/>
        <v>648216.38000000035</v>
      </c>
    </row>
    <row r="18" spans="1:6" x14ac:dyDescent="0.2">
      <c r="A18" t="s">
        <v>135</v>
      </c>
      <c r="B18" t="s">
        <v>129</v>
      </c>
      <c r="C18" s="77">
        <v>44682</v>
      </c>
      <c r="D18" s="27">
        <v>2683096.94</v>
      </c>
      <c r="E18" s="27">
        <v>1654622.9280219998</v>
      </c>
      <c r="F18" s="66">
        <f t="shared" si="0"/>
        <v>1028474.0119780002</v>
      </c>
    </row>
    <row r="19" spans="1:6" x14ac:dyDescent="0.2">
      <c r="A19" t="s">
        <v>135</v>
      </c>
      <c r="B19" t="s">
        <v>130</v>
      </c>
      <c r="C19" s="77">
        <v>44682</v>
      </c>
      <c r="D19" s="27">
        <v>323482.81</v>
      </c>
      <c r="E19" s="27">
        <v>283015.64</v>
      </c>
      <c r="F19" s="66">
        <f>D19-E19</f>
        <v>40467.169999999984</v>
      </c>
    </row>
    <row r="20" spans="1:6" x14ac:dyDescent="0.2">
      <c r="A20" t="s">
        <v>135</v>
      </c>
      <c r="B20" t="s">
        <v>131</v>
      </c>
      <c r="C20" s="77">
        <v>44682</v>
      </c>
      <c r="D20" s="27">
        <v>0</v>
      </c>
      <c r="E20" s="27">
        <v>104460.37</v>
      </c>
      <c r="F20" s="66">
        <f t="shared" si="0"/>
        <v>-104460.37</v>
      </c>
    </row>
    <row r="21" spans="1:6" x14ac:dyDescent="0.2">
      <c r="A21" t="s">
        <v>135</v>
      </c>
      <c r="B21" s="67" t="s">
        <v>132</v>
      </c>
      <c r="C21" s="78">
        <v>44682</v>
      </c>
      <c r="D21" s="66">
        <f>D18+D19+D20</f>
        <v>3006579.75</v>
      </c>
      <c r="E21" s="66">
        <f>E18+E19+E20</f>
        <v>2042098.9380219998</v>
      </c>
      <c r="F21" s="66">
        <f t="shared" si="0"/>
        <v>964480.81197800022</v>
      </c>
    </row>
    <row r="22" spans="1:6" x14ac:dyDescent="0.2">
      <c r="A22" t="s">
        <v>135</v>
      </c>
      <c r="B22" t="s">
        <v>129</v>
      </c>
      <c r="C22" s="77">
        <v>44713</v>
      </c>
      <c r="D22" s="27">
        <v>2076825.6699999997</v>
      </c>
      <c r="E22" s="27">
        <v>1592604.0004</v>
      </c>
      <c r="F22" s="66">
        <f t="shared" si="0"/>
        <v>484221.66959999967</v>
      </c>
    </row>
    <row r="23" spans="1:6" x14ac:dyDescent="0.2">
      <c r="A23" t="s">
        <v>135</v>
      </c>
      <c r="B23" t="s">
        <v>130</v>
      </c>
      <c r="C23" s="77">
        <v>44713</v>
      </c>
      <c r="D23" s="27">
        <v>307417.69</v>
      </c>
      <c r="E23" s="27">
        <v>258813.29</v>
      </c>
      <c r="F23" s="66">
        <f>D23-E23</f>
        <v>48604.399999999994</v>
      </c>
    </row>
    <row r="24" spans="1:6" x14ac:dyDescent="0.2">
      <c r="A24" t="s">
        <v>135</v>
      </c>
      <c r="B24" t="s">
        <v>131</v>
      </c>
      <c r="C24" s="77">
        <v>44713</v>
      </c>
      <c r="D24" s="27">
        <v>80658</v>
      </c>
      <c r="E24" s="27">
        <v>130790.5</v>
      </c>
      <c r="F24" s="66">
        <f t="shared" si="0"/>
        <v>-50132.5</v>
      </c>
    </row>
    <row r="25" spans="1:6" x14ac:dyDescent="0.2">
      <c r="A25" t="s">
        <v>135</v>
      </c>
      <c r="B25" s="67" t="s">
        <v>132</v>
      </c>
      <c r="C25" s="78">
        <v>44713</v>
      </c>
      <c r="D25" s="66">
        <f>D22+D23+D24</f>
        <v>2464901.36</v>
      </c>
      <c r="E25" s="66">
        <f>E22+E23+E24</f>
        <v>1982207.7904000001</v>
      </c>
      <c r="F25" s="66">
        <f t="shared" si="0"/>
        <v>482693.56959999981</v>
      </c>
    </row>
    <row r="26" spans="1:6" x14ac:dyDescent="0.2">
      <c r="A26" t="s">
        <v>135</v>
      </c>
      <c r="B26" t="s">
        <v>129</v>
      </c>
      <c r="C26" s="77">
        <v>44743</v>
      </c>
      <c r="D26" s="27">
        <v>2168864.44</v>
      </c>
      <c r="E26" s="27">
        <v>1756998.8099999996</v>
      </c>
      <c r="F26" s="66">
        <f t="shared" si="0"/>
        <v>411865.63000000035</v>
      </c>
    </row>
    <row r="27" spans="1:6" x14ac:dyDescent="0.2">
      <c r="A27" t="s">
        <v>135</v>
      </c>
      <c r="B27" t="s">
        <v>130</v>
      </c>
      <c r="C27" s="77">
        <v>44743</v>
      </c>
      <c r="D27" s="27">
        <v>247192.62</v>
      </c>
      <c r="E27" s="27">
        <v>261824.41829999999</v>
      </c>
      <c r="F27" s="66">
        <f>D27-E27</f>
        <v>-14631.798299999995</v>
      </c>
    </row>
    <row r="28" spans="1:6" x14ac:dyDescent="0.2">
      <c r="A28" t="s">
        <v>135</v>
      </c>
      <c r="B28" t="s">
        <v>131</v>
      </c>
      <c r="C28" s="77">
        <v>44743</v>
      </c>
      <c r="D28" s="27">
        <v>85325</v>
      </c>
      <c r="E28" s="27">
        <v>116464.44150000002</v>
      </c>
      <c r="F28" s="66">
        <f t="shared" si="0"/>
        <v>-31139.441500000015</v>
      </c>
    </row>
    <row r="29" spans="1:6" x14ac:dyDescent="0.2">
      <c r="A29" t="s">
        <v>135</v>
      </c>
      <c r="B29" s="67" t="s">
        <v>132</v>
      </c>
      <c r="C29" s="78">
        <v>44743</v>
      </c>
      <c r="D29" s="66">
        <f>D26+D27+D28</f>
        <v>2501382.06</v>
      </c>
      <c r="E29" s="66">
        <f>E26+E27+E28</f>
        <v>2135287.6697999998</v>
      </c>
      <c r="F29" s="66">
        <f t="shared" si="0"/>
        <v>366094.39020000026</v>
      </c>
    </row>
    <row r="30" spans="1:6" x14ac:dyDescent="0.2">
      <c r="A30" t="s">
        <v>135</v>
      </c>
      <c r="B30" t="s">
        <v>129</v>
      </c>
      <c r="C30" s="77">
        <v>44774</v>
      </c>
      <c r="D30" s="27">
        <v>1878740.4199999997</v>
      </c>
      <c r="E30" s="27">
        <v>1642216.24828025</v>
      </c>
      <c r="F30" s="66">
        <f t="shared" si="0"/>
        <v>236524.17171974969</v>
      </c>
    </row>
    <row r="31" spans="1:6" x14ac:dyDescent="0.2">
      <c r="A31" t="s">
        <v>135</v>
      </c>
      <c r="B31" t="s">
        <v>130</v>
      </c>
      <c r="C31" s="77">
        <v>44774</v>
      </c>
      <c r="D31" s="27">
        <v>267102.63</v>
      </c>
      <c r="E31" s="27">
        <v>279601.5356</v>
      </c>
      <c r="F31" s="66">
        <f>D31-E31</f>
        <v>-12498.905599999998</v>
      </c>
    </row>
    <row r="32" spans="1:6" x14ac:dyDescent="0.2">
      <c r="A32" t="s">
        <v>135</v>
      </c>
      <c r="B32" t="s">
        <v>131</v>
      </c>
      <c r="C32" s="77">
        <v>44774</v>
      </c>
      <c r="D32" s="27">
        <v>59017</v>
      </c>
      <c r="E32" s="27">
        <v>128047.81999999999</v>
      </c>
      <c r="F32" s="66">
        <f t="shared" si="0"/>
        <v>-69030.819999999992</v>
      </c>
    </row>
    <row r="33" spans="1:6" x14ac:dyDescent="0.2">
      <c r="A33" t="s">
        <v>135</v>
      </c>
      <c r="B33" s="67" t="s">
        <v>132</v>
      </c>
      <c r="C33" s="78">
        <v>44774</v>
      </c>
      <c r="D33" s="66">
        <f>D30+D31+D32</f>
        <v>2204860.0499999998</v>
      </c>
      <c r="E33" s="66">
        <f>E30+E31+E32</f>
        <v>2049865.6038802501</v>
      </c>
      <c r="F33" s="66">
        <f t="shared" si="0"/>
        <v>154994.44611974969</v>
      </c>
    </row>
    <row r="34" spans="1:6" x14ac:dyDescent="0.2">
      <c r="A34" t="s">
        <v>135</v>
      </c>
      <c r="B34" t="s">
        <v>129</v>
      </c>
      <c r="C34" s="77">
        <v>44805</v>
      </c>
      <c r="D34" s="27">
        <v>2160109.86</v>
      </c>
      <c r="E34" s="27">
        <v>1679461.3384342419</v>
      </c>
      <c r="F34" s="66">
        <f t="shared" si="0"/>
        <v>480648.52156575792</v>
      </c>
    </row>
    <row r="35" spans="1:6" x14ac:dyDescent="0.2">
      <c r="A35" t="s">
        <v>135</v>
      </c>
      <c r="B35" t="s">
        <v>130</v>
      </c>
      <c r="C35" s="77">
        <v>44805</v>
      </c>
      <c r="D35" s="27">
        <v>306993.67</v>
      </c>
      <c r="E35" s="27">
        <v>282198.98</v>
      </c>
      <c r="F35" s="66">
        <f>D35-E35</f>
        <v>24794.690000000002</v>
      </c>
    </row>
    <row r="36" spans="1:6" x14ac:dyDescent="0.2">
      <c r="A36" t="s">
        <v>135</v>
      </c>
      <c r="B36" t="s">
        <v>131</v>
      </c>
      <c r="C36" s="77">
        <v>44805</v>
      </c>
      <c r="D36" s="27">
        <v>89792.5</v>
      </c>
      <c r="E36" s="27">
        <v>114931.9075</v>
      </c>
      <c r="F36" s="66">
        <f t="shared" si="0"/>
        <v>-25139.407500000001</v>
      </c>
    </row>
    <row r="37" spans="1:6" x14ac:dyDescent="0.2">
      <c r="A37" t="s">
        <v>135</v>
      </c>
      <c r="B37" s="67" t="s">
        <v>132</v>
      </c>
      <c r="C37" s="78">
        <v>44805</v>
      </c>
      <c r="D37" s="66">
        <f>D34+D35+D36</f>
        <v>2556896.0299999998</v>
      </c>
      <c r="E37" s="66">
        <f>E34+E35+E36</f>
        <v>2076592.2259342419</v>
      </c>
      <c r="F37" s="66">
        <f t="shared" si="0"/>
        <v>480303.8040657579</v>
      </c>
    </row>
    <row r="38" spans="1:6" x14ac:dyDescent="0.2">
      <c r="A38" t="s">
        <v>135</v>
      </c>
      <c r="B38" t="s">
        <v>129</v>
      </c>
      <c r="C38" s="77">
        <v>44835</v>
      </c>
      <c r="D38" s="27">
        <v>2229593.1</v>
      </c>
      <c r="E38" s="27">
        <v>1736832.1035889003</v>
      </c>
      <c r="F38" s="66">
        <f t="shared" si="0"/>
        <v>492760.9964110998</v>
      </c>
    </row>
    <row r="39" spans="1:6" x14ac:dyDescent="0.2">
      <c r="A39" t="s">
        <v>135</v>
      </c>
      <c r="B39" t="s">
        <v>130</v>
      </c>
      <c r="C39" s="77">
        <v>44835</v>
      </c>
      <c r="D39" s="27">
        <v>417896.84</v>
      </c>
      <c r="E39" s="27">
        <v>303951.23</v>
      </c>
      <c r="F39" s="66">
        <f>D39-E39</f>
        <v>113945.61000000004</v>
      </c>
    </row>
    <row r="40" spans="1:6" x14ac:dyDescent="0.2">
      <c r="A40" t="s">
        <v>135</v>
      </c>
      <c r="B40" t="s">
        <v>131</v>
      </c>
      <c r="C40" s="77">
        <v>44835</v>
      </c>
      <c r="D40" s="27">
        <v>60207.5</v>
      </c>
      <c r="E40" s="27">
        <v>131275.47</v>
      </c>
      <c r="F40" s="66">
        <f t="shared" si="0"/>
        <v>-71067.97</v>
      </c>
    </row>
    <row r="41" spans="1:6" x14ac:dyDescent="0.2">
      <c r="A41" t="s">
        <v>135</v>
      </c>
      <c r="B41" s="67" t="s">
        <v>132</v>
      </c>
      <c r="C41" s="78">
        <v>44835</v>
      </c>
      <c r="D41" s="66">
        <f>D38+D39+D40</f>
        <v>2707697.44</v>
      </c>
      <c r="E41" s="66">
        <f>E38+E39+E40</f>
        <v>2172058.8035889002</v>
      </c>
      <c r="F41" s="66">
        <f t="shared" si="0"/>
        <v>535638.63641109969</v>
      </c>
    </row>
    <row r="42" spans="1:6" x14ac:dyDescent="0.2">
      <c r="A42" t="s">
        <v>135</v>
      </c>
      <c r="B42" t="s">
        <v>129</v>
      </c>
      <c r="C42" s="77">
        <v>44866</v>
      </c>
      <c r="D42" s="27">
        <v>2156433.66</v>
      </c>
      <c r="E42" s="27">
        <v>1763231.5694000004</v>
      </c>
      <c r="F42" s="66">
        <f t="shared" si="0"/>
        <v>393202.09059999976</v>
      </c>
    </row>
    <row r="43" spans="1:6" x14ac:dyDescent="0.2">
      <c r="A43" t="s">
        <v>135</v>
      </c>
      <c r="B43" t="s">
        <v>130</v>
      </c>
      <c r="C43" s="77">
        <v>44866</v>
      </c>
      <c r="D43" s="27">
        <v>184448.88</v>
      </c>
      <c r="E43" s="27">
        <v>329465.21600000001</v>
      </c>
      <c r="F43" s="66">
        <f>D43-E43</f>
        <v>-145016.33600000001</v>
      </c>
    </row>
    <row r="44" spans="1:6" x14ac:dyDescent="0.2">
      <c r="A44" t="s">
        <v>135</v>
      </c>
      <c r="B44" t="s">
        <v>131</v>
      </c>
      <c r="C44" s="77">
        <v>44866</v>
      </c>
      <c r="D44" s="27">
        <v>75000</v>
      </c>
      <c r="E44" s="27">
        <v>160761.80900000001</v>
      </c>
      <c r="F44" s="66">
        <f t="shared" si="0"/>
        <v>-85761.809000000008</v>
      </c>
    </row>
    <row r="45" spans="1:6" x14ac:dyDescent="0.2">
      <c r="A45" t="s">
        <v>135</v>
      </c>
      <c r="B45" s="67" t="s">
        <v>132</v>
      </c>
      <c r="C45" s="78">
        <v>44866</v>
      </c>
      <c r="D45" s="66">
        <f>D42+D43+D44</f>
        <v>2415882.54</v>
      </c>
      <c r="E45" s="66">
        <f>E42+E43+E44</f>
        <v>2253458.5944000003</v>
      </c>
      <c r="F45" s="66">
        <f t="shared" si="0"/>
        <v>162423.94559999974</v>
      </c>
    </row>
    <row r="46" spans="1:6" x14ac:dyDescent="0.2">
      <c r="A46" t="s">
        <v>135</v>
      </c>
      <c r="B46" t="s">
        <v>129</v>
      </c>
      <c r="C46" s="77">
        <v>44896</v>
      </c>
      <c r="D46" s="27">
        <v>2348347.66</v>
      </c>
      <c r="E46" s="27">
        <v>1816103.965400002</v>
      </c>
      <c r="F46" s="66">
        <f t="shared" si="0"/>
        <v>532243.69459999818</v>
      </c>
    </row>
    <row r="47" spans="1:6" x14ac:dyDescent="0.2">
      <c r="A47" t="s">
        <v>135</v>
      </c>
      <c r="B47" t="s">
        <v>130</v>
      </c>
      <c r="C47" s="77">
        <v>44896</v>
      </c>
      <c r="D47" s="27">
        <v>194841.48</v>
      </c>
      <c r="E47" s="27">
        <v>376776.34</v>
      </c>
      <c r="F47" s="66">
        <f>D47-E47</f>
        <v>-181934.86000000002</v>
      </c>
    </row>
    <row r="48" spans="1:6" x14ac:dyDescent="0.2">
      <c r="A48" t="s">
        <v>135</v>
      </c>
      <c r="B48" t="s">
        <v>131</v>
      </c>
      <c r="C48" s="77">
        <v>44896</v>
      </c>
      <c r="D48" s="27">
        <v>149595.5</v>
      </c>
      <c r="E48" s="27">
        <v>164536.12000000002</v>
      </c>
      <c r="F48" s="66">
        <f t="shared" si="0"/>
        <v>-14940.620000000024</v>
      </c>
    </row>
    <row r="49" spans="1:6" x14ac:dyDescent="0.2">
      <c r="A49" t="s">
        <v>135</v>
      </c>
      <c r="B49" s="67" t="s">
        <v>132</v>
      </c>
      <c r="C49" s="78">
        <v>44896</v>
      </c>
      <c r="D49" s="66">
        <f>D46+D47+D48</f>
        <v>2692784.64</v>
      </c>
      <c r="E49" s="66">
        <f>E46+E47+E48</f>
        <v>2357416.4254000019</v>
      </c>
      <c r="F49" s="66">
        <f t="shared" si="0"/>
        <v>335368.2145999982</v>
      </c>
    </row>
    <row r="50" spans="1:6" x14ac:dyDescent="0.2">
      <c r="A50" t="s">
        <v>136</v>
      </c>
      <c r="B50" t="s">
        <v>129</v>
      </c>
      <c r="C50" s="77">
        <v>44562</v>
      </c>
      <c r="D50" s="27">
        <v>2163353</v>
      </c>
      <c r="E50" s="27">
        <v>580830</v>
      </c>
      <c r="F50" s="66">
        <f t="shared" si="0"/>
        <v>1582523</v>
      </c>
    </row>
    <row r="51" spans="1:6" x14ac:dyDescent="0.2">
      <c r="A51" t="s">
        <v>136</v>
      </c>
      <c r="B51" t="s">
        <v>130</v>
      </c>
      <c r="C51" s="77">
        <v>44562</v>
      </c>
      <c r="D51" s="27">
        <v>274799.98</v>
      </c>
      <c r="E51" s="27">
        <v>274935.12</v>
      </c>
      <c r="F51" s="66">
        <f>D51-E51</f>
        <v>-135.14000000001397</v>
      </c>
    </row>
    <row r="52" spans="1:6" x14ac:dyDescent="0.2">
      <c r="A52" t="s">
        <v>136</v>
      </c>
      <c r="B52" t="s">
        <v>131</v>
      </c>
      <c r="C52" s="77">
        <v>44562</v>
      </c>
      <c r="D52" s="27">
        <v>0</v>
      </c>
      <c r="E52" s="27">
        <v>0</v>
      </c>
      <c r="F52" s="66">
        <f t="shared" ref="F52:F54" si="1">D52-E52</f>
        <v>0</v>
      </c>
    </row>
    <row r="53" spans="1:6" x14ac:dyDescent="0.2">
      <c r="A53" t="s">
        <v>136</v>
      </c>
      <c r="B53" s="67" t="s">
        <v>132</v>
      </c>
      <c r="C53" s="78">
        <v>44562</v>
      </c>
      <c r="D53" s="66">
        <f>D50+D51+D52</f>
        <v>2438152.98</v>
      </c>
      <c r="E53" s="66">
        <f>E50+E51+E52</f>
        <v>855765.12</v>
      </c>
      <c r="F53" s="66">
        <f t="shared" si="1"/>
        <v>1582387.8599999999</v>
      </c>
    </row>
    <row r="54" spans="1:6" x14ac:dyDescent="0.2">
      <c r="A54" t="s">
        <v>136</v>
      </c>
      <c r="B54" t="s">
        <v>129</v>
      </c>
      <c r="C54" s="77">
        <v>44593</v>
      </c>
      <c r="D54" s="27">
        <v>1631536</v>
      </c>
      <c r="E54" s="27">
        <v>491264</v>
      </c>
      <c r="F54" s="66">
        <f t="shared" si="1"/>
        <v>1140272</v>
      </c>
    </row>
    <row r="55" spans="1:6" x14ac:dyDescent="0.2">
      <c r="A55" t="s">
        <v>136</v>
      </c>
      <c r="B55" t="s">
        <v>130</v>
      </c>
      <c r="C55" s="77">
        <v>44593</v>
      </c>
      <c r="D55" s="27">
        <v>261805.02</v>
      </c>
      <c r="E55" s="27">
        <v>410001.25</v>
      </c>
      <c r="F55" s="66">
        <f>D55-E55</f>
        <v>-148196.23000000001</v>
      </c>
    </row>
    <row r="56" spans="1:6" x14ac:dyDescent="0.2">
      <c r="A56" t="s">
        <v>136</v>
      </c>
      <c r="B56" t="s">
        <v>131</v>
      </c>
      <c r="C56" s="77">
        <v>44593</v>
      </c>
      <c r="D56" s="27">
        <v>0</v>
      </c>
      <c r="E56" s="27">
        <v>564.88</v>
      </c>
      <c r="F56" s="66">
        <f t="shared" ref="F56:F58" si="2">D56-E56</f>
        <v>-564.88</v>
      </c>
    </row>
    <row r="57" spans="1:6" x14ac:dyDescent="0.2">
      <c r="A57" t="s">
        <v>136</v>
      </c>
      <c r="B57" s="67" t="s">
        <v>132</v>
      </c>
      <c r="C57" s="78">
        <v>44593</v>
      </c>
      <c r="D57" s="66">
        <f>D54+D55+D56</f>
        <v>1893341.02</v>
      </c>
      <c r="E57" s="66">
        <f>E54+E55+E56</f>
        <v>901830.13</v>
      </c>
      <c r="F57" s="66">
        <f t="shared" si="2"/>
        <v>991510.89</v>
      </c>
    </row>
    <row r="58" spans="1:6" x14ac:dyDescent="0.2">
      <c r="A58" t="s">
        <v>136</v>
      </c>
      <c r="B58" t="s">
        <v>129</v>
      </c>
      <c r="C58" s="77">
        <v>44621</v>
      </c>
      <c r="D58" s="27">
        <v>1946006</v>
      </c>
      <c r="E58" s="27">
        <v>1136264</v>
      </c>
      <c r="F58" s="66">
        <f t="shared" si="2"/>
        <v>809742</v>
      </c>
    </row>
    <row r="59" spans="1:6" x14ac:dyDescent="0.2">
      <c r="A59" t="s">
        <v>136</v>
      </c>
      <c r="B59" t="s">
        <v>130</v>
      </c>
      <c r="C59" s="77">
        <v>44621</v>
      </c>
      <c r="D59" s="27">
        <v>237059.58</v>
      </c>
      <c r="E59" s="27">
        <v>249971.25</v>
      </c>
      <c r="F59" s="66">
        <f>D59-E59</f>
        <v>-12911.670000000013</v>
      </c>
    </row>
    <row r="60" spans="1:6" x14ac:dyDescent="0.2">
      <c r="A60" t="s">
        <v>136</v>
      </c>
      <c r="B60" t="s">
        <v>131</v>
      </c>
      <c r="C60" s="77">
        <v>44621</v>
      </c>
      <c r="D60" s="27">
        <v>0</v>
      </c>
      <c r="E60" s="27">
        <v>49694.7</v>
      </c>
      <c r="F60" s="66">
        <f t="shared" ref="F60:F62" si="3">D60-E60</f>
        <v>-49694.7</v>
      </c>
    </row>
    <row r="61" spans="1:6" x14ac:dyDescent="0.2">
      <c r="A61" t="s">
        <v>136</v>
      </c>
      <c r="B61" s="67" t="s">
        <v>132</v>
      </c>
      <c r="C61" s="78">
        <v>44621</v>
      </c>
      <c r="D61" s="66">
        <f>D58+D59+D60</f>
        <v>2183065.58</v>
      </c>
      <c r="E61" s="66">
        <f>E58+E59+E60</f>
        <v>1435929.95</v>
      </c>
      <c r="F61" s="66">
        <f t="shared" si="3"/>
        <v>747135.63000000012</v>
      </c>
    </row>
    <row r="62" spans="1:6" x14ac:dyDescent="0.2">
      <c r="A62" t="s">
        <v>136</v>
      </c>
      <c r="B62" t="s">
        <v>129</v>
      </c>
      <c r="C62" s="77">
        <v>44652</v>
      </c>
      <c r="D62" s="27">
        <v>2255185</v>
      </c>
      <c r="E62" s="27">
        <v>549973</v>
      </c>
      <c r="F62" s="66">
        <f t="shared" si="3"/>
        <v>1705212</v>
      </c>
    </row>
    <row r="63" spans="1:6" x14ac:dyDescent="0.2">
      <c r="A63" t="s">
        <v>136</v>
      </c>
      <c r="B63" t="s">
        <v>130</v>
      </c>
      <c r="C63" s="77">
        <v>44652</v>
      </c>
      <c r="D63" s="27">
        <v>328950.65000000002</v>
      </c>
      <c r="E63" s="27">
        <v>265419.7</v>
      </c>
      <c r="F63" s="66">
        <f>D63-E63</f>
        <v>63530.950000000012</v>
      </c>
    </row>
    <row r="64" spans="1:6" x14ac:dyDescent="0.2">
      <c r="A64" t="s">
        <v>136</v>
      </c>
      <c r="B64" t="s">
        <v>131</v>
      </c>
      <c r="C64" s="77">
        <v>44652</v>
      </c>
      <c r="D64" s="27">
        <v>75000.95</v>
      </c>
      <c r="E64" s="27">
        <v>68829.899999999994</v>
      </c>
      <c r="F64" s="66">
        <f t="shared" ref="F64:F66" si="4">D64-E64</f>
        <v>6171.0500000000029</v>
      </c>
    </row>
    <row r="65" spans="1:6" x14ac:dyDescent="0.2">
      <c r="A65" t="s">
        <v>136</v>
      </c>
      <c r="B65" s="67" t="s">
        <v>132</v>
      </c>
      <c r="C65" s="78">
        <v>44652</v>
      </c>
      <c r="D65" s="66">
        <f>D62+D63+D64</f>
        <v>2659136.6</v>
      </c>
      <c r="E65" s="66">
        <f>E62+E63+E64</f>
        <v>884222.6</v>
      </c>
      <c r="F65" s="66">
        <f t="shared" si="4"/>
        <v>1774914</v>
      </c>
    </row>
    <row r="66" spans="1:6" x14ac:dyDescent="0.2">
      <c r="A66" t="s">
        <v>136</v>
      </c>
      <c r="B66" t="s">
        <v>129</v>
      </c>
      <c r="C66" s="77">
        <v>44682</v>
      </c>
      <c r="D66" s="27">
        <v>2204591</v>
      </c>
      <c r="E66" s="27">
        <v>594399</v>
      </c>
      <c r="F66" s="66">
        <f t="shared" si="4"/>
        <v>1610192</v>
      </c>
    </row>
    <row r="67" spans="1:6" x14ac:dyDescent="0.2">
      <c r="A67" t="s">
        <v>136</v>
      </c>
      <c r="B67" t="s">
        <v>130</v>
      </c>
      <c r="C67" s="77">
        <v>44682</v>
      </c>
      <c r="D67" s="27">
        <v>285604.15000000002</v>
      </c>
      <c r="E67" s="27">
        <v>245720.25</v>
      </c>
      <c r="F67" s="66">
        <f>D67-E67</f>
        <v>39883.900000000023</v>
      </c>
    </row>
    <row r="68" spans="1:6" x14ac:dyDescent="0.2">
      <c r="A68" t="s">
        <v>136</v>
      </c>
      <c r="B68" t="s">
        <v>131</v>
      </c>
      <c r="C68" s="77">
        <v>44682</v>
      </c>
      <c r="D68" s="27">
        <v>85069.93</v>
      </c>
      <c r="E68" s="27">
        <v>81101.13</v>
      </c>
      <c r="F68" s="66">
        <f t="shared" ref="F68:F70" si="5">D68-E68</f>
        <v>3968.7999999999884</v>
      </c>
    </row>
    <row r="69" spans="1:6" x14ac:dyDescent="0.2">
      <c r="A69" t="s">
        <v>136</v>
      </c>
      <c r="B69" s="67" t="s">
        <v>132</v>
      </c>
      <c r="C69" s="78">
        <v>44682</v>
      </c>
      <c r="D69" s="66">
        <f>D66+D67+D68</f>
        <v>2575265.08</v>
      </c>
      <c r="E69" s="66">
        <f>E66+E67+E68</f>
        <v>921220.38</v>
      </c>
      <c r="F69" s="66">
        <f t="shared" si="5"/>
        <v>1654044.7000000002</v>
      </c>
    </row>
    <row r="70" spans="1:6" x14ac:dyDescent="0.2">
      <c r="A70" t="s">
        <v>136</v>
      </c>
      <c r="B70" t="s">
        <v>129</v>
      </c>
      <c r="C70" s="77">
        <v>44713</v>
      </c>
      <c r="D70" s="27">
        <v>2165156</v>
      </c>
      <c r="E70" s="27">
        <v>1237480</v>
      </c>
      <c r="F70" s="66">
        <f t="shared" si="5"/>
        <v>927676</v>
      </c>
    </row>
    <row r="71" spans="1:6" x14ac:dyDescent="0.2">
      <c r="A71" t="s">
        <v>136</v>
      </c>
      <c r="B71" t="s">
        <v>130</v>
      </c>
      <c r="C71" s="77">
        <v>44713</v>
      </c>
      <c r="D71" s="27">
        <v>300917</v>
      </c>
      <c r="E71" s="27">
        <v>242435</v>
      </c>
      <c r="F71" s="66">
        <f>D71-E71</f>
        <v>58482</v>
      </c>
    </row>
    <row r="72" spans="1:6" x14ac:dyDescent="0.2">
      <c r="A72" t="s">
        <v>136</v>
      </c>
      <c r="B72" t="s">
        <v>131</v>
      </c>
      <c r="C72" s="77">
        <v>44713</v>
      </c>
      <c r="D72" s="27">
        <v>75011</v>
      </c>
      <c r="E72" s="27">
        <v>115948</v>
      </c>
      <c r="F72" s="66">
        <f t="shared" ref="F72:F74" si="6">D72-E72</f>
        <v>-40937</v>
      </c>
    </row>
    <row r="73" spans="1:6" x14ac:dyDescent="0.2">
      <c r="A73" t="s">
        <v>136</v>
      </c>
      <c r="B73" s="67" t="s">
        <v>132</v>
      </c>
      <c r="C73" s="78">
        <v>44713</v>
      </c>
      <c r="D73" s="66">
        <f>D70+D71+D72</f>
        <v>2541084</v>
      </c>
      <c r="E73" s="66">
        <f>E70+E71+E72</f>
        <v>1595863</v>
      </c>
      <c r="F73" s="66">
        <f t="shared" si="6"/>
        <v>945221</v>
      </c>
    </row>
    <row r="74" spans="1:6" x14ac:dyDescent="0.2">
      <c r="A74" t="s">
        <v>136</v>
      </c>
      <c r="B74" t="s">
        <v>129</v>
      </c>
      <c r="C74" s="77">
        <v>44743</v>
      </c>
      <c r="D74" s="27">
        <v>2024698</v>
      </c>
      <c r="E74" s="27">
        <v>602751</v>
      </c>
      <c r="F74" s="66">
        <f t="shared" si="6"/>
        <v>1421947</v>
      </c>
    </row>
    <row r="75" spans="1:6" x14ac:dyDescent="0.2">
      <c r="A75" t="s">
        <v>136</v>
      </c>
      <c r="B75" t="s">
        <v>130</v>
      </c>
      <c r="C75" s="77">
        <v>44743</v>
      </c>
      <c r="D75" s="27">
        <v>297253</v>
      </c>
      <c r="E75" s="27">
        <v>259329</v>
      </c>
      <c r="F75" s="66">
        <f>D75-E75</f>
        <v>37924</v>
      </c>
    </row>
    <row r="76" spans="1:6" x14ac:dyDescent="0.2">
      <c r="A76" t="s">
        <v>136</v>
      </c>
      <c r="B76" t="s">
        <v>131</v>
      </c>
      <c r="C76" s="77">
        <v>44743</v>
      </c>
      <c r="D76" s="27">
        <v>85286</v>
      </c>
      <c r="E76" s="27">
        <v>109758</v>
      </c>
      <c r="F76" s="66">
        <f t="shared" ref="F76:F78" si="7">D76-E76</f>
        <v>-24472</v>
      </c>
    </row>
    <row r="77" spans="1:6" x14ac:dyDescent="0.2">
      <c r="A77" t="s">
        <v>136</v>
      </c>
      <c r="B77" s="67" t="s">
        <v>132</v>
      </c>
      <c r="C77" s="78">
        <v>44743</v>
      </c>
      <c r="D77" s="66">
        <f>D74+D75+D76</f>
        <v>2407237</v>
      </c>
      <c r="E77" s="66">
        <f>E74+E75+E76</f>
        <v>971838</v>
      </c>
      <c r="F77" s="66">
        <f t="shared" si="7"/>
        <v>1435399</v>
      </c>
    </row>
    <row r="78" spans="1:6" x14ac:dyDescent="0.2">
      <c r="A78" t="s">
        <v>136</v>
      </c>
      <c r="B78" t="s">
        <v>129</v>
      </c>
      <c r="C78" s="77">
        <v>44774</v>
      </c>
      <c r="D78" s="27">
        <v>2046920.95</v>
      </c>
      <c r="E78" s="27">
        <v>576557.4</v>
      </c>
      <c r="F78" s="66">
        <f t="shared" si="7"/>
        <v>1470363.5499999998</v>
      </c>
    </row>
    <row r="79" spans="1:6" x14ac:dyDescent="0.2">
      <c r="A79" t="s">
        <v>136</v>
      </c>
      <c r="B79" t="s">
        <v>130</v>
      </c>
      <c r="C79" s="77">
        <v>44774</v>
      </c>
      <c r="D79" s="27">
        <v>297177.2</v>
      </c>
      <c r="E79" s="27">
        <v>244997.1</v>
      </c>
      <c r="F79" s="66">
        <f>D79-E79</f>
        <v>52180.100000000006</v>
      </c>
    </row>
    <row r="80" spans="1:6" x14ac:dyDescent="0.2">
      <c r="A80" t="s">
        <v>136</v>
      </c>
      <c r="B80" t="s">
        <v>131</v>
      </c>
      <c r="C80" s="77">
        <v>44774</v>
      </c>
      <c r="D80" s="27">
        <v>85130.33</v>
      </c>
      <c r="E80" s="27">
        <v>106436.7</v>
      </c>
      <c r="F80" s="66">
        <f t="shared" ref="F80:F82" si="8">D80-E80</f>
        <v>-21306.369999999995</v>
      </c>
    </row>
    <row r="81" spans="1:6" x14ac:dyDescent="0.2">
      <c r="A81" t="s">
        <v>136</v>
      </c>
      <c r="B81" s="67" t="s">
        <v>132</v>
      </c>
      <c r="C81" s="78">
        <v>44774</v>
      </c>
      <c r="D81" s="66">
        <f>D78+D79+D80</f>
        <v>2429228.48</v>
      </c>
      <c r="E81" s="66">
        <f>E78+E79+E80</f>
        <v>927991.2</v>
      </c>
      <c r="F81" s="66">
        <f t="shared" si="8"/>
        <v>1501237.28</v>
      </c>
    </row>
    <row r="82" spans="1:6" x14ac:dyDescent="0.2">
      <c r="A82" t="s">
        <v>136</v>
      </c>
      <c r="B82" t="s">
        <v>129</v>
      </c>
      <c r="C82" s="77">
        <v>44805</v>
      </c>
      <c r="D82" s="27">
        <v>2239001.2799999998</v>
      </c>
      <c r="E82" s="27">
        <v>1267098.19</v>
      </c>
      <c r="F82" s="66">
        <f t="shared" si="8"/>
        <v>971903.08999999985</v>
      </c>
    </row>
    <row r="83" spans="1:6" x14ac:dyDescent="0.2">
      <c r="A83" t="s">
        <v>136</v>
      </c>
      <c r="B83" t="s">
        <v>130</v>
      </c>
      <c r="C83" s="77">
        <v>44805</v>
      </c>
      <c r="D83" s="27">
        <v>296509.61</v>
      </c>
      <c r="E83" s="27">
        <v>245212.65</v>
      </c>
      <c r="F83" s="66">
        <f>D83-E83</f>
        <v>51296.959999999992</v>
      </c>
    </row>
    <row r="84" spans="1:6" x14ac:dyDescent="0.2">
      <c r="A84" t="s">
        <v>136</v>
      </c>
      <c r="B84" t="s">
        <v>131</v>
      </c>
      <c r="C84" s="77">
        <v>44805</v>
      </c>
      <c r="D84" s="27">
        <v>85014.33</v>
      </c>
      <c r="E84" s="27">
        <v>93929.61</v>
      </c>
      <c r="F84" s="66">
        <f t="shared" ref="F84:F86" si="9">D84-E84</f>
        <v>-8915.2799999999988</v>
      </c>
    </row>
    <row r="85" spans="1:6" x14ac:dyDescent="0.2">
      <c r="A85" t="s">
        <v>136</v>
      </c>
      <c r="B85" s="67" t="s">
        <v>132</v>
      </c>
      <c r="C85" s="78">
        <v>44805</v>
      </c>
      <c r="D85" s="66">
        <f>D82+D83+D84</f>
        <v>2620525.2199999997</v>
      </c>
      <c r="E85" s="66">
        <f>E82+E83+E84</f>
        <v>1606240.45</v>
      </c>
      <c r="F85" s="66">
        <f t="shared" si="9"/>
        <v>1014284.7699999998</v>
      </c>
    </row>
    <row r="86" spans="1:6" x14ac:dyDescent="0.2">
      <c r="A86" t="s">
        <v>136</v>
      </c>
      <c r="B86" t="s">
        <v>129</v>
      </c>
      <c r="C86" s="77">
        <v>44835</v>
      </c>
      <c r="D86" s="27">
        <v>2102532.86</v>
      </c>
      <c r="E86" s="27">
        <v>627658.26</v>
      </c>
      <c r="F86" s="66">
        <f t="shared" si="9"/>
        <v>1474874.5999999999</v>
      </c>
    </row>
    <row r="87" spans="1:6" x14ac:dyDescent="0.2">
      <c r="A87" t="s">
        <v>136</v>
      </c>
      <c r="B87" t="s">
        <v>130</v>
      </c>
      <c r="C87" s="77">
        <v>44835</v>
      </c>
      <c r="D87" s="27">
        <v>241188.3</v>
      </c>
      <c r="E87" s="27">
        <v>216042.2</v>
      </c>
      <c r="F87" s="66">
        <f>D87-E87</f>
        <v>25146.099999999977</v>
      </c>
    </row>
    <row r="88" spans="1:6" x14ac:dyDescent="0.2">
      <c r="A88" t="s">
        <v>136</v>
      </c>
      <c r="B88" t="s">
        <v>131</v>
      </c>
      <c r="C88" s="77">
        <v>44835</v>
      </c>
      <c r="D88" s="27">
        <v>76083.62</v>
      </c>
      <c r="E88" s="27">
        <v>98726.73</v>
      </c>
      <c r="F88" s="66">
        <f t="shared" ref="F88:F90" si="10">D88-E88</f>
        <v>-22643.11</v>
      </c>
    </row>
    <row r="89" spans="1:6" x14ac:dyDescent="0.2">
      <c r="A89" t="s">
        <v>136</v>
      </c>
      <c r="B89" s="67" t="s">
        <v>132</v>
      </c>
      <c r="C89" s="78">
        <v>44835</v>
      </c>
      <c r="D89" s="66">
        <f>D86+D87+D88</f>
        <v>2419804.7799999998</v>
      </c>
      <c r="E89" s="66">
        <f>E86+E87+E88</f>
        <v>942427.19</v>
      </c>
      <c r="F89" s="66">
        <f t="shared" si="10"/>
        <v>1477377.5899999999</v>
      </c>
    </row>
    <row r="90" spans="1:6" x14ac:dyDescent="0.2">
      <c r="A90" t="s">
        <v>136</v>
      </c>
      <c r="B90" t="s">
        <v>129</v>
      </c>
      <c r="C90" s="77">
        <v>44866</v>
      </c>
      <c r="D90" s="27">
        <v>2297880.2000000002</v>
      </c>
      <c r="E90" s="27">
        <v>653994.82999999996</v>
      </c>
      <c r="F90" s="66">
        <f t="shared" si="10"/>
        <v>1643885.37</v>
      </c>
    </row>
    <row r="91" spans="1:6" x14ac:dyDescent="0.2">
      <c r="A91" t="s">
        <v>136</v>
      </c>
      <c r="B91" t="s">
        <v>130</v>
      </c>
      <c r="C91" s="77">
        <v>44866</v>
      </c>
      <c r="D91" s="27">
        <v>277093.32</v>
      </c>
      <c r="E91" s="27">
        <v>205831.91</v>
      </c>
      <c r="F91" s="66">
        <f>D91-E91</f>
        <v>71261.41</v>
      </c>
    </row>
    <row r="92" spans="1:6" x14ac:dyDescent="0.2">
      <c r="A92" t="s">
        <v>136</v>
      </c>
      <c r="B92" t="s">
        <v>131</v>
      </c>
      <c r="C92" s="77">
        <v>44866</v>
      </c>
      <c r="D92" s="27">
        <v>75924.66</v>
      </c>
      <c r="E92" s="27">
        <v>104068.69</v>
      </c>
      <c r="F92" s="66">
        <f t="shared" ref="F92:F94" si="11">D92-E92</f>
        <v>-28144.03</v>
      </c>
    </row>
    <row r="93" spans="1:6" x14ac:dyDescent="0.2">
      <c r="A93" t="s">
        <v>136</v>
      </c>
      <c r="B93" s="67" t="s">
        <v>132</v>
      </c>
      <c r="C93" s="78">
        <v>44866</v>
      </c>
      <c r="D93" s="66">
        <f>D90+D91+D92</f>
        <v>2650898.1800000002</v>
      </c>
      <c r="E93" s="66">
        <f>E90+E91+E92</f>
        <v>963895.42999999993</v>
      </c>
      <c r="F93" s="66">
        <f t="shared" si="11"/>
        <v>1687002.7500000002</v>
      </c>
    </row>
    <row r="94" spans="1:6" x14ac:dyDescent="0.2">
      <c r="A94" t="s">
        <v>136</v>
      </c>
      <c r="B94" t="s">
        <v>129</v>
      </c>
      <c r="C94" s="77">
        <v>44896</v>
      </c>
      <c r="D94" s="27">
        <v>2576604.7999999998</v>
      </c>
      <c r="E94" s="27">
        <v>1403626.63</v>
      </c>
      <c r="F94" s="66">
        <f t="shared" si="11"/>
        <v>1172978.17</v>
      </c>
    </row>
    <row r="95" spans="1:6" x14ac:dyDescent="0.2">
      <c r="A95" t="s">
        <v>136</v>
      </c>
      <c r="B95" t="s">
        <v>130</v>
      </c>
      <c r="C95" s="77">
        <v>44896</v>
      </c>
      <c r="D95" s="27">
        <v>248785.5</v>
      </c>
      <c r="E95" s="27">
        <v>307482.2</v>
      </c>
      <c r="F95" s="66">
        <f>D95-E95</f>
        <v>-58696.700000000012</v>
      </c>
    </row>
    <row r="96" spans="1:6" x14ac:dyDescent="0.2">
      <c r="A96" t="s">
        <v>136</v>
      </c>
      <c r="B96" t="s">
        <v>131</v>
      </c>
      <c r="C96" s="77">
        <v>44896</v>
      </c>
      <c r="D96" s="27">
        <v>133768.06</v>
      </c>
      <c r="E96" s="27">
        <v>178297.68</v>
      </c>
      <c r="F96" s="66">
        <f t="shared" ref="F96:F145" si="12">D96-E96</f>
        <v>-44529.619999999995</v>
      </c>
    </row>
    <row r="97" spans="1:6" x14ac:dyDescent="0.2">
      <c r="A97" t="s">
        <v>136</v>
      </c>
      <c r="B97" s="67" t="s">
        <v>132</v>
      </c>
      <c r="C97" s="78">
        <v>44896</v>
      </c>
      <c r="D97" s="66">
        <f>D94+D95+D96</f>
        <v>2959158.36</v>
      </c>
      <c r="E97" s="66">
        <f>E94+E95+E96</f>
        <v>1889406.5099999998</v>
      </c>
      <c r="F97" s="66">
        <f t="shared" si="12"/>
        <v>1069751.8500000001</v>
      </c>
    </row>
    <row r="98" spans="1:6" x14ac:dyDescent="0.2">
      <c r="A98" t="s">
        <v>134</v>
      </c>
      <c r="B98" s="133" t="s">
        <v>129</v>
      </c>
      <c r="C98" s="134">
        <v>44562</v>
      </c>
      <c r="D98" s="135">
        <f>D2-D50</f>
        <v>-219650.56999999983</v>
      </c>
      <c r="E98" s="135">
        <f t="shared" ref="E98:E145" si="13">E2-E50</f>
        <v>1096931.7625322498</v>
      </c>
      <c r="F98" s="135">
        <f t="shared" si="12"/>
        <v>-1316582.3325322496</v>
      </c>
    </row>
    <row r="99" spans="1:6" x14ac:dyDescent="0.2">
      <c r="A99" t="s">
        <v>134</v>
      </c>
      <c r="B99" s="133" t="s">
        <v>130</v>
      </c>
      <c r="C99" s="134">
        <v>44562</v>
      </c>
      <c r="D99" s="135">
        <f t="shared" ref="D99:D145" si="14">D3-D51</f>
        <v>18272.940000000002</v>
      </c>
      <c r="E99" s="135">
        <f t="shared" si="13"/>
        <v>-3597.6699999999837</v>
      </c>
      <c r="F99" s="135">
        <f t="shared" si="12"/>
        <v>21870.609999999986</v>
      </c>
    </row>
    <row r="100" spans="1:6" x14ac:dyDescent="0.2">
      <c r="A100" t="s">
        <v>134</v>
      </c>
      <c r="B100" s="133" t="s">
        <v>131</v>
      </c>
      <c r="C100" s="134">
        <v>44562</v>
      </c>
      <c r="D100" s="135">
        <f t="shared" si="14"/>
        <v>0</v>
      </c>
      <c r="E100" s="135">
        <f t="shared" si="13"/>
        <v>0</v>
      </c>
      <c r="F100" s="135">
        <f t="shared" si="12"/>
        <v>0</v>
      </c>
    </row>
    <row r="101" spans="1:6" x14ac:dyDescent="0.2">
      <c r="A101" t="s">
        <v>134</v>
      </c>
      <c r="B101" s="133" t="s">
        <v>132</v>
      </c>
      <c r="C101" s="134">
        <v>44562</v>
      </c>
      <c r="D101" s="135">
        <f t="shared" si="14"/>
        <v>-201377.62999999989</v>
      </c>
      <c r="E101" s="135">
        <f t="shared" si="13"/>
        <v>1093334.0925322496</v>
      </c>
      <c r="F101" s="135">
        <f t="shared" si="12"/>
        <v>-1294711.7225322495</v>
      </c>
    </row>
    <row r="102" spans="1:6" x14ac:dyDescent="0.2">
      <c r="A102" t="s">
        <v>134</v>
      </c>
      <c r="B102" s="133" t="s">
        <v>129</v>
      </c>
      <c r="C102" s="134">
        <v>44593</v>
      </c>
      <c r="D102" s="135">
        <f t="shared" si="14"/>
        <v>-352926.83000000007</v>
      </c>
      <c r="E102" s="135">
        <f t="shared" si="13"/>
        <v>1027050.5470802498</v>
      </c>
      <c r="F102" s="135">
        <f t="shared" si="12"/>
        <v>-1379977.3770802498</v>
      </c>
    </row>
    <row r="103" spans="1:6" x14ac:dyDescent="0.2">
      <c r="A103" t="s">
        <v>134</v>
      </c>
      <c r="B103" s="133" t="s">
        <v>130</v>
      </c>
      <c r="C103" s="134">
        <v>44593</v>
      </c>
      <c r="D103" s="135">
        <f t="shared" si="14"/>
        <v>-107758.95999999999</v>
      </c>
      <c r="E103" s="135">
        <f t="shared" si="13"/>
        <v>-119403.43</v>
      </c>
      <c r="F103" s="135">
        <f t="shared" si="12"/>
        <v>11644.470000000001</v>
      </c>
    </row>
    <row r="104" spans="1:6" x14ac:dyDescent="0.2">
      <c r="A104" t="s">
        <v>134</v>
      </c>
      <c r="B104" s="133" t="s">
        <v>131</v>
      </c>
      <c r="C104" s="134">
        <v>44593</v>
      </c>
      <c r="D104" s="135">
        <f t="shared" si="14"/>
        <v>0</v>
      </c>
      <c r="E104" s="135">
        <f t="shared" si="13"/>
        <v>47750.820000000007</v>
      </c>
      <c r="F104" s="135">
        <f t="shared" si="12"/>
        <v>-47750.820000000007</v>
      </c>
    </row>
    <row r="105" spans="1:6" x14ac:dyDescent="0.2">
      <c r="A105" t="s">
        <v>134</v>
      </c>
      <c r="B105" s="133" t="s">
        <v>132</v>
      </c>
      <c r="C105" s="134">
        <v>44593</v>
      </c>
      <c r="D105" s="135">
        <f t="shared" si="14"/>
        <v>-460685.79000000004</v>
      </c>
      <c r="E105" s="135">
        <f t="shared" si="13"/>
        <v>955397.93708024977</v>
      </c>
      <c r="F105" s="135">
        <f t="shared" si="12"/>
        <v>-1416083.7270802497</v>
      </c>
    </row>
    <row r="106" spans="1:6" x14ac:dyDescent="0.2">
      <c r="A106" t="s">
        <v>134</v>
      </c>
      <c r="B106" s="133" t="s">
        <v>129</v>
      </c>
      <c r="C106" s="134">
        <v>44621</v>
      </c>
      <c r="D106" s="135">
        <f t="shared" si="14"/>
        <v>-197021.79000000004</v>
      </c>
      <c r="E106" s="135">
        <f t="shared" si="13"/>
        <v>487252.16757617705</v>
      </c>
      <c r="F106" s="135">
        <f t="shared" si="12"/>
        <v>-684273.95757617708</v>
      </c>
    </row>
    <row r="107" spans="1:6" x14ac:dyDescent="0.2">
      <c r="A107" t="s">
        <v>134</v>
      </c>
      <c r="B107" s="133" t="s">
        <v>130</v>
      </c>
      <c r="C107" s="134">
        <v>44621</v>
      </c>
      <c r="D107" s="135">
        <f t="shared" si="14"/>
        <v>25315.139999999985</v>
      </c>
      <c r="E107" s="135">
        <f t="shared" si="13"/>
        <v>92902.240699999966</v>
      </c>
      <c r="F107" s="135">
        <f t="shared" si="12"/>
        <v>-67587.100699999981</v>
      </c>
    </row>
    <row r="108" spans="1:6" x14ac:dyDescent="0.2">
      <c r="A108" t="s">
        <v>134</v>
      </c>
      <c r="B108" s="133" t="s">
        <v>131</v>
      </c>
      <c r="C108" s="134">
        <v>44621</v>
      </c>
      <c r="D108" s="135">
        <f t="shared" si="14"/>
        <v>0</v>
      </c>
      <c r="E108" s="135">
        <f t="shared" si="13"/>
        <v>-13710.699699999997</v>
      </c>
      <c r="F108" s="135">
        <f t="shared" si="12"/>
        <v>13710.699699999997</v>
      </c>
    </row>
    <row r="109" spans="1:6" x14ac:dyDescent="0.2">
      <c r="A109" t="s">
        <v>134</v>
      </c>
      <c r="B109" s="133" t="s">
        <v>132</v>
      </c>
      <c r="C109" s="134">
        <v>44621</v>
      </c>
      <c r="D109" s="135">
        <f t="shared" si="14"/>
        <v>-171706.65000000014</v>
      </c>
      <c r="E109" s="135">
        <f t="shared" si="13"/>
        <v>566443.70857617701</v>
      </c>
      <c r="F109" s="135">
        <f t="shared" si="12"/>
        <v>-738150.35857617715</v>
      </c>
    </row>
    <row r="110" spans="1:6" x14ac:dyDescent="0.2">
      <c r="A110" t="s">
        <v>134</v>
      </c>
      <c r="B110" s="133" t="s">
        <v>129</v>
      </c>
      <c r="C110" s="134">
        <v>44652</v>
      </c>
      <c r="D110" s="135">
        <f t="shared" si="14"/>
        <v>186820.47999999998</v>
      </c>
      <c r="E110" s="135">
        <f t="shared" si="13"/>
        <v>1087717.6699999997</v>
      </c>
      <c r="F110" s="135">
        <f t="shared" si="12"/>
        <v>-900897.18999999971</v>
      </c>
    </row>
    <row r="111" spans="1:6" x14ac:dyDescent="0.2">
      <c r="A111" t="s">
        <v>134</v>
      </c>
      <c r="B111" s="133" t="s">
        <v>130</v>
      </c>
      <c r="C111" s="134">
        <v>44652</v>
      </c>
      <c r="D111" s="135">
        <f t="shared" si="14"/>
        <v>-111925.15000000002</v>
      </c>
      <c r="E111" s="135">
        <f t="shared" si="13"/>
        <v>27022.070000000007</v>
      </c>
      <c r="F111" s="135">
        <f t="shared" si="12"/>
        <v>-138947.22000000003</v>
      </c>
    </row>
    <row r="112" spans="1:6" x14ac:dyDescent="0.2">
      <c r="A112" t="s">
        <v>134</v>
      </c>
      <c r="B112" s="133" t="s">
        <v>131</v>
      </c>
      <c r="C112" s="134">
        <v>44652</v>
      </c>
      <c r="D112" s="135">
        <f t="shared" si="14"/>
        <v>-75000.95</v>
      </c>
      <c r="E112" s="135">
        <f t="shared" si="13"/>
        <v>11852.259999999995</v>
      </c>
      <c r="F112" s="135">
        <f t="shared" si="12"/>
        <v>-86853.209999999992</v>
      </c>
    </row>
    <row r="113" spans="1:6" x14ac:dyDescent="0.2">
      <c r="A113" t="s">
        <v>134</v>
      </c>
      <c r="B113" s="133" t="s">
        <v>132</v>
      </c>
      <c r="C113" s="134">
        <v>44652</v>
      </c>
      <c r="D113" s="135">
        <f t="shared" si="14"/>
        <v>-105.62000000011176</v>
      </c>
      <c r="E113" s="135">
        <f t="shared" si="13"/>
        <v>1126591.9999999995</v>
      </c>
      <c r="F113" s="135">
        <f t="shared" si="12"/>
        <v>-1126697.6199999996</v>
      </c>
    </row>
    <row r="114" spans="1:6" x14ac:dyDescent="0.2">
      <c r="A114" t="s">
        <v>134</v>
      </c>
      <c r="B114" s="133" t="s">
        <v>129</v>
      </c>
      <c r="C114" s="134">
        <v>44682</v>
      </c>
      <c r="D114" s="135">
        <f t="shared" si="14"/>
        <v>478505.93999999994</v>
      </c>
      <c r="E114" s="135">
        <f t="shared" si="13"/>
        <v>1060223.9280219998</v>
      </c>
      <c r="F114" s="135">
        <f t="shared" si="12"/>
        <v>-581717.98802199983</v>
      </c>
    </row>
    <row r="115" spans="1:6" x14ac:dyDescent="0.2">
      <c r="A115" t="s">
        <v>134</v>
      </c>
      <c r="B115" s="133" t="s">
        <v>130</v>
      </c>
      <c r="C115" s="134">
        <v>44682</v>
      </c>
      <c r="D115" s="135">
        <f t="shared" si="14"/>
        <v>37878.659999999974</v>
      </c>
      <c r="E115" s="135">
        <f t="shared" si="13"/>
        <v>37295.390000000014</v>
      </c>
      <c r="F115" s="135">
        <f t="shared" si="12"/>
        <v>583.26999999996042</v>
      </c>
    </row>
    <row r="116" spans="1:6" x14ac:dyDescent="0.2">
      <c r="A116" t="s">
        <v>134</v>
      </c>
      <c r="B116" s="133" t="s">
        <v>131</v>
      </c>
      <c r="C116" s="134">
        <v>44682</v>
      </c>
      <c r="D116" s="135">
        <f t="shared" si="14"/>
        <v>-85069.93</v>
      </c>
      <c r="E116" s="135">
        <f t="shared" si="13"/>
        <v>23359.239999999991</v>
      </c>
      <c r="F116" s="135">
        <f t="shared" si="12"/>
        <v>-108429.16999999998</v>
      </c>
    </row>
    <row r="117" spans="1:6" x14ac:dyDescent="0.2">
      <c r="A117" t="s">
        <v>134</v>
      </c>
      <c r="B117" s="133" t="s">
        <v>132</v>
      </c>
      <c r="C117" s="134">
        <v>44682</v>
      </c>
      <c r="D117" s="135">
        <f t="shared" si="14"/>
        <v>431314.66999999993</v>
      </c>
      <c r="E117" s="135">
        <f t="shared" si="13"/>
        <v>1120878.5580219999</v>
      </c>
      <c r="F117" s="135">
        <f t="shared" si="12"/>
        <v>-689563.88802199997</v>
      </c>
    </row>
    <row r="118" spans="1:6" x14ac:dyDescent="0.2">
      <c r="A118" t="s">
        <v>134</v>
      </c>
      <c r="B118" s="133" t="s">
        <v>129</v>
      </c>
      <c r="C118" s="134">
        <v>44713</v>
      </c>
      <c r="D118" s="135">
        <f t="shared" si="14"/>
        <v>-88330.330000000307</v>
      </c>
      <c r="E118" s="135">
        <f t="shared" si="13"/>
        <v>355124.00040000002</v>
      </c>
      <c r="F118" s="135">
        <f t="shared" si="12"/>
        <v>-443454.33040000033</v>
      </c>
    </row>
    <row r="119" spans="1:6" x14ac:dyDescent="0.2">
      <c r="A119" t="s">
        <v>134</v>
      </c>
      <c r="B119" s="133" t="s">
        <v>130</v>
      </c>
      <c r="C119" s="134">
        <v>44713</v>
      </c>
      <c r="D119" s="135">
        <f t="shared" si="14"/>
        <v>6500.6900000000023</v>
      </c>
      <c r="E119" s="135">
        <f t="shared" si="13"/>
        <v>16378.290000000008</v>
      </c>
      <c r="F119" s="135">
        <f t="shared" si="12"/>
        <v>-9877.6000000000058</v>
      </c>
    </row>
    <row r="120" spans="1:6" x14ac:dyDescent="0.2">
      <c r="A120" t="s">
        <v>134</v>
      </c>
      <c r="B120" s="133" t="s">
        <v>131</v>
      </c>
      <c r="C120" s="134">
        <v>44713</v>
      </c>
      <c r="D120" s="135">
        <f t="shared" si="14"/>
        <v>5647</v>
      </c>
      <c r="E120" s="135">
        <f t="shared" si="13"/>
        <v>14842.5</v>
      </c>
      <c r="F120" s="135">
        <f t="shared" si="12"/>
        <v>-9195.5</v>
      </c>
    </row>
    <row r="121" spans="1:6" x14ac:dyDescent="0.2">
      <c r="A121" t="s">
        <v>134</v>
      </c>
      <c r="B121" s="133" t="s">
        <v>132</v>
      </c>
      <c r="C121" s="134">
        <v>44713</v>
      </c>
      <c r="D121" s="135">
        <f t="shared" si="14"/>
        <v>-76182.64000000013</v>
      </c>
      <c r="E121" s="135">
        <f t="shared" si="13"/>
        <v>386344.79040000006</v>
      </c>
      <c r="F121" s="135">
        <f t="shared" si="12"/>
        <v>-462527.43040000019</v>
      </c>
    </row>
    <row r="122" spans="1:6" x14ac:dyDescent="0.2">
      <c r="A122" t="s">
        <v>134</v>
      </c>
      <c r="B122" s="133" t="s">
        <v>129</v>
      </c>
      <c r="C122" s="134">
        <v>44743</v>
      </c>
      <c r="D122" s="135">
        <f t="shared" si="14"/>
        <v>144166.43999999994</v>
      </c>
      <c r="E122" s="135">
        <f t="shared" si="13"/>
        <v>1154247.8099999996</v>
      </c>
      <c r="F122" s="135">
        <f t="shared" si="12"/>
        <v>-1010081.3699999996</v>
      </c>
    </row>
    <row r="123" spans="1:6" x14ac:dyDescent="0.2">
      <c r="A123" t="s">
        <v>134</v>
      </c>
      <c r="B123" s="133" t="s">
        <v>130</v>
      </c>
      <c r="C123" s="134">
        <v>44743</v>
      </c>
      <c r="D123" s="135">
        <f t="shared" si="14"/>
        <v>-50060.380000000005</v>
      </c>
      <c r="E123" s="135">
        <f t="shared" si="13"/>
        <v>2495.4182999999903</v>
      </c>
      <c r="F123" s="135">
        <f t="shared" si="12"/>
        <v>-52555.798299999995</v>
      </c>
    </row>
    <row r="124" spans="1:6" x14ac:dyDescent="0.2">
      <c r="A124" t="s">
        <v>134</v>
      </c>
      <c r="B124" s="133" t="s">
        <v>131</v>
      </c>
      <c r="C124" s="134">
        <v>44743</v>
      </c>
      <c r="D124" s="135">
        <f t="shared" si="14"/>
        <v>39</v>
      </c>
      <c r="E124" s="135">
        <f t="shared" si="13"/>
        <v>6706.4415000000154</v>
      </c>
      <c r="F124" s="135">
        <f t="shared" si="12"/>
        <v>-6667.4415000000154</v>
      </c>
    </row>
    <row r="125" spans="1:6" x14ac:dyDescent="0.2">
      <c r="A125" t="s">
        <v>134</v>
      </c>
      <c r="B125" s="133" t="s">
        <v>132</v>
      </c>
      <c r="C125" s="134">
        <v>44743</v>
      </c>
      <c r="D125" s="135">
        <f t="shared" si="14"/>
        <v>94145.060000000056</v>
      </c>
      <c r="E125" s="135">
        <f t="shared" si="13"/>
        <v>1163449.6697999998</v>
      </c>
      <c r="F125" s="135">
        <f t="shared" si="12"/>
        <v>-1069304.6097999997</v>
      </c>
    </row>
    <row r="126" spans="1:6" x14ac:dyDescent="0.2">
      <c r="A126" t="s">
        <v>134</v>
      </c>
      <c r="B126" s="133" t="s">
        <v>129</v>
      </c>
      <c r="C126" s="134">
        <v>44774</v>
      </c>
      <c r="D126" s="135">
        <f t="shared" si="14"/>
        <v>-168180.53000000026</v>
      </c>
      <c r="E126" s="135">
        <f t="shared" si="13"/>
        <v>1065658.8482802501</v>
      </c>
      <c r="F126" s="135">
        <f t="shared" si="12"/>
        <v>-1233839.3782802504</v>
      </c>
    </row>
    <row r="127" spans="1:6" x14ac:dyDescent="0.2">
      <c r="A127" t="s">
        <v>134</v>
      </c>
      <c r="B127" s="133" t="s">
        <v>130</v>
      </c>
      <c r="C127" s="134">
        <v>44774</v>
      </c>
      <c r="D127" s="135">
        <f t="shared" si="14"/>
        <v>-30074.570000000007</v>
      </c>
      <c r="E127" s="135">
        <f t="shared" si="13"/>
        <v>34604.435599999997</v>
      </c>
      <c r="F127" s="135">
        <f t="shared" si="12"/>
        <v>-64679.005600000004</v>
      </c>
    </row>
    <row r="128" spans="1:6" x14ac:dyDescent="0.2">
      <c r="A128" t="s">
        <v>134</v>
      </c>
      <c r="B128" s="133" t="s">
        <v>131</v>
      </c>
      <c r="C128" s="134">
        <v>44774</v>
      </c>
      <c r="D128" s="135">
        <f t="shared" si="14"/>
        <v>-26113.33</v>
      </c>
      <c r="E128" s="135">
        <f t="shared" si="13"/>
        <v>21611.119999999995</v>
      </c>
      <c r="F128" s="135">
        <f t="shared" si="12"/>
        <v>-47724.45</v>
      </c>
    </row>
    <row r="129" spans="1:6" x14ac:dyDescent="0.2">
      <c r="A129" t="s">
        <v>134</v>
      </c>
      <c r="B129" s="133" t="s">
        <v>132</v>
      </c>
      <c r="C129" s="134">
        <v>44774</v>
      </c>
      <c r="D129" s="135">
        <f t="shared" si="14"/>
        <v>-224368.43000000017</v>
      </c>
      <c r="E129" s="135">
        <f t="shared" si="13"/>
        <v>1121874.4038802502</v>
      </c>
      <c r="F129" s="135">
        <f t="shared" si="12"/>
        <v>-1346242.8338802503</v>
      </c>
    </row>
    <row r="130" spans="1:6" x14ac:dyDescent="0.2">
      <c r="A130" t="s">
        <v>134</v>
      </c>
      <c r="B130" s="133" t="s">
        <v>129</v>
      </c>
      <c r="C130" s="134">
        <v>44805</v>
      </c>
      <c r="D130" s="135">
        <f t="shared" si="14"/>
        <v>-78891.419999999925</v>
      </c>
      <c r="E130" s="135">
        <f t="shared" si="13"/>
        <v>412363.148434242</v>
      </c>
      <c r="F130" s="135">
        <f t="shared" si="12"/>
        <v>-491254.56843424193</v>
      </c>
    </row>
    <row r="131" spans="1:6" x14ac:dyDescent="0.2">
      <c r="A131" t="s">
        <v>134</v>
      </c>
      <c r="B131" s="133" t="s">
        <v>130</v>
      </c>
      <c r="C131" s="134">
        <v>44805</v>
      </c>
      <c r="D131" s="135">
        <f t="shared" si="14"/>
        <v>10484.059999999998</v>
      </c>
      <c r="E131" s="135">
        <f t="shared" si="13"/>
        <v>36986.329999999987</v>
      </c>
      <c r="F131" s="135">
        <f t="shared" si="12"/>
        <v>-26502.26999999999</v>
      </c>
    </row>
    <row r="132" spans="1:6" x14ac:dyDescent="0.2">
      <c r="A132" t="s">
        <v>134</v>
      </c>
      <c r="B132" s="133" t="s">
        <v>131</v>
      </c>
      <c r="C132" s="134">
        <v>44805</v>
      </c>
      <c r="D132" s="135">
        <f t="shared" si="14"/>
        <v>4778.1699999999983</v>
      </c>
      <c r="E132" s="135">
        <f t="shared" si="13"/>
        <v>21002.297500000001</v>
      </c>
      <c r="F132" s="135">
        <f t="shared" si="12"/>
        <v>-16224.127500000002</v>
      </c>
    </row>
    <row r="133" spans="1:6" x14ac:dyDescent="0.2">
      <c r="A133" t="s">
        <v>134</v>
      </c>
      <c r="B133" s="133" t="s">
        <v>132</v>
      </c>
      <c r="C133" s="134">
        <v>44805</v>
      </c>
      <c r="D133" s="135">
        <f t="shared" si="14"/>
        <v>-63629.189999999944</v>
      </c>
      <c r="E133" s="135">
        <f t="shared" si="13"/>
        <v>470351.77593424194</v>
      </c>
      <c r="F133" s="135">
        <f t="shared" si="12"/>
        <v>-533980.96593424189</v>
      </c>
    </row>
    <row r="134" spans="1:6" x14ac:dyDescent="0.2">
      <c r="A134" t="s">
        <v>134</v>
      </c>
      <c r="B134" s="133" t="s">
        <v>129</v>
      </c>
      <c r="C134" s="134">
        <v>44835</v>
      </c>
      <c r="D134" s="135">
        <f t="shared" si="14"/>
        <v>127060.24000000022</v>
      </c>
      <c r="E134" s="135">
        <f t="shared" si="13"/>
        <v>1109173.8435889003</v>
      </c>
      <c r="F134" s="135">
        <f t="shared" si="12"/>
        <v>-982113.60358890006</v>
      </c>
    </row>
    <row r="135" spans="1:6" x14ac:dyDescent="0.2">
      <c r="A135" t="s">
        <v>134</v>
      </c>
      <c r="B135" s="133" t="s">
        <v>130</v>
      </c>
      <c r="C135" s="134">
        <v>44835</v>
      </c>
      <c r="D135" s="135">
        <f t="shared" si="14"/>
        <v>176708.54000000004</v>
      </c>
      <c r="E135" s="135">
        <f t="shared" si="13"/>
        <v>87909.02999999997</v>
      </c>
      <c r="F135" s="135">
        <f t="shared" si="12"/>
        <v>88799.510000000068</v>
      </c>
    </row>
    <row r="136" spans="1:6" x14ac:dyDescent="0.2">
      <c r="A136" t="s">
        <v>134</v>
      </c>
      <c r="B136" s="133" t="s">
        <v>131</v>
      </c>
      <c r="C136" s="134">
        <v>44835</v>
      </c>
      <c r="D136" s="135">
        <f t="shared" si="14"/>
        <v>-15876.119999999995</v>
      </c>
      <c r="E136" s="135">
        <f t="shared" si="13"/>
        <v>32548.740000000005</v>
      </c>
      <c r="F136" s="135">
        <f t="shared" si="12"/>
        <v>-48424.86</v>
      </c>
    </row>
    <row r="137" spans="1:6" x14ac:dyDescent="0.2">
      <c r="A137" t="s">
        <v>134</v>
      </c>
      <c r="B137" s="133" t="s">
        <v>132</v>
      </c>
      <c r="C137" s="134">
        <v>44835</v>
      </c>
      <c r="D137" s="135">
        <f t="shared" si="14"/>
        <v>287892.66000000015</v>
      </c>
      <c r="E137" s="135">
        <f t="shared" si="13"/>
        <v>1229631.6135889003</v>
      </c>
      <c r="F137" s="135">
        <f t="shared" si="12"/>
        <v>-941738.95358890016</v>
      </c>
    </row>
    <row r="138" spans="1:6" x14ac:dyDescent="0.2">
      <c r="A138" t="s">
        <v>134</v>
      </c>
      <c r="B138" s="133" t="s">
        <v>129</v>
      </c>
      <c r="C138" s="134">
        <v>44866</v>
      </c>
      <c r="D138" s="135">
        <f t="shared" si="14"/>
        <v>-141446.54000000004</v>
      </c>
      <c r="E138" s="135">
        <f t="shared" si="13"/>
        <v>1109236.7394000003</v>
      </c>
      <c r="F138" s="135">
        <f t="shared" si="12"/>
        <v>-1250683.2794000003</v>
      </c>
    </row>
    <row r="139" spans="1:6" x14ac:dyDescent="0.2">
      <c r="A139" t="s">
        <v>134</v>
      </c>
      <c r="B139" s="133" t="s">
        <v>130</v>
      </c>
      <c r="C139" s="134">
        <v>44866</v>
      </c>
      <c r="D139" s="135">
        <f t="shared" si="14"/>
        <v>-92644.44</v>
      </c>
      <c r="E139" s="135">
        <f t="shared" si="13"/>
        <v>123633.30600000001</v>
      </c>
      <c r="F139" s="135">
        <f t="shared" si="12"/>
        <v>-216277.74600000001</v>
      </c>
    </row>
    <row r="140" spans="1:6" x14ac:dyDescent="0.2">
      <c r="A140" t="s">
        <v>134</v>
      </c>
      <c r="B140" s="133" t="s">
        <v>131</v>
      </c>
      <c r="C140" s="134">
        <v>44866</v>
      </c>
      <c r="D140" s="135">
        <f t="shared" si="14"/>
        <v>-924.66000000000349</v>
      </c>
      <c r="E140" s="135">
        <f t="shared" si="13"/>
        <v>56693.119000000006</v>
      </c>
      <c r="F140" s="135">
        <f t="shared" si="12"/>
        <v>-57617.77900000001</v>
      </c>
    </row>
    <row r="141" spans="1:6" x14ac:dyDescent="0.2">
      <c r="A141" t="s">
        <v>134</v>
      </c>
      <c r="B141" s="133" t="s">
        <v>132</v>
      </c>
      <c r="C141" s="134">
        <v>44866</v>
      </c>
      <c r="D141" s="135">
        <f t="shared" si="14"/>
        <v>-235015.64000000013</v>
      </c>
      <c r="E141" s="135">
        <f t="shared" si="13"/>
        <v>1289563.1644000004</v>
      </c>
      <c r="F141" s="135">
        <f t="shared" si="12"/>
        <v>-1524578.8044000005</v>
      </c>
    </row>
    <row r="142" spans="1:6" x14ac:dyDescent="0.2">
      <c r="A142" t="s">
        <v>134</v>
      </c>
      <c r="B142" s="133" t="s">
        <v>129</v>
      </c>
      <c r="C142" s="134">
        <v>44896</v>
      </c>
      <c r="D142" s="135">
        <f t="shared" si="14"/>
        <v>-228257.13999999966</v>
      </c>
      <c r="E142" s="135">
        <f t="shared" si="13"/>
        <v>412477.33540000208</v>
      </c>
      <c r="F142" s="135">
        <f t="shared" si="12"/>
        <v>-640734.47540000174</v>
      </c>
    </row>
    <row r="143" spans="1:6" x14ac:dyDescent="0.2">
      <c r="A143" t="s">
        <v>134</v>
      </c>
      <c r="B143" s="133" t="s">
        <v>130</v>
      </c>
      <c r="C143" s="134">
        <v>44896</v>
      </c>
      <c r="D143" s="135">
        <f t="shared" si="14"/>
        <v>-53944.01999999999</v>
      </c>
      <c r="E143" s="135">
        <f t="shared" si="13"/>
        <v>69294.140000000014</v>
      </c>
      <c r="F143" s="135">
        <f t="shared" si="12"/>
        <v>-123238.16</v>
      </c>
    </row>
    <row r="144" spans="1:6" x14ac:dyDescent="0.2">
      <c r="A144" t="s">
        <v>134</v>
      </c>
      <c r="B144" s="133" t="s">
        <v>131</v>
      </c>
      <c r="C144" s="134">
        <v>44896</v>
      </c>
      <c r="D144" s="135">
        <f t="shared" si="14"/>
        <v>15827.440000000002</v>
      </c>
      <c r="E144" s="135">
        <f t="shared" si="13"/>
        <v>-13761.559999999969</v>
      </c>
      <c r="F144" s="135">
        <f t="shared" si="12"/>
        <v>29588.999999999971</v>
      </c>
    </row>
    <row r="145" spans="1:6" x14ac:dyDescent="0.2">
      <c r="A145" t="s">
        <v>134</v>
      </c>
      <c r="B145" s="133" t="s">
        <v>132</v>
      </c>
      <c r="C145" s="134">
        <v>44896</v>
      </c>
      <c r="D145" s="135">
        <f t="shared" si="14"/>
        <v>-266373.71999999974</v>
      </c>
      <c r="E145" s="135">
        <f t="shared" si="13"/>
        <v>468009.91540000215</v>
      </c>
      <c r="F145" s="135">
        <f t="shared" si="12"/>
        <v>-734383.63540000189</v>
      </c>
    </row>
    <row r="146" spans="1:6" x14ac:dyDescent="0.2">
      <c r="A146" t="s">
        <v>135</v>
      </c>
      <c r="B146" t="s">
        <v>129</v>
      </c>
      <c r="C146" s="77">
        <v>44927</v>
      </c>
      <c r="D146" s="27">
        <v>2398606.46</v>
      </c>
      <c r="E146" s="27">
        <v>1716953.6</v>
      </c>
      <c r="F146" s="66">
        <f>IF(D146-E146=0,"",D146-E146)</f>
        <v>681652.85999999987</v>
      </c>
    </row>
    <row r="147" spans="1:6" x14ac:dyDescent="0.2">
      <c r="A147" t="s">
        <v>135</v>
      </c>
      <c r="B147" t="s">
        <v>130</v>
      </c>
      <c r="C147" s="77">
        <v>44927</v>
      </c>
      <c r="D147" s="27">
        <v>385978.85</v>
      </c>
      <c r="E147" s="27">
        <v>296651.27</v>
      </c>
      <c r="F147" s="66">
        <f>IF(D147-E147=0,"",D147-E147)</f>
        <v>89327.579999999958</v>
      </c>
    </row>
    <row r="148" spans="1:6" x14ac:dyDescent="0.2">
      <c r="A148" t="s">
        <v>135</v>
      </c>
      <c r="B148" t="s">
        <v>131</v>
      </c>
      <c r="C148" s="77">
        <v>44927</v>
      </c>
      <c r="D148" s="27">
        <v>75000</v>
      </c>
      <c r="E148" s="27">
        <v>143291.94</v>
      </c>
      <c r="F148" s="66">
        <f>IF(D148-E148=0,"",D148-E148)</f>
        <v>-68291.94</v>
      </c>
    </row>
    <row r="149" spans="1:6" x14ac:dyDescent="0.2">
      <c r="A149" t="s">
        <v>135</v>
      </c>
      <c r="B149" s="67" t="s">
        <v>132</v>
      </c>
      <c r="C149" s="78">
        <v>44927</v>
      </c>
      <c r="D149" s="66">
        <f>IF(D146+D147+D148=0,"",D146+D147+D148)</f>
        <v>2859585.31</v>
      </c>
      <c r="E149" s="66">
        <f>IF(E146+E147+E148=0,"",E146+E147+E148)</f>
        <v>2156896.81</v>
      </c>
      <c r="F149" s="66">
        <f>IFERROR(D149-E149,"")</f>
        <v>702688.5</v>
      </c>
    </row>
    <row r="150" spans="1:6" x14ac:dyDescent="0.2">
      <c r="A150" t="s">
        <v>135</v>
      </c>
      <c r="B150" t="s">
        <v>129</v>
      </c>
      <c r="C150" s="77">
        <v>44958</v>
      </c>
      <c r="D150" s="27">
        <v>1757026.07</v>
      </c>
      <c r="E150" s="27">
        <v>1821308.41</v>
      </c>
      <c r="F150" s="66">
        <f>IF(D150-E150=0,"",D150-E150)</f>
        <v>-64282.339999999851</v>
      </c>
    </row>
    <row r="151" spans="1:6" x14ac:dyDescent="0.2">
      <c r="A151" t="s">
        <v>135</v>
      </c>
      <c r="B151" t="s">
        <v>130</v>
      </c>
      <c r="C151" s="77">
        <v>44958</v>
      </c>
      <c r="D151" s="27">
        <v>173477.55</v>
      </c>
      <c r="E151" s="27">
        <v>245107.48</v>
      </c>
      <c r="F151" s="66">
        <f>IF(D151-E151=0,"",D151-E151)</f>
        <v>-71629.930000000022</v>
      </c>
    </row>
    <row r="152" spans="1:6" x14ac:dyDescent="0.2">
      <c r="A152" t="s">
        <v>135</v>
      </c>
      <c r="B152" t="s">
        <v>131</v>
      </c>
      <c r="C152" s="77">
        <v>44958</v>
      </c>
      <c r="D152" s="27">
        <v>360000</v>
      </c>
      <c r="E152" s="27">
        <v>135022.76999999999</v>
      </c>
      <c r="F152" s="66">
        <f>IF(D152-E152=0,"",D152-E152)</f>
        <v>224977.23</v>
      </c>
    </row>
    <row r="153" spans="1:6" x14ac:dyDescent="0.2">
      <c r="A153" t="s">
        <v>135</v>
      </c>
      <c r="B153" s="67" t="s">
        <v>132</v>
      </c>
      <c r="C153" s="78">
        <v>44958</v>
      </c>
      <c r="D153" s="66">
        <f>IF(D150+D151+D152=0,"",D150+D151+D152)</f>
        <v>2290503.62</v>
      </c>
      <c r="E153" s="66">
        <f>IF(E150+E151+E152=0,"",E150+E151+E152)</f>
        <v>2201438.6599999997</v>
      </c>
      <c r="F153" s="66">
        <f>IFERROR(D153-E153,"")</f>
        <v>89064.960000000428</v>
      </c>
    </row>
    <row r="154" spans="1:6" x14ac:dyDescent="0.2">
      <c r="A154" t="s">
        <v>135</v>
      </c>
      <c r="B154" t="s">
        <v>129</v>
      </c>
      <c r="C154" s="77">
        <v>44986</v>
      </c>
      <c r="D154" s="27">
        <v>1874594.61</v>
      </c>
      <c r="E154" s="27">
        <v>1860217.38</v>
      </c>
      <c r="F154" s="66">
        <f>IF(D154-E154=0,"",D154-E154)</f>
        <v>14377.230000000214</v>
      </c>
    </row>
    <row r="155" spans="1:6" x14ac:dyDescent="0.2">
      <c r="A155" t="s">
        <v>135</v>
      </c>
      <c r="B155" t="s">
        <v>130</v>
      </c>
      <c r="C155" s="77">
        <v>44986</v>
      </c>
      <c r="D155" s="27">
        <v>304169.18</v>
      </c>
      <c r="E155" s="27">
        <v>274851.12</v>
      </c>
      <c r="F155" s="66">
        <f>IF(D155-E155=0,"",D155-E155)</f>
        <v>29318.059999999998</v>
      </c>
    </row>
    <row r="156" spans="1:6" x14ac:dyDescent="0.2">
      <c r="A156" t="s">
        <v>135</v>
      </c>
      <c r="B156" t="s">
        <v>131</v>
      </c>
      <c r="C156" s="77">
        <v>44986</v>
      </c>
      <c r="D156" s="27">
        <v>80000</v>
      </c>
      <c r="E156" s="27">
        <v>166054.79999999999</v>
      </c>
      <c r="F156" s="66">
        <f>IF(D156-E156=0,"",D156-E156)</f>
        <v>-86054.799999999988</v>
      </c>
    </row>
    <row r="157" spans="1:6" x14ac:dyDescent="0.2">
      <c r="A157" t="s">
        <v>135</v>
      </c>
      <c r="B157" s="67" t="s">
        <v>132</v>
      </c>
      <c r="C157" s="78">
        <v>44986</v>
      </c>
      <c r="D157" s="66">
        <f>IF(D154+D155+D156=0,"",D154+D155+D156)</f>
        <v>2258763.79</v>
      </c>
      <c r="E157" s="66">
        <f>IF(E154+E155+E156=0,"",E154+E155+E156)</f>
        <v>2301123.2999999998</v>
      </c>
      <c r="F157" s="66">
        <f>IFERROR(D157-E157,"")</f>
        <v>-42359.509999999776</v>
      </c>
    </row>
    <row r="158" spans="1:6" x14ac:dyDescent="0.2">
      <c r="A158" t="s">
        <v>135</v>
      </c>
      <c r="B158" t="s">
        <v>129</v>
      </c>
      <c r="C158" s="77">
        <v>45017</v>
      </c>
      <c r="D158" s="27">
        <v>2695346.68</v>
      </c>
      <c r="E158" s="27">
        <v>1981533.86</v>
      </c>
      <c r="F158" s="66">
        <f>IF(D158-E158=0,"",D158-E158)</f>
        <v>713812.82000000007</v>
      </c>
    </row>
    <row r="159" spans="1:6" x14ac:dyDescent="0.2">
      <c r="A159" t="s">
        <v>135</v>
      </c>
      <c r="B159" t="s">
        <v>130</v>
      </c>
      <c r="C159" s="77">
        <v>45017</v>
      </c>
      <c r="D159" s="27">
        <v>376018.55</v>
      </c>
      <c r="E159" s="27">
        <v>283550.12</v>
      </c>
      <c r="F159" s="66">
        <f>IF(D159-E159=0,"",D159-E159)</f>
        <v>92468.43</v>
      </c>
    </row>
    <row r="160" spans="1:6" x14ac:dyDescent="0.2">
      <c r="A160" t="s">
        <v>135</v>
      </c>
      <c r="B160" t="s">
        <v>131</v>
      </c>
      <c r="C160" s="77">
        <v>45017</v>
      </c>
      <c r="D160" s="27">
        <v>155000</v>
      </c>
      <c r="E160" s="27">
        <v>183036.96</v>
      </c>
      <c r="F160" s="66">
        <f>IF(D160-E160=0,"",D160-E160)</f>
        <v>-28036.959999999992</v>
      </c>
    </row>
    <row r="161" spans="1:6" x14ac:dyDescent="0.2">
      <c r="A161" t="s">
        <v>135</v>
      </c>
      <c r="B161" s="67" t="s">
        <v>132</v>
      </c>
      <c r="C161" s="78">
        <v>45017</v>
      </c>
      <c r="D161" s="66">
        <f>IF(D158+D159+D160=0,"",D158+D159+D160)</f>
        <v>3226365.23</v>
      </c>
      <c r="E161" s="66">
        <f>IF(E158+E159+E160=0,"",E158+E159+E160)</f>
        <v>2448120.94</v>
      </c>
      <c r="F161" s="66">
        <f>IFERROR(D161-E161,"")</f>
        <v>778244.29</v>
      </c>
    </row>
    <row r="162" spans="1:6" x14ac:dyDescent="0.2">
      <c r="A162" t="s">
        <v>135</v>
      </c>
      <c r="B162" t="s">
        <v>129</v>
      </c>
      <c r="C162" s="77">
        <v>45047</v>
      </c>
      <c r="D162" s="27">
        <v>2567342.04</v>
      </c>
      <c r="E162" s="27">
        <v>2092012.19</v>
      </c>
      <c r="F162" s="66">
        <f>IF(D162-E162=0,"",D162-E162)</f>
        <v>475329.85000000009</v>
      </c>
    </row>
    <row r="163" spans="1:6" x14ac:dyDescent="0.2">
      <c r="A163" t="s">
        <v>135</v>
      </c>
      <c r="B163" t="s">
        <v>130</v>
      </c>
      <c r="C163" s="77">
        <v>45047</v>
      </c>
      <c r="D163" s="27">
        <v>192288.68</v>
      </c>
      <c r="E163" s="27">
        <v>283628.42</v>
      </c>
      <c r="F163" s="66">
        <f>IF(D163-E163=0,"",D163-E163)</f>
        <v>-91339.739999999991</v>
      </c>
    </row>
    <row r="164" spans="1:6" x14ac:dyDescent="0.2">
      <c r="A164" t="s">
        <v>135</v>
      </c>
      <c r="B164" t="s">
        <v>131</v>
      </c>
      <c r="C164" s="77">
        <v>45047</v>
      </c>
      <c r="D164" s="27">
        <v>0</v>
      </c>
      <c r="E164" s="27">
        <v>192739.97</v>
      </c>
      <c r="F164" s="66">
        <f>IF(D164-E164=0,"",D164-E164)</f>
        <v>-192739.97</v>
      </c>
    </row>
    <row r="165" spans="1:6" x14ac:dyDescent="0.2">
      <c r="A165" t="s">
        <v>135</v>
      </c>
      <c r="B165" s="67" t="s">
        <v>132</v>
      </c>
      <c r="C165" s="78">
        <v>45047</v>
      </c>
      <c r="D165" s="66">
        <f>IF(D162+D163+D164=0,"",D162+D163+D164)</f>
        <v>2759630.72</v>
      </c>
      <c r="E165" s="66">
        <f>IF(E162+E163+E164=0,"",E162+E163+E164)</f>
        <v>2568380.58</v>
      </c>
      <c r="F165" s="66">
        <f>IFERROR(D165-E165,"")</f>
        <v>191250.14000000013</v>
      </c>
    </row>
    <row r="166" spans="1:6" x14ac:dyDescent="0.2">
      <c r="A166" t="s">
        <v>135</v>
      </c>
      <c r="B166" t="s">
        <v>129</v>
      </c>
      <c r="C166" s="77">
        <v>45078</v>
      </c>
      <c r="D166" s="27">
        <v>2187706.63</v>
      </c>
      <c r="E166" s="27">
        <v>2101567.4300000002</v>
      </c>
      <c r="F166" s="66">
        <f>IF(D166-E166=0,"",D166-E166)</f>
        <v>86139.199999999721</v>
      </c>
    </row>
    <row r="167" spans="1:6" x14ac:dyDescent="0.2">
      <c r="A167" t="s">
        <v>135</v>
      </c>
      <c r="B167" t="s">
        <v>130</v>
      </c>
      <c r="C167" s="77">
        <v>45078</v>
      </c>
      <c r="D167" s="27">
        <v>295876.76</v>
      </c>
      <c r="E167" s="27">
        <v>246072.28</v>
      </c>
      <c r="F167" s="66">
        <f>IF(D167-E167=0,"",D167-E167)</f>
        <v>49804.48000000001</v>
      </c>
    </row>
    <row r="168" spans="1:6" x14ac:dyDescent="0.2">
      <c r="A168" t="s">
        <v>135</v>
      </c>
      <c r="B168" t="s">
        <v>131</v>
      </c>
      <c r="C168" s="77">
        <v>45078</v>
      </c>
      <c r="D168" s="27">
        <v>280912.96000000002</v>
      </c>
      <c r="E168" s="27">
        <v>203384.43</v>
      </c>
      <c r="F168" s="66">
        <f>IF(D168-E168=0,"",D168-E168)</f>
        <v>77528.530000000028</v>
      </c>
    </row>
    <row r="169" spans="1:6" x14ac:dyDescent="0.2">
      <c r="A169" t="s">
        <v>135</v>
      </c>
      <c r="B169" s="67" t="s">
        <v>132</v>
      </c>
      <c r="C169" s="78">
        <v>45078</v>
      </c>
      <c r="D169" s="66">
        <f>IF(D166+D167+D168=0,"",D166+D167+D168)</f>
        <v>2764496.3499999996</v>
      </c>
      <c r="E169" s="66">
        <f>IF(E166+E167+E168=0,"",E166+E167+E168)</f>
        <v>2551024.14</v>
      </c>
      <c r="F169" s="66">
        <f>IFERROR(D169-E169,"")</f>
        <v>213472.2099999995</v>
      </c>
    </row>
    <row r="170" spans="1:6" x14ac:dyDescent="0.2">
      <c r="A170" t="s">
        <v>135</v>
      </c>
      <c r="B170" t="s">
        <v>129</v>
      </c>
      <c r="C170" s="77">
        <v>45108</v>
      </c>
      <c r="D170" s="27"/>
      <c r="E170" s="27"/>
      <c r="F170" s="66" t="str">
        <f>IF(D170-E170=0,"",D170-E170)</f>
        <v/>
      </c>
    </row>
    <row r="171" spans="1:6" x14ac:dyDescent="0.2">
      <c r="A171" t="s">
        <v>135</v>
      </c>
      <c r="B171" t="s">
        <v>130</v>
      </c>
      <c r="C171" s="77">
        <v>45108</v>
      </c>
      <c r="D171" s="27"/>
      <c r="E171" s="27"/>
      <c r="F171" s="66" t="str">
        <f>IF(D171-E171=0,"",D171-E171)</f>
        <v/>
      </c>
    </row>
    <row r="172" spans="1:6" x14ac:dyDescent="0.2">
      <c r="A172" t="s">
        <v>135</v>
      </c>
      <c r="B172" t="s">
        <v>131</v>
      </c>
      <c r="C172" s="77">
        <v>45108</v>
      </c>
      <c r="D172" s="27"/>
      <c r="E172" s="27"/>
      <c r="F172" s="66" t="str">
        <f>IF(D172-E172=0,"",D172-E172)</f>
        <v/>
      </c>
    </row>
    <row r="173" spans="1:6" x14ac:dyDescent="0.2">
      <c r="A173" t="s">
        <v>135</v>
      </c>
      <c r="B173" s="67" t="s">
        <v>132</v>
      </c>
      <c r="C173" s="78">
        <v>45108</v>
      </c>
      <c r="D173" s="66" t="str">
        <f>IF(D170+D171+D172=0,"",D170+D171+D172)</f>
        <v/>
      </c>
      <c r="E173" s="66" t="str">
        <f>IF(E170+E171+E172=0,"",E170+E171+E172)</f>
        <v/>
      </c>
      <c r="F173" s="66" t="str">
        <f>IFERROR(D173-E173,"")</f>
        <v/>
      </c>
    </row>
    <row r="174" spans="1:6" x14ac:dyDescent="0.2">
      <c r="A174" t="s">
        <v>135</v>
      </c>
      <c r="B174" t="s">
        <v>129</v>
      </c>
      <c r="C174" s="77">
        <v>45139</v>
      </c>
      <c r="D174" s="27"/>
      <c r="E174" s="27"/>
      <c r="F174" s="66" t="str">
        <f>IF(D174-E174=0,"",D174-E174)</f>
        <v/>
      </c>
    </row>
    <row r="175" spans="1:6" x14ac:dyDescent="0.2">
      <c r="A175" t="s">
        <v>135</v>
      </c>
      <c r="B175" t="s">
        <v>130</v>
      </c>
      <c r="C175" s="77">
        <v>45139</v>
      </c>
      <c r="D175" s="27"/>
      <c r="E175" s="27"/>
      <c r="F175" s="66" t="str">
        <f>IF(D175-E175=0,"",D175-E175)</f>
        <v/>
      </c>
    </row>
    <row r="176" spans="1:6" x14ac:dyDescent="0.2">
      <c r="A176" t="s">
        <v>135</v>
      </c>
      <c r="B176" t="s">
        <v>131</v>
      </c>
      <c r="C176" s="77">
        <v>45139</v>
      </c>
      <c r="D176" s="27"/>
      <c r="E176" s="27"/>
      <c r="F176" s="66" t="str">
        <f>IF(D176-E176=0,"",D176-E176)</f>
        <v/>
      </c>
    </row>
    <row r="177" spans="1:6" x14ac:dyDescent="0.2">
      <c r="A177" t="s">
        <v>135</v>
      </c>
      <c r="B177" s="67" t="s">
        <v>132</v>
      </c>
      <c r="C177" s="78">
        <v>45139</v>
      </c>
      <c r="D177" s="66" t="str">
        <f>IF(D174+D175+D176=0,"",D174+D175+D176)</f>
        <v/>
      </c>
      <c r="E177" s="66" t="str">
        <f>IF(E174+E175+E176=0,"",E174+E175+E176)</f>
        <v/>
      </c>
      <c r="F177" s="66" t="str">
        <f>IFERROR(D177-E177,"")</f>
        <v/>
      </c>
    </row>
    <row r="178" spans="1:6" x14ac:dyDescent="0.2">
      <c r="A178" t="s">
        <v>135</v>
      </c>
      <c r="B178" t="s">
        <v>129</v>
      </c>
      <c r="C178" s="77">
        <v>45170</v>
      </c>
      <c r="D178" s="27"/>
      <c r="E178" s="27"/>
      <c r="F178" s="66" t="str">
        <f>IF(D178-E178=0,"",D178-E178)</f>
        <v/>
      </c>
    </row>
    <row r="179" spans="1:6" x14ac:dyDescent="0.2">
      <c r="A179" t="s">
        <v>135</v>
      </c>
      <c r="B179" t="s">
        <v>130</v>
      </c>
      <c r="C179" s="77">
        <v>45170</v>
      </c>
      <c r="D179" s="27"/>
      <c r="E179" s="27"/>
      <c r="F179" s="66" t="str">
        <f>IF(D179-E179=0,"",D179-E179)</f>
        <v/>
      </c>
    </row>
    <row r="180" spans="1:6" x14ac:dyDescent="0.2">
      <c r="A180" t="s">
        <v>135</v>
      </c>
      <c r="B180" t="s">
        <v>131</v>
      </c>
      <c r="C180" s="77">
        <v>45170</v>
      </c>
      <c r="D180" s="27"/>
      <c r="E180" s="27"/>
      <c r="F180" s="66" t="str">
        <f>IF(D180-E180=0,"",D180-E180)</f>
        <v/>
      </c>
    </row>
    <row r="181" spans="1:6" x14ac:dyDescent="0.2">
      <c r="A181" t="s">
        <v>135</v>
      </c>
      <c r="B181" s="67" t="s">
        <v>132</v>
      </c>
      <c r="C181" s="78">
        <v>45170</v>
      </c>
      <c r="D181" s="66" t="str">
        <f>IF(D178+D179+D180=0,"",D178+D179+D180)</f>
        <v/>
      </c>
      <c r="E181" s="66" t="str">
        <f>IF(E178+E179+E180=0,"",E178+E179+E180)</f>
        <v/>
      </c>
      <c r="F181" s="66" t="str">
        <f>IFERROR(D181-E181,"")</f>
        <v/>
      </c>
    </row>
    <row r="182" spans="1:6" x14ac:dyDescent="0.2">
      <c r="A182" t="s">
        <v>135</v>
      </c>
      <c r="B182" t="s">
        <v>129</v>
      </c>
      <c r="C182" s="77">
        <v>45200</v>
      </c>
      <c r="D182" s="27"/>
      <c r="E182" s="27"/>
      <c r="F182" s="66" t="str">
        <f>IF(D182-E182=0,"",D182-E182)</f>
        <v/>
      </c>
    </row>
    <row r="183" spans="1:6" x14ac:dyDescent="0.2">
      <c r="A183" t="s">
        <v>135</v>
      </c>
      <c r="B183" t="s">
        <v>130</v>
      </c>
      <c r="C183" s="77">
        <v>45200</v>
      </c>
      <c r="D183" s="27"/>
      <c r="E183" s="27"/>
      <c r="F183" s="66" t="str">
        <f>IF(D183-E183=0,"",D183-E183)</f>
        <v/>
      </c>
    </row>
    <row r="184" spans="1:6" x14ac:dyDescent="0.2">
      <c r="A184" t="s">
        <v>135</v>
      </c>
      <c r="B184" t="s">
        <v>131</v>
      </c>
      <c r="C184" s="77">
        <v>45200</v>
      </c>
      <c r="D184" s="27"/>
      <c r="E184" s="27"/>
      <c r="F184" s="66" t="str">
        <f>IF(D184-E184=0,"",D184-E184)</f>
        <v/>
      </c>
    </row>
    <row r="185" spans="1:6" x14ac:dyDescent="0.2">
      <c r="A185" t="s">
        <v>135</v>
      </c>
      <c r="B185" s="67" t="s">
        <v>132</v>
      </c>
      <c r="C185" s="78">
        <v>45200</v>
      </c>
      <c r="D185" s="66" t="str">
        <f>IF(D182+D183+D184=0,"",D182+D183+D184)</f>
        <v/>
      </c>
      <c r="E185" s="66" t="str">
        <f>IF(E182+E183+E184=0,"",E182+E183+E184)</f>
        <v/>
      </c>
      <c r="F185" s="66" t="str">
        <f>IFERROR(D185-E185,"")</f>
        <v/>
      </c>
    </row>
    <row r="186" spans="1:6" x14ac:dyDescent="0.2">
      <c r="A186" t="s">
        <v>135</v>
      </c>
      <c r="B186" t="s">
        <v>129</v>
      </c>
      <c r="C186" s="77">
        <v>45231</v>
      </c>
      <c r="D186" s="27"/>
      <c r="E186" s="27"/>
      <c r="F186" s="66" t="str">
        <f>IF(D186-E186=0,"",D186-E186)</f>
        <v/>
      </c>
    </row>
    <row r="187" spans="1:6" x14ac:dyDescent="0.2">
      <c r="A187" t="s">
        <v>135</v>
      </c>
      <c r="B187" t="s">
        <v>130</v>
      </c>
      <c r="C187" s="77">
        <v>45231</v>
      </c>
      <c r="D187" s="27"/>
      <c r="E187" s="27"/>
      <c r="F187" s="66" t="str">
        <f>IF(D187-E187=0,"",D187-E187)</f>
        <v/>
      </c>
    </row>
    <row r="188" spans="1:6" x14ac:dyDescent="0.2">
      <c r="A188" t="s">
        <v>135</v>
      </c>
      <c r="B188" t="s">
        <v>131</v>
      </c>
      <c r="C188" s="77">
        <v>45231</v>
      </c>
      <c r="D188" s="27"/>
      <c r="E188" s="27"/>
      <c r="F188" s="66" t="str">
        <f>IF(D188-E188=0,"",D188-E188)</f>
        <v/>
      </c>
    </row>
    <row r="189" spans="1:6" x14ac:dyDescent="0.2">
      <c r="A189" t="s">
        <v>135</v>
      </c>
      <c r="B189" s="67" t="s">
        <v>132</v>
      </c>
      <c r="C189" s="78">
        <v>45231</v>
      </c>
      <c r="D189" s="66" t="str">
        <f>IF(D186+D187+D188=0,"",D186+D187+D188)</f>
        <v/>
      </c>
      <c r="E189" s="66" t="str">
        <f>IF(E186+E187+E188=0,"",E186+E187+E188)</f>
        <v/>
      </c>
      <c r="F189" s="66" t="str">
        <f>IFERROR(D189-E189,"")</f>
        <v/>
      </c>
    </row>
    <row r="190" spans="1:6" x14ac:dyDescent="0.2">
      <c r="A190" t="s">
        <v>135</v>
      </c>
      <c r="B190" t="s">
        <v>129</v>
      </c>
      <c r="C190" s="77">
        <v>45261</v>
      </c>
      <c r="D190" s="27"/>
      <c r="E190" s="27"/>
      <c r="F190" s="66" t="str">
        <f>IF(D190-E190=0,"",D190-E190)</f>
        <v/>
      </c>
    </row>
    <row r="191" spans="1:6" x14ac:dyDescent="0.2">
      <c r="A191" t="s">
        <v>135</v>
      </c>
      <c r="B191" t="s">
        <v>130</v>
      </c>
      <c r="C191" s="77">
        <v>45261</v>
      </c>
      <c r="D191" s="27"/>
      <c r="E191" s="27"/>
      <c r="F191" s="66" t="str">
        <f>IF(D191-E191=0,"",D191-E191)</f>
        <v/>
      </c>
    </row>
    <row r="192" spans="1:6" x14ac:dyDescent="0.2">
      <c r="A192" t="s">
        <v>135</v>
      </c>
      <c r="B192" t="s">
        <v>131</v>
      </c>
      <c r="C192" s="77">
        <v>45261</v>
      </c>
      <c r="D192" s="27"/>
      <c r="E192" s="27"/>
      <c r="F192" s="66" t="str">
        <f>IF(D192-E192=0,"",D192-E192)</f>
        <v/>
      </c>
    </row>
    <row r="193" spans="1:6" x14ac:dyDescent="0.2">
      <c r="A193" t="s">
        <v>135</v>
      </c>
      <c r="B193" s="67" t="s">
        <v>132</v>
      </c>
      <c r="C193" s="78">
        <v>45261</v>
      </c>
      <c r="D193" s="66" t="str">
        <f>IF(D190+D191+D192=0,"",D190+D191+D192)</f>
        <v/>
      </c>
      <c r="E193" s="66" t="str">
        <f>IF(E190+E191+E192=0,"",E190+E191+E192)</f>
        <v/>
      </c>
      <c r="F193" s="66" t="str">
        <f>IFERROR(D193-E193,"")</f>
        <v/>
      </c>
    </row>
    <row r="194" spans="1:6" x14ac:dyDescent="0.2">
      <c r="A194" t="s">
        <v>136</v>
      </c>
      <c r="B194" t="s">
        <v>129</v>
      </c>
      <c r="C194" s="77">
        <v>44927</v>
      </c>
      <c r="D194" s="27"/>
      <c r="E194" s="27"/>
      <c r="F194" s="66" t="str">
        <f>IF(D194-E194=0,"",D194-E194)</f>
        <v/>
      </c>
    </row>
    <row r="195" spans="1:6" x14ac:dyDescent="0.2">
      <c r="A195" t="s">
        <v>136</v>
      </c>
      <c r="B195" t="s">
        <v>130</v>
      </c>
      <c r="C195" s="77">
        <v>44927</v>
      </c>
      <c r="D195" s="27">
        <v>246669</v>
      </c>
      <c r="E195" s="27">
        <v>250157</v>
      </c>
      <c r="F195" s="66">
        <f>IF(D195-E195=0,"",D195-E195)</f>
        <v>-3488</v>
      </c>
    </row>
    <row r="196" spans="1:6" x14ac:dyDescent="0.2">
      <c r="A196" t="s">
        <v>136</v>
      </c>
      <c r="B196" t="s">
        <v>131</v>
      </c>
      <c r="C196" s="77">
        <v>44927</v>
      </c>
      <c r="D196" s="27">
        <v>80000</v>
      </c>
      <c r="E196" s="27">
        <v>138244</v>
      </c>
      <c r="F196" s="66">
        <f>IF(D196-E196=0,"",D196-E196)</f>
        <v>-58244</v>
      </c>
    </row>
    <row r="197" spans="1:6" x14ac:dyDescent="0.2">
      <c r="A197" t="s">
        <v>136</v>
      </c>
      <c r="B197" s="67" t="s">
        <v>132</v>
      </c>
      <c r="C197" s="78">
        <v>44927</v>
      </c>
      <c r="D197" s="66">
        <f>IF(D194+D195+D196=0,"",D194+D195+D196)</f>
        <v>326669</v>
      </c>
      <c r="E197" s="66">
        <f>IF(E194+E195+E196=0,"",E194+E195+E196)</f>
        <v>388401</v>
      </c>
      <c r="F197" s="66">
        <f>IFERROR(D197-E197,"")</f>
        <v>-61732</v>
      </c>
    </row>
    <row r="198" spans="1:6" x14ac:dyDescent="0.2">
      <c r="A198" t="s">
        <v>136</v>
      </c>
      <c r="B198" t="s">
        <v>129</v>
      </c>
      <c r="C198" s="77">
        <v>44958</v>
      </c>
      <c r="D198" s="27"/>
      <c r="E198" s="27"/>
      <c r="F198" s="66" t="str">
        <f>IF(D198-E198=0,"",D198-E198)</f>
        <v/>
      </c>
    </row>
    <row r="199" spans="1:6" x14ac:dyDescent="0.2">
      <c r="A199" t="s">
        <v>136</v>
      </c>
      <c r="B199" t="s">
        <v>130</v>
      </c>
      <c r="C199" s="77">
        <v>44958</v>
      </c>
      <c r="D199" s="27">
        <v>297124</v>
      </c>
      <c r="E199" s="27">
        <v>302461</v>
      </c>
      <c r="F199" s="66">
        <f>IF(D199-E199=0,"",D199-E199)</f>
        <v>-5337</v>
      </c>
    </row>
    <row r="200" spans="1:6" x14ac:dyDescent="0.2">
      <c r="A200" t="s">
        <v>136</v>
      </c>
      <c r="B200" t="s">
        <v>131</v>
      </c>
      <c r="C200" s="77">
        <v>44958</v>
      </c>
      <c r="D200" s="27">
        <v>205000</v>
      </c>
      <c r="E200" s="27">
        <v>197611</v>
      </c>
      <c r="F200" s="66">
        <f>IF(D200-E200=0,"",D200-E200)</f>
        <v>7389</v>
      </c>
    </row>
    <row r="201" spans="1:6" x14ac:dyDescent="0.2">
      <c r="A201" t="s">
        <v>136</v>
      </c>
      <c r="B201" s="67" t="s">
        <v>132</v>
      </c>
      <c r="C201" s="78">
        <v>44958</v>
      </c>
      <c r="D201" s="66">
        <f>IF(D198+D199+D200=0,"",D198+D199+D200)</f>
        <v>502124</v>
      </c>
      <c r="E201" s="66">
        <f>IF(E198+E199+E200=0,"",E198+E199+E200)</f>
        <v>500072</v>
      </c>
      <c r="F201" s="66">
        <f>IFERROR(D201-E201,"")</f>
        <v>2052</v>
      </c>
    </row>
    <row r="202" spans="1:6" x14ac:dyDescent="0.2">
      <c r="A202" t="s">
        <v>136</v>
      </c>
      <c r="B202" t="s">
        <v>129</v>
      </c>
      <c r="C202" s="77">
        <v>44986</v>
      </c>
      <c r="D202" s="27"/>
      <c r="E202" s="27"/>
      <c r="F202" s="66" t="str">
        <f>IF(D202-E202=0,"",D202-E202)</f>
        <v/>
      </c>
    </row>
    <row r="203" spans="1:6" x14ac:dyDescent="0.2">
      <c r="A203" t="s">
        <v>136</v>
      </c>
      <c r="B203" t="s">
        <v>130</v>
      </c>
      <c r="C203" s="77">
        <v>44986</v>
      </c>
      <c r="D203" s="27">
        <v>301290</v>
      </c>
      <c r="E203" s="27">
        <v>273277</v>
      </c>
      <c r="F203" s="66">
        <f>IF(D203-E203=0,"",D203-E203)</f>
        <v>28013</v>
      </c>
    </row>
    <row r="204" spans="1:6" x14ac:dyDescent="0.2">
      <c r="A204" t="s">
        <v>136</v>
      </c>
      <c r="B204" t="s">
        <v>131</v>
      </c>
      <c r="C204" s="77">
        <v>44986</v>
      </c>
      <c r="D204" s="27">
        <v>170000</v>
      </c>
      <c r="E204" s="27">
        <v>135322</v>
      </c>
      <c r="F204" s="66">
        <f>IF(D204-E204=0,"",D204-E204)</f>
        <v>34678</v>
      </c>
    </row>
    <row r="205" spans="1:6" x14ac:dyDescent="0.2">
      <c r="A205" t="s">
        <v>136</v>
      </c>
      <c r="B205" s="67" t="s">
        <v>132</v>
      </c>
      <c r="C205" s="78">
        <v>44986</v>
      </c>
      <c r="D205" s="66">
        <f>IF(D202+D203+D204=0,"",D202+D203+D204)</f>
        <v>471290</v>
      </c>
      <c r="E205" s="66">
        <f>IF(E202+E203+E204=0,"",E202+E203+E204)</f>
        <v>408599</v>
      </c>
      <c r="F205" s="66">
        <f>IFERROR(D205-E205,"")</f>
        <v>62691</v>
      </c>
    </row>
    <row r="206" spans="1:6" x14ac:dyDescent="0.2">
      <c r="A206" t="s">
        <v>136</v>
      </c>
      <c r="B206" t="s">
        <v>129</v>
      </c>
      <c r="C206" s="77">
        <v>45017</v>
      </c>
      <c r="D206" s="27"/>
      <c r="E206" s="27"/>
      <c r="F206" s="66" t="str">
        <f>IF(D206-E206=0,"",D206-E206)</f>
        <v/>
      </c>
    </row>
    <row r="207" spans="1:6" x14ac:dyDescent="0.2">
      <c r="A207" t="s">
        <v>136</v>
      </c>
      <c r="B207" t="s">
        <v>130</v>
      </c>
      <c r="C207" s="77">
        <v>45017</v>
      </c>
      <c r="D207" s="27">
        <v>302745</v>
      </c>
      <c r="E207" s="27">
        <v>273267</v>
      </c>
      <c r="F207" s="66">
        <f>IF(D207-E207=0,"",D207-E207)</f>
        <v>29478</v>
      </c>
    </row>
    <row r="208" spans="1:6" x14ac:dyDescent="0.2">
      <c r="A208" t="s">
        <v>136</v>
      </c>
      <c r="B208" t="s">
        <v>131</v>
      </c>
      <c r="C208" s="77">
        <v>45017</v>
      </c>
      <c r="D208" s="27">
        <v>170000</v>
      </c>
      <c r="E208" s="27">
        <v>185713</v>
      </c>
      <c r="F208" s="66">
        <f>IF(D208-E208=0,"",D208-E208)</f>
        <v>-15713</v>
      </c>
    </row>
    <row r="209" spans="1:6" x14ac:dyDescent="0.2">
      <c r="A209" t="s">
        <v>136</v>
      </c>
      <c r="B209" s="67" t="s">
        <v>132</v>
      </c>
      <c r="C209" s="78">
        <v>45017</v>
      </c>
      <c r="D209" s="66">
        <f>IF(D206+D207+D208=0,"",D206+D207+D208)</f>
        <v>472745</v>
      </c>
      <c r="E209" s="66">
        <f>IF(E206+E207+E208=0,"",E206+E207+E208)</f>
        <v>458980</v>
      </c>
      <c r="F209" s="66">
        <f>IFERROR(D209-E209,"")</f>
        <v>13765</v>
      </c>
    </row>
    <row r="210" spans="1:6" x14ac:dyDescent="0.2">
      <c r="A210" t="s">
        <v>136</v>
      </c>
      <c r="B210" t="s">
        <v>129</v>
      </c>
      <c r="C210" s="77">
        <v>45047</v>
      </c>
      <c r="D210" s="27"/>
      <c r="E210" s="27"/>
      <c r="F210" s="66" t="str">
        <f>IF(D210-E210=0,"",D210-E210)</f>
        <v/>
      </c>
    </row>
    <row r="211" spans="1:6" x14ac:dyDescent="0.2">
      <c r="A211" t="s">
        <v>136</v>
      </c>
      <c r="B211" t="s">
        <v>130</v>
      </c>
      <c r="C211" s="77">
        <v>45047</v>
      </c>
      <c r="D211" s="27">
        <v>217404</v>
      </c>
      <c r="E211" s="27">
        <v>233869</v>
      </c>
      <c r="F211" s="66">
        <f>IF(D211-E211=0,"",D211-E211)</f>
        <v>-16465</v>
      </c>
    </row>
    <row r="212" spans="1:6" x14ac:dyDescent="0.2">
      <c r="A212" t="s">
        <v>136</v>
      </c>
      <c r="B212" t="s">
        <v>131</v>
      </c>
      <c r="C212" s="77">
        <v>45047</v>
      </c>
      <c r="D212" s="27">
        <v>170000</v>
      </c>
      <c r="E212" s="27">
        <v>163158</v>
      </c>
      <c r="F212" s="66">
        <f>IF(D212-E212=0,"",D212-E212)</f>
        <v>6842</v>
      </c>
    </row>
    <row r="213" spans="1:6" x14ac:dyDescent="0.2">
      <c r="A213" t="s">
        <v>136</v>
      </c>
      <c r="B213" s="67" t="s">
        <v>132</v>
      </c>
      <c r="C213" s="78">
        <v>45047</v>
      </c>
      <c r="D213" s="66">
        <f>IF(D210+D211+D212=0,"",D210+D211+D212)</f>
        <v>387404</v>
      </c>
      <c r="E213" s="66">
        <f>IF(E210+E211+E212=0,"",E210+E211+E212)</f>
        <v>397027</v>
      </c>
      <c r="F213" s="66">
        <f>IFERROR(D213-E213,"")</f>
        <v>-9623</v>
      </c>
    </row>
    <row r="214" spans="1:6" x14ac:dyDescent="0.2">
      <c r="A214" t="s">
        <v>136</v>
      </c>
      <c r="B214" t="s">
        <v>129</v>
      </c>
      <c r="C214" s="77">
        <v>45078</v>
      </c>
      <c r="D214" s="27"/>
      <c r="E214" s="27"/>
      <c r="F214" s="66" t="str">
        <f>IF(D214-E214=0,"",D214-E214)</f>
        <v/>
      </c>
    </row>
    <row r="215" spans="1:6" x14ac:dyDescent="0.2">
      <c r="A215" t="s">
        <v>136</v>
      </c>
      <c r="B215" t="s">
        <v>130</v>
      </c>
      <c r="C215" s="77">
        <v>45078</v>
      </c>
      <c r="D215" s="27">
        <v>361243</v>
      </c>
      <c r="E215" s="27">
        <v>270549</v>
      </c>
      <c r="F215" s="66">
        <f>IF(D215-E215=0,"",D215-E215)</f>
        <v>90694</v>
      </c>
    </row>
    <row r="216" spans="1:6" x14ac:dyDescent="0.2">
      <c r="A216" t="s">
        <v>136</v>
      </c>
      <c r="B216" t="s">
        <v>131</v>
      </c>
      <c r="C216" s="77">
        <v>45078</v>
      </c>
      <c r="D216" s="27">
        <v>280912</v>
      </c>
      <c r="E216" s="27">
        <v>206397</v>
      </c>
      <c r="F216" s="66">
        <f>IF(D216-E216=0,"",D216-E216)</f>
        <v>74515</v>
      </c>
    </row>
    <row r="217" spans="1:6" x14ac:dyDescent="0.2">
      <c r="A217" t="s">
        <v>136</v>
      </c>
      <c r="B217" s="67" t="s">
        <v>132</v>
      </c>
      <c r="C217" s="78">
        <v>45078</v>
      </c>
      <c r="D217" s="66">
        <f>IF(D214+D215+D216=0,"",D214+D215+D216)</f>
        <v>642155</v>
      </c>
      <c r="E217" s="66">
        <f>IF(E214+E215+E216=0,"",E214+E215+E216)</f>
        <v>476946</v>
      </c>
      <c r="F217" s="66">
        <f>IFERROR(D217-E217,"")</f>
        <v>165209</v>
      </c>
    </row>
    <row r="218" spans="1:6" x14ac:dyDescent="0.2">
      <c r="A218" t="s">
        <v>136</v>
      </c>
      <c r="B218" t="s">
        <v>129</v>
      </c>
      <c r="C218" s="77">
        <v>45108</v>
      </c>
      <c r="D218" s="27"/>
      <c r="E218" s="27"/>
      <c r="F218" s="66" t="str">
        <f>IF(D218-E218=0,"",D218-E218)</f>
        <v/>
      </c>
    </row>
    <row r="219" spans="1:6" x14ac:dyDescent="0.2">
      <c r="A219" t="s">
        <v>136</v>
      </c>
      <c r="B219" t="s">
        <v>130</v>
      </c>
      <c r="C219" s="77">
        <v>45108</v>
      </c>
      <c r="D219" s="27">
        <v>317992</v>
      </c>
      <c r="E219" s="27">
        <v>277110</v>
      </c>
      <c r="F219" s="66">
        <f>IF(D219-E219=0,"",D219-E219)</f>
        <v>40882</v>
      </c>
    </row>
    <row r="220" spans="1:6" x14ac:dyDescent="0.2">
      <c r="A220" t="s">
        <v>136</v>
      </c>
      <c r="B220" t="s">
        <v>131</v>
      </c>
      <c r="C220" s="77">
        <v>45108</v>
      </c>
      <c r="D220" s="27">
        <v>194583</v>
      </c>
      <c r="E220" s="27">
        <v>225229</v>
      </c>
      <c r="F220" s="66">
        <f>IF(D220-E220=0,"",D220-E220)</f>
        <v>-30646</v>
      </c>
    </row>
    <row r="221" spans="1:6" x14ac:dyDescent="0.2">
      <c r="A221" t="s">
        <v>136</v>
      </c>
      <c r="B221" s="67" t="s">
        <v>132</v>
      </c>
      <c r="C221" s="78">
        <v>45108</v>
      </c>
      <c r="D221" s="66">
        <f>IF(D218+D219+D220=0,"",D218+D219+D220)</f>
        <v>512575</v>
      </c>
      <c r="E221" s="66">
        <f>IF(E218+E219+E220=0,"",E218+E219+E220)</f>
        <v>502339</v>
      </c>
      <c r="F221" s="66">
        <f>IFERROR(D221-E221,"")</f>
        <v>10236</v>
      </c>
    </row>
    <row r="222" spans="1:6" x14ac:dyDescent="0.2">
      <c r="A222" t="s">
        <v>136</v>
      </c>
      <c r="B222" t="s">
        <v>129</v>
      </c>
      <c r="C222" s="77">
        <v>45139</v>
      </c>
      <c r="D222" s="27"/>
      <c r="E222" s="27"/>
      <c r="F222" s="66" t="str">
        <f>IF(D222-E222=0,"",D222-E222)</f>
        <v/>
      </c>
    </row>
    <row r="223" spans="1:6" x14ac:dyDescent="0.2">
      <c r="A223" t="s">
        <v>136</v>
      </c>
      <c r="B223" t="s">
        <v>130</v>
      </c>
      <c r="C223" s="77">
        <v>45139</v>
      </c>
      <c r="D223" s="27"/>
      <c r="E223" s="27"/>
      <c r="F223" s="66" t="str">
        <f>IF(D223-E223=0,"",D223-E223)</f>
        <v/>
      </c>
    </row>
    <row r="224" spans="1:6" x14ac:dyDescent="0.2">
      <c r="A224" t="s">
        <v>136</v>
      </c>
      <c r="B224" t="s">
        <v>131</v>
      </c>
      <c r="C224" s="77">
        <v>45139</v>
      </c>
      <c r="D224" s="27"/>
      <c r="E224" s="27"/>
      <c r="F224" s="66" t="str">
        <f>IF(D224-E224=0,"",D224-E224)</f>
        <v/>
      </c>
    </row>
    <row r="225" spans="1:6" x14ac:dyDescent="0.2">
      <c r="A225" t="s">
        <v>136</v>
      </c>
      <c r="B225" s="67" t="s">
        <v>132</v>
      </c>
      <c r="C225" s="78">
        <v>45139</v>
      </c>
      <c r="D225" s="66" t="str">
        <f>IF(D222+D223+D224=0,"",D222+D223+D224)</f>
        <v/>
      </c>
      <c r="E225" s="66" t="str">
        <f>IF(E222+E223+E224=0,"",E222+E223+E224)</f>
        <v/>
      </c>
      <c r="F225" s="66" t="str">
        <f>IFERROR(D225-E225,"")</f>
        <v/>
      </c>
    </row>
    <row r="226" spans="1:6" x14ac:dyDescent="0.2">
      <c r="A226" t="s">
        <v>136</v>
      </c>
      <c r="B226" t="s">
        <v>129</v>
      </c>
      <c r="C226" s="77">
        <v>45170</v>
      </c>
      <c r="D226" s="27"/>
      <c r="E226" s="27"/>
      <c r="F226" s="66" t="str">
        <f>IF(D226-E226=0,"",D226-E226)</f>
        <v/>
      </c>
    </row>
    <row r="227" spans="1:6" x14ac:dyDescent="0.2">
      <c r="A227" t="s">
        <v>136</v>
      </c>
      <c r="B227" t="s">
        <v>130</v>
      </c>
      <c r="C227" s="77">
        <v>45170</v>
      </c>
      <c r="D227" s="27"/>
      <c r="E227" s="27"/>
      <c r="F227" s="66" t="str">
        <f>IF(D227-E227=0,"",D227-E227)</f>
        <v/>
      </c>
    </row>
    <row r="228" spans="1:6" x14ac:dyDescent="0.2">
      <c r="A228" t="s">
        <v>136</v>
      </c>
      <c r="B228" t="s">
        <v>131</v>
      </c>
      <c r="C228" s="77">
        <v>45170</v>
      </c>
      <c r="D228" s="27"/>
      <c r="E228" s="27"/>
      <c r="F228" s="66" t="str">
        <f>IF(D228-E228=0,"",D228-E228)</f>
        <v/>
      </c>
    </row>
    <row r="229" spans="1:6" x14ac:dyDescent="0.2">
      <c r="A229" t="s">
        <v>136</v>
      </c>
      <c r="B229" s="67" t="s">
        <v>132</v>
      </c>
      <c r="C229" s="78">
        <v>45170</v>
      </c>
      <c r="D229" s="66" t="str">
        <f>IF(D226+D227+D228=0,"",D226+D227+D228)</f>
        <v/>
      </c>
      <c r="E229" s="66" t="str">
        <f>IF(E226+E227+E228=0,"",E226+E227+E228)</f>
        <v/>
      </c>
      <c r="F229" s="66" t="str">
        <f>IFERROR(D229-E229,"")</f>
        <v/>
      </c>
    </row>
    <row r="230" spans="1:6" x14ac:dyDescent="0.2">
      <c r="A230" t="s">
        <v>136</v>
      </c>
      <c r="B230" t="s">
        <v>129</v>
      </c>
      <c r="C230" s="77">
        <v>45200</v>
      </c>
      <c r="D230" s="27"/>
      <c r="E230" s="27"/>
      <c r="F230" s="66" t="str">
        <f>IF(D230-E230=0,"",D230-E230)</f>
        <v/>
      </c>
    </row>
    <row r="231" spans="1:6" x14ac:dyDescent="0.2">
      <c r="A231" t="s">
        <v>136</v>
      </c>
      <c r="B231" t="s">
        <v>130</v>
      </c>
      <c r="C231" s="77">
        <v>45200</v>
      </c>
      <c r="D231" s="27"/>
      <c r="E231" s="27"/>
      <c r="F231" s="66" t="str">
        <f>IF(D231-E231=0,"",D231-E231)</f>
        <v/>
      </c>
    </row>
    <row r="232" spans="1:6" x14ac:dyDescent="0.2">
      <c r="A232" t="s">
        <v>136</v>
      </c>
      <c r="B232" t="s">
        <v>131</v>
      </c>
      <c r="C232" s="77">
        <v>45200</v>
      </c>
      <c r="D232" s="27"/>
      <c r="E232" s="27"/>
      <c r="F232" s="66" t="str">
        <f>IF(D232-E232=0,"",D232-E232)</f>
        <v/>
      </c>
    </row>
    <row r="233" spans="1:6" x14ac:dyDescent="0.2">
      <c r="A233" t="s">
        <v>136</v>
      </c>
      <c r="B233" s="67" t="s">
        <v>132</v>
      </c>
      <c r="C233" s="78">
        <v>45200</v>
      </c>
      <c r="D233" s="66" t="str">
        <f>IF(D230+D231+D232=0,"",D230+D231+D232)</f>
        <v/>
      </c>
      <c r="E233" s="66" t="str">
        <f>IF(E230+E231+E232=0,"",E230+E231+E232)</f>
        <v/>
      </c>
      <c r="F233" s="66" t="str">
        <f>IFERROR(D233-E233,"")</f>
        <v/>
      </c>
    </row>
    <row r="234" spans="1:6" x14ac:dyDescent="0.2">
      <c r="A234" t="s">
        <v>136</v>
      </c>
      <c r="B234" t="s">
        <v>129</v>
      </c>
      <c r="C234" s="77">
        <v>45231</v>
      </c>
      <c r="D234" s="27"/>
      <c r="E234" s="27"/>
      <c r="F234" s="66" t="str">
        <f>IF(D234-E234=0,"",D234-E234)</f>
        <v/>
      </c>
    </row>
    <row r="235" spans="1:6" x14ac:dyDescent="0.2">
      <c r="A235" t="s">
        <v>136</v>
      </c>
      <c r="B235" t="s">
        <v>130</v>
      </c>
      <c r="C235" s="77">
        <v>45231</v>
      </c>
      <c r="D235" s="27"/>
      <c r="E235" s="27"/>
      <c r="F235" s="66" t="str">
        <f>IF(D235-E235=0,"",D235-E235)</f>
        <v/>
      </c>
    </row>
    <row r="236" spans="1:6" x14ac:dyDescent="0.2">
      <c r="A236" t="s">
        <v>136</v>
      </c>
      <c r="B236" t="s">
        <v>131</v>
      </c>
      <c r="C236" s="77">
        <v>45231</v>
      </c>
      <c r="D236" s="27"/>
      <c r="E236" s="27"/>
      <c r="F236" s="66" t="str">
        <f>IF(D236-E236=0,"",D236-E236)</f>
        <v/>
      </c>
    </row>
    <row r="237" spans="1:6" x14ac:dyDescent="0.2">
      <c r="A237" t="s">
        <v>136</v>
      </c>
      <c r="B237" s="67" t="s">
        <v>132</v>
      </c>
      <c r="C237" s="78">
        <v>45231</v>
      </c>
      <c r="D237" s="66" t="str">
        <f>IF(D234+D235+D236=0,"",D234+D235+D236)</f>
        <v/>
      </c>
      <c r="E237" s="66" t="str">
        <f>IF(E234+E235+E236=0,"",E234+E235+E236)</f>
        <v/>
      </c>
      <c r="F237" s="66" t="str">
        <f>IFERROR(D237-E237,"")</f>
        <v/>
      </c>
    </row>
    <row r="238" spans="1:6" x14ac:dyDescent="0.2">
      <c r="A238" t="s">
        <v>136</v>
      </c>
      <c r="B238" t="s">
        <v>129</v>
      </c>
      <c r="C238" s="77">
        <v>45261</v>
      </c>
      <c r="D238" s="27"/>
      <c r="E238" s="27"/>
      <c r="F238" s="66" t="str">
        <f>IF(D238-E238=0,"",D238-E238)</f>
        <v/>
      </c>
    </row>
    <row r="239" spans="1:6" x14ac:dyDescent="0.2">
      <c r="A239" t="s">
        <v>136</v>
      </c>
      <c r="B239" t="s">
        <v>130</v>
      </c>
      <c r="C239" s="77">
        <v>45261</v>
      </c>
      <c r="D239" s="27"/>
      <c r="E239" s="27"/>
      <c r="F239" s="66" t="str">
        <f>IF(D239-E239=0,"",D239-E239)</f>
        <v/>
      </c>
    </row>
    <row r="240" spans="1:6" x14ac:dyDescent="0.2">
      <c r="A240" t="s">
        <v>136</v>
      </c>
      <c r="B240" t="s">
        <v>131</v>
      </c>
      <c r="C240" s="77">
        <v>45261</v>
      </c>
      <c r="D240" s="27"/>
      <c r="E240" s="27"/>
      <c r="F240" s="66" t="str">
        <f>IF(D240-E240=0,"",D240-E240)</f>
        <v/>
      </c>
    </row>
    <row r="241" spans="1:6" x14ac:dyDescent="0.2">
      <c r="A241" t="s">
        <v>136</v>
      </c>
      <c r="B241" s="67" t="s">
        <v>132</v>
      </c>
      <c r="C241" s="78">
        <v>45261</v>
      </c>
      <c r="D241" s="66" t="str">
        <f>IF(D238+D239+D240=0,"",D238+D239+D240)</f>
        <v/>
      </c>
      <c r="E241" s="66" t="str">
        <f>IF(E238+E239+E240=0,"",E238+E239+E240)</f>
        <v/>
      </c>
      <c r="F241" s="66" t="str">
        <f>IFERROR(D241-E241,"")</f>
        <v/>
      </c>
    </row>
    <row r="242" spans="1:6" x14ac:dyDescent="0.2">
      <c r="A242" t="s">
        <v>134</v>
      </c>
      <c r="B242" s="133" t="s">
        <v>129</v>
      </c>
      <c r="C242" s="134">
        <v>44927</v>
      </c>
      <c r="D242" s="135">
        <f>IF(D146-D194=0,"",D146-D194)</f>
        <v>2398606.46</v>
      </c>
      <c r="E242" s="135">
        <f t="shared" ref="E242:E244" si="15">IF(E146-E194=0,"",E146-E194)</f>
        <v>1716953.6</v>
      </c>
      <c r="F242" s="135">
        <f>IFERROR(D242-E242,"")</f>
        <v>681652.85999999987</v>
      </c>
    </row>
    <row r="243" spans="1:6" x14ac:dyDescent="0.2">
      <c r="A243" t="s">
        <v>134</v>
      </c>
      <c r="B243" s="133" t="s">
        <v>130</v>
      </c>
      <c r="C243" s="134">
        <v>44927</v>
      </c>
      <c r="D243" s="135">
        <f t="shared" ref="D243:D244" si="16">IF(D147-D195=0,"",D147-D195)</f>
        <v>139309.84999999998</v>
      </c>
      <c r="E243" s="135">
        <f t="shared" si="15"/>
        <v>46494.270000000019</v>
      </c>
      <c r="F243" s="135">
        <f>IFERROR(D243-E243,"")</f>
        <v>92815.579999999958</v>
      </c>
    </row>
    <row r="244" spans="1:6" x14ac:dyDescent="0.2">
      <c r="A244" t="s">
        <v>134</v>
      </c>
      <c r="B244" s="133" t="s">
        <v>131</v>
      </c>
      <c r="C244" s="134">
        <v>44927</v>
      </c>
      <c r="D244" s="135">
        <f t="shared" si="16"/>
        <v>-5000</v>
      </c>
      <c r="E244" s="135">
        <f t="shared" si="15"/>
        <v>5047.9400000000023</v>
      </c>
      <c r="F244" s="135">
        <f>IFERROR(D244-E244,"")</f>
        <v>-10047.940000000002</v>
      </c>
    </row>
    <row r="245" spans="1:6" x14ac:dyDescent="0.2">
      <c r="A245" t="s">
        <v>134</v>
      </c>
      <c r="B245" s="133" t="s">
        <v>132</v>
      </c>
      <c r="C245" s="134">
        <v>44927</v>
      </c>
      <c r="D245" s="135">
        <f>IFERROR(D242+D243+D244,"")</f>
        <v>2532916.31</v>
      </c>
      <c r="E245" s="135">
        <f>IFERROR(E242+E243+E244,"")</f>
        <v>1768495.81</v>
      </c>
      <c r="F245" s="135">
        <f>IFERROR(F242+F243+F244,"")</f>
        <v>764420.49999999977</v>
      </c>
    </row>
    <row r="246" spans="1:6" x14ac:dyDescent="0.2">
      <c r="A246" t="s">
        <v>134</v>
      </c>
      <c r="B246" s="133" t="s">
        <v>129</v>
      </c>
      <c r="C246" s="134">
        <v>44958</v>
      </c>
      <c r="D246" s="135">
        <f>IF(D150-D198=0,"",D150-D198)</f>
        <v>1757026.07</v>
      </c>
      <c r="E246" s="135">
        <f t="shared" ref="E246:E248" si="17">IF(E150-E198=0,"",E150-E198)</f>
        <v>1821308.41</v>
      </c>
      <c r="F246" s="135">
        <f>IFERROR(D246-E246,"")</f>
        <v>-64282.339999999851</v>
      </c>
    </row>
    <row r="247" spans="1:6" x14ac:dyDescent="0.2">
      <c r="A247" t="s">
        <v>134</v>
      </c>
      <c r="B247" s="133" t="s">
        <v>130</v>
      </c>
      <c r="C247" s="134">
        <v>44958</v>
      </c>
      <c r="D247" s="135">
        <f t="shared" ref="D247:D248" si="18">IF(D151-D199=0,"",D151-D199)</f>
        <v>-123646.45000000001</v>
      </c>
      <c r="E247" s="135">
        <f t="shared" si="17"/>
        <v>-57353.51999999999</v>
      </c>
      <c r="F247" s="135">
        <f>IFERROR(D247-E247,"")</f>
        <v>-66292.930000000022</v>
      </c>
    </row>
    <row r="248" spans="1:6" x14ac:dyDescent="0.2">
      <c r="A248" t="s">
        <v>134</v>
      </c>
      <c r="B248" s="133" t="s">
        <v>131</v>
      </c>
      <c r="C248" s="134">
        <v>44958</v>
      </c>
      <c r="D248" s="135">
        <f t="shared" si="18"/>
        <v>155000</v>
      </c>
      <c r="E248" s="135">
        <f t="shared" si="17"/>
        <v>-62588.23000000001</v>
      </c>
      <c r="F248" s="135">
        <f>IFERROR(D248-E248,"")</f>
        <v>217588.23</v>
      </c>
    </row>
    <row r="249" spans="1:6" x14ac:dyDescent="0.2">
      <c r="A249" t="s">
        <v>134</v>
      </c>
      <c r="B249" s="133" t="s">
        <v>132</v>
      </c>
      <c r="C249" s="134">
        <v>44958</v>
      </c>
      <c r="D249" s="135">
        <f>IFERROR(D246+D247+D248,"")</f>
        <v>1788379.62</v>
      </c>
      <c r="E249" s="135">
        <f>IFERROR(E246+E247+E248,"")</f>
        <v>1701366.66</v>
      </c>
      <c r="F249" s="135">
        <f>IFERROR(F246+F247+F248,"")</f>
        <v>87012.960000000137</v>
      </c>
    </row>
    <row r="250" spans="1:6" x14ac:dyDescent="0.2">
      <c r="A250" t="s">
        <v>134</v>
      </c>
      <c r="B250" s="133" t="s">
        <v>129</v>
      </c>
      <c r="C250" s="134">
        <v>44986</v>
      </c>
      <c r="D250" s="135">
        <f>IF(D154-D202=0,"",D154-D202)</f>
        <v>1874594.61</v>
      </c>
      <c r="E250" s="135">
        <f t="shared" ref="E250:E252" si="19">IF(E154-E202=0,"",E154-E202)</f>
        <v>1860217.38</v>
      </c>
      <c r="F250" s="135">
        <f>IFERROR(D250-E250,"")</f>
        <v>14377.230000000214</v>
      </c>
    </row>
    <row r="251" spans="1:6" x14ac:dyDescent="0.2">
      <c r="A251" t="s">
        <v>134</v>
      </c>
      <c r="B251" s="133" t="s">
        <v>130</v>
      </c>
      <c r="C251" s="134">
        <v>44986</v>
      </c>
      <c r="D251" s="135">
        <f t="shared" ref="D251:D252" si="20">IF(D155-D203=0,"",D155-D203)</f>
        <v>2879.179999999993</v>
      </c>
      <c r="E251" s="135">
        <f t="shared" si="19"/>
        <v>1574.1199999999953</v>
      </c>
      <c r="F251" s="135">
        <f>IFERROR(D251-E251,"")</f>
        <v>1305.0599999999977</v>
      </c>
    </row>
    <row r="252" spans="1:6" x14ac:dyDescent="0.2">
      <c r="A252" t="s">
        <v>134</v>
      </c>
      <c r="B252" s="133" t="s">
        <v>131</v>
      </c>
      <c r="C252" s="134">
        <v>44986</v>
      </c>
      <c r="D252" s="135">
        <f t="shared" si="20"/>
        <v>-90000</v>
      </c>
      <c r="E252" s="135">
        <f t="shared" si="19"/>
        <v>30732.799999999988</v>
      </c>
      <c r="F252" s="135">
        <f>IFERROR(D252-E252,"")</f>
        <v>-120732.79999999999</v>
      </c>
    </row>
    <row r="253" spans="1:6" x14ac:dyDescent="0.2">
      <c r="A253" t="s">
        <v>134</v>
      </c>
      <c r="B253" s="133" t="s">
        <v>132</v>
      </c>
      <c r="C253" s="134">
        <v>44986</v>
      </c>
      <c r="D253" s="135">
        <f>IFERROR(D250+D251+D252,"")</f>
        <v>1787473.79</v>
      </c>
      <c r="E253" s="135">
        <f>IFERROR(E250+E251+E252,"")</f>
        <v>1892524.3</v>
      </c>
      <c r="F253" s="135">
        <f>IFERROR(F250+F251+F252,"")</f>
        <v>-105050.50999999978</v>
      </c>
    </row>
    <row r="254" spans="1:6" x14ac:dyDescent="0.2">
      <c r="A254" t="s">
        <v>134</v>
      </c>
      <c r="B254" s="133" t="s">
        <v>129</v>
      </c>
      <c r="C254" s="134">
        <v>45017</v>
      </c>
      <c r="D254" s="135">
        <f>IF(D158-D206=0,"",D158-D206)</f>
        <v>2695346.68</v>
      </c>
      <c r="E254" s="135">
        <f t="shared" ref="E254:E260" si="21">IF(E158-E206=0,"",E158-E206)</f>
        <v>1981533.86</v>
      </c>
      <c r="F254" s="135">
        <f>IFERROR(D254-E254,"")</f>
        <v>713812.82000000007</v>
      </c>
    </row>
    <row r="255" spans="1:6" x14ac:dyDescent="0.2">
      <c r="A255" t="s">
        <v>134</v>
      </c>
      <c r="B255" s="133" t="s">
        <v>130</v>
      </c>
      <c r="C255" s="134">
        <v>45017</v>
      </c>
      <c r="D255" s="135">
        <f t="shared" ref="D255:D256" si="22">IF(D159-D207=0,"",D159-D207)</f>
        <v>73273.549999999988</v>
      </c>
      <c r="E255" s="135">
        <f t="shared" si="21"/>
        <v>10283.119999999995</v>
      </c>
      <c r="F255" s="135">
        <f>IFERROR(D255-E255,"")</f>
        <v>62990.429999999993</v>
      </c>
    </row>
    <row r="256" spans="1:6" x14ac:dyDescent="0.2">
      <c r="A256" t="s">
        <v>134</v>
      </c>
      <c r="B256" s="133" t="s">
        <v>131</v>
      </c>
      <c r="C256" s="134">
        <v>45017</v>
      </c>
      <c r="D256" s="135">
        <f t="shared" si="22"/>
        <v>-15000</v>
      </c>
      <c r="E256" s="135">
        <f t="shared" si="21"/>
        <v>-2676.0400000000081</v>
      </c>
      <c r="F256" s="135">
        <f>IFERROR(D256-E256,"")</f>
        <v>-12323.959999999992</v>
      </c>
    </row>
    <row r="257" spans="1:6" x14ac:dyDescent="0.2">
      <c r="A257" t="s">
        <v>134</v>
      </c>
      <c r="B257" s="133" t="s">
        <v>132</v>
      </c>
      <c r="C257" s="134">
        <v>45017</v>
      </c>
      <c r="D257" s="135">
        <f>IFERROR(D254+D255+D256,"")</f>
        <v>2753620.23</v>
      </c>
      <c r="E257" s="135">
        <f>IFERROR(E254+E255+E256,"")</f>
        <v>1989140.94</v>
      </c>
      <c r="F257" s="135">
        <f>IFERROR(F254+F255+F256,"")</f>
        <v>764479.29</v>
      </c>
    </row>
    <row r="258" spans="1:6" x14ac:dyDescent="0.2">
      <c r="A258" t="s">
        <v>134</v>
      </c>
      <c r="B258" s="133" t="s">
        <v>129</v>
      </c>
      <c r="C258" s="134">
        <v>45047</v>
      </c>
      <c r="D258" s="135">
        <f>IF(D162-D210=0,"",D162-D210)</f>
        <v>2567342.04</v>
      </c>
      <c r="E258" s="135">
        <f t="shared" si="21"/>
        <v>2092012.19</v>
      </c>
      <c r="F258" s="135">
        <f>IFERROR(D258-E258,"")</f>
        <v>475329.85000000009</v>
      </c>
    </row>
    <row r="259" spans="1:6" x14ac:dyDescent="0.2">
      <c r="A259" t="s">
        <v>134</v>
      </c>
      <c r="B259" s="133" t="s">
        <v>130</v>
      </c>
      <c r="C259" s="134">
        <v>45047</v>
      </c>
      <c r="D259" s="135">
        <f t="shared" ref="D259" si="23">IF(D163-D211=0,"",D163-D211)</f>
        <v>-25115.320000000007</v>
      </c>
      <c r="E259" s="135">
        <f t="shared" si="21"/>
        <v>49759.419999999984</v>
      </c>
      <c r="F259" s="135">
        <f>IFERROR(D259-E259,"")</f>
        <v>-74874.739999999991</v>
      </c>
    </row>
    <row r="260" spans="1:6" x14ac:dyDescent="0.2">
      <c r="A260" t="s">
        <v>134</v>
      </c>
      <c r="B260" s="133" t="s">
        <v>131</v>
      </c>
      <c r="C260" s="134">
        <v>45047</v>
      </c>
      <c r="D260" s="135">
        <v>0</v>
      </c>
      <c r="E260" s="135">
        <f t="shared" si="21"/>
        <v>29581.97</v>
      </c>
      <c r="F260" s="135">
        <f>IFERROR(D260-E260,"")</f>
        <v>-29581.97</v>
      </c>
    </row>
    <row r="261" spans="1:6" x14ac:dyDescent="0.2">
      <c r="A261" t="s">
        <v>134</v>
      </c>
      <c r="B261" s="133" t="s">
        <v>132</v>
      </c>
      <c r="C261" s="134">
        <v>45047</v>
      </c>
      <c r="D261" s="135">
        <f>IFERROR(D258+D259+D260,"")</f>
        <v>2542226.7200000002</v>
      </c>
      <c r="E261" s="135">
        <f>IFERROR(E258+E259+E260,"")</f>
        <v>2171353.58</v>
      </c>
      <c r="F261" s="135">
        <f>IFERROR(F258+F259+F260,"")</f>
        <v>370873.14000000013</v>
      </c>
    </row>
    <row r="262" spans="1:6" x14ac:dyDescent="0.2">
      <c r="A262" t="s">
        <v>134</v>
      </c>
      <c r="B262" s="133" t="s">
        <v>129</v>
      </c>
      <c r="C262" s="134">
        <v>45078</v>
      </c>
      <c r="D262" s="135">
        <f>IF(D166-D214=0,"",D166-D214)</f>
        <v>2187706.63</v>
      </c>
      <c r="E262" s="135">
        <f t="shared" ref="E262:E264" si="24">IF(E166-E214=0,"",E166-E214)</f>
        <v>2101567.4300000002</v>
      </c>
      <c r="F262" s="135">
        <f>IFERROR(D262-E262,"")</f>
        <v>86139.199999999721</v>
      </c>
    </row>
    <row r="263" spans="1:6" x14ac:dyDescent="0.2">
      <c r="A263" t="s">
        <v>134</v>
      </c>
      <c r="B263" s="133" t="s">
        <v>130</v>
      </c>
      <c r="C263" s="134">
        <v>45078</v>
      </c>
      <c r="D263" s="135">
        <f t="shared" ref="D263:D264" si="25">IF(D167-D215=0,"",D167-D215)</f>
        <v>-65366.239999999991</v>
      </c>
      <c r="E263" s="135">
        <f t="shared" si="24"/>
        <v>-24476.720000000001</v>
      </c>
      <c r="F263" s="135">
        <f>IFERROR(D263-E263,"")</f>
        <v>-40889.51999999999</v>
      </c>
    </row>
    <row r="264" spans="1:6" x14ac:dyDescent="0.2">
      <c r="A264" t="s">
        <v>134</v>
      </c>
      <c r="B264" s="133" t="s">
        <v>131</v>
      </c>
      <c r="C264" s="134">
        <v>45078</v>
      </c>
      <c r="D264" s="135">
        <f t="shared" si="25"/>
        <v>0.96000000002095476</v>
      </c>
      <c r="E264" s="135">
        <f t="shared" si="24"/>
        <v>-3012.570000000007</v>
      </c>
      <c r="F264" s="135">
        <f>IFERROR(D264-E264,"")</f>
        <v>3013.5300000000279</v>
      </c>
    </row>
    <row r="265" spans="1:6" x14ac:dyDescent="0.2">
      <c r="A265" t="s">
        <v>134</v>
      </c>
      <c r="B265" s="133" t="s">
        <v>132</v>
      </c>
      <c r="C265" s="134">
        <v>45078</v>
      </c>
      <c r="D265" s="135">
        <f>IFERROR(D262+D263+D264,"")</f>
        <v>2122341.3499999996</v>
      </c>
      <c r="E265" s="135">
        <f>IFERROR(E262+E263+E264,"")</f>
        <v>2074078.1400000001</v>
      </c>
      <c r="F265" s="135">
        <f>IFERROR(F262+F263+F264,"")</f>
        <v>48263.209999999759</v>
      </c>
    </row>
    <row r="266" spans="1:6" x14ac:dyDescent="0.2">
      <c r="A266" t="s">
        <v>134</v>
      </c>
      <c r="B266" s="133" t="s">
        <v>129</v>
      </c>
      <c r="C266" s="134">
        <v>45108</v>
      </c>
      <c r="D266" s="135" t="str">
        <f>IF(D170-D218=0,"",D170-D218)</f>
        <v/>
      </c>
      <c r="E266" s="135" t="str">
        <f t="shared" ref="E266:E288" si="26">IF(E170-E218=0,"",E170-E218)</f>
        <v/>
      </c>
      <c r="F266" s="135" t="str">
        <f>IFERROR(D266-E266,"")</f>
        <v/>
      </c>
    </row>
    <row r="267" spans="1:6" x14ac:dyDescent="0.2">
      <c r="A267" t="s">
        <v>134</v>
      </c>
      <c r="B267" s="133" t="s">
        <v>130</v>
      </c>
      <c r="C267" s="134">
        <v>45108</v>
      </c>
      <c r="D267" s="135">
        <f t="shared" ref="D267:D268" si="27">IF(D171-D219=0,"",D171-D219)</f>
        <v>-317992</v>
      </c>
      <c r="E267" s="135">
        <f t="shared" si="26"/>
        <v>-277110</v>
      </c>
      <c r="F267" s="135">
        <f>IFERROR(D267-E267,"")</f>
        <v>-40882</v>
      </c>
    </row>
    <row r="268" spans="1:6" x14ac:dyDescent="0.2">
      <c r="A268" t="s">
        <v>134</v>
      </c>
      <c r="B268" s="133" t="s">
        <v>131</v>
      </c>
      <c r="C268" s="134">
        <v>45108</v>
      </c>
      <c r="D268" s="135">
        <f t="shared" si="27"/>
        <v>-194583</v>
      </c>
      <c r="E268" s="135">
        <f t="shared" si="26"/>
        <v>-225229</v>
      </c>
      <c r="F268" s="135">
        <f>IFERROR(D268-E268,"")</f>
        <v>30646</v>
      </c>
    </row>
    <row r="269" spans="1:6" x14ac:dyDescent="0.2">
      <c r="A269" t="s">
        <v>134</v>
      </c>
      <c r="B269" s="133" t="s">
        <v>132</v>
      </c>
      <c r="C269" s="134">
        <v>45108</v>
      </c>
      <c r="D269" s="135" t="str">
        <f>IFERROR(D266+D267+D268,"")</f>
        <v/>
      </c>
      <c r="E269" s="135" t="str">
        <f>IFERROR(E266+E267+E268,"")</f>
        <v/>
      </c>
      <c r="F269" s="135" t="str">
        <f>IFERROR(F266+F267+F268,"")</f>
        <v/>
      </c>
    </row>
    <row r="270" spans="1:6" x14ac:dyDescent="0.2">
      <c r="A270" t="s">
        <v>134</v>
      </c>
      <c r="B270" s="133" t="s">
        <v>129</v>
      </c>
      <c r="C270" s="134">
        <v>45139</v>
      </c>
      <c r="D270" s="135" t="str">
        <f>IF(D174-D222=0,"",D174-D222)</f>
        <v/>
      </c>
      <c r="E270" s="135" t="str">
        <f t="shared" si="26"/>
        <v/>
      </c>
      <c r="F270" s="135" t="str">
        <f>IFERROR(D270-E270,"")</f>
        <v/>
      </c>
    </row>
    <row r="271" spans="1:6" x14ac:dyDescent="0.2">
      <c r="A271" t="s">
        <v>134</v>
      </c>
      <c r="B271" s="133" t="s">
        <v>130</v>
      </c>
      <c r="C271" s="134">
        <v>45139</v>
      </c>
      <c r="D271" s="135" t="str">
        <f t="shared" ref="D271:D272" si="28">IF(D175-D223=0,"",D175-D223)</f>
        <v/>
      </c>
      <c r="E271" s="135" t="str">
        <f t="shared" si="26"/>
        <v/>
      </c>
      <c r="F271" s="135" t="str">
        <f>IFERROR(D271-E271,"")</f>
        <v/>
      </c>
    </row>
    <row r="272" spans="1:6" x14ac:dyDescent="0.2">
      <c r="A272" t="s">
        <v>134</v>
      </c>
      <c r="B272" s="133" t="s">
        <v>131</v>
      </c>
      <c r="C272" s="134">
        <v>45139</v>
      </c>
      <c r="D272" s="135" t="str">
        <f t="shared" si="28"/>
        <v/>
      </c>
      <c r="E272" s="135" t="str">
        <f t="shared" si="26"/>
        <v/>
      </c>
      <c r="F272" s="135" t="str">
        <f>IFERROR(D272-E272,"")</f>
        <v/>
      </c>
    </row>
    <row r="273" spans="1:6" x14ac:dyDescent="0.2">
      <c r="A273" t="s">
        <v>134</v>
      </c>
      <c r="B273" s="133" t="s">
        <v>132</v>
      </c>
      <c r="C273" s="134">
        <v>45139</v>
      </c>
      <c r="D273" s="135" t="str">
        <f>IFERROR(D270+D271+D272,"")</f>
        <v/>
      </c>
      <c r="E273" s="135" t="str">
        <f>IFERROR(E270+E271+E272,"")</f>
        <v/>
      </c>
      <c r="F273" s="135" t="str">
        <f>IFERROR(F270+F271+F272,"")</f>
        <v/>
      </c>
    </row>
    <row r="274" spans="1:6" x14ac:dyDescent="0.2">
      <c r="A274" t="s">
        <v>134</v>
      </c>
      <c r="B274" s="133" t="s">
        <v>129</v>
      </c>
      <c r="C274" s="134">
        <v>45170</v>
      </c>
      <c r="D274" s="135" t="str">
        <f>IF(D178-D226=0,"",D178-D226)</f>
        <v/>
      </c>
      <c r="E274" s="135" t="str">
        <f t="shared" si="26"/>
        <v/>
      </c>
      <c r="F274" s="135" t="str">
        <f>IFERROR(D274-E274,"")</f>
        <v/>
      </c>
    </row>
    <row r="275" spans="1:6" x14ac:dyDescent="0.2">
      <c r="A275" t="s">
        <v>134</v>
      </c>
      <c r="B275" s="133" t="s">
        <v>130</v>
      </c>
      <c r="C275" s="134">
        <v>45170</v>
      </c>
      <c r="D275" s="135" t="str">
        <f t="shared" ref="D275:D276" si="29">IF(D179-D227=0,"",D179-D227)</f>
        <v/>
      </c>
      <c r="E275" s="135" t="str">
        <f t="shared" si="26"/>
        <v/>
      </c>
      <c r="F275" s="135" t="str">
        <f>IFERROR(D275-E275,"")</f>
        <v/>
      </c>
    </row>
    <row r="276" spans="1:6" x14ac:dyDescent="0.2">
      <c r="A276" t="s">
        <v>134</v>
      </c>
      <c r="B276" s="133" t="s">
        <v>131</v>
      </c>
      <c r="C276" s="134">
        <v>45170</v>
      </c>
      <c r="D276" s="135" t="str">
        <f t="shared" si="29"/>
        <v/>
      </c>
      <c r="E276" s="135" t="str">
        <f t="shared" si="26"/>
        <v/>
      </c>
      <c r="F276" s="135" t="str">
        <f>IFERROR(D276-E276,"")</f>
        <v/>
      </c>
    </row>
    <row r="277" spans="1:6" x14ac:dyDescent="0.2">
      <c r="A277" t="s">
        <v>134</v>
      </c>
      <c r="B277" s="133" t="s">
        <v>132</v>
      </c>
      <c r="C277" s="134">
        <v>45170</v>
      </c>
      <c r="D277" s="135" t="str">
        <f>IFERROR(D274+D275+D276,"")</f>
        <v/>
      </c>
      <c r="E277" s="135" t="str">
        <f>IFERROR(E274+E275+E276,"")</f>
        <v/>
      </c>
      <c r="F277" s="135" t="str">
        <f>IFERROR(F274+F275+F276,"")</f>
        <v/>
      </c>
    </row>
    <row r="278" spans="1:6" x14ac:dyDescent="0.2">
      <c r="A278" t="s">
        <v>134</v>
      </c>
      <c r="B278" s="133" t="s">
        <v>129</v>
      </c>
      <c r="C278" s="134">
        <v>45200</v>
      </c>
      <c r="D278" s="135" t="str">
        <f>IF(D182-D230=0,"",D182-D230)</f>
        <v/>
      </c>
      <c r="E278" s="135" t="str">
        <f t="shared" si="26"/>
        <v/>
      </c>
      <c r="F278" s="135" t="str">
        <f>IFERROR(D278-E278,"")</f>
        <v/>
      </c>
    </row>
    <row r="279" spans="1:6" x14ac:dyDescent="0.2">
      <c r="A279" t="s">
        <v>134</v>
      </c>
      <c r="B279" s="133" t="s">
        <v>130</v>
      </c>
      <c r="C279" s="134">
        <v>45200</v>
      </c>
      <c r="D279" s="135" t="str">
        <f t="shared" ref="D279:D280" si="30">IF(D183-D231=0,"",D183-D231)</f>
        <v/>
      </c>
      <c r="E279" s="135" t="str">
        <f t="shared" si="26"/>
        <v/>
      </c>
      <c r="F279" s="135" t="str">
        <f>IFERROR(D279-E279,"")</f>
        <v/>
      </c>
    </row>
    <row r="280" spans="1:6" x14ac:dyDescent="0.2">
      <c r="A280" t="s">
        <v>134</v>
      </c>
      <c r="B280" s="133" t="s">
        <v>131</v>
      </c>
      <c r="C280" s="134">
        <v>45200</v>
      </c>
      <c r="D280" s="135" t="str">
        <f t="shared" si="30"/>
        <v/>
      </c>
      <c r="E280" s="135" t="str">
        <f t="shared" si="26"/>
        <v/>
      </c>
      <c r="F280" s="135" t="str">
        <f>IFERROR(D280-E280,"")</f>
        <v/>
      </c>
    </row>
    <row r="281" spans="1:6" x14ac:dyDescent="0.2">
      <c r="A281" t="s">
        <v>134</v>
      </c>
      <c r="B281" s="133" t="s">
        <v>132</v>
      </c>
      <c r="C281" s="134">
        <v>45200</v>
      </c>
      <c r="D281" s="135" t="str">
        <f>IFERROR(D278+D279+D280,"")</f>
        <v/>
      </c>
      <c r="E281" s="135" t="str">
        <f>IFERROR(E278+E279+E280,"")</f>
        <v/>
      </c>
      <c r="F281" s="135" t="str">
        <f>IFERROR(F278+F279+F280,"")</f>
        <v/>
      </c>
    </row>
    <row r="282" spans="1:6" x14ac:dyDescent="0.2">
      <c r="A282" t="s">
        <v>134</v>
      </c>
      <c r="B282" s="133" t="s">
        <v>129</v>
      </c>
      <c r="C282" s="134">
        <v>45231</v>
      </c>
      <c r="D282" s="135" t="str">
        <f>IF(D186-D234=0,"",D186-D234)</f>
        <v/>
      </c>
      <c r="E282" s="135" t="str">
        <f t="shared" si="26"/>
        <v/>
      </c>
      <c r="F282" s="135" t="str">
        <f>IFERROR(D282-E282,"")</f>
        <v/>
      </c>
    </row>
    <row r="283" spans="1:6" x14ac:dyDescent="0.2">
      <c r="A283" t="s">
        <v>134</v>
      </c>
      <c r="B283" s="133" t="s">
        <v>130</v>
      </c>
      <c r="C283" s="134">
        <v>45231</v>
      </c>
      <c r="D283" s="135" t="str">
        <f t="shared" ref="D283:D284" si="31">IF(D187-D235=0,"",D187-D235)</f>
        <v/>
      </c>
      <c r="E283" s="135" t="str">
        <f t="shared" si="26"/>
        <v/>
      </c>
      <c r="F283" s="135" t="str">
        <f>IFERROR(D283-E283,"")</f>
        <v/>
      </c>
    </row>
    <row r="284" spans="1:6" x14ac:dyDescent="0.2">
      <c r="A284" t="s">
        <v>134</v>
      </c>
      <c r="B284" s="133" t="s">
        <v>131</v>
      </c>
      <c r="C284" s="134">
        <v>45231</v>
      </c>
      <c r="D284" s="135" t="str">
        <f t="shared" si="31"/>
        <v/>
      </c>
      <c r="E284" s="135" t="str">
        <f t="shared" si="26"/>
        <v/>
      </c>
      <c r="F284" s="135" t="str">
        <f>IFERROR(D284-E284,"")</f>
        <v/>
      </c>
    </row>
    <row r="285" spans="1:6" x14ac:dyDescent="0.2">
      <c r="A285" t="s">
        <v>134</v>
      </c>
      <c r="B285" s="133" t="s">
        <v>132</v>
      </c>
      <c r="C285" s="134">
        <v>45231</v>
      </c>
      <c r="D285" s="135" t="str">
        <f>IFERROR(D282+D283+D284,"")</f>
        <v/>
      </c>
      <c r="E285" s="135" t="str">
        <f>IFERROR(E282+E283+E284,"")</f>
        <v/>
      </c>
      <c r="F285" s="135" t="str">
        <f>IFERROR(F282+F283+F284,"")</f>
        <v/>
      </c>
    </row>
    <row r="286" spans="1:6" x14ac:dyDescent="0.2">
      <c r="A286" t="s">
        <v>134</v>
      </c>
      <c r="B286" s="133" t="s">
        <v>129</v>
      </c>
      <c r="C286" s="134">
        <v>45261</v>
      </c>
      <c r="D286" s="135" t="str">
        <f>IF(D190-D238=0,"",D190-D238)</f>
        <v/>
      </c>
      <c r="E286" s="135" t="str">
        <f t="shared" si="26"/>
        <v/>
      </c>
      <c r="F286" s="135" t="str">
        <f>IFERROR(D286-E286,"")</f>
        <v/>
      </c>
    </row>
    <row r="287" spans="1:6" x14ac:dyDescent="0.2">
      <c r="A287" t="s">
        <v>134</v>
      </c>
      <c r="B287" s="133" t="s">
        <v>130</v>
      </c>
      <c r="C287" s="134">
        <v>45261</v>
      </c>
      <c r="D287" s="135" t="str">
        <f t="shared" ref="D287:D288" si="32">IF(D191-D239=0,"",D191-D239)</f>
        <v/>
      </c>
      <c r="E287" s="135" t="str">
        <f t="shared" si="26"/>
        <v/>
      </c>
      <c r="F287" s="135" t="str">
        <f>IFERROR(D287-E287,"")</f>
        <v/>
      </c>
    </row>
    <row r="288" spans="1:6" x14ac:dyDescent="0.2">
      <c r="A288" t="s">
        <v>134</v>
      </c>
      <c r="B288" s="133" t="s">
        <v>131</v>
      </c>
      <c r="C288" s="134">
        <v>45261</v>
      </c>
      <c r="D288" s="135" t="str">
        <f t="shared" si="32"/>
        <v/>
      </c>
      <c r="E288" s="135" t="str">
        <f t="shared" si="26"/>
        <v/>
      </c>
      <c r="F288" s="135" t="str">
        <f>IFERROR(D288-E288,"")</f>
        <v/>
      </c>
    </row>
    <row r="289" spans="1:6" x14ac:dyDescent="0.2">
      <c r="A289" t="s">
        <v>134</v>
      </c>
      <c r="B289" s="133" t="s">
        <v>132</v>
      </c>
      <c r="C289" s="134">
        <v>45261</v>
      </c>
      <c r="D289" s="135" t="str">
        <f>IFERROR(D286+D287+D288,"")</f>
        <v/>
      </c>
      <c r="E289" s="135" t="str">
        <f>IFERROR(E286+E287+E288,"")</f>
        <v/>
      </c>
      <c r="F289" s="135" t="str">
        <f>IFERROR(F286+F287+F288,"")</f>
        <v/>
      </c>
    </row>
  </sheetData>
  <autoFilter ref="A1:F145" xr:uid="{C0DC5C9D-39A4-43E9-B638-68A84EDC75AC}"/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5E8B8-BE6D-461D-863D-1CB8202B0399}">
  <sheetPr codeName="Planilha44">
    <tabColor rgb="FFFF0000"/>
  </sheetPr>
  <dimension ref="A1:B3"/>
  <sheetViews>
    <sheetView workbookViewId="0">
      <selection activeCell="Q25" sqref="Q25"/>
    </sheetView>
  </sheetViews>
  <sheetFormatPr defaultRowHeight="12.75" x14ac:dyDescent="0.2"/>
  <cols>
    <col min="2" max="2" width="11" bestFit="1" customWidth="1"/>
  </cols>
  <sheetData>
    <row r="1" spans="1:2" x14ac:dyDescent="0.2">
      <c r="A1" t="s">
        <v>147</v>
      </c>
      <c r="B1">
        <v>970663.36</v>
      </c>
    </row>
    <row r="2" spans="1:2" x14ac:dyDescent="0.2">
      <c r="A2" t="s">
        <v>148</v>
      </c>
      <c r="B2">
        <v>1623996.69</v>
      </c>
    </row>
    <row r="3" spans="1:2" x14ac:dyDescent="0.2">
      <c r="B3">
        <f>B1+B2</f>
        <v>2594660.0499999998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79C5-648C-477E-ADD5-CC1856825008}">
  <sheetPr codeName="Planilha45">
    <tabColor rgb="FFFF0000"/>
  </sheetPr>
  <dimension ref="A1:F20"/>
  <sheetViews>
    <sheetView workbookViewId="0">
      <selection activeCell="P37" sqref="P37"/>
    </sheetView>
  </sheetViews>
  <sheetFormatPr defaultRowHeight="12.75" x14ac:dyDescent="0.2"/>
  <cols>
    <col min="1" max="1" width="48.28515625" bestFit="1" customWidth="1"/>
  </cols>
  <sheetData>
    <row r="1" spans="1:6" x14ac:dyDescent="0.2">
      <c r="A1" t="s">
        <v>95</v>
      </c>
      <c r="B1">
        <v>2022</v>
      </c>
      <c r="C1">
        <v>2021</v>
      </c>
      <c r="D1" t="s">
        <v>34</v>
      </c>
    </row>
    <row r="2" spans="1:6" x14ac:dyDescent="0.2">
      <c r="A2" s="90" t="s">
        <v>98</v>
      </c>
      <c r="B2">
        <v>10236900.794066319</v>
      </c>
      <c r="C2">
        <v>9921379.3551000003</v>
      </c>
      <c r="D2">
        <f>B2-C2</f>
        <v>315521.43896631896</v>
      </c>
      <c r="F2" t="s">
        <v>94</v>
      </c>
    </row>
    <row r="3" spans="1:6" x14ac:dyDescent="0.2">
      <c r="A3" s="90" t="s">
        <v>99</v>
      </c>
      <c r="B3">
        <v>1326545.76</v>
      </c>
      <c r="C3">
        <v>0</v>
      </c>
      <c r="D3">
        <f t="shared" ref="D3:D20" si="0">B3-C3</f>
        <v>1326545.76</v>
      </c>
      <c r="F3" t="s">
        <v>94</v>
      </c>
    </row>
    <row r="4" spans="1:6" x14ac:dyDescent="0.2">
      <c r="A4" s="90" t="s">
        <v>100</v>
      </c>
      <c r="B4">
        <v>2195195.3260000004</v>
      </c>
      <c r="C4">
        <v>1539365.3800000001</v>
      </c>
      <c r="D4">
        <f t="shared" si="0"/>
        <v>655829.94600000023</v>
      </c>
      <c r="F4" t="s">
        <v>94</v>
      </c>
    </row>
    <row r="5" spans="1:6" x14ac:dyDescent="0.2">
      <c r="A5" s="90" t="s">
        <v>28</v>
      </c>
      <c r="B5">
        <v>1137420.31</v>
      </c>
      <c r="C5">
        <v>926861.71</v>
      </c>
      <c r="D5">
        <f t="shared" si="0"/>
        <v>210558.60000000009</v>
      </c>
      <c r="F5" t="s">
        <v>28</v>
      </c>
    </row>
    <row r="6" spans="1:6" x14ac:dyDescent="0.2">
      <c r="A6" t="s">
        <v>29</v>
      </c>
      <c r="B6">
        <v>42538.590000000004</v>
      </c>
      <c r="C6">
        <v>12954.98</v>
      </c>
      <c r="D6">
        <f t="shared" si="0"/>
        <v>29583.610000000004</v>
      </c>
      <c r="F6" t="s">
        <v>160</v>
      </c>
    </row>
    <row r="7" spans="1:6" x14ac:dyDescent="0.2">
      <c r="A7" t="s">
        <v>30</v>
      </c>
      <c r="B7">
        <v>278847.27</v>
      </c>
      <c r="C7">
        <v>141578.99000000002</v>
      </c>
      <c r="D7">
        <f t="shared" si="0"/>
        <v>137268.28</v>
      </c>
      <c r="F7" t="s">
        <v>160</v>
      </c>
    </row>
    <row r="8" spans="1:6" x14ac:dyDescent="0.2">
      <c r="A8" s="90" t="s">
        <v>31</v>
      </c>
      <c r="B8">
        <v>792505.2300000001</v>
      </c>
      <c r="C8">
        <v>859106.12</v>
      </c>
      <c r="D8">
        <f t="shared" si="0"/>
        <v>-66600.889999999898</v>
      </c>
      <c r="F8" t="s">
        <v>31</v>
      </c>
    </row>
    <row r="9" spans="1:6" x14ac:dyDescent="0.2">
      <c r="A9" s="90" t="s">
        <v>161</v>
      </c>
      <c r="B9">
        <v>750880.24290000007</v>
      </c>
      <c r="C9">
        <v>896685.83000000007</v>
      </c>
      <c r="D9">
        <f t="shared" si="0"/>
        <v>-145805.5871</v>
      </c>
      <c r="F9" t="s">
        <v>94</v>
      </c>
    </row>
    <row r="10" spans="1:6" x14ac:dyDescent="0.2">
      <c r="A10" s="90" t="s">
        <v>102</v>
      </c>
      <c r="B10">
        <v>1136978.0699999998</v>
      </c>
      <c r="C10">
        <v>849186.97</v>
      </c>
      <c r="D10">
        <f t="shared" si="0"/>
        <v>287791.09999999986</v>
      </c>
      <c r="F10" t="s">
        <v>94</v>
      </c>
    </row>
    <row r="11" spans="1:6" x14ac:dyDescent="0.2">
      <c r="A11" s="90" t="s">
        <v>0</v>
      </c>
      <c r="B11">
        <v>449362.31</v>
      </c>
      <c r="C11">
        <v>177297.71</v>
      </c>
      <c r="D11">
        <f t="shared" si="0"/>
        <v>272064.59999999998</v>
      </c>
      <c r="F11" t="s">
        <v>0</v>
      </c>
    </row>
    <row r="12" spans="1:6" x14ac:dyDescent="0.2">
      <c r="A12" t="s">
        <v>1</v>
      </c>
      <c r="B12">
        <v>232047.84000000003</v>
      </c>
      <c r="C12">
        <v>282613.25</v>
      </c>
      <c r="D12">
        <f t="shared" si="0"/>
        <v>-50565.409999999974</v>
      </c>
      <c r="F12" t="s">
        <v>160</v>
      </c>
    </row>
    <row r="13" spans="1:6" x14ac:dyDescent="0.2">
      <c r="A13" t="s">
        <v>2</v>
      </c>
      <c r="B13">
        <v>225296.88</v>
      </c>
      <c r="C13">
        <v>227744.62999999995</v>
      </c>
      <c r="D13">
        <f t="shared" si="0"/>
        <v>-2447.7499999999418</v>
      </c>
      <c r="F13" t="s">
        <v>160</v>
      </c>
    </row>
    <row r="14" spans="1:6" x14ac:dyDescent="0.2">
      <c r="A14" t="s">
        <v>3</v>
      </c>
      <c r="B14">
        <v>138264.32000000001</v>
      </c>
      <c r="C14">
        <v>142357.40000000002</v>
      </c>
      <c r="D14">
        <f t="shared" si="0"/>
        <v>-4093.0800000000163</v>
      </c>
      <c r="F14" t="s">
        <v>160</v>
      </c>
    </row>
    <row r="15" spans="1:6" x14ac:dyDescent="0.2">
      <c r="A15" t="s">
        <v>4</v>
      </c>
      <c r="B15">
        <v>76895.06</v>
      </c>
      <c r="C15">
        <v>15443.25</v>
      </c>
      <c r="D15">
        <f t="shared" si="0"/>
        <v>61451.81</v>
      </c>
      <c r="F15" t="s">
        <v>160</v>
      </c>
    </row>
    <row r="16" spans="1:6" x14ac:dyDescent="0.2">
      <c r="A16" t="s">
        <v>5</v>
      </c>
      <c r="B16">
        <v>68218.710000000006</v>
      </c>
      <c r="C16">
        <v>22142.99</v>
      </c>
      <c r="D16">
        <f t="shared" si="0"/>
        <v>46075.72</v>
      </c>
      <c r="F16" t="s">
        <v>160</v>
      </c>
    </row>
    <row r="17" spans="1:6" x14ac:dyDescent="0.2">
      <c r="A17" t="s">
        <v>6</v>
      </c>
      <c r="B17">
        <v>347682.29</v>
      </c>
      <c r="C17">
        <v>146528.53000000003</v>
      </c>
      <c r="D17">
        <f t="shared" si="0"/>
        <v>201153.75999999995</v>
      </c>
      <c r="F17" t="s">
        <v>160</v>
      </c>
    </row>
    <row r="18" spans="1:6" x14ac:dyDescent="0.2">
      <c r="A18" s="90" t="s">
        <v>162</v>
      </c>
      <c r="B18">
        <v>179850.36862575001</v>
      </c>
      <c r="C18">
        <v>95079.608749999999</v>
      </c>
      <c r="D18">
        <f t="shared" si="0"/>
        <v>84770.759875750009</v>
      </c>
      <c r="F18" t="s">
        <v>25</v>
      </c>
    </row>
    <row r="19" spans="1:6" x14ac:dyDescent="0.2">
      <c r="A19" t="s">
        <v>163</v>
      </c>
      <c r="B19">
        <v>44229.797799999993</v>
      </c>
      <c r="C19">
        <v>125566.27</v>
      </c>
      <c r="D19">
        <f t="shared" si="0"/>
        <v>-81336.472200000018</v>
      </c>
      <c r="F19" t="s">
        <v>160</v>
      </c>
    </row>
    <row r="20" spans="1:6" x14ac:dyDescent="0.2">
      <c r="A20" t="s">
        <v>164</v>
      </c>
      <c r="B20">
        <v>5376402.6602220023</v>
      </c>
      <c r="C20">
        <v>4892196.8100000024</v>
      </c>
      <c r="D20">
        <f t="shared" si="0"/>
        <v>484205.85022199992</v>
      </c>
      <c r="F20" t="s">
        <v>160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3D1-CC87-4D66-BAC8-F76310C7207F}">
  <sheetPr codeName="Planilha46">
    <tabColor rgb="FFFF0000"/>
  </sheetPr>
  <dimension ref="A1:E7"/>
  <sheetViews>
    <sheetView workbookViewId="0">
      <selection activeCell="Q25" sqref="Q25"/>
    </sheetView>
  </sheetViews>
  <sheetFormatPr defaultRowHeight="12.75" x14ac:dyDescent="0.2"/>
  <cols>
    <col min="2" max="2" width="41" bestFit="1" customWidth="1"/>
    <col min="3" max="4" width="14" bestFit="1" customWidth="1"/>
    <col min="5" max="5" width="12.85546875" bestFit="1" customWidth="1"/>
  </cols>
  <sheetData>
    <row r="1" spans="1:5" x14ac:dyDescent="0.2">
      <c r="A1" t="s">
        <v>75</v>
      </c>
      <c r="B1" t="s">
        <v>33</v>
      </c>
      <c r="C1">
        <v>2022</v>
      </c>
      <c r="D1">
        <v>2021</v>
      </c>
      <c r="E1" t="s">
        <v>34</v>
      </c>
    </row>
    <row r="2" spans="1:5" x14ac:dyDescent="0.2">
      <c r="A2">
        <v>1</v>
      </c>
      <c r="B2" t="s">
        <v>94</v>
      </c>
      <c r="C2" s="91">
        <v>15646500.192966321</v>
      </c>
      <c r="D2" s="91">
        <v>13206617.535100002</v>
      </c>
      <c r="E2" s="91">
        <v>2439882.6578663196</v>
      </c>
    </row>
    <row r="3" spans="1:5" x14ac:dyDescent="0.2">
      <c r="A3">
        <v>2</v>
      </c>
      <c r="B3" t="s">
        <v>25</v>
      </c>
      <c r="C3" s="91">
        <v>5376402.6602220023</v>
      </c>
      <c r="D3" s="91">
        <v>4892196.8100000024</v>
      </c>
      <c r="E3" s="91">
        <v>484205.85022199992</v>
      </c>
    </row>
    <row r="4" spans="1:5" x14ac:dyDescent="0.2">
      <c r="A4">
        <v>3</v>
      </c>
      <c r="B4" t="s">
        <v>28</v>
      </c>
      <c r="C4" s="91">
        <v>1137420.31</v>
      </c>
      <c r="D4" s="91">
        <v>926861.71</v>
      </c>
      <c r="E4" s="91">
        <v>210558.60000000009</v>
      </c>
    </row>
    <row r="5" spans="1:5" x14ac:dyDescent="0.2">
      <c r="A5">
        <v>4</v>
      </c>
      <c r="B5" s="90" t="s">
        <v>31</v>
      </c>
      <c r="C5" s="91">
        <v>792505.2300000001</v>
      </c>
      <c r="D5" s="91">
        <v>859106.12</v>
      </c>
      <c r="E5" s="91">
        <v>-66600.889999999898</v>
      </c>
    </row>
    <row r="6" spans="1:5" x14ac:dyDescent="0.2">
      <c r="A6">
        <v>5</v>
      </c>
      <c r="B6" s="90" t="s">
        <v>0</v>
      </c>
      <c r="C6" s="91">
        <v>449362.31</v>
      </c>
      <c r="D6" s="91">
        <v>177297.71</v>
      </c>
      <c r="E6" s="91">
        <v>272064.59999999998</v>
      </c>
    </row>
    <row r="7" spans="1:5" x14ac:dyDescent="0.2">
      <c r="A7">
        <v>6</v>
      </c>
      <c r="B7" t="s">
        <v>160</v>
      </c>
      <c r="C7" s="91">
        <v>1633871.1264257503</v>
      </c>
      <c r="D7" s="91">
        <v>1212009.8987499999</v>
      </c>
      <c r="E7" s="91">
        <v>421861.22767575039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ECAF5-8F39-4C57-BE22-700065D47496}">
  <sheetPr codeName="Planilha48">
    <tabColor rgb="FFFF0000"/>
  </sheetPr>
  <dimension ref="B1:AD29"/>
  <sheetViews>
    <sheetView showGridLines="0" zoomScale="130" zoomScaleNormal="130" workbookViewId="0">
      <selection activeCell="Q25" sqref="Q25"/>
    </sheetView>
  </sheetViews>
  <sheetFormatPr defaultRowHeight="12.75" x14ac:dyDescent="0.2"/>
  <cols>
    <col min="2" max="2" width="26.140625" bestFit="1" customWidth="1"/>
    <col min="3" max="3" width="42.42578125" hidden="1" customWidth="1"/>
    <col min="4" max="4" width="27.5703125" hidden="1" customWidth="1"/>
    <col min="5" max="5" width="13.85546875" bestFit="1" customWidth="1"/>
    <col min="6" max="6" width="5.7109375" customWidth="1"/>
    <col min="7" max="7" width="26.140625" bestFit="1" customWidth="1"/>
    <col min="8" max="8" width="42.42578125" hidden="1" customWidth="1"/>
    <col min="9" max="9" width="17" hidden="1" customWidth="1"/>
    <col min="10" max="10" width="13.85546875" bestFit="1" customWidth="1"/>
    <col min="11" max="11" width="5.7109375" customWidth="1"/>
    <col min="12" max="12" width="26.140625" bestFit="1" customWidth="1"/>
    <col min="13" max="13" width="42.42578125" hidden="1" customWidth="1"/>
    <col min="14" max="14" width="17" hidden="1" customWidth="1"/>
    <col min="15" max="15" width="13.85546875" bestFit="1" customWidth="1"/>
    <col min="17" max="17" width="26.140625" bestFit="1" customWidth="1"/>
    <col min="18" max="18" width="42.42578125" hidden="1" customWidth="1"/>
    <col min="19" max="19" width="17" hidden="1" customWidth="1"/>
    <col min="20" max="20" width="13.85546875" bestFit="1" customWidth="1"/>
    <col min="21" max="21" width="5.7109375" customWidth="1"/>
    <col min="22" max="22" width="26.140625" bestFit="1" customWidth="1"/>
    <col min="23" max="23" width="42.42578125" hidden="1" customWidth="1"/>
    <col min="24" max="24" width="17" hidden="1" customWidth="1"/>
    <col min="25" max="25" width="13.85546875" bestFit="1" customWidth="1"/>
    <col min="26" max="26" width="5.7109375" customWidth="1"/>
    <col min="27" max="27" width="26.140625" bestFit="1" customWidth="1"/>
    <col min="28" max="28" width="42.42578125" hidden="1" customWidth="1"/>
    <col min="29" max="29" width="17" hidden="1" customWidth="1"/>
    <col min="30" max="30" width="13.85546875" bestFit="1" customWidth="1"/>
  </cols>
  <sheetData>
    <row r="1" spans="2:30" ht="13.5" thickBot="1" x14ac:dyDescent="0.25"/>
    <row r="2" spans="2:30" ht="24" thickBot="1" x14ac:dyDescent="0.4">
      <c r="B2" s="508" t="s">
        <v>166</v>
      </c>
      <c r="C2" s="509"/>
      <c r="D2" s="509"/>
      <c r="E2" s="510"/>
      <c r="G2" s="508" t="s">
        <v>167</v>
      </c>
      <c r="H2" s="509"/>
      <c r="I2" s="509"/>
      <c r="J2" s="510"/>
      <c r="L2" s="508" t="s">
        <v>168</v>
      </c>
      <c r="M2" s="509"/>
      <c r="N2" s="509"/>
      <c r="O2" s="510"/>
      <c r="Q2" s="508" t="s">
        <v>171</v>
      </c>
      <c r="R2" s="509"/>
      <c r="S2" s="509"/>
      <c r="T2" s="510"/>
      <c r="V2" s="508" t="s">
        <v>170</v>
      </c>
      <c r="W2" s="509"/>
      <c r="X2" s="509"/>
      <c r="Y2" s="510"/>
      <c r="AA2" s="508" t="s">
        <v>169</v>
      </c>
      <c r="AB2" s="509"/>
      <c r="AC2" s="509"/>
      <c r="AD2" s="510"/>
    </row>
    <row r="4" spans="2:30" ht="15" x14ac:dyDescent="0.2">
      <c r="B4" s="92" t="s">
        <v>35</v>
      </c>
      <c r="C4" s="92" t="s">
        <v>38</v>
      </c>
      <c r="D4" s="92" t="s">
        <v>37</v>
      </c>
      <c r="E4" s="92" t="s">
        <v>36</v>
      </c>
      <c r="G4" s="92" t="s">
        <v>35</v>
      </c>
      <c r="H4" s="92" t="s">
        <v>38</v>
      </c>
      <c r="I4" s="92" t="s">
        <v>37</v>
      </c>
      <c r="J4" s="92" t="s">
        <v>36</v>
      </c>
      <c r="L4" s="92" t="s">
        <v>35</v>
      </c>
      <c r="M4" s="92" t="s">
        <v>38</v>
      </c>
      <c r="N4" s="92" t="s">
        <v>37</v>
      </c>
      <c r="O4" s="92" t="s">
        <v>36</v>
      </c>
      <c r="Q4" s="92" t="s">
        <v>35</v>
      </c>
      <c r="R4" s="92" t="s">
        <v>38</v>
      </c>
      <c r="S4" s="92" t="s">
        <v>37</v>
      </c>
      <c r="T4" s="92" t="s">
        <v>36</v>
      </c>
      <c r="V4" s="92" t="s">
        <v>35</v>
      </c>
      <c r="W4" s="92" t="s">
        <v>38</v>
      </c>
      <c r="X4" s="92" t="s">
        <v>37</v>
      </c>
      <c r="Y4" s="92" t="s">
        <v>36</v>
      </c>
      <c r="AA4" s="92" t="s">
        <v>35</v>
      </c>
      <c r="AB4" s="92" t="s">
        <v>38</v>
      </c>
      <c r="AC4" s="92" t="s">
        <v>37</v>
      </c>
      <c r="AD4" s="92" t="s">
        <v>36</v>
      </c>
    </row>
    <row r="5" spans="2:30" ht="15" hidden="1" x14ac:dyDescent="0.25">
      <c r="B5" s="93" t="s">
        <v>39</v>
      </c>
      <c r="C5" s="94">
        <v>2380</v>
      </c>
      <c r="D5" s="93">
        <v>40</v>
      </c>
      <c r="E5" s="94">
        <f>$E$21*$E$22/$E$24*'Antecipação Lucros GAN (2)'!D5</f>
        <v>72.334256599747434</v>
      </c>
      <c r="G5" s="93" t="s">
        <v>39</v>
      </c>
      <c r="H5" s="94">
        <v>2380</v>
      </c>
      <c r="I5" s="93">
        <v>40</v>
      </c>
      <c r="J5" s="94">
        <f>$E$21*$E$28/$E$24*'Antecipação Lucros GAN (2)'!I5</f>
        <v>48.222837733164951</v>
      </c>
      <c r="L5" s="93" t="s">
        <v>39</v>
      </c>
      <c r="M5" s="94">
        <v>2380</v>
      </c>
      <c r="N5" s="93">
        <v>40</v>
      </c>
      <c r="O5" s="94">
        <f>$E$21*$E$22/$E$24*'Antecipação Lucros GAN (2)'!N5</f>
        <v>72.334256599747434</v>
      </c>
      <c r="Q5" s="93" t="s">
        <v>39</v>
      </c>
      <c r="R5" s="94">
        <v>2380</v>
      </c>
      <c r="S5" s="93">
        <v>40</v>
      </c>
      <c r="T5" s="94">
        <f>$E$21*$E$22/$E$24*'Antecipação Lucros GAN (2)'!S5</f>
        <v>72.334256599747434</v>
      </c>
      <c r="V5" s="93" t="s">
        <v>39</v>
      </c>
      <c r="W5" s="94">
        <v>2380</v>
      </c>
      <c r="X5" s="93">
        <v>40</v>
      </c>
      <c r="Y5" s="94">
        <f>$E$21*$E$28/$E$24*'Antecipação Lucros GAN (2)'!X5</f>
        <v>48.222837733164951</v>
      </c>
      <c r="AA5" s="93" t="s">
        <v>39</v>
      </c>
      <c r="AB5" s="94">
        <v>2380</v>
      </c>
      <c r="AC5" s="93">
        <v>40</v>
      </c>
      <c r="AD5" s="94">
        <f>$E$21*$E$22/$E$24*'Antecipação Lucros GAN (2)'!AC5</f>
        <v>72.334256599747434</v>
      </c>
    </row>
    <row r="6" spans="2:30" ht="15" x14ac:dyDescent="0.25">
      <c r="B6" s="93" t="s">
        <v>40</v>
      </c>
      <c r="C6" s="94">
        <v>2380</v>
      </c>
      <c r="D6" s="93">
        <v>40</v>
      </c>
      <c r="E6" s="94">
        <f>$E$21*$E$22/$E$24*'Antecipação Lucros GAN (2)'!D6</f>
        <v>72.334256599747434</v>
      </c>
      <c r="G6" s="93" t="s">
        <v>40</v>
      </c>
      <c r="H6" s="94">
        <v>2380</v>
      </c>
      <c r="I6" s="93">
        <v>40</v>
      </c>
      <c r="J6" s="94">
        <f>$E$21*$E$28/$E$24*'Antecipação Lucros GAN (2)'!I6</f>
        <v>48.222837733164951</v>
      </c>
      <c r="L6" s="93" t="s">
        <v>40</v>
      </c>
      <c r="M6" s="94">
        <v>2380</v>
      </c>
      <c r="N6" s="93">
        <v>40</v>
      </c>
      <c r="O6" s="94">
        <f>$E$21*$E$29/$E$24*'Antecipação Lucros GAN (2)'!N6</f>
        <v>36.167128299873717</v>
      </c>
      <c r="Q6" s="93" t="s">
        <v>40</v>
      </c>
      <c r="R6" s="94">
        <v>2380</v>
      </c>
      <c r="S6" s="93">
        <v>40</v>
      </c>
      <c r="T6" s="94">
        <f>$E$27*$E$22/$E$24*'Antecipação Lucros GAN (2)'!S6</f>
        <v>126.58494904955801</v>
      </c>
      <c r="V6" s="93" t="s">
        <v>40</v>
      </c>
      <c r="W6" s="94">
        <v>2380</v>
      </c>
      <c r="X6" s="93">
        <v>40</v>
      </c>
      <c r="Y6" s="94">
        <f>$E$27*$E$28/$E$24*'Antecipação Lucros GAN (2)'!X6</f>
        <v>84.389966033038661</v>
      </c>
      <c r="AA6" s="93" t="s">
        <v>40</v>
      </c>
      <c r="AB6" s="94">
        <v>2380</v>
      </c>
      <c r="AC6" s="93">
        <v>40</v>
      </c>
      <c r="AD6" s="94">
        <f>$E$27*$E$29/$E$24*'Antecipação Lucros GAN (2)'!AC6</f>
        <v>63.292474524779003</v>
      </c>
    </row>
    <row r="7" spans="2:30" ht="15" x14ac:dyDescent="0.25">
      <c r="B7" s="93" t="s">
        <v>165</v>
      </c>
      <c r="C7" s="94">
        <v>2680</v>
      </c>
      <c r="D7" s="93">
        <v>45</v>
      </c>
      <c r="E7" s="94">
        <f>$E$21*$E$22/$E$24*'Antecipação Lucros GAN (2)'!D7</f>
        <v>81.376038674715858</v>
      </c>
      <c r="G7" s="93" t="s">
        <v>165</v>
      </c>
      <c r="H7" s="94">
        <v>2680</v>
      </c>
      <c r="I7" s="93">
        <v>45</v>
      </c>
      <c r="J7" s="94">
        <f>$E$21*$E$28/$E$24*'Antecipação Lucros GAN (2)'!I7</f>
        <v>54.250692449810565</v>
      </c>
      <c r="L7" s="93" t="s">
        <v>165</v>
      </c>
      <c r="M7" s="94">
        <v>2680</v>
      </c>
      <c r="N7" s="93">
        <v>45</v>
      </c>
      <c r="O7" s="94">
        <f>$E$21*$E$29/$E$24*'Antecipação Lucros GAN (2)'!N7</f>
        <v>40.688019337357929</v>
      </c>
      <c r="Q7" s="93" t="s">
        <v>165</v>
      </c>
      <c r="R7" s="94">
        <v>2680</v>
      </c>
      <c r="S7" s="93">
        <v>45</v>
      </c>
      <c r="T7" s="94">
        <f>$E$27*$E$22/$E$24*'Antecipação Lucros GAN (2)'!S7</f>
        <v>142.40806768075277</v>
      </c>
      <c r="V7" s="93" t="s">
        <v>165</v>
      </c>
      <c r="W7" s="94">
        <v>2680</v>
      </c>
      <c r="X7" s="93">
        <v>45</v>
      </c>
      <c r="Y7" s="94">
        <f>$E$27*$E$28/$E$24*'Antecipação Lucros GAN (2)'!X7</f>
        <v>94.938711787168501</v>
      </c>
      <c r="AA7" s="93" t="s">
        <v>165</v>
      </c>
      <c r="AB7" s="94">
        <v>2680</v>
      </c>
      <c r="AC7" s="93">
        <v>45</v>
      </c>
      <c r="AD7" s="94">
        <f>$E$27*$E$29/$E$24*'Antecipação Lucros GAN (2)'!AC7</f>
        <v>71.204033840376383</v>
      </c>
    </row>
    <row r="8" spans="2:30" ht="15" x14ac:dyDescent="0.25">
      <c r="B8" s="93" t="s">
        <v>42</v>
      </c>
      <c r="C8" s="94">
        <v>2900</v>
      </c>
      <c r="D8" s="93">
        <v>50</v>
      </c>
      <c r="E8" s="94">
        <f>$E$21*$E$22/$E$24*'Antecipação Lucros GAN (2)'!D8</f>
        <v>90.417820749684282</v>
      </c>
      <c r="G8" s="93" t="s">
        <v>42</v>
      </c>
      <c r="H8" s="94">
        <v>2900</v>
      </c>
      <c r="I8" s="93">
        <v>50</v>
      </c>
      <c r="J8" s="94">
        <f>$E$21*$E$28/$E$24*'Antecipação Lucros GAN (2)'!I8</f>
        <v>60.278547166456185</v>
      </c>
      <c r="L8" s="93" t="s">
        <v>42</v>
      </c>
      <c r="M8" s="94">
        <v>2900</v>
      </c>
      <c r="N8" s="93">
        <v>50</v>
      </c>
      <c r="O8" s="94">
        <f>$E$21*$E$29/$E$24*'Antecipação Lucros GAN (2)'!N8</f>
        <v>45.208910374842141</v>
      </c>
      <c r="Q8" s="93" t="s">
        <v>42</v>
      </c>
      <c r="R8" s="94">
        <v>2900</v>
      </c>
      <c r="S8" s="93">
        <v>50</v>
      </c>
      <c r="T8" s="94">
        <f>$E$27*$E$22/$E$24*'Antecipação Lucros GAN (2)'!S8</f>
        <v>158.23118631194751</v>
      </c>
      <c r="V8" s="93" t="s">
        <v>42</v>
      </c>
      <c r="W8" s="94">
        <v>2900</v>
      </c>
      <c r="X8" s="93">
        <v>50</v>
      </c>
      <c r="Y8" s="94">
        <f>$E$27*$E$28/$E$24*'Antecipação Lucros GAN (2)'!X8</f>
        <v>105.48745754129834</v>
      </c>
      <c r="AA8" s="93" t="s">
        <v>42</v>
      </c>
      <c r="AB8" s="94">
        <v>2900</v>
      </c>
      <c r="AC8" s="93">
        <v>50</v>
      </c>
      <c r="AD8" s="94">
        <f>$E$27*$E$29/$E$24*'Antecipação Lucros GAN (2)'!AC8</f>
        <v>79.115593155973755</v>
      </c>
    </row>
    <row r="9" spans="2:30" ht="15" x14ac:dyDescent="0.25">
      <c r="B9" s="93" t="s">
        <v>43</v>
      </c>
      <c r="C9" s="94">
        <v>3140</v>
      </c>
      <c r="D9" s="93">
        <v>55</v>
      </c>
      <c r="E9" s="94">
        <f>$E$21*$E$22/$E$24*'Antecipação Lucros GAN (2)'!D9</f>
        <v>99.45960282465272</v>
      </c>
      <c r="G9" s="93" t="s">
        <v>43</v>
      </c>
      <c r="H9" s="94">
        <v>3140</v>
      </c>
      <c r="I9" s="93">
        <v>55</v>
      </c>
      <c r="J9" s="94">
        <f>$E$21*$E$28/$E$24*'Antecipação Lucros GAN (2)'!I9</f>
        <v>66.306401883101799</v>
      </c>
      <c r="L9" s="93" t="s">
        <v>43</v>
      </c>
      <c r="M9" s="94">
        <v>3140</v>
      </c>
      <c r="N9" s="93">
        <v>55</v>
      </c>
      <c r="O9" s="94">
        <f>$E$21*$E$29/$E$24*'Antecipação Lucros GAN (2)'!N9</f>
        <v>49.72980141232636</v>
      </c>
      <c r="Q9" s="93" t="s">
        <v>43</v>
      </c>
      <c r="R9" s="94">
        <v>3140</v>
      </c>
      <c r="S9" s="93">
        <v>55</v>
      </c>
      <c r="T9" s="94">
        <f>$E$27*$E$22/$E$24*'Antecipação Lucros GAN (2)'!S9</f>
        <v>174.05430494314226</v>
      </c>
      <c r="V9" s="93" t="s">
        <v>43</v>
      </c>
      <c r="W9" s="94">
        <v>3140</v>
      </c>
      <c r="X9" s="93">
        <v>55</v>
      </c>
      <c r="Y9" s="94">
        <f>$E$27*$E$28/$E$24*'Antecipação Lucros GAN (2)'!X9</f>
        <v>116.03620329542817</v>
      </c>
      <c r="AA9" s="93" t="s">
        <v>43</v>
      </c>
      <c r="AB9" s="94">
        <v>3140</v>
      </c>
      <c r="AC9" s="93">
        <v>55</v>
      </c>
      <c r="AD9" s="94">
        <f>$E$27*$E$29/$E$24*'Antecipação Lucros GAN (2)'!AC9</f>
        <v>87.027152471571128</v>
      </c>
    </row>
    <row r="10" spans="2:30" ht="15" x14ac:dyDescent="0.25">
      <c r="B10" s="93" t="s">
        <v>44</v>
      </c>
      <c r="C10" s="94">
        <v>3510</v>
      </c>
      <c r="D10" s="93">
        <v>60</v>
      </c>
      <c r="E10" s="94">
        <f>$E$21*$E$22/$E$24*'Antecipação Lucros GAN (2)'!D10</f>
        <v>108.50138489962114</v>
      </c>
      <c r="G10" s="93" t="s">
        <v>44</v>
      </c>
      <c r="H10" s="94">
        <v>3510</v>
      </c>
      <c r="I10" s="93">
        <v>60</v>
      </c>
      <c r="J10" s="94">
        <f>$E$21*$E$28/$E$24*'Antecipação Lucros GAN (2)'!I10</f>
        <v>72.33425659974742</v>
      </c>
      <c r="L10" s="93" t="s">
        <v>44</v>
      </c>
      <c r="M10" s="94">
        <v>3510</v>
      </c>
      <c r="N10" s="93">
        <v>60</v>
      </c>
      <c r="O10" s="94">
        <f>$E$21*$E$29/$E$24*'Antecipação Lucros GAN (2)'!N10</f>
        <v>54.250692449810572</v>
      </c>
      <c r="Q10" s="93" t="s">
        <v>44</v>
      </c>
      <c r="R10" s="94">
        <v>3510</v>
      </c>
      <c r="S10" s="93">
        <v>60</v>
      </c>
      <c r="T10" s="94">
        <f>$E$27*$E$22/$E$24*'Antecipação Lucros GAN (2)'!S10</f>
        <v>189.877423574337</v>
      </c>
      <c r="V10" s="93" t="s">
        <v>44</v>
      </c>
      <c r="W10" s="94">
        <v>3510</v>
      </c>
      <c r="X10" s="93">
        <v>60</v>
      </c>
      <c r="Y10" s="94">
        <f>$E$27*$E$28/$E$24*'Antecipação Lucros GAN (2)'!X10</f>
        <v>126.58494904955801</v>
      </c>
      <c r="AA10" s="93" t="s">
        <v>44</v>
      </c>
      <c r="AB10" s="94">
        <v>3510</v>
      </c>
      <c r="AC10" s="93">
        <v>60</v>
      </c>
      <c r="AD10" s="94">
        <f>$E$27*$E$29/$E$24*'Antecipação Lucros GAN (2)'!AC10</f>
        <v>94.938711787168501</v>
      </c>
    </row>
    <row r="11" spans="2:30" ht="15" x14ac:dyDescent="0.25">
      <c r="B11" s="93" t="s">
        <v>45</v>
      </c>
      <c r="C11" s="94">
        <v>3865</v>
      </c>
      <c r="D11" s="93">
        <v>65</v>
      </c>
      <c r="E11" s="94">
        <f>$E$21*$E$22/$E$24*'Antecipação Lucros GAN (2)'!D11</f>
        <v>117.54316697458957</v>
      </c>
      <c r="G11" s="93" t="s">
        <v>45</v>
      </c>
      <c r="H11" s="94">
        <v>3865</v>
      </c>
      <c r="I11" s="93">
        <v>65</v>
      </c>
      <c r="J11" s="94">
        <f>$E$21*$E$28/$E$24*'Antecipação Lucros GAN (2)'!I11</f>
        <v>78.36211131639304</v>
      </c>
      <c r="L11" s="93" t="s">
        <v>45</v>
      </c>
      <c r="M11" s="94">
        <v>3865</v>
      </c>
      <c r="N11" s="93">
        <v>65</v>
      </c>
      <c r="O11" s="94">
        <f>$E$21*$E$29/$E$24*'Antecipação Lucros GAN (2)'!N11</f>
        <v>58.771583487294784</v>
      </c>
      <c r="Q11" s="93" t="s">
        <v>45</v>
      </c>
      <c r="R11" s="94">
        <v>3865</v>
      </c>
      <c r="S11" s="93">
        <v>65</v>
      </c>
      <c r="T11" s="94">
        <f>$E$27*$E$22/$E$24*'Antecipação Lucros GAN (2)'!S11</f>
        <v>205.70054220553175</v>
      </c>
      <c r="V11" s="93" t="s">
        <v>45</v>
      </c>
      <c r="W11" s="94">
        <v>3865</v>
      </c>
      <c r="X11" s="93">
        <v>65</v>
      </c>
      <c r="Y11" s="94">
        <f>$E$27*$E$28/$E$24*'Antecipação Lucros GAN (2)'!X11</f>
        <v>137.13369480368783</v>
      </c>
      <c r="AA11" s="93" t="s">
        <v>45</v>
      </c>
      <c r="AB11" s="94">
        <v>3865</v>
      </c>
      <c r="AC11" s="93">
        <v>65</v>
      </c>
      <c r="AD11" s="94">
        <f>$E$27*$E$29/$E$24*'Antecipação Lucros GAN (2)'!AC11</f>
        <v>102.85027110276587</v>
      </c>
    </row>
    <row r="12" spans="2:30" ht="15" x14ac:dyDescent="0.25">
      <c r="B12" s="93" t="s">
        <v>46</v>
      </c>
      <c r="C12" s="94">
        <v>4270</v>
      </c>
      <c r="D12" s="93">
        <v>70</v>
      </c>
      <c r="E12" s="94">
        <f>$E$21*$E$22/$E$24*'Antecipação Lucros GAN (2)'!D12</f>
        <v>126.58494904955801</v>
      </c>
      <c r="G12" s="93" t="s">
        <v>46</v>
      </c>
      <c r="H12" s="94">
        <v>4270</v>
      </c>
      <c r="I12" s="93">
        <v>70</v>
      </c>
      <c r="J12" s="94">
        <f>$E$21*$E$28/$E$24*'Antecipação Lucros GAN (2)'!I12</f>
        <v>84.389966033038661</v>
      </c>
      <c r="L12" s="93" t="s">
        <v>46</v>
      </c>
      <c r="M12" s="94">
        <v>4270</v>
      </c>
      <c r="N12" s="93">
        <v>70</v>
      </c>
      <c r="O12" s="94">
        <f>$E$21*$E$29/$E$24*'Antecipação Lucros GAN (2)'!N12</f>
        <v>63.292474524779003</v>
      </c>
      <c r="Q12" s="93" t="s">
        <v>46</v>
      </c>
      <c r="R12" s="94">
        <v>4270</v>
      </c>
      <c r="S12" s="93">
        <v>70</v>
      </c>
      <c r="T12" s="94">
        <f>$E$27*$E$22/$E$24*'Antecipação Lucros GAN (2)'!S12</f>
        <v>221.52366083672649</v>
      </c>
      <c r="V12" s="93" t="s">
        <v>46</v>
      </c>
      <c r="W12" s="94">
        <v>4270</v>
      </c>
      <c r="X12" s="93">
        <v>70</v>
      </c>
      <c r="Y12" s="94">
        <f>$E$27*$E$28/$E$24*'Antecipação Lucros GAN (2)'!X12</f>
        <v>147.68244055781767</v>
      </c>
      <c r="AA12" s="93" t="s">
        <v>46</v>
      </c>
      <c r="AB12" s="94">
        <v>4270</v>
      </c>
      <c r="AC12" s="93">
        <v>70</v>
      </c>
      <c r="AD12" s="94">
        <f>$E$27*$E$29/$E$24*'Antecipação Lucros GAN (2)'!AC12</f>
        <v>110.76183041836325</v>
      </c>
    </row>
    <row r="13" spans="2:30" ht="15" x14ac:dyDescent="0.25">
      <c r="B13" s="93" t="s">
        <v>47</v>
      </c>
      <c r="C13" s="94">
        <v>4780</v>
      </c>
      <c r="D13" s="93">
        <v>80</v>
      </c>
      <c r="E13" s="94">
        <f>$E$21*$E$22/$E$24*'Antecipação Lucros GAN (2)'!D13</f>
        <v>144.66851319949487</v>
      </c>
      <c r="G13" s="93" t="s">
        <v>47</v>
      </c>
      <c r="H13" s="94">
        <v>4780</v>
      </c>
      <c r="I13" s="93">
        <v>80</v>
      </c>
      <c r="J13" s="94">
        <f>$E$21*$E$28/$E$24*'Antecipação Lucros GAN (2)'!I13</f>
        <v>96.445675466329902</v>
      </c>
      <c r="L13" s="93" t="s">
        <v>47</v>
      </c>
      <c r="M13" s="94">
        <v>4780</v>
      </c>
      <c r="N13" s="93">
        <v>80</v>
      </c>
      <c r="O13" s="94">
        <f>$E$21*$E$29/$E$24*'Antecipação Lucros GAN (2)'!N13</f>
        <v>72.334256599747434</v>
      </c>
      <c r="Q13" s="93" t="s">
        <v>47</v>
      </c>
      <c r="R13" s="94">
        <v>4780</v>
      </c>
      <c r="S13" s="93">
        <v>80</v>
      </c>
      <c r="T13" s="94">
        <f>$E$27*$E$22/$E$24*'Antecipação Lucros GAN (2)'!S13</f>
        <v>253.16989809911601</v>
      </c>
      <c r="V13" s="93" t="s">
        <v>47</v>
      </c>
      <c r="W13" s="94">
        <v>4780</v>
      </c>
      <c r="X13" s="93">
        <v>80</v>
      </c>
      <c r="Y13" s="94">
        <f>$E$27*$E$28/$E$24*'Antecipação Lucros GAN (2)'!X13</f>
        <v>168.77993206607732</v>
      </c>
      <c r="AA13" s="93" t="s">
        <v>47</v>
      </c>
      <c r="AB13" s="94">
        <v>4780</v>
      </c>
      <c r="AC13" s="93">
        <v>80</v>
      </c>
      <c r="AD13" s="94">
        <f>$E$27*$E$29/$E$24*'Antecipação Lucros GAN (2)'!AC13</f>
        <v>126.58494904955801</v>
      </c>
    </row>
    <row r="14" spans="2:30" ht="15" x14ac:dyDescent="0.25">
      <c r="B14" s="93" t="s">
        <v>48</v>
      </c>
      <c r="C14" s="94">
        <v>5420</v>
      </c>
      <c r="D14" s="93">
        <v>90</v>
      </c>
      <c r="E14" s="94">
        <f>$E$21*$E$22/$E$24*'Antecipação Lucros GAN (2)'!D14</f>
        <v>162.75207734943172</v>
      </c>
      <c r="G14" s="93" t="s">
        <v>48</v>
      </c>
      <c r="H14" s="94">
        <v>5420</v>
      </c>
      <c r="I14" s="93">
        <v>90</v>
      </c>
      <c r="J14" s="94">
        <f>$E$21*$E$28/$E$24*'Antecipação Lucros GAN (2)'!I14</f>
        <v>108.50138489962113</v>
      </c>
      <c r="L14" s="93" t="s">
        <v>48</v>
      </c>
      <c r="M14" s="94">
        <v>5420</v>
      </c>
      <c r="N14" s="93">
        <v>90</v>
      </c>
      <c r="O14" s="94">
        <f>$E$21*$E$29/$E$24*'Antecipação Lucros GAN (2)'!N14</f>
        <v>81.376038674715858</v>
      </c>
      <c r="Q14" s="93" t="s">
        <v>48</v>
      </c>
      <c r="R14" s="94">
        <v>5420</v>
      </c>
      <c r="S14" s="93">
        <v>90</v>
      </c>
      <c r="T14" s="94">
        <f>$E$27*$E$22/$E$24*'Antecipação Lucros GAN (2)'!S14</f>
        <v>284.81613536150553</v>
      </c>
      <c r="V14" s="93" t="s">
        <v>48</v>
      </c>
      <c r="W14" s="94">
        <v>5420</v>
      </c>
      <c r="X14" s="93">
        <v>90</v>
      </c>
      <c r="Y14" s="94">
        <f>$E$27*$E$28/$E$24*'Antecipação Lucros GAN (2)'!X14</f>
        <v>189.877423574337</v>
      </c>
      <c r="AA14" s="93" t="s">
        <v>48</v>
      </c>
      <c r="AB14" s="94">
        <v>5420</v>
      </c>
      <c r="AC14" s="93">
        <v>90</v>
      </c>
      <c r="AD14" s="94">
        <f>$E$27*$E$29/$E$24*'Antecipação Lucros GAN (2)'!AC14</f>
        <v>142.40806768075277</v>
      </c>
    </row>
    <row r="15" spans="2:30" ht="15" x14ac:dyDescent="0.25">
      <c r="B15" s="93" t="s">
        <v>49</v>
      </c>
      <c r="C15" s="94">
        <v>6150</v>
      </c>
      <c r="D15" s="93">
        <v>100</v>
      </c>
      <c r="E15" s="94">
        <f>$E$21*$E$22/$E$24*'Antecipação Lucros GAN (2)'!D15</f>
        <v>180.83564149936856</v>
      </c>
      <c r="G15" s="93" t="s">
        <v>49</v>
      </c>
      <c r="H15" s="94">
        <v>6150</v>
      </c>
      <c r="I15" s="93">
        <v>100</v>
      </c>
      <c r="J15" s="94">
        <f>$E$21*$E$28/$E$24*'Antecipação Lucros GAN (2)'!I15</f>
        <v>120.55709433291237</v>
      </c>
      <c r="L15" s="93" t="s">
        <v>49</v>
      </c>
      <c r="M15" s="94">
        <v>6150</v>
      </c>
      <c r="N15" s="93">
        <v>100</v>
      </c>
      <c r="O15" s="94">
        <f>$E$21*$E$29/$E$24*'Antecipação Lucros GAN (2)'!N15</f>
        <v>90.417820749684282</v>
      </c>
      <c r="Q15" s="93" t="s">
        <v>49</v>
      </c>
      <c r="R15" s="94">
        <v>6150</v>
      </c>
      <c r="S15" s="93">
        <v>100</v>
      </c>
      <c r="T15" s="94">
        <f>$E$27*$E$22/$E$24*'Antecipação Lucros GAN (2)'!S15</f>
        <v>316.46237262389502</v>
      </c>
      <c r="V15" s="93" t="s">
        <v>49</v>
      </c>
      <c r="W15" s="94">
        <v>6150</v>
      </c>
      <c r="X15" s="93">
        <v>100</v>
      </c>
      <c r="Y15" s="94">
        <f>$E$27*$E$28/$E$24*'Antecipação Lucros GAN (2)'!X15</f>
        <v>210.97491508259668</v>
      </c>
      <c r="AA15" s="93" t="s">
        <v>49</v>
      </c>
      <c r="AB15" s="94">
        <v>6150</v>
      </c>
      <c r="AC15" s="93">
        <v>100</v>
      </c>
      <c r="AD15" s="94">
        <f>$E$27*$E$29/$E$24*'Antecipação Lucros GAN (2)'!AC15</f>
        <v>158.23118631194751</v>
      </c>
    </row>
    <row r="16" spans="2:30" ht="15" x14ac:dyDescent="0.25">
      <c r="B16" s="93" t="s">
        <v>50</v>
      </c>
      <c r="C16" s="94">
        <v>6980</v>
      </c>
      <c r="D16" s="93">
        <v>110</v>
      </c>
      <c r="E16" s="94">
        <f>$E$21*$E$22/$E$24*'Antecipação Lucros GAN (2)'!D16</f>
        <v>198.91920564930544</v>
      </c>
      <c r="G16" s="93" t="s">
        <v>50</v>
      </c>
      <c r="H16" s="94">
        <v>6980</v>
      </c>
      <c r="I16" s="93">
        <v>110</v>
      </c>
      <c r="J16" s="94">
        <f>$E$21*$E$28/$E$24*'Antecipação Lucros GAN (2)'!I16</f>
        <v>132.6128037662036</v>
      </c>
      <c r="L16" s="93" t="s">
        <v>50</v>
      </c>
      <c r="M16" s="94">
        <v>6980</v>
      </c>
      <c r="N16" s="93">
        <v>110</v>
      </c>
      <c r="O16" s="94">
        <f>$E$21*$E$29/$E$24*'Antecipação Lucros GAN (2)'!N16</f>
        <v>99.45960282465272</v>
      </c>
      <c r="Q16" s="93" t="s">
        <v>50</v>
      </c>
      <c r="R16" s="94">
        <v>6980</v>
      </c>
      <c r="S16" s="93">
        <v>110</v>
      </c>
      <c r="T16" s="94">
        <f>$E$27*$E$22/$E$24*'Antecipação Lucros GAN (2)'!S16</f>
        <v>348.10860988628451</v>
      </c>
      <c r="V16" s="93" t="s">
        <v>50</v>
      </c>
      <c r="W16" s="94">
        <v>6980</v>
      </c>
      <c r="X16" s="93">
        <v>110</v>
      </c>
      <c r="Y16" s="94">
        <f>$E$27*$E$28/$E$24*'Antecipação Lucros GAN (2)'!X16</f>
        <v>232.07240659085633</v>
      </c>
      <c r="AA16" s="93" t="s">
        <v>50</v>
      </c>
      <c r="AB16" s="94">
        <v>6980</v>
      </c>
      <c r="AC16" s="93">
        <v>110</v>
      </c>
      <c r="AD16" s="94">
        <f>$E$27*$E$29/$E$24*'Antecipação Lucros GAN (2)'!AC16</f>
        <v>174.05430494314226</v>
      </c>
    </row>
    <row r="21" spans="2:5" x14ac:dyDescent="0.2">
      <c r="B21" t="s">
        <v>10</v>
      </c>
      <c r="E21" s="36">
        <v>200000</v>
      </c>
    </row>
    <row r="22" spans="2:5" x14ac:dyDescent="0.2">
      <c r="B22" t="s">
        <v>53</v>
      </c>
      <c r="E22" s="61">
        <v>0.15</v>
      </c>
    </row>
    <row r="23" spans="2:5" ht="13.5" thickBot="1" x14ac:dyDescent="0.25">
      <c r="B23" t="s">
        <v>54</v>
      </c>
      <c r="E23" s="24">
        <f>E21*E22</f>
        <v>30000</v>
      </c>
    </row>
    <row r="24" spans="2:5" ht="15.75" thickBot="1" x14ac:dyDescent="0.3">
      <c r="B24" t="s">
        <v>55</v>
      </c>
      <c r="E24" s="79">
        <v>16589.650000000001</v>
      </c>
    </row>
    <row r="25" spans="2:5" x14ac:dyDescent="0.2">
      <c r="B25" t="s">
        <v>56</v>
      </c>
      <c r="E25" s="28">
        <f>E23/E24</f>
        <v>1.8083564149936857</v>
      </c>
    </row>
    <row r="27" spans="2:5" x14ac:dyDescent="0.2">
      <c r="B27" t="s">
        <v>10</v>
      </c>
      <c r="E27" s="36">
        <v>350000</v>
      </c>
    </row>
    <row r="28" spans="2:5" x14ac:dyDescent="0.2">
      <c r="B28" t="s">
        <v>53</v>
      </c>
      <c r="E28" s="61">
        <v>0.1</v>
      </c>
    </row>
    <row r="29" spans="2:5" x14ac:dyDescent="0.2">
      <c r="B29" t="s">
        <v>53</v>
      </c>
      <c r="E29" s="61">
        <v>7.4999999999999997E-2</v>
      </c>
    </row>
  </sheetData>
  <mergeCells count="6">
    <mergeCell ref="AA2:AD2"/>
    <mergeCell ref="B2:E2"/>
    <mergeCell ref="G2:J2"/>
    <mergeCell ref="L2:O2"/>
    <mergeCell ref="Q2:T2"/>
    <mergeCell ref="V2:Y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48</vt:i4>
      </vt:variant>
      <vt:variant>
        <vt:lpstr>Intervalos Nomeados</vt:lpstr>
      </vt:variant>
      <vt:variant>
        <vt:i4>1</vt:i4>
      </vt:variant>
    </vt:vector>
  </HeadingPairs>
  <TitlesOfParts>
    <vt:vector size="49" baseType="lpstr">
      <vt:lpstr>Passo a Passo</vt:lpstr>
      <vt:lpstr>TOTAIS  20 E 21</vt:lpstr>
      <vt:lpstr>Honorários</vt:lpstr>
      <vt:lpstr>GLOSAS</vt:lpstr>
      <vt:lpstr>Impostos</vt:lpstr>
      <vt:lpstr>Resultado Intercompany</vt:lpstr>
      <vt:lpstr>Cotas</vt:lpstr>
      <vt:lpstr>Pessoas</vt:lpstr>
      <vt:lpstr>DRE</vt:lpstr>
      <vt:lpstr>DRE 2025</vt:lpstr>
      <vt:lpstr>Resumo DRE 2</vt:lpstr>
      <vt:lpstr>Resumo DRE 2 Outros</vt:lpstr>
      <vt:lpstr>Resumo DRE 2 BACKUP</vt:lpstr>
      <vt:lpstr>Resumo DRE Outros 2</vt:lpstr>
      <vt:lpstr>Crescimento</vt:lpstr>
      <vt:lpstr>DRE Transição Omie</vt:lpstr>
      <vt:lpstr>DRE Novo 2</vt:lpstr>
      <vt:lpstr>Aux Antecipação</vt:lpstr>
      <vt:lpstr>Antecipação Consolidado</vt:lpstr>
      <vt:lpstr>Antecipação Lucros GAN</vt:lpstr>
      <vt:lpstr>Antecipação Lucros GAA</vt:lpstr>
      <vt:lpstr>Simulação GAN</vt:lpstr>
      <vt:lpstr>Simulação GAA</vt:lpstr>
      <vt:lpstr>Simulação Cotas</vt:lpstr>
      <vt:lpstr>Simulação Cotas GAN</vt:lpstr>
      <vt:lpstr>Simulação Cotas GAA GAT</vt:lpstr>
      <vt:lpstr>Resultado Orçado</vt:lpstr>
      <vt:lpstr>OKR</vt:lpstr>
      <vt:lpstr>Projeção 2025</vt:lpstr>
      <vt:lpstr>PROJETADO 2023</vt:lpstr>
      <vt:lpstr>DRE (3)</vt:lpstr>
      <vt:lpstr>Resumo DRE 2 (2)</vt:lpstr>
      <vt:lpstr>Projeção Gondim</vt:lpstr>
      <vt:lpstr>Custos Pessoal</vt:lpstr>
      <vt:lpstr>Sucumbências</vt:lpstr>
      <vt:lpstr>Resumo DRE</vt:lpstr>
      <vt:lpstr>Resumo DRE Outros</vt:lpstr>
      <vt:lpstr>DRE Novo</vt:lpstr>
      <vt:lpstr>Planilha4</vt:lpstr>
      <vt:lpstr>DRE (2)</vt:lpstr>
      <vt:lpstr>DRE Novo OBS</vt:lpstr>
      <vt:lpstr>Custos GAN GAA GAT</vt:lpstr>
      <vt:lpstr>Resultados Empresas</vt:lpstr>
      <vt:lpstr>Resultados Empresas (2)</vt:lpstr>
      <vt:lpstr>SIMBA E LASA 2020</vt:lpstr>
      <vt:lpstr>EAT 23</vt:lpstr>
      <vt:lpstr>EAT 23 (2)</vt:lpstr>
      <vt:lpstr>Antecipação Lucros GAN (2)</vt:lpstr>
      <vt:lpstr>'Resultado Intercompany'!COM_INTERCOMPANY</vt:lpstr>
    </vt:vector>
  </TitlesOfParts>
  <Company>Barbosa, Müssnich &amp; Aragão Advogados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Rossana S. Macedo</dc:creator>
  <cp:lastModifiedBy>Bruno DAlmeida</cp:lastModifiedBy>
  <cp:lastPrinted>2024-11-25T15:42:11Z</cp:lastPrinted>
  <dcterms:created xsi:type="dcterms:W3CDTF">2006-01-23T14:04:19Z</dcterms:created>
  <dcterms:modified xsi:type="dcterms:W3CDTF">2026-04-22T19:03:11Z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